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drawings/drawing2.xml" ContentType="application/vnd.openxmlformats-officedocument.drawing+xml"/>
  <Override PartName="/xl/tables/table7.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8.xml" ContentType="application/vnd.openxmlformats-officedocument.spreadsheetml.table+xml"/>
  <Override PartName="/xl/queryTables/queryTable4.xml" ContentType="application/vnd.openxmlformats-officedocument.spreadsheetml.queryTable+xml"/>
  <Override PartName="/xl/slicers/slicer2.xml" ContentType="application/vnd.ms-excel.slicer+xml"/>
  <Override PartName="/xl/drawings/drawing4.xml" ContentType="application/vnd.openxmlformats-officedocument.drawing+xml"/>
  <Override PartName="/xl/tables/table9.xml" ContentType="application/vnd.openxmlformats-officedocument.spreadsheetml.table+xml"/>
  <Override PartName="/xl/queryTables/queryTable5.xml" ContentType="application/vnd.openxmlformats-officedocument.spreadsheetml.queryTable+xml"/>
  <Override PartName="/xl/slicers/slicer3.xml" ContentType="application/vnd.ms-excel.slicer+xml"/>
  <Override PartName="/xl/drawings/drawing5.xml" ContentType="application/vnd.openxmlformats-officedocument.drawing+xml"/>
  <Override PartName="/xl/tables/table10.xml" ContentType="application/vnd.openxmlformats-officedocument.spreadsheetml.table+xml"/>
  <Override PartName="/xl/queryTables/queryTable6.xml" ContentType="application/vnd.openxmlformats-officedocument.spreadsheetml.queryTable+xml"/>
  <Override PartName="/xl/slicers/slicer4.xml" ContentType="application/vnd.ms-excel.slicer+xml"/>
  <Override PartName="/xl/drawings/drawing6.xml" ContentType="application/vnd.openxmlformats-officedocument.drawing+xml"/>
  <Override PartName="/xl/tables/table11.xml" ContentType="application/vnd.openxmlformats-officedocument.spreadsheetml.table+xml"/>
  <Override PartName="/xl/queryTables/queryTable7.xml" ContentType="application/vnd.openxmlformats-officedocument.spreadsheetml.queryTable+xml"/>
  <Override PartName="/xl/slicers/slicer5.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tables/table12.xml" ContentType="application/vnd.openxmlformats-officedocument.spreadsheetml.table+xml"/>
  <Override PartName="/xl/queryTables/queryTable8.xml" ContentType="application/vnd.openxmlformats-officedocument.spreadsheetml.queryTable+xml"/>
  <Override PartName="/xl/slicers/slicer6.xml" ContentType="application/vnd.ms-excel.slicer+xml"/>
  <Override PartName="/xl/tables/table13.xml" ContentType="application/vnd.openxmlformats-officedocument.spreadsheetml.table+xml"/>
  <Override PartName="/xl/queryTables/queryTable9.xml" ContentType="application/vnd.openxmlformats-officedocument.spreadsheetml.query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https://lsnpjs-my.sharepoint.com/personal/lewisw_landsurveys_net_au/Documents/GitHub/RailGeometry/Sensly/Excel/Testing/"/>
    </mc:Choice>
  </mc:AlternateContent>
  <xr:revisionPtr revIDLastSave="82" documentId="8_{C0E585F7-582A-467E-AE57-2187224B3511}" xr6:coauthVersionLast="47" xr6:coauthVersionMax="47" xr10:uidLastSave="{E68987B0-AF57-44B0-B6CC-68A32E1C9637}"/>
  <bookViews>
    <workbookView xWindow="-120" yWindow="-120" windowWidth="29040" windowHeight="16440" tabRatio="684" firstSheet="6" activeTab="12" xr2:uid="{18A62197-6EC2-4D1F-BB69-1B7A802D5F20}"/>
  </bookViews>
  <sheets>
    <sheet name="How to Use" sheetId="46" r:id="rId1"/>
    <sheet name="Table_Geographic" sheetId="63" r:id="rId2"/>
    <sheet name="Table_Calibration" sheetId="64" r:id="rId3"/>
    <sheet name="Sheet1" sheetId="65" r:id="rId4"/>
    <sheet name="Table_Baseline (2)" sheetId="66" r:id="rId5"/>
    <sheet name="Setup" sheetId="3" r:id="rId6"/>
    <sheet name="Survey Details" sheetId="52" r:id="rId7"/>
    <sheet name="Observations" sheetId="4" r:id="rId8"/>
    <sheet name="Report Table - XYZ" sheetId="32" r:id="rId9"/>
    <sheet name="Report Table - XYZ &amp; TL" sheetId="51" r:id="rId10"/>
    <sheet name="Report Table - QR SAUP" sheetId="54" r:id="rId11"/>
    <sheet name="Report Chart" sheetId="50" r:id="rId12"/>
    <sheet name="Report Track" sheetId="62" r:id="rId13"/>
    <sheet name="Hide Lookups" sheetId="45" state="hidden" r:id="rId14"/>
  </sheets>
  <externalReferences>
    <externalReference r:id="rId15"/>
  </externalReferences>
  <definedNames>
    <definedName name="Cell_Alarm2">[1]Upload!$AR$8</definedName>
    <definedName name="Cell_Alarm3">[1]Upload!$AU$8</definedName>
    <definedName name="Cell_ChartBounds">'Report Chart'!$D$10</definedName>
    <definedName name="Cell_ChartPadding">'Report Chart'!$D$11</definedName>
    <definedName name="Cell_DebugOutput">'Report Track'!$B$90</definedName>
    <definedName name="Cell_Track_LastSurveyDate">'Report Track'!$G$8</definedName>
    <definedName name="Cell_TrackBaselineSurveyDate">'Report Track'!$G$6</definedName>
    <definedName name="Cell_TrackInterpolationInterval">'Report Track'!$C$73</definedName>
    <definedName name="Cell_TrackLongTwistLength">'Report Track'!$C$75</definedName>
    <definedName name="Cell_TrackPlot_CategoriesCol">'Report Track'!$C$11</definedName>
    <definedName name="Cell_TrackPlot_ColorMap">'Report Track'!$C$60</definedName>
    <definedName name="Cell_TrackPlot_DPI">'Report Track'!$C$55</definedName>
    <definedName name="Cell_TrackPlot_Height">'Report Track'!$C$54</definedName>
    <definedName name="Cell_TrackPlot_LegendCol">'Report Track'!$C$35</definedName>
    <definedName name="Cell_TrackPlot_LegendColumns">'Report Track'!$C$37</definedName>
    <definedName name="Cell_TrackPlot_LegendPosition">'Report Track'!$C$36</definedName>
    <definedName name="Cell_TrackPlot_LegendXOffset">'Report Track'!$C$38</definedName>
    <definedName name="Cell_TrackPlot_LegendYOffset">'Report Track'!$C$39</definedName>
    <definedName name="Cell_TrackPlot_LineWidth">'Report Track'!$C$48</definedName>
    <definedName name="Cell_TrackPlot_MarkerSize">'Report Track'!$C$50</definedName>
    <definedName name="Cell_TrackPlot_MarkerStyle">'Report Track'!$C$49</definedName>
    <definedName name="Cell_TrackPlot_ShowMinorGrid">'Report Track'!$C$42</definedName>
    <definedName name="Cell_TrackPlot_ShowRawMarkers">'Report Track'!#REF!</definedName>
    <definedName name="Cell_TrackPlot_SmoothDensity">'Report Track'!#REF!</definedName>
    <definedName name="Cell_TrackPlot_SmoothLines">'Report Track'!#REF!</definedName>
    <definedName name="Cell_TrackPlot_TextSize">'Report Track'!$C$47</definedName>
    <definedName name="Cell_TrackPlot_Title">'Report Track'!$C$51</definedName>
    <definedName name="Cell_TrackPlot_ValuesCol">'Report Track'!$C$22</definedName>
    <definedName name="Cell_TrackPlot_Width">'Report Track'!$C$53</definedName>
    <definedName name="Cell_TrackPlot_XChartBounds">'Report Track'!$C$16</definedName>
    <definedName name="Cell_TrackPlot_XChartPadding">'Report Track'!$C$17</definedName>
    <definedName name="Cell_TrackPlot_XFormat">'Report Track'!$C$14</definedName>
    <definedName name="Cell_TrackPlot_XLabelRotation">'Report Track'!$C$15</definedName>
    <definedName name="Cell_TrackPlot_XMax">'Report Track'!$C$19</definedName>
    <definedName name="Cell_TrackPlot_XMin">'Report Track'!$C$18</definedName>
    <definedName name="Cell_TrackPlot_XSort">'Report Track'!#REF!</definedName>
    <definedName name="Cell_TrackPlot_XType">'Report Track'!$C$12</definedName>
    <definedName name="Cell_TrackPlot_YChartBounds" localSheetId="12">'Report Track'!$C$27</definedName>
    <definedName name="Cell_TrackPlot_YChartPadding" localSheetId="12">'Report Track'!$C$28</definedName>
    <definedName name="Cell_TrackPlot_YFormat">'Report Track'!$C$25</definedName>
    <definedName name="Cell_TrackPlot_YLabel">'Report Track'!$C$80</definedName>
    <definedName name="Cell_TrackPlot_YLabelRotation">'Report Track'!$C$26</definedName>
    <definedName name="Cell_TrackPlot_YMax">'Report Track'!$C$32</definedName>
    <definedName name="Cell_TrackPlot_YMin">'Report Track'!$C$31</definedName>
    <definedName name="Cell_TrackPlot_YSort">'Report Track'!#REF!</definedName>
    <definedName name="Cell_TrackPlot_YType">'Report Track'!$C$23</definedName>
    <definedName name="Cell_TrackShortTwistLength">'Report Track'!$C$74</definedName>
    <definedName name="ExternalData_1" localSheetId="4" hidden="1">'Table_Baseline (2)'!$A$1:$K$23</definedName>
    <definedName name="ExternalData_1" localSheetId="2" hidden="1">Table_Calibration!$A$1:$C$155</definedName>
    <definedName name="ExternalData_1" localSheetId="1" hidden="1">Table_Geographic!$A$1:$F$23</definedName>
    <definedName name="ExternalData_2" localSheetId="11" hidden="1">'Report Chart'!$G$49:$Z$232</definedName>
    <definedName name="ExternalData_2" localSheetId="10" hidden="1">'Report Table - QR SAUP'!$G$10:$AE$193</definedName>
    <definedName name="ExternalData_2" localSheetId="8" hidden="1">'Report Table - XYZ'!$G$10:$AA$193</definedName>
    <definedName name="ExternalData_2" localSheetId="9" hidden="1">'Report Table - XYZ &amp; TL'!$G$10:$AD$193</definedName>
    <definedName name="ExternalData_3" localSheetId="13" hidden="1">'Hide Lookups'!$B$2:$D$46</definedName>
    <definedName name="ExternalData_6" localSheetId="12" hidden="1">'Report Track'!$E$99:$P$1372</definedName>
    <definedName name="LastSurvey" localSheetId="11">'Report Chart'!$J$7</definedName>
    <definedName name="LastSurvey" localSheetId="10">'Report Table - QR SAUP'!$I$7</definedName>
    <definedName name="LastSurvey" localSheetId="9">'Report Table - XYZ &amp; TL'!$J$7</definedName>
    <definedName name="LastSurvey" localSheetId="12">'Report Track'!$G$8</definedName>
    <definedName name="LastSurvey">'Report Table - XYZ'!$J$7</definedName>
    <definedName name="_xlnm.Print_Area" localSheetId="11">'Report Chart'!$G:$AG</definedName>
    <definedName name="_xlnm.Print_Area" localSheetId="10">'Report Table - QR SAUP'!$G:$AO</definedName>
    <definedName name="_xlnm.Print_Area" localSheetId="8">'Report Table - XYZ'!$G:$AH</definedName>
    <definedName name="_xlnm.Print_Area" localSheetId="9">'Report Table - XYZ &amp; TL'!$G:$AM</definedName>
    <definedName name="_xlnm.Print_Area" localSheetId="12">'Report Track'!$E$2:$R$46</definedName>
    <definedName name="_xlnm.Print_Titles" localSheetId="11">'Report Chart'!$2:$7</definedName>
    <definedName name="_xlnm.Print_Titles" localSheetId="10">'Report Table - QR SAUP'!$2:$10</definedName>
    <definedName name="_xlnm.Print_Titles" localSheetId="8">'Report Table - XYZ'!$2:$10</definedName>
    <definedName name="_xlnm.Print_Titles" localSheetId="9">'Report Table - XYZ &amp; TL'!$2:$10</definedName>
    <definedName name="Slicer_Epoch">#N/A</definedName>
    <definedName name="Slicer_Epoch1">#N/A</definedName>
    <definedName name="Slicer_ID">#N/A</definedName>
    <definedName name="Slicer_ID1">#N/A</definedName>
    <definedName name="Slicer_ID2">#N/A</definedName>
    <definedName name="Slicer_ID3">#N/A</definedName>
    <definedName name="Slicer_Track_ID">#N/A</definedName>
  </definedNames>
  <calcPr calcId="191029"/>
  <fileRecoveryPr autoRecover="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65" l="1"/>
  <c r="G4" i="65"/>
  <c r="H4" i="65"/>
  <c r="F5" i="65"/>
  <c r="G5" i="65"/>
  <c r="H5" i="65"/>
  <c r="F6" i="65"/>
  <c r="G6" i="65"/>
  <c r="H6" i="65"/>
  <c r="F7" i="65"/>
  <c r="G7" i="65"/>
  <c r="H7" i="65"/>
  <c r="F8" i="65"/>
  <c r="G8" i="65"/>
  <c r="H8" i="65"/>
  <c r="F9" i="65"/>
  <c r="G9" i="65"/>
  <c r="H9" i="65"/>
  <c r="F10" i="65"/>
  <c r="G10" i="65"/>
  <c r="H10" i="65"/>
  <c r="F11" i="65"/>
  <c r="G11" i="65"/>
  <c r="H11" i="65"/>
  <c r="F12" i="65"/>
  <c r="G12" i="65"/>
  <c r="H12" i="65"/>
  <c r="F13" i="65"/>
  <c r="G13" i="65"/>
  <c r="H13" i="65"/>
  <c r="F14" i="65"/>
  <c r="G14" i="65"/>
  <c r="H14" i="65"/>
  <c r="F15" i="65"/>
  <c r="G15" i="65"/>
  <c r="H15" i="65"/>
  <c r="F16" i="65"/>
  <c r="G16" i="65"/>
  <c r="H16" i="65"/>
  <c r="F17" i="65"/>
  <c r="G17" i="65"/>
  <c r="H17" i="65"/>
  <c r="F18" i="65"/>
  <c r="G18" i="65"/>
  <c r="H18" i="65"/>
  <c r="F19" i="65"/>
  <c r="G19" i="65"/>
  <c r="H19" i="65"/>
  <c r="F20" i="65"/>
  <c r="G20" i="65"/>
  <c r="H20" i="65"/>
  <c r="F21" i="65"/>
  <c r="G21" i="65"/>
  <c r="H21" i="65"/>
  <c r="F22" i="65"/>
  <c r="G22" i="65"/>
  <c r="H22" i="65"/>
  <c r="F23" i="65"/>
  <c r="G23" i="65"/>
  <c r="H23" i="65"/>
  <c r="F24" i="65"/>
  <c r="G24" i="65"/>
  <c r="H24" i="65"/>
  <c r="F25" i="65"/>
  <c r="G25" i="65"/>
  <c r="H25" i="65"/>
  <c r="F26" i="65"/>
  <c r="G26" i="65"/>
  <c r="H26" i="65"/>
  <c r="F27" i="65"/>
  <c r="G27" i="65"/>
  <c r="H27" i="65"/>
  <c r="F28" i="65"/>
  <c r="G28" i="65"/>
  <c r="H28" i="65"/>
  <c r="F29" i="65"/>
  <c r="G29" i="65"/>
  <c r="H29" i="65"/>
  <c r="F30" i="65"/>
  <c r="G30" i="65"/>
  <c r="H30" i="65"/>
  <c r="F31" i="65"/>
  <c r="G31" i="65"/>
  <c r="H31" i="65"/>
  <c r="F32" i="65"/>
  <c r="G32" i="65"/>
  <c r="H32" i="65"/>
  <c r="F33" i="65"/>
  <c r="G33" i="65"/>
  <c r="H33" i="65"/>
  <c r="F34" i="65"/>
  <c r="G34" i="65"/>
  <c r="H34" i="65"/>
  <c r="F35" i="65"/>
  <c r="G35" i="65"/>
  <c r="H35" i="65"/>
  <c r="F36" i="65"/>
  <c r="G36" i="65"/>
  <c r="H36" i="65"/>
  <c r="F37" i="65"/>
  <c r="G37" i="65"/>
  <c r="H37" i="65"/>
  <c r="F38" i="65"/>
  <c r="G38" i="65"/>
  <c r="H38" i="65"/>
  <c r="F39" i="65"/>
  <c r="G39" i="65"/>
  <c r="H39" i="65"/>
  <c r="F40" i="65"/>
  <c r="G40" i="65"/>
  <c r="H40" i="65"/>
  <c r="F41" i="65"/>
  <c r="G41" i="65"/>
  <c r="H41" i="65"/>
  <c r="F42" i="65"/>
  <c r="G42" i="65"/>
  <c r="H42" i="65"/>
  <c r="F43" i="65"/>
  <c r="G43" i="65"/>
  <c r="H43" i="65"/>
  <c r="F44" i="65"/>
  <c r="G44" i="65"/>
  <c r="H44" i="65"/>
  <c r="F45" i="65"/>
  <c r="G45" i="65"/>
  <c r="H45" i="65"/>
  <c r="F46" i="65"/>
  <c r="G46" i="65"/>
  <c r="H46" i="65"/>
  <c r="F47" i="65"/>
  <c r="G47" i="65"/>
  <c r="H47" i="65"/>
  <c r="F48" i="65"/>
  <c r="G48" i="65"/>
  <c r="H48" i="65"/>
  <c r="F49" i="65"/>
  <c r="G49" i="65"/>
  <c r="H49" i="65"/>
  <c r="F50" i="65"/>
  <c r="G50" i="65"/>
  <c r="H50" i="65"/>
  <c r="F51" i="65"/>
  <c r="G51" i="65"/>
  <c r="H51" i="65"/>
  <c r="F52" i="65"/>
  <c r="G52" i="65"/>
  <c r="H52" i="65"/>
  <c r="F53" i="65"/>
  <c r="G53" i="65"/>
  <c r="H53" i="65"/>
  <c r="F54" i="65"/>
  <c r="G54" i="65"/>
  <c r="H54" i="65"/>
  <c r="F55" i="65"/>
  <c r="G55" i="65"/>
  <c r="H55" i="65"/>
  <c r="F56" i="65"/>
  <c r="G56" i="65"/>
  <c r="H56" i="65"/>
  <c r="F57" i="65"/>
  <c r="G57" i="65"/>
  <c r="H57" i="65"/>
  <c r="F58" i="65"/>
  <c r="G58" i="65"/>
  <c r="H58" i="65"/>
  <c r="F59" i="65"/>
  <c r="G59" i="65"/>
  <c r="H59" i="65"/>
  <c r="F60" i="65"/>
  <c r="G60" i="65"/>
  <c r="H60" i="65"/>
  <c r="F61" i="65"/>
  <c r="G61" i="65"/>
  <c r="H61" i="65"/>
  <c r="F62" i="65"/>
  <c r="G62" i="65"/>
  <c r="H62" i="65"/>
  <c r="F63" i="65"/>
  <c r="G63" i="65"/>
  <c r="H63" i="65"/>
  <c r="F64" i="65"/>
  <c r="G64" i="65"/>
  <c r="H64" i="65"/>
  <c r="F65" i="65"/>
  <c r="G65" i="65"/>
  <c r="H65" i="65"/>
  <c r="F66" i="65"/>
  <c r="G66" i="65"/>
  <c r="H66" i="65"/>
  <c r="F67" i="65"/>
  <c r="G67" i="65"/>
  <c r="H67" i="65"/>
  <c r="F68" i="65"/>
  <c r="G68" i="65"/>
  <c r="H68" i="65"/>
  <c r="F69" i="65"/>
  <c r="G69" i="65"/>
  <c r="H69" i="65"/>
  <c r="F70" i="65"/>
  <c r="G70" i="65"/>
  <c r="H70" i="65"/>
  <c r="F71" i="65"/>
  <c r="G71" i="65"/>
  <c r="H71" i="65"/>
  <c r="F72" i="65"/>
  <c r="G72" i="65"/>
  <c r="H72" i="65"/>
  <c r="F73" i="65"/>
  <c r="G73" i="65"/>
  <c r="H73" i="65"/>
  <c r="F74" i="65"/>
  <c r="G74" i="65"/>
  <c r="H74" i="65"/>
  <c r="F75" i="65"/>
  <c r="G75" i="65"/>
  <c r="H75" i="65"/>
  <c r="F76" i="65"/>
  <c r="G76" i="65"/>
  <c r="H76" i="65"/>
  <c r="F77" i="65"/>
  <c r="G77" i="65"/>
  <c r="H77" i="65"/>
  <c r="F78" i="65"/>
  <c r="G78" i="65"/>
  <c r="H78" i="65"/>
  <c r="F79" i="65"/>
  <c r="G79" i="65"/>
  <c r="H79" i="65"/>
  <c r="F80" i="65"/>
  <c r="G80" i="65"/>
  <c r="H80" i="65"/>
  <c r="F81" i="65"/>
  <c r="G81" i="65"/>
  <c r="H81" i="65"/>
  <c r="F82" i="65"/>
  <c r="G82" i="65"/>
  <c r="H82" i="65"/>
  <c r="F83" i="65"/>
  <c r="G83" i="65"/>
  <c r="H83" i="65"/>
  <c r="F84" i="65"/>
  <c r="G84" i="65"/>
  <c r="H84" i="65"/>
  <c r="F85" i="65"/>
  <c r="G85" i="65"/>
  <c r="H85" i="65"/>
  <c r="F86" i="65"/>
  <c r="G86" i="65"/>
  <c r="H86" i="65"/>
  <c r="F87" i="65"/>
  <c r="G87" i="65"/>
  <c r="H87" i="65"/>
  <c r="F88" i="65"/>
  <c r="G88" i="65"/>
  <c r="H88" i="65"/>
  <c r="F89" i="65"/>
  <c r="G89" i="65"/>
  <c r="H89" i="65"/>
  <c r="F90" i="65"/>
  <c r="G90" i="65"/>
  <c r="H90" i="65"/>
  <c r="F91" i="65"/>
  <c r="G91" i="65"/>
  <c r="H91" i="65"/>
  <c r="F92" i="65"/>
  <c r="G92" i="65"/>
  <c r="H92" i="65"/>
  <c r="F93" i="65"/>
  <c r="G93" i="65"/>
  <c r="H93" i="65"/>
  <c r="F94" i="65"/>
  <c r="G94" i="65"/>
  <c r="H94" i="65"/>
  <c r="F95" i="65"/>
  <c r="G95" i="65"/>
  <c r="H95" i="65"/>
  <c r="F96" i="65"/>
  <c r="G96" i="65"/>
  <c r="H96" i="65"/>
  <c r="F97" i="65"/>
  <c r="G97" i="65"/>
  <c r="H97" i="65"/>
  <c r="F98" i="65"/>
  <c r="G98" i="65"/>
  <c r="H98" i="65"/>
  <c r="F99" i="65"/>
  <c r="G99" i="65"/>
  <c r="H99" i="65"/>
  <c r="F100" i="65"/>
  <c r="G100" i="65"/>
  <c r="H100" i="65"/>
  <c r="F101" i="65"/>
  <c r="G101" i="65"/>
  <c r="H101" i="65"/>
  <c r="F102" i="65"/>
  <c r="G102" i="65"/>
  <c r="H102" i="65"/>
  <c r="F103" i="65"/>
  <c r="G103" i="65"/>
  <c r="H103" i="65"/>
  <c r="F104" i="65"/>
  <c r="G104" i="65"/>
  <c r="H104" i="65"/>
  <c r="F105" i="65"/>
  <c r="G105" i="65"/>
  <c r="H105" i="65"/>
  <c r="F106" i="65"/>
  <c r="G106" i="65"/>
  <c r="H106" i="65"/>
  <c r="F107" i="65"/>
  <c r="G107" i="65"/>
  <c r="H107" i="65"/>
  <c r="F108" i="65"/>
  <c r="G108" i="65"/>
  <c r="H108" i="65"/>
  <c r="F109" i="65"/>
  <c r="G109" i="65"/>
  <c r="H109" i="65"/>
  <c r="F110" i="65"/>
  <c r="G110" i="65"/>
  <c r="H110" i="65"/>
  <c r="F111" i="65"/>
  <c r="G111" i="65"/>
  <c r="H111" i="65"/>
  <c r="F112" i="65"/>
  <c r="G112" i="65"/>
  <c r="H112" i="65"/>
  <c r="F113" i="65"/>
  <c r="G113" i="65"/>
  <c r="H113" i="65"/>
  <c r="F114" i="65"/>
  <c r="G114" i="65"/>
  <c r="H114" i="65"/>
  <c r="F115" i="65"/>
  <c r="G115" i="65"/>
  <c r="H115" i="65"/>
  <c r="F116" i="65"/>
  <c r="G116" i="65"/>
  <c r="H116" i="65"/>
  <c r="F117" i="65"/>
  <c r="G117" i="65"/>
  <c r="H117" i="65"/>
  <c r="F118" i="65"/>
  <c r="G118" i="65"/>
  <c r="H118" i="65"/>
  <c r="F119" i="65"/>
  <c r="G119" i="65"/>
  <c r="H119" i="65"/>
  <c r="F120" i="65"/>
  <c r="G120" i="65"/>
  <c r="H120" i="65"/>
  <c r="F121" i="65"/>
  <c r="G121" i="65"/>
  <c r="H121" i="65"/>
  <c r="F122" i="65"/>
  <c r="G122" i="65"/>
  <c r="H122" i="65"/>
  <c r="F123" i="65"/>
  <c r="G123" i="65"/>
  <c r="H123" i="65"/>
  <c r="F124" i="65"/>
  <c r="G124" i="65"/>
  <c r="H124" i="65"/>
  <c r="F125" i="65"/>
  <c r="G125" i="65"/>
  <c r="H125" i="65"/>
  <c r="F126" i="65"/>
  <c r="G126" i="65"/>
  <c r="H126" i="65"/>
  <c r="F127" i="65"/>
  <c r="G127" i="65"/>
  <c r="H127" i="65"/>
  <c r="F128" i="65"/>
  <c r="G128" i="65"/>
  <c r="H128" i="65"/>
  <c r="F129" i="65"/>
  <c r="G129" i="65"/>
  <c r="H129" i="65"/>
  <c r="F130" i="65"/>
  <c r="G130" i="65"/>
  <c r="H130" i="65"/>
  <c r="F131" i="65"/>
  <c r="G131" i="65"/>
  <c r="H131" i="65"/>
  <c r="F132" i="65"/>
  <c r="G132" i="65"/>
  <c r="H132" i="65"/>
  <c r="F133" i="65"/>
  <c r="G133" i="65"/>
  <c r="H133" i="65"/>
  <c r="F134" i="65"/>
  <c r="G134" i="65"/>
  <c r="H134" i="65"/>
  <c r="F135" i="65"/>
  <c r="G135" i="65"/>
  <c r="H135" i="65"/>
  <c r="F136" i="65"/>
  <c r="G136" i="65"/>
  <c r="H136" i="65"/>
  <c r="F137" i="65"/>
  <c r="G137" i="65"/>
  <c r="H137" i="65"/>
  <c r="F138" i="65"/>
  <c r="G138" i="65"/>
  <c r="H138" i="65"/>
  <c r="F139" i="65"/>
  <c r="G139" i="65"/>
  <c r="H139" i="65"/>
  <c r="F140" i="65"/>
  <c r="G140" i="65"/>
  <c r="H140" i="65"/>
  <c r="F141" i="65"/>
  <c r="G141" i="65"/>
  <c r="H141" i="65"/>
  <c r="F142" i="65"/>
  <c r="G142" i="65"/>
  <c r="H142" i="65"/>
  <c r="F143" i="65"/>
  <c r="G143" i="65"/>
  <c r="H143" i="65"/>
  <c r="F144" i="65"/>
  <c r="G144" i="65"/>
  <c r="H144" i="65"/>
  <c r="F145" i="65"/>
  <c r="G145" i="65"/>
  <c r="H145" i="65"/>
  <c r="F146" i="65"/>
  <c r="G146" i="65"/>
  <c r="H146" i="65"/>
  <c r="F147" i="65"/>
  <c r="G147" i="65"/>
  <c r="H147" i="65"/>
  <c r="F148" i="65"/>
  <c r="G148" i="65"/>
  <c r="H148" i="65"/>
  <c r="F149" i="65"/>
  <c r="G149" i="65"/>
  <c r="H149" i="65"/>
  <c r="F150" i="65"/>
  <c r="G150" i="65"/>
  <c r="H150" i="65"/>
  <c r="F151" i="65"/>
  <c r="G151" i="65"/>
  <c r="H151" i="65"/>
  <c r="F152" i="65"/>
  <c r="G152" i="65"/>
  <c r="H152" i="65"/>
  <c r="F153" i="65"/>
  <c r="G153" i="65"/>
  <c r="H153" i="65"/>
  <c r="F154" i="65"/>
  <c r="G154" i="65"/>
  <c r="H154" i="65"/>
  <c r="F155" i="65"/>
  <c r="G155" i="65"/>
  <c r="H155" i="65"/>
  <c r="F156" i="65"/>
  <c r="G156" i="65"/>
  <c r="H156" i="65"/>
  <c r="F157" i="65"/>
  <c r="G157" i="65"/>
  <c r="H157" i="65"/>
  <c r="F158" i="65"/>
  <c r="G158" i="65"/>
  <c r="H158" i="65"/>
  <c r="F159" i="65"/>
  <c r="G159" i="65"/>
  <c r="H159" i="65"/>
  <c r="F160" i="65"/>
  <c r="G160" i="65"/>
  <c r="H160" i="65"/>
  <c r="F161" i="65"/>
  <c r="G161" i="65"/>
  <c r="H161" i="65"/>
  <c r="F162" i="65"/>
  <c r="G162" i="65"/>
  <c r="H162" i="65"/>
  <c r="F163" i="65"/>
  <c r="G163" i="65"/>
  <c r="H163" i="65"/>
  <c r="F164" i="65"/>
  <c r="G164" i="65"/>
  <c r="H164" i="65"/>
  <c r="F165" i="65"/>
  <c r="G165" i="65"/>
  <c r="H165" i="65"/>
  <c r="F166" i="65"/>
  <c r="G166" i="65"/>
  <c r="H166" i="65"/>
  <c r="F167" i="65"/>
  <c r="G167" i="65"/>
  <c r="H167" i="65"/>
  <c r="F168" i="65"/>
  <c r="G168" i="65"/>
  <c r="H168" i="65"/>
  <c r="F169" i="65"/>
  <c r="G169" i="65"/>
  <c r="H169" i="65"/>
  <c r="F170" i="65"/>
  <c r="G170" i="65"/>
  <c r="H170" i="65"/>
  <c r="F171" i="65"/>
  <c r="G171" i="65"/>
  <c r="H171" i="65"/>
  <c r="F172" i="65"/>
  <c r="G172" i="65"/>
  <c r="H172" i="65"/>
  <c r="F173" i="65"/>
  <c r="G173" i="65"/>
  <c r="H173" i="65"/>
  <c r="F174" i="65"/>
  <c r="G174" i="65"/>
  <c r="H174" i="65"/>
  <c r="F175" i="65"/>
  <c r="G175" i="65"/>
  <c r="H175" i="65"/>
  <c r="F176" i="65"/>
  <c r="G176" i="65"/>
  <c r="H176" i="65"/>
  <c r="F177" i="65"/>
  <c r="G177" i="65"/>
  <c r="H177" i="65"/>
  <c r="F178" i="65"/>
  <c r="G178" i="65"/>
  <c r="H178" i="65"/>
  <c r="F179" i="65"/>
  <c r="G179" i="65"/>
  <c r="H179" i="65"/>
  <c r="F180" i="65"/>
  <c r="G180" i="65"/>
  <c r="H180" i="65"/>
  <c r="F181" i="65"/>
  <c r="G181" i="65"/>
  <c r="H181" i="65"/>
  <c r="F182" i="65"/>
  <c r="G182" i="65"/>
  <c r="H182" i="65"/>
  <c r="F183" i="65"/>
  <c r="G183" i="65"/>
  <c r="H183" i="65"/>
  <c r="F184" i="65"/>
  <c r="G184" i="65"/>
  <c r="H184" i="65"/>
  <c r="F185" i="65"/>
  <c r="G185" i="65"/>
  <c r="H185" i="65"/>
  <c r="F186" i="65"/>
  <c r="G186" i="65"/>
  <c r="H186" i="65"/>
  <c r="F187" i="65"/>
  <c r="G187" i="65"/>
  <c r="H187" i="65"/>
  <c r="F188" i="65"/>
  <c r="G188" i="65"/>
  <c r="H188" i="65"/>
  <c r="F189" i="65"/>
  <c r="G189" i="65"/>
  <c r="H189" i="65"/>
  <c r="F190" i="65"/>
  <c r="G190" i="65"/>
  <c r="H190" i="65"/>
  <c r="F191" i="65"/>
  <c r="G191" i="65"/>
  <c r="H191" i="65"/>
  <c r="F192" i="65"/>
  <c r="G192" i="65"/>
  <c r="H192" i="65"/>
  <c r="F193" i="65"/>
  <c r="G193" i="65"/>
  <c r="H193" i="65"/>
  <c r="F194" i="65"/>
  <c r="G194" i="65"/>
  <c r="H194" i="65"/>
  <c r="F195" i="65"/>
  <c r="G195" i="65"/>
  <c r="H195" i="65"/>
  <c r="F196" i="65"/>
  <c r="G196" i="65"/>
  <c r="H196" i="65"/>
  <c r="F197" i="65"/>
  <c r="G197" i="65"/>
  <c r="H197" i="65"/>
  <c r="F198" i="65"/>
  <c r="G198" i="65"/>
  <c r="H198" i="65"/>
  <c r="F199" i="65"/>
  <c r="G199" i="65"/>
  <c r="H199" i="65"/>
  <c r="F200" i="65"/>
  <c r="G200" i="65"/>
  <c r="H200" i="65"/>
  <c r="F201" i="65"/>
  <c r="G201" i="65"/>
  <c r="H201" i="65"/>
  <c r="F202" i="65"/>
  <c r="G202" i="65"/>
  <c r="H202" i="65"/>
  <c r="F203" i="65"/>
  <c r="G203" i="65"/>
  <c r="H203" i="65"/>
  <c r="F204" i="65"/>
  <c r="G204" i="65"/>
  <c r="H204" i="65"/>
  <c r="F205" i="65"/>
  <c r="G205" i="65"/>
  <c r="H205" i="65"/>
  <c r="F206" i="65"/>
  <c r="G206" i="65"/>
  <c r="H206" i="65"/>
  <c r="F207" i="65"/>
  <c r="G207" i="65"/>
  <c r="H207" i="65"/>
  <c r="F208" i="65"/>
  <c r="G208" i="65"/>
  <c r="H208" i="65"/>
  <c r="F209" i="65"/>
  <c r="G209" i="65"/>
  <c r="H209" i="65"/>
  <c r="F210" i="65"/>
  <c r="G210" i="65"/>
  <c r="H210" i="65"/>
  <c r="F211" i="65"/>
  <c r="G211" i="65"/>
  <c r="H211" i="65"/>
  <c r="F212" i="65"/>
  <c r="G212" i="65"/>
  <c r="H212" i="65"/>
  <c r="F213" i="65"/>
  <c r="G213" i="65"/>
  <c r="H213" i="65"/>
  <c r="F214" i="65"/>
  <c r="G214" i="65"/>
  <c r="H214" i="65"/>
  <c r="F215" i="65"/>
  <c r="G215" i="65"/>
  <c r="H215" i="65"/>
  <c r="F216" i="65"/>
  <c r="G216" i="65"/>
  <c r="H216" i="65"/>
  <c r="F217" i="65"/>
  <c r="G217" i="65"/>
  <c r="H217" i="65"/>
  <c r="F218" i="65"/>
  <c r="G218" i="65"/>
  <c r="H218" i="65"/>
  <c r="F219" i="65"/>
  <c r="G219" i="65"/>
  <c r="H219" i="65"/>
  <c r="F220" i="65"/>
  <c r="G220" i="65"/>
  <c r="H220" i="65"/>
  <c r="F221" i="65"/>
  <c r="G221" i="65"/>
  <c r="H221" i="65"/>
  <c r="F222" i="65"/>
  <c r="G222" i="65"/>
  <c r="H222" i="65"/>
  <c r="F223" i="65"/>
  <c r="G223" i="65"/>
  <c r="H223" i="65"/>
  <c r="F224" i="65"/>
  <c r="G224" i="65"/>
  <c r="H224" i="65"/>
  <c r="F225" i="65"/>
  <c r="G225" i="65"/>
  <c r="H225" i="65"/>
  <c r="F226" i="65"/>
  <c r="G226" i="65"/>
  <c r="H226" i="65"/>
  <c r="F227" i="65"/>
  <c r="G227" i="65"/>
  <c r="H227" i="65"/>
  <c r="F228" i="65"/>
  <c r="G228" i="65"/>
  <c r="H228" i="65"/>
  <c r="F229" i="65"/>
  <c r="G229" i="65"/>
  <c r="H229" i="65"/>
  <c r="F230" i="65"/>
  <c r="G230" i="65"/>
  <c r="H230" i="65"/>
  <c r="F231" i="65"/>
  <c r="G231" i="65"/>
  <c r="H231" i="65"/>
  <c r="F232" i="65"/>
  <c r="G232" i="65"/>
  <c r="H232" i="65"/>
  <c r="F233" i="65"/>
  <c r="G233" i="65"/>
  <c r="H233" i="65"/>
  <c r="F234" i="65"/>
  <c r="G234" i="65"/>
  <c r="H234" i="65"/>
  <c r="F235" i="65"/>
  <c r="G235" i="65"/>
  <c r="H235" i="65"/>
  <c r="F236" i="65"/>
  <c r="G236" i="65"/>
  <c r="H236" i="65"/>
  <c r="F237" i="65"/>
  <c r="G237" i="65"/>
  <c r="H237" i="65"/>
  <c r="F238" i="65"/>
  <c r="G238" i="65"/>
  <c r="H238" i="65"/>
  <c r="F239" i="65"/>
  <c r="G239" i="65"/>
  <c r="H239" i="65"/>
  <c r="F240" i="65"/>
  <c r="G240" i="65"/>
  <c r="H240" i="65"/>
  <c r="F241" i="65"/>
  <c r="G241" i="65"/>
  <c r="H241" i="65"/>
  <c r="F242" i="65"/>
  <c r="G242" i="65"/>
  <c r="H242" i="65"/>
  <c r="F243" i="65"/>
  <c r="G243" i="65"/>
  <c r="H243" i="65"/>
  <c r="F244" i="65"/>
  <c r="G244" i="65"/>
  <c r="H244" i="65"/>
  <c r="F245" i="65"/>
  <c r="G245" i="65"/>
  <c r="H245" i="65"/>
  <c r="F246" i="65"/>
  <c r="G246" i="65"/>
  <c r="H246" i="65"/>
  <c r="F247" i="65"/>
  <c r="G247" i="65"/>
  <c r="H247" i="65"/>
  <c r="F248" i="65"/>
  <c r="G248" i="65"/>
  <c r="H248" i="65"/>
  <c r="F249" i="65"/>
  <c r="G249" i="65"/>
  <c r="H249" i="65"/>
  <c r="F250" i="65"/>
  <c r="G250" i="65"/>
  <c r="H250" i="65"/>
  <c r="F251" i="65"/>
  <c r="G251" i="65"/>
  <c r="H251" i="65"/>
  <c r="F252" i="65"/>
  <c r="G252" i="65"/>
  <c r="H252" i="65"/>
  <c r="F253" i="65"/>
  <c r="G253" i="65"/>
  <c r="H253" i="65"/>
  <c r="F254" i="65"/>
  <c r="G254" i="65"/>
  <c r="H254" i="65"/>
  <c r="F255" i="65"/>
  <c r="G255" i="65"/>
  <c r="H255" i="65"/>
  <c r="F256" i="65"/>
  <c r="G256" i="65"/>
  <c r="H256" i="65"/>
  <c r="F257" i="65"/>
  <c r="G257" i="65"/>
  <c r="H257" i="65"/>
  <c r="F258" i="65"/>
  <c r="G258" i="65"/>
  <c r="H258" i="65"/>
  <c r="F259" i="65"/>
  <c r="G259" i="65"/>
  <c r="H259" i="65"/>
  <c r="F260" i="65"/>
  <c r="G260" i="65"/>
  <c r="H260" i="65"/>
  <c r="F261" i="65"/>
  <c r="G261" i="65"/>
  <c r="H261" i="65"/>
  <c r="F262" i="65"/>
  <c r="G262" i="65"/>
  <c r="H262" i="65"/>
  <c r="F263" i="65"/>
  <c r="G263" i="65"/>
  <c r="H263" i="65"/>
  <c r="F264" i="65"/>
  <c r="G264" i="65"/>
  <c r="H264" i="65"/>
  <c r="F265" i="65"/>
  <c r="G265" i="65"/>
  <c r="H265" i="65"/>
  <c r="F266" i="65"/>
  <c r="G266" i="65"/>
  <c r="H266" i="65"/>
  <c r="F267" i="65"/>
  <c r="G267" i="65"/>
  <c r="H267" i="65"/>
  <c r="F268" i="65"/>
  <c r="G268" i="65"/>
  <c r="H268" i="65"/>
  <c r="F269" i="65"/>
  <c r="G269" i="65"/>
  <c r="H269" i="65"/>
  <c r="F270" i="65"/>
  <c r="G270" i="65"/>
  <c r="H270" i="65"/>
  <c r="F271" i="65"/>
  <c r="G271" i="65"/>
  <c r="H271" i="65"/>
  <c r="F272" i="65"/>
  <c r="G272" i="65"/>
  <c r="H272" i="65"/>
  <c r="F273" i="65"/>
  <c r="G273" i="65"/>
  <c r="H273" i="65"/>
  <c r="F274" i="65"/>
  <c r="G274" i="65"/>
  <c r="H274" i="65"/>
  <c r="F275" i="65"/>
  <c r="G275" i="65"/>
  <c r="H275" i="65"/>
  <c r="F276" i="65"/>
  <c r="G276" i="65"/>
  <c r="H276" i="65"/>
  <c r="F277" i="65"/>
  <c r="G277" i="65"/>
  <c r="H277" i="65"/>
  <c r="F278" i="65"/>
  <c r="G278" i="65"/>
  <c r="H278" i="65"/>
  <c r="F279" i="65"/>
  <c r="G279" i="65"/>
  <c r="H279" i="65"/>
  <c r="F280" i="65"/>
  <c r="G280" i="65"/>
  <c r="H280" i="65"/>
  <c r="F281" i="65"/>
  <c r="G281" i="65"/>
  <c r="H281" i="65"/>
  <c r="F282" i="65"/>
  <c r="G282" i="65"/>
  <c r="H282" i="65"/>
  <c r="F283" i="65"/>
  <c r="G283" i="65"/>
  <c r="H283" i="65"/>
  <c r="F284" i="65"/>
  <c r="G284" i="65"/>
  <c r="H284" i="65"/>
  <c r="F285" i="65"/>
  <c r="G285" i="65"/>
  <c r="H285" i="65"/>
  <c r="F286" i="65"/>
  <c r="G286" i="65"/>
  <c r="H286" i="65"/>
  <c r="F287" i="65"/>
  <c r="G287" i="65"/>
  <c r="H287" i="65"/>
  <c r="F288" i="65"/>
  <c r="G288" i="65"/>
  <c r="H288" i="65"/>
  <c r="F289" i="65"/>
  <c r="G289" i="65"/>
  <c r="H289" i="65"/>
  <c r="F290" i="65"/>
  <c r="G290" i="65"/>
  <c r="H290" i="65"/>
  <c r="F291" i="65"/>
  <c r="G291" i="65"/>
  <c r="H291" i="65"/>
  <c r="F292" i="65"/>
  <c r="G292" i="65"/>
  <c r="H292" i="65"/>
  <c r="F293" i="65"/>
  <c r="G293" i="65"/>
  <c r="H293" i="65"/>
  <c r="F294" i="65"/>
  <c r="G294" i="65"/>
  <c r="H294" i="65"/>
  <c r="F295" i="65"/>
  <c r="G295" i="65"/>
  <c r="H295" i="65"/>
  <c r="F296" i="65"/>
  <c r="G296" i="65"/>
  <c r="H296" i="65"/>
  <c r="F297" i="65"/>
  <c r="G297" i="65"/>
  <c r="H297" i="65"/>
  <c r="F298" i="65"/>
  <c r="G298" i="65"/>
  <c r="H298" i="65"/>
  <c r="F299" i="65"/>
  <c r="G299" i="65"/>
  <c r="H299" i="65"/>
  <c r="F300" i="65"/>
  <c r="G300" i="65"/>
  <c r="H300" i="65"/>
  <c r="F301" i="65"/>
  <c r="G301" i="65"/>
  <c r="H301" i="65"/>
  <c r="F302" i="65"/>
  <c r="G302" i="65"/>
  <c r="H302" i="65"/>
  <c r="F303" i="65"/>
  <c r="G303" i="65"/>
  <c r="H303" i="65"/>
  <c r="F304" i="65"/>
  <c r="G304" i="65"/>
  <c r="H304" i="65"/>
  <c r="F305" i="65"/>
  <c r="G305" i="65"/>
  <c r="H305" i="65"/>
  <c r="F306" i="65"/>
  <c r="G306" i="65"/>
  <c r="H306" i="65"/>
  <c r="F307" i="65"/>
  <c r="G307" i="65"/>
  <c r="H307" i="65"/>
  <c r="F308" i="65"/>
  <c r="G308" i="65"/>
  <c r="H308" i="65"/>
  <c r="F309" i="65"/>
  <c r="G309" i="65"/>
  <c r="H309" i="65"/>
  <c r="F310" i="65"/>
  <c r="G310" i="65"/>
  <c r="H310" i="65"/>
  <c r="F311" i="65"/>
  <c r="G311" i="65"/>
  <c r="H311" i="65"/>
  <c r="F312" i="65"/>
  <c r="G312" i="65"/>
  <c r="H312" i="65"/>
  <c r="F313" i="65"/>
  <c r="G313" i="65"/>
  <c r="H313" i="65"/>
  <c r="F314" i="65"/>
  <c r="G314" i="65"/>
  <c r="H314" i="65"/>
  <c r="F315" i="65"/>
  <c r="G315" i="65"/>
  <c r="H315" i="65"/>
  <c r="F316" i="65"/>
  <c r="G316" i="65"/>
  <c r="H316" i="65"/>
  <c r="F317" i="65"/>
  <c r="G317" i="65"/>
  <c r="H317" i="65"/>
  <c r="F318" i="65"/>
  <c r="G318" i="65"/>
  <c r="H318" i="65"/>
  <c r="F319" i="65"/>
  <c r="G319" i="65"/>
  <c r="H319" i="65"/>
  <c r="F320" i="65"/>
  <c r="G320" i="65"/>
  <c r="H320" i="65"/>
  <c r="F321" i="65"/>
  <c r="G321" i="65"/>
  <c r="H321" i="65"/>
  <c r="F322" i="65"/>
  <c r="G322" i="65"/>
  <c r="H322" i="65"/>
  <c r="F323" i="65"/>
  <c r="G323" i="65"/>
  <c r="H323" i="65"/>
  <c r="F324" i="65"/>
  <c r="G324" i="65"/>
  <c r="H324" i="65"/>
  <c r="F325" i="65"/>
  <c r="G325" i="65"/>
  <c r="H325" i="65"/>
  <c r="F326" i="65"/>
  <c r="G326" i="65"/>
  <c r="H326" i="65"/>
  <c r="F327" i="65"/>
  <c r="G327" i="65"/>
  <c r="H327" i="65"/>
  <c r="F328" i="65"/>
  <c r="G328" i="65"/>
  <c r="H328" i="65"/>
  <c r="F329" i="65"/>
  <c r="G329" i="65"/>
  <c r="H329" i="65"/>
  <c r="F330" i="65"/>
  <c r="G330" i="65"/>
  <c r="H330" i="65"/>
  <c r="F331" i="65"/>
  <c r="G331" i="65"/>
  <c r="H331" i="65"/>
  <c r="F332" i="65"/>
  <c r="G332" i="65"/>
  <c r="H332" i="65"/>
  <c r="F333" i="65"/>
  <c r="G333" i="65"/>
  <c r="H333" i="65"/>
  <c r="F334" i="65"/>
  <c r="G334" i="65"/>
  <c r="H334" i="65"/>
  <c r="F335" i="65"/>
  <c r="G335" i="65"/>
  <c r="H335" i="65"/>
  <c r="F336" i="65"/>
  <c r="G336" i="65"/>
  <c r="H336" i="65"/>
  <c r="F337" i="65"/>
  <c r="G337" i="65"/>
  <c r="H337" i="65"/>
  <c r="F338" i="65"/>
  <c r="G338" i="65"/>
  <c r="H338" i="65"/>
  <c r="F339" i="65"/>
  <c r="G339" i="65"/>
  <c r="H339" i="65"/>
  <c r="F340" i="65"/>
  <c r="G340" i="65"/>
  <c r="H340" i="65"/>
  <c r="F341" i="65"/>
  <c r="G341" i="65"/>
  <c r="H341" i="65"/>
  <c r="F342" i="65"/>
  <c r="G342" i="65"/>
  <c r="H342" i="65"/>
  <c r="F343" i="65"/>
  <c r="G343" i="65"/>
  <c r="H343" i="65"/>
  <c r="F344" i="65"/>
  <c r="G344" i="65"/>
  <c r="H344" i="65"/>
  <c r="F345" i="65"/>
  <c r="G345" i="65"/>
  <c r="H345" i="65"/>
  <c r="F346" i="65"/>
  <c r="G346" i="65"/>
  <c r="H346" i="65"/>
  <c r="F347" i="65"/>
  <c r="G347" i="65"/>
  <c r="H347" i="65"/>
  <c r="F348" i="65"/>
  <c r="G348" i="65"/>
  <c r="H348" i="65"/>
  <c r="F349" i="65"/>
  <c r="G349" i="65"/>
  <c r="H349" i="65"/>
  <c r="F350" i="65"/>
  <c r="G350" i="65"/>
  <c r="H350" i="65"/>
  <c r="F351" i="65"/>
  <c r="G351" i="65"/>
  <c r="H351" i="65"/>
  <c r="F352" i="65"/>
  <c r="G352" i="65"/>
  <c r="H352" i="65"/>
  <c r="F353" i="65"/>
  <c r="G353" i="65"/>
  <c r="H353" i="65"/>
  <c r="F354" i="65"/>
  <c r="G354" i="65"/>
  <c r="H354" i="65"/>
  <c r="F355" i="65"/>
  <c r="G355" i="65"/>
  <c r="H355" i="65"/>
  <c r="F356" i="65"/>
  <c r="G356" i="65"/>
  <c r="H356" i="65"/>
  <c r="F357" i="65"/>
  <c r="G357" i="65"/>
  <c r="H357" i="65"/>
  <c r="F358" i="65"/>
  <c r="G358" i="65"/>
  <c r="H358" i="65"/>
  <c r="F359" i="65"/>
  <c r="G359" i="65"/>
  <c r="H359" i="65"/>
  <c r="F360" i="65"/>
  <c r="G360" i="65"/>
  <c r="H360" i="65"/>
  <c r="F361" i="65"/>
  <c r="G361" i="65"/>
  <c r="H361" i="65"/>
  <c r="F362" i="65"/>
  <c r="G362" i="65"/>
  <c r="H362" i="65"/>
  <c r="F363" i="65"/>
  <c r="G363" i="65"/>
  <c r="H363" i="65"/>
  <c r="F364" i="65"/>
  <c r="G364" i="65"/>
  <c r="H364" i="65"/>
  <c r="F365" i="65"/>
  <c r="G365" i="65"/>
  <c r="H365" i="65"/>
  <c r="F366" i="65"/>
  <c r="G366" i="65"/>
  <c r="H366" i="65"/>
  <c r="F367" i="65"/>
  <c r="G367" i="65"/>
  <c r="H367" i="65"/>
  <c r="F368" i="65"/>
  <c r="G368" i="65"/>
  <c r="H368" i="65"/>
  <c r="F369" i="65"/>
  <c r="G369" i="65"/>
  <c r="H369" i="65"/>
  <c r="F370" i="65"/>
  <c r="G370" i="65"/>
  <c r="H370" i="65"/>
  <c r="F371" i="65"/>
  <c r="G371" i="65"/>
  <c r="H371" i="65"/>
  <c r="F372" i="65"/>
  <c r="G372" i="65"/>
  <c r="H372" i="65"/>
  <c r="F373" i="65"/>
  <c r="G373" i="65"/>
  <c r="H373" i="65"/>
  <c r="F374" i="65"/>
  <c r="G374" i="65"/>
  <c r="H374" i="65"/>
  <c r="F375" i="65"/>
  <c r="G375" i="65"/>
  <c r="H375" i="65"/>
  <c r="F376" i="65"/>
  <c r="G376" i="65"/>
  <c r="H376" i="65"/>
  <c r="F377" i="65"/>
  <c r="G377" i="65"/>
  <c r="H377" i="65"/>
  <c r="F378" i="65"/>
  <c r="G378" i="65"/>
  <c r="H378" i="65"/>
  <c r="F379" i="65"/>
  <c r="G379" i="65"/>
  <c r="H379" i="65"/>
  <c r="F380" i="65"/>
  <c r="G380" i="65"/>
  <c r="H380" i="65"/>
  <c r="F381" i="65"/>
  <c r="G381" i="65"/>
  <c r="H381" i="65"/>
  <c r="F382" i="65"/>
  <c r="G382" i="65"/>
  <c r="H382" i="65"/>
  <c r="F383" i="65"/>
  <c r="G383" i="65"/>
  <c r="H383" i="65"/>
  <c r="F384" i="65"/>
  <c r="G384" i="65"/>
  <c r="H384" i="65"/>
  <c r="F385" i="65"/>
  <c r="G385" i="65"/>
  <c r="H385" i="65"/>
  <c r="F386" i="65"/>
  <c r="G386" i="65"/>
  <c r="H386" i="65"/>
  <c r="F387" i="65"/>
  <c r="G387" i="65"/>
  <c r="H387" i="65"/>
  <c r="F388" i="65"/>
  <c r="G388" i="65"/>
  <c r="H388" i="65"/>
  <c r="F389" i="65"/>
  <c r="G389" i="65"/>
  <c r="H389" i="65"/>
  <c r="F390" i="65"/>
  <c r="G390" i="65"/>
  <c r="H390" i="65"/>
  <c r="F391" i="65"/>
  <c r="G391" i="65"/>
  <c r="H391" i="65"/>
  <c r="F392" i="65"/>
  <c r="G392" i="65"/>
  <c r="H392" i="65"/>
  <c r="F393" i="65"/>
  <c r="G393" i="65"/>
  <c r="H393" i="65"/>
  <c r="F394" i="65"/>
  <c r="G394" i="65"/>
  <c r="H394" i="65"/>
  <c r="F395" i="65"/>
  <c r="G395" i="65"/>
  <c r="H395" i="65"/>
  <c r="F396" i="65"/>
  <c r="G396" i="65"/>
  <c r="H396" i="65"/>
  <c r="F397" i="65"/>
  <c r="G397" i="65"/>
  <c r="H397" i="65"/>
  <c r="F398" i="65"/>
  <c r="G398" i="65"/>
  <c r="H398" i="65"/>
  <c r="F399" i="65"/>
  <c r="G399" i="65"/>
  <c r="H399" i="65"/>
  <c r="F400" i="65"/>
  <c r="G400" i="65"/>
  <c r="H400" i="65"/>
  <c r="F401" i="65"/>
  <c r="G401" i="65"/>
  <c r="H401" i="65"/>
  <c r="F402" i="65"/>
  <c r="G402" i="65"/>
  <c r="H402" i="65"/>
  <c r="F403" i="65"/>
  <c r="G403" i="65"/>
  <c r="H403" i="65"/>
  <c r="F404" i="65"/>
  <c r="G404" i="65"/>
  <c r="H404" i="65"/>
  <c r="F405" i="65"/>
  <c r="G405" i="65"/>
  <c r="H405" i="65"/>
  <c r="F406" i="65"/>
  <c r="G406" i="65"/>
  <c r="H406" i="65"/>
  <c r="F407" i="65"/>
  <c r="G407" i="65"/>
  <c r="H407" i="65"/>
  <c r="F408" i="65"/>
  <c r="G408" i="65"/>
  <c r="H408" i="65"/>
  <c r="F409" i="65"/>
  <c r="G409" i="65"/>
  <c r="H409" i="65"/>
  <c r="F410" i="65"/>
  <c r="G410" i="65"/>
  <c r="H410" i="65"/>
  <c r="F411" i="65"/>
  <c r="G411" i="65"/>
  <c r="H411" i="65"/>
  <c r="F412" i="65"/>
  <c r="G412" i="65"/>
  <c r="H412" i="65"/>
  <c r="F413" i="65"/>
  <c r="G413" i="65"/>
  <c r="H413" i="65"/>
  <c r="F414" i="65"/>
  <c r="G414" i="65"/>
  <c r="H414" i="65"/>
  <c r="F415" i="65"/>
  <c r="G415" i="65"/>
  <c r="H415" i="65"/>
  <c r="F416" i="65"/>
  <c r="G416" i="65"/>
  <c r="H416" i="65"/>
  <c r="F417" i="65"/>
  <c r="G417" i="65"/>
  <c r="H417" i="65"/>
  <c r="F418" i="65"/>
  <c r="G418" i="65"/>
  <c r="H418" i="65"/>
  <c r="F419" i="65"/>
  <c r="G419" i="65"/>
  <c r="H419" i="65"/>
  <c r="F420" i="65"/>
  <c r="G420" i="65"/>
  <c r="H420" i="65"/>
  <c r="F421" i="65"/>
  <c r="G421" i="65"/>
  <c r="H421" i="65"/>
  <c r="F422" i="65"/>
  <c r="G422" i="65"/>
  <c r="H422" i="65"/>
  <c r="F423" i="65"/>
  <c r="G423" i="65"/>
  <c r="H423" i="65"/>
  <c r="F424" i="65"/>
  <c r="G424" i="65"/>
  <c r="H424" i="65"/>
  <c r="F425" i="65"/>
  <c r="G425" i="65"/>
  <c r="H425" i="65"/>
  <c r="F426" i="65"/>
  <c r="G426" i="65"/>
  <c r="H426" i="65"/>
  <c r="F427" i="65"/>
  <c r="G427" i="65"/>
  <c r="H427" i="65"/>
  <c r="F428" i="65"/>
  <c r="G428" i="65"/>
  <c r="H428" i="65"/>
  <c r="F429" i="65"/>
  <c r="G429" i="65"/>
  <c r="H429" i="65"/>
  <c r="F430" i="65"/>
  <c r="G430" i="65"/>
  <c r="H430" i="65"/>
  <c r="F431" i="65"/>
  <c r="G431" i="65"/>
  <c r="H431" i="65"/>
  <c r="F432" i="65"/>
  <c r="G432" i="65"/>
  <c r="H432" i="65"/>
  <c r="F433" i="65"/>
  <c r="G433" i="65"/>
  <c r="H433" i="65"/>
  <c r="F434" i="65"/>
  <c r="G434" i="65"/>
  <c r="H434" i="65"/>
  <c r="F435" i="65"/>
  <c r="G435" i="65"/>
  <c r="H435" i="65"/>
  <c r="F436" i="65"/>
  <c r="G436" i="65"/>
  <c r="H436" i="65"/>
  <c r="F437" i="65"/>
  <c r="G437" i="65"/>
  <c r="H437" i="65"/>
  <c r="F438" i="65"/>
  <c r="G438" i="65"/>
  <c r="H438" i="65"/>
  <c r="F439" i="65"/>
  <c r="G439" i="65"/>
  <c r="H439" i="65"/>
  <c r="F440" i="65"/>
  <c r="G440" i="65"/>
  <c r="H440" i="65"/>
  <c r="F441" i="65"/>
  <c r="G441" i="65"/>
  <c r="H441" i="65"/>
  <c r="F442" i="65"/>
  <c r="G442" i="65"/>
  <c r="H442" i="65"/>
  <c r="F443" i="65"/>
  <c r="G443" i="65"/>
  <c r="H443" i="65"/>
  <c r="F444" i="65"/>
  <c r="G444" i="65"/>
  <c r="H444" i="65"/>
  <c r="F445" i="65"/>
  <c r="G445" i="65"/>
  <c r="H445" i="65"/>
  <c r="F446" i="65"/>
  <c r="G446" i="65"/>
  <c r="H446" i="65"/>
  <c r="F447" i="65"/>
  <c r="G447" i="65"/>
  <c r="H447" i="65"/>
  <c r="F448" i="65"/>
  <c r="G448" i="65"/>
  <c r="H448" i="65"/>
  <c r="F449" i="65"/>
  <c r="G449" i="65"/>
  <c r="H449" i="65"/>
  <c r="F450" i="65"/>
  <c r="G450" i="65"/>
  <c r="H450" i="65"/>
  <c r="F451" i="65"/>
  <c r="G451" i="65"/>
  <c r="H451" i="65"/>
  <c r="F452" i="65"/>
  <c r="G452" i="65"/>
  <c r="H452" i="65"/>
  <c r="F453" i="65"/>
  <c r="G453" i="65"/>
  <c r="H453" i="65"/>
  <c r="F454" i="65"/>
  <c r="G454" i="65"/>
  <c r="H454" i="65"/>
  <c r="F455" i="65"/>
  <c r="G455" i="65"/>
  <c r="H455" i="65"/>
  <c r="F456" i="65"/>
  <c r="G456" i="65"/>
  <c r="H456" i="65"/>
  <c r="F457" i="65"/>
  <c r="G457" i="65"/>
  <c r="H457" i="65"/>
  <c r="F458" i="65"/>
  <c r="G458" i="65"/>
  <c r="H458" i="65"/>
  <c r="F459" i="65"/>
  <c r="G459" i="65"/>
  <c r="H459" i="65"/>
  <c r="F460" i="65"/>
  <c r="G460" i="65"/>
  <c r="H460" i="65"/>
  <c r="F461" i="65"/>
  <c r="G461" i="65"/>
  <c r="H461" i="65"/>
  <c r="F462" i="65"/>
  <c r="G462" i="65"/>
  <c r="H462" i="65"/>
  <c r="F463" i="65"/>
  <c r="G463" i="65"/>
  <c r="H463" i="65"/>
  <c r="F464" i="65"/>
  <c r="G464" i="65"/>
  <c r="H464" i="65"/>
  <c r="F465" i="65"/>
  <c r="G465" i="65"/>
  <c r="H465" i="65"/>
  <c r="F466" i="65"/>
  <c r="G466" i="65"/>
  <c r="H466" i="65"/>
  <c r="F467" i="65"/>
  <c r="G467" i="65"/>
  <c r="H467" i="65"/>
  <c r="F468" i="65"/>
  <c r="G468" i="65"/>
  <c r="H468" i="65"/>
  <c r="F469" i="65"/>
  <c r="G469" i="65"/>
  <c r="H469" i="65"/>
  <c r="F470" i="65"/>
  <c r="G470" i="65"/>
  <c r="H470" i="65"/>
  <c r="F471" i="65"/>
  <c r="G471" i="65"/>
  <c r="H471" i="65"/>
  <c r="F472" i="65"/>
  <c r="G472" i="65"/>
  <c r="H472" i="65"/>
  <c r="F473" i="65"/>
  <c r="G473" i="65"/>
  <c r="H473" i="65"/>
  <c r="F474" i="65"/>
  <c r="G474" i="65"/>
  <c r="H474" i="65"/>
  <c r="F475" i="65"/>
  <c r="G475" i="65"/>
  <c r="H475" i="65"/>
  <c r="F476" i="65"/>
  <c r="G476" i="65"/>
  <c r="H476" i="65"/>
  <c r="F477" i="65"/>
  <c r="G477" i="65"/>
  <c r="H477" i="65"/>
  <c r="F478" i="65"/>
  <c r="G478" i="65"/>
  <c r="H478" i="65"/>
  <c r="F479" i="65"/>
  <c r="G479" i="65"/>
  <c r="H479" i="65"/>
  <c r="F480" i="65"/>
  <c r="G480" i="65"/>
  <c r="H480" i="65"/>
  <c r="F481" i="65"/>
  <c r="G481" i="65"/>
  <c r="H481" i="65"/>
  <c r="F482" i="65"/>
  <c r="G482" i="65"/>
  <c r="H482" i="65"/>
  <c r="F483" i="65"/>
  <c r="G483" i="65"/>
  <c r="H483" i="65"/>
  <c r="F484" i="65"/>
  <c r="G484" i="65"/>
  <c r="H484" i="65"/>
  <c r="F485" i="65"/>
  <c r="G485" i="65"/>
  <c r="H485" i="65"/>
  <c r="F486" i="65"/>
  <c r="G486" i="65"/>
  <c r="H486" i="65"/>
  <c r="F487" i="65"/>
  <c r="G487" i="65"/>
  <c r="H487" i="65"/>
  <c r="F488" i="65"/>
  <c r="G488" i="65"/>
  <c r="H488" i="65"/>
  <c r="F489" i="65"/>
  <c r="G489" i="65"/>
  <c r="H489" i="65"/>
  <c r="F490" i="65"/>
  <c r="G490" i="65"/>
  <c r="H490" i="65"/>
  <c r="F491" i="65"/>
  <c r="G491" i="65"/>
  <c r="H491" i="65"/>
  <c r="F492" i="65"/>
  <c r="G492" i="65"/>
  <c r="H492" i="65"/>
  <c r="F493" i="65"/>
  <c r="G493" i="65"/>
  <c r="H493" i="65"/>
  <c r="F494" i="65"/>
  <c r="G494" i="65"/>
  <c r="H494" i="65"/>
  <c r="F495" i="65"/>
  <c r="G495" i="65"/>
  <c r="H495" i="65"/>
  <c r="F496" i="65"/>
  <c r="G496" i="65"/>
  <c r="H496" i="65"/>
  <c r="F497" i="65"/>
  <c r="G497" i="65"/>
  <c r="H497" i="65"/>
  <c r="F498" i="65"/>
  <c r="G498" i="65"/>
  <c r="H498" i="65"/>
  <c r="F499" i="65"/>
  <c r="G499" i="65"/>
  <c r="H499" i="65"/>
  <c r="F500" i="65"/>
  <c r="G500" i="65"/>
  <c r="H500" i="65"/>
  <c r="F501" i="65"/>
  <c r="G501" i="65"/>
  <c r="H501" i="65"/>
  <c r="F502" i="65"/>
  <c r="G502" i="65"/>
  <c r="H502" i="65"/>
  <c r="F503" i="65"/>
  <c r="G503" i="65"/>
  <c r="H503" i="65"/>
  <c r="F504" i="65"/>
  <c r="G504" i="65"/>
  <c r="H504" i="65"/>
  <c r="F505" i="65"/>
  <c r="G505" i="65"/>
  <c r="H505" i="65"/>
  <c r="F506" i="65"/>
  <c r="G506" i="65"/>
  <c r="H506" i="65"/>
  <c r="F507" i="65"/>
  <c r="G507" i="65"/>
  <c r="H507" i="65"/>
  <c r="F508" i="65"/>
  <c r="G508" i="65"/>
  <c r="H508" i="65"/>
  <c r="F509" i="65"/>
  <c r="G509" i="65"/>
  <c r="H509" i="65"/>
  <c r="F510" i="65"/>
  <c r="G510" i="65"/>
  <c r="H510" i="65"/>
  <c r="F511" i="65"/>
  <c r="G511" i="65"/>
  <c r="H511" i="65"/>
  <c r="F512" i="65"/>
  <c r="G512" i="65"/>
  <c r="H512" i="65"/>
  <c r="F513" i="65"/>
  <c r="G513" i="65"/>
  <c r="H513" i="65"/>
  <c r="F514" i="65"/>
  <c r="G514" i="65"/>
  <c r="H514" i="65"/>
  <c r="F515" i="65"/>
  <c r="G515" i="65"/>
  <c r="H515" i="65"/>
  <c r="F516" i="65"/>
  <c r="G516" i="65"/>
  <c r="H516" i="65"/>
  <c r="F517" i="65"/>
  <c r="G517" i="65"/>
  <c r="H517" i="65"/>
  <c r="F518" i="65"/>
  <c r="G518" i="65"/>
  <c r="H518" i="65"/>
  <c r="F519" i="65"/>
  <c r="G519" i="65"/>
  <c r="H519" i="65"/>
  <c r="F520" i="65"/>
  <c r="G520" i="65"/>
  <c r="H520" i="65"/>
  <c r="F521" i="65"/>
  <c r="G521" i="65"/>
  <c r="H521" i="65"/>
  <c r="F522" i="65"/>
  <c r="G522" i="65"/>
  <c r="H522" i="65"/>
  <c r="F523" i="65"/>
  <c r="G523" i="65"/>
  <c r="H523" i="65"/>
  <c r="F524" i="65"/>
  <c r="G524" i="65"/>
  <c r="H524" i="65"/>
  <c r="F525" i="65"/>
  <c r="G525" i="65"/>
  <c r="H525" i="65"/>
  <c r="F526" i="65"/>
  <c r="G526" i="65"/>
  <c r="H526" i="65"/>
  <c r="F527" i="65"/>
  <c r="G527" i="65"/>
  <c r="H527" i="65"/>
  <c r="F528" i="65"/>
  <c r="G528" i="65"/>
  <c r="H528" i="65"/>
  <c r="F529" i="65"/>
  <c r="G529" i="65"/>
  <c r="H529" i="65"/>
  <c r="F530" i="65"/>
  <c r="G530" i="65"/>
  <c r="H530" i="65"/>
  <c r="F531" i="65"/>
  <c r="G531" i="65"/>
  <c r="H531" i="65"/>
  <c r="F532" i="65"/>
  <c r="G532" i="65"/>
  <c r="H532" i="65"/>
  <c r="F533" i="65"/>
  <c r="G533" i="65"/>
  <c r="H533" i="65"/>
  <c r="F534" i="65"/>
  <c r="G534" i="65"/>
  <c r="H534" i="65"/>
  <c r="F535" i="65"/>
  <c r="G535" i="65"/>
  <c r="H535" i="65"/>
  <c r="F536" i="65"/>
  <c r="G536" i="65"/>
  <c r="H536" i="65"/>
  <c r="F537" i="65"/>
  <c r="G537" i="65"/>
  <c r="H537" i="65"/>
  <c r="F538" i="65"/>
  <c r="G538" i="65"/>
  <c r="H538" i="65"/>
  <c r="F539" i="65"/>
  <c r="G539" i="65"/>
  <c r="H539" i="65"/>
  <c r="F540" i="65"/>
  <c r="G540" i="65"/>
  <c r="H540" i="65"/>
  <c r="F541" i="65"/>
  <c r="G541" i="65"/>
  <c r="H541" i="65"/>
  <c r="F542" i="65"/>
  <c r="G542" i="65"/>
  <c r="H542" i="65"/>
  <c r="F543" i="65"/>
  <c r="G543" i="65"/>
  <c r="H543" i="65"/>
  <c r="F544" i="65"/>
  <c r="G544" i="65"/>
  <c r="H544" i="65"/>
  <c r="F545" i="65"/>
  <c r="G545" i="65"/>
  <c r="H545" i="65"/>
  <c r="F546" i="65"/>
  <c r="G546" i="65"/>
  <c r="H546" i="65"/>
  <c r="F547" i="65"/>
  <c r="G547" i="65"/>
  <c r="H547" i="65"/>
  <c r="F548" i="65"/>
  <c r="G548" i="65"/>
  <c r="H548" i="65"/>
  <c r="F549" i="65"/>
  <c r="G549" i="65"/>
  <c r="H549" i="65"/>
  <c r="F550" i="65"/>
  <c r="G550" i="65"/>
  <c r="H550" i="65"/>
  <c r="F551" i="65"/>
  <c r="G551" i="65"/>
  <c r="H551" i="65"/>
  <c r="F552" i="65"/>
  <c r="G552" i="65"/>
  <c r="H552" i="65"/>
  <c r="F553" i="65"/>
  <c r="G553" i="65"/>
  <c r="H553" i="65"/>
  <c r="F554" i="65"/>
  <c r="G554" i="65"/>
  <c r="H554" i="65"/>
  <c r="F555" i="65"/>
  <c r="G555" i="65"/>
  <c r="H555" i="65"/>
  <c r="F556" i="65"/>
  <c r="G556" i="65"/>
  <c r="H556" i="65"/>
  <c r="F557" i="65"/>
  <c r="G557" i="65"/>
  <c r="H557" i="65"/>
  <c r="F558" i="65"/>
  <c r="G558" i="65"/>
  <c r="H558" i="65"/>
  <c r="F559" i="65"/>
  <c r="G559" i="65"/>
  <c r="H559" i="65"/>
  <c r="F560" i="65"/>
  <c r="G560" i="65"/>
  <c r="H560" i="65"/>
  <c r="F561" i="65"/>
  <c r="G561" i="65"/>
  <c r="H561" i="65"/>
  <c r="F562" i="65"/>
  <c r="G562" i="65"/>
  <c r="H562" i="65"/>
  <c r="F563" i="65"/>
  <c r="G563" i="65"/>
  <c r="H563" i="65"/>
  <c r="F564" i="65"/>
  <c r="G564" i="65"/>
  <c r="H564" i="65"/>
  <c r="F565" i="65"/>
  <c r="G565" i="65"/>
  <c r="H565" i="65"/>
  <c r="F566" i="65"/>
  <c r="G566" i="65"/>
  <c r="H566" i="65"/>
  <c r="F567" i="65"/>
  <c r="G567" i="65"/>
  <c r="H567" i="65"/>
  <c r="F568" i="65"/>
  <c r="G568" i="65"/>
  <c r="H568" i="65"/>
  <c r="F569" i="65"/>
  <c r="G569" i="65"/>
  <c r="H569" i="65"/>
  <c r="F570" i="65"/>
  <c r="G570" i="65"/>
  <c r="H570" i="65"/>
  <c r="F571" i="65"/>
  <c r="G571" i="65"/>
  <c r="H571" i="65"/>
  <c r="F572" i="65"/>
  <c r="G572" i="65"/>
  <c r="H572" i="65"/>
  <c r="F573" i="65"/>
  <c r="G573" i="65"/>
  <c r="H573" i="65"/>
  <c r="F574" i="65"/>
  <c r="G574" i="65"/>
  <c r="H574" i="65"/>
  <c r="F575" i="65"/>
  <c r="G575" i="65"/>
  <c r="H575" i="65"/>
  <c r="F576" i="65"/>
  <c r="G576" i="65"/>
  <c r="H576" i="65"/>
  <c r="F577" i="65"/>
  <c r="G577" i="65"/>
  <c r="H577" i="65"/>
  <c r="F578" i="65"/>
  <c r="G578" i="65"/>
  <c r="H578" i="65"/>
  <c r="F579" i="65"/>
  <c r="G579" i="65"/>
  <c r="H579" i="65"/>
  <c r="F580" i="65"/>
  <c r="G580" i="65"/>
  <c r="H580" i="65"/>
  <c r="F581" i="65"/>
  <c r="G581" i="65"/>
  <c r="H581" i="65"/>
  <c r="F582" i="65"/>
  <c r="G582" i="65"/>
  <c r="H582" i="65"/>
  <c r="F583" i="65"/>
  <c r="G583" i="65"/>
  <c r="H583" i="65"/>
  <c r="F584" i="65"/>
  <c r="G584" i="65"/>
  <c r="H584" i="65"/>
  <c r="F585" i="65"/>
  <c r="G585" i="65"/>
  <c r="H585" i="65"/>
  <c r="F586" i="65"/>
  <c r="G586" i="65"/>
  <c r="H586" i="65"/>
  <c r="F587" i="65"/>
  <c r="G587" i="65"/>
  <c r="H587" i="65"/>
  <c r="F588" i="65"/>
  <c r="G588" i="65"/>
  <c r="H588" i="65"/>
  <c r="F589" i="65"/>
  <c r="G589" i="65"/>
  <c r="H589" i="65"/>
  <c r="F590" i="65"/>
  <c r="G590" i="65"/>
  <c r="H590" i="65"/>
  <c r="F591" i="65"/>
  <c r="G591" i="65"/>
  <c r="H591" i="65"/>
  <c r="F592" i="65"/>
  <c r="G592" i="65"/>
  <c r="H592" i="65"/>
  <c r="F593" i="65"/>
  <c r="G593" i="65"/>
  <c r="H593" i="65"/>
  <c r="F594" i="65"/>
  <c r="G594" i="65"/>
  <c r="H594" i="65"/>
  <c r="F595" i="65"/>
  <c r="G595" i="65"/>
  <c r="H595" i="65"/>
  <c r="F596" i="65"/>
  <c r="G596" i="65"/>
  <c r="H596" i="65"/>
  <c r="F597" i="65"/>
  <c r="G597" i="65"/>
  <c r="H597" i="65"/>
  <c r="F598" i="65"/>
  <c r="G598" i="65"/>
  <c r="H598" i="65"/>
  <c r="F599" i="65"/>
  <c r="G599" i="65"/>
  <c r="H599" i="65"/>
  <c r="F600" i="65"/>
  <c r="G600" i="65"/>
  <c r="H600" i="65"/>
  <c r="F601" i="65"/>
  <c r="G601" i="65"/>
  <c r="H601" i="65"/>
  <c r="F602" i="65"/>
  <c r="G602" i="65"/>
  <c r="H602" i="65"/>
  <c r="F603" i="65"/>
  <c r="G603" i="65"/>
  <c r="H603" i="65"/>
  <c r="F604" i="65"/>
  <c r="G604" i="65"/>
  <c r="H604" i="65"/>
  <c r="F605" i="65"/>
  <c r="G605" i="65"/>
  <c r="H605" i="65"/>
  <c r="F606" i="65"/>
  <c r="G606" i="65"/>
  <c r="H606" i="65"/>
  <c r="F607" i="65"/>
  <c r="G607" i="65"/>
  <c r="H607" i="65"/>
  <c r="F608" i="65"/>
  <c r="G608" i="65"/>
  <c r="H608" i="65"/>
  <c r="F609" i="65"/>
  <c r="G609" i="65"/>
  <c r="H609" i="65"/>
  <c r="F610" i="65"/>
  <c r="G610" i="65"/>
  <c r="H610" i="65"/>
  <c r="F611" i="65"/>
  <c r="G611" i="65"/>
  <c r="H611" i="65"/>
  <c r="F612" i="65"/>
  <c r="G612" i="65"/>
  <c r="H612" i="65"/>
  <c r="F613" i="65"/>
  <c r="G613" i="65"/>
  <c r="H613" i="65"/>
  <c r="F614" i="65"/>
  <c r="G614" i="65"/>
  <c r="H614" i="65"/>
  <c r="F615" i="65"/>
  <c r="G615" i="65"/>
  <c r="H615" i="65"/>
  <c r="F616" i="65"/>
  <c r="G616" i="65"/>
  <c r="H616" i="65"/>
  <c r="F617" i="65"/>
  <c r="G617" i="65"/>
  <c r="H617" i="65"/>
  <c r="F618" i="65"/>
  <c r="G618" i="65"/>
  <c r="H618" i="65"/>
  <c r="F619" i="65"/>
  <c r="G619" i="65"/>
  <c r="H619" i="65"/>
  <c r="F620" i="65"/>
  <c r="G620" i="65"/>
  <c r="H620" i="65"/>
  <c r="F621" i="65"/>
  <c r="G621" i="65"/>
  <c r="H621" i="65"/>
  <c r="F622" i="65"/>
  <c r="G622" i="65"/>
  <c r="H622" i="65"/>
  <c r="F623" i="65"/>
  <c r="G623" i="65"/>
  <c r="H623" i="65"/>
  <c r="F624" i="65"/>
  <c r="G624" i="65"/>
  <c r="H624" i="65"/>
  <c r="F625" i="65"/>
  <c r="G625" i="65"/>
  <c r="H625" i="65"/>
  <c r="F626" i="65"/>
  <c r="G626" i="65"/>
  <c r="H626" i="65"/>
  <c r="F627" i="65"/>
  <c r="G627" i="65"/>
  <c r="H627" i="65"/>
  <c r="F628" i="65"/>
  <c r="G628" i="65"/>
  <c r="H628" i="65"/>
  <c r="F629" i="65"/>
  <c r="G629" i="65"/>
  <c r="H629" i="65"/>
  <c r="F630" i="65"/>
  <c r="G630" i="65"/>
  <c r="H630" i="65"/>
  <c r="F631" i="65"/>
  <c r="G631" i="65"/>
  <c r="H631" i="65"/>
  <c r="F632" i="65"/>
  <c r="G632" i="65"/>
  <c r="H632" i="65"/>
  <c r="F633" i="65"/>
  <c r="G633" i="65"/>
  <c r="H633" i="65"/>
  <c r="F634" i="65"/>
  <c r="G634" i="65"/>
  <c r="H634" i="65"/>
  <c r="F635" i="65"/>
  <c r="G635" i="65"/>
  <c r="H635" i="65"/>
  <c r="F636" i="65"/>
  <c r="G636" i="65"/>
  <c r="H636" i="65"/>
  <c r="F637" i="65"/>
  <c r="G637" i="65"/>
  <c r="H637" i="65"/>
  <c r="F638" i="65"/>
  <c r="G638" i="65"/>
  <c r="H638" i="65"/>
  <c r="F639" i="65"/>
  <c r="G639" i="65"/>
  <c r="H639" i="65"/>
  <c r="F640" i="65"/>
  <c r="G640" i="65"/>
  <c r="H640" i="65"/>
  <c r="F641" i="65"/>
  <c r="G641" i="65"/>
  <c r="H641" i="65"/>
  <c r="F642" i="65"/>
  <c r="G642" i="65"/>
  <c r="H642" i="65"/>
  <c r="F643" i="65"/>
  <c r="G643" i="65"/>
  <c r="H643" i="65"/>
  <c r="F644" i="65"/>
  <c r="G644" i="65"/>
  <c r="H644" i="65"/>
  <c r="F645" i="65"/>
  <c r="G645" i="65"/>
  <c r="H645" i="65"/>
  <c r="F646" i="65"/>
  <c r="G646" i="65"/>
  <c r="H646" i="65"/>
  <c r="F647" i="65"/>
  <c r="G647" i="65"/>
  <c r="H647" i="65"/>
  <c r="F648" i="65"/>
  <c r="G648" i="65"/>
  <c r="H648" i="65"/>
  <c r="F649" i="65"/>
  <c r="G649" i="65"/>
  <c r="H649" i="65"/>
  <c r="F650" i="65"/>
  <c r="G650" i="65"/>
  <c r="H650" i="65"/>
  <c r="F651" i="65"/>
  <c r="G651" i="65"/>
  <c r="H651" i="65"/>
  <c r="F652" i="65"/>
  <c r="G652" i="65"/>
  <c r="H652" i="65"/>
  <c r="F653" i="65"/>
  <c r="G653" i="65"/>
  <c r="H653" i="65"/>
  <c r="F654" i="65"/>
  <c r="G654" i="65"/>
  <c r="H654" i="65"/>
  <c r="F655" i="65"/>
  <c r="G655" i="65"/>
  <c r="H655" i="65"/>
  <c r="F656" i="65"/>
  <c r="G656" i="65"/>
  <c r="H656" i="65"/>
  <c r="F657" i="65"/>
  <c r="G657" i="65"/>
  <c r="H657" i="65"/>
  <c r="F658" i="65"/>
  <c r="G658" i="65"/>
  <c r="H658" i="65"/>
  <c r="F659" i="65"/>
  <c r="G659" i="65"/>
  <c r="H659" i="65"/>
  <c r="F660" i="65"/>
  <c r="G660" i="65"/>
  <c r="H660" i="65"/>
  <c r="F661" i="65"/>
  <c r="G661" i="65"/>
  <c r="H661" i="65"/>
  <c r="F662" i="65"/>
  <c r="G662" i="65"/>
  <c r="H662" i="65"/>
  <c r="F663" i="65"/>
  <c r="G663" i="65"/>
  <c r="H663" i="65"/>
  <c r="F664" i="65"/>
  <c r="G664" i="65"/>
  <c r="H664" i="65"/>
  <c r="F665" i="65"/>
  <c r="G665" i="65"/>
  <c r="H665" i="65"/>
  <c r="F666" i="65"/>
  <c r="G666" i="65"/>
  <c r="H666" i="65"/>
  <c r="F667" i="65"/>
  <c r="G667" i="65"/>
  <c r="H667" i="65"/>
  <c r="F668" i="65"/>
  <c r="G668" i="65"/>
  <c r="H668" i="65"/>
  <c r="F669" i="65"/>
  <c r="G669" i="65"/>
  <c r="H669" i="65"/>
  <c r="F670" i="65"/>
  <c r="G670" i="65"/>
  <c r="H670" i="65"/>
  <c r="F671" i="65"/>
  <c r="G671" i="65"/>
  <c r="H671" i="65"/>
  <c r="F672" i="65"/>
  <c r="G672" i="65"/>
  <c r="H672" i="65"/>
  <c r="F673" i="65"/>
  <c r="G673" i="65"/>
  <c r="H673" i="65"/>
  <c r="F674" i="65"/>
  <c r="G674" i="65"/>
  <c r="H674" i="65"/>
  <c r="F675" i="65"/>
  <c r="G675" i="65"/>
  <c r="H675" i="65"/>
  <c r="F676" i="65"/>
  <c r="G676" i="65"/>
  <c r="H676" i="65"/>
  <c r="F677" i="65"/>
  <c r="G677" i="65"/>
  <c r="H677" i="65"/>
  <c r="F678" i="65"/>
  <c r="G678" i="65"/>
  <c r="H678" i="65"/>
  <c r="F679" i="65"/>
  <c r="G679" i="65"/>
  <c r="H679" i="65"/>
  <c r="F680" i="65"/>
  <c r="G680" i="65"/>
  <c r="H680" i="65"/>
  <c r="F681" i="65"/>
  <c r="G681" i="65"/>
  <c r="H681" i="65"/>
  <c r="F682" i="65"/>
  <c r="G682" i="65"/>
  <c r="H682" i="65"/>
  <c r="F683" i="65"/>
  <c r="G683" i="65"/>
  <c r="H683" i="65"/>
  <c r="F684" i="65"/>
  <c r="G684" i="65"/>
  <c r="H684" i="65"/>
  <c r="F685" i="65"/>
  <c r="G685" i="65"/>
  <c r="H685" i="65"/>
  <c r="F686" i="65"/>
  <c r="G686" i="65"/>
  <c r="H686" i="65"/>
  <c r="F687" i="65"/>
  <c r="G687" i="65"/>
  <c r="H687" i="65"/>
  <c r="F688" i="65"/>
  <c r="G688" i="65"/>
  <c r="H688" i="65"/>
  <c r="F689" i="65"/>
  <c r="G689" i="65"/>
  <c r="H689" i="65"/>
  <c r="F690" i="65"/>
  <c r="G690" i="65"/>
  <c r="H690" i="65"/>
  <c r="F691" i="65"/>
  <c r="G691" i="65"/>
  <c r="H691" i="65"/>
  <c r="F692" i="65"/>
  <c r="G692" i="65"/>
  <c r="H692" i="65"/>
  <c r="F693" i="65"/>
  <c r="G693" i="65"/>
  <c r="H693" i="65"/>
  <c r="F694" i="65"/>
  <c r="G694" i="65"/>
  <c r="H694" i="65"/>
  <c r="F695" i="65"/>
  <c r="G695" i="65"/>
  <c r="H695" i="65"/>
  <c r="F696" i="65"/>
  <c r="G696" i="65"/>
  <c r="H696" i="65"/>
  <c r="F697" i="65"/>
  <c r="G697" i="65"/>
  <c r="H697" i="65"/>
  <c r="F698" i="65"/>
  <c r="G698" i="65"/>
  <c r="H698" i="65"/>
  <c r="F699" i="65"/>
  <c r="G699" i="65"/>
  <c r="H699" i="65"/>
  <c r="F700" i="65"/>
  <c r="G700" i="65"/>
  <c r="H700" i="65"/>
  <c r="F701" i="65"/>
  <c r="G701" i="65"/>
  <c r="H701" i="65"/>
  <c r="F702" i="65"/>
  <c r="G702" i="65"/>
  <c r="H702" i="65"/>
  <c r="F703" i="65"/>
  <c r="G703" i="65"/>
  <c r="H703" i="65"/>
  <c r="F704" i="65"/>
  <c r="G704" i="65"/>
  <c r="H704" i="65"/>
  <c r="F705" i="65"/>
  <c r="G705" i="65"/>
  <c r="H705" i="65"/>
  <c r="F706" i="65"/>
  <c r="G706" i="65"/>
  <c r="H706" i="65"/>
  <c r="F707" i="65"/>
  <c r="G707" i="65"/>
  <c r="H707" i="65"/>
  <c r="F708" i="65"/>
  <c r="G708" i="65"/>
  <c r="H708" i="65"/>
  <c r="F709" i="65"/>
  <c r="G709" i="65"/>
  <c r="H709" i="65"/>
  <c r="F710" i="65"/>
  <c r="G710" i="65"/>
  <c r="H710" i="65"/>
  <c r="F711" i="65"/>
  <c r="G711" i="65"/>
  <c r="H711" i="65"/>
  <c r="F712" i="65"/>
  <c r="G712" i="65"/>
  <c r="H712" i="65"/>
  <c r="F713" i="65"/>
  <c r="G713" i="65"/>
  <c r="H713" i="65"/>
  <c r="F714" i="65"/>
  <c r="G714" i="65"/>
  <c r="H714" i="65"/>
  <c r="F715" i="65"/>
  <c r="G715" i="65"/>
  <c r="H715" i="65"/>
  <c r="F716" i="65"/>
  <c r="G716" i="65"/>
  <c r="H716" i="65"/>
  <c r="F717" i="65"/>
  <c r="G717" i="65"/>
  <c r="H717" i="65"/>
  <c r="F718" i="65"/>
  <c r="G718" i="65"/>
  <c r="H718" i="65"/>
  <c r="F719" i="65"/>
  <c r="G719" i="65"/>
  <c r="H719" i="65"/>
  <c r="F720" i="65"/>
  <c r="G720" i="65"/>
  <c r="H720" i="65"/>
  <c r="F721" i="65"/>
  <c r="G721" i="65"/>
  <c r="H721" i="65"/>
  <c r="F722" i="65"/>
  <c r="G722" i="65"/>
  <c r="H722" i="65"/>
  <c r="F723" i="65"/>
  <c r="G723" i="65"/>
  <c r="H723" i="65"/>
  <c r="F724" i="65"/>
  <c r="G724" i="65"/>
  <c r="H724" i="65"/>
  <c r="F725" i="65"/>
  <c r="G725" i="65"/>
  <c r="H725" i="65"/>
  <c r="F726" i="65"/>
  <c r="G726" i="65"/>
  <c r="H726" i="65"/>
  <c r="F727" i="65"/>
  <c r="G727" i="65"/>
  <c r="H727" i="65"/>
  <c r="F728" i="65"/>
  <c r="G728" i="65"/>
  <c r="H728" i="65"/>
  <c r="F729" i="65"/>
  <c r="G729" i="65"/>
  <c r="H729" i="65"/>
  <c r="F730" i="65"/>
  <c r="G730" i="65"/>
  <c r="H730" i="65"/>
  <c r="F731" i="65"/>
  <c r="G731" i="65"/>
  <c r="H731" i="65"/>
  <c r="F732" i="65"/>
  <c r="G732" i="65"/>
  <c r="H732" i="65"/>
  <c r="F733" i="65"/>
  <c r="G733" i="65"/>
  <c r="H733" i="65"/>
  <c r="F734" i="65"/>
  <c r="G734" i="65"/>
  <c r="H734" i="65"/>
  <c r="F735" i="65"/>
  <c r="G735" i="65"/>
  <c r="H735" i="65"/>
  <c r="F736" i="65"/>
  <c r="G736" i="65"/>
  <c r="H736" i="65"/>
  <c r="F737" i="65"/>
  <c r="G737" i="65"/>
  <c r="H737" i="65"/>
  <c r="F738" i="65"/>
  <c r="G738" i="65"/>
  <c r="H738" i="65"/>
  <c r="F739" i="65"/>
  <c r="G739" i="65"/>
  <c r="H739" i="65"/>
  <c r="F740" i="65"/>
  <c r="G740" i="65"/>
  <c r="H740" i="65"/>
  <c r="F741" i="65"/>
  <c r="G741" i="65"/>
  <c r="H741" i="65"/>
  <c r="F742" i="65"/>
  <c r="G742" i="65"/>
  <c r="H742" i="65"/>
  <c r="F743" i="65"/>
  <c r="G743" i="65"/>
  <c r="H743" i="65"/>
  <c r="F744" i="65"/>
  <c r="G744" i="65"/>
  <c r="H744" i="65"/>
  <c r="F745" i="65"/>
  <c r="G745" i="65"/>
  <c r="H745" i="65"/>
  <c r="F746" i="65"/>
  <c r="G746" i="65"/>
  <c r="H746" i="65"/>
  <c r="F747" i="65"/>
  <c r="G747" i="65"/>
  <c r="H747" i="65"/>
  <c r="F748" i="65"/>
  <c r="G748" i="65"/>
  <c r="H748" i="65"/>
  <c r="F749" i="65"/>
  <c r="G749" i="65"/>
  <c r="H749" i="65"/>
  <c r="F750" i="65"/>
  <c r="G750" i="65"/>
  <c r="H750" i="65"/>
  <c r="F751" i="65"/>
  <c r="G751" i="65"/>
  <c r="H751" i="65"/>
  <c r="F752" i="65"/>
  <c r="G752" i="65"/>
  <c r="H752" i="65"/>
  <c r="F753" i="65"/>
  <c r="G753" i="65"/>
  <c r="H753" i="65"/>
  <c r="F754" i="65"/>
  <c r="G754" i="65"/>
  <c r="H754" i="65"/>
  <c r="F755" i="65"/>
  <c r="G755" i="65"/>
  <c r="H755" i="65"/>
  <c r="F756" i="65"/>
  <c r="G756" i="65"/>
  <c r="H756" i="65"/>
  <c r="F757" i="65"/>
  <c r="G757" i="65"/>
  <c r="H757" i="65"/>
  <c r="F758" i="65"/>
  <c r="G758" i="65"/>
  <c r="H758" i="65"/>
  <c r="F759" i="65"/>
  <c r="G759" i="65"/>
  <c r="H759" i="65"/>
  <c r="F760" i="65"/>
  <c r="G760" i="65"/>
  <c r="H760" i="65"/>
  <c r="F761" i="65"/>
  <c r="G761" i="65"/>
  <c r="H761" i="65"/>
  <c r="F762" i="65"/>
  <c r="G762" i="65"/>
  <c r="H762" i="65"/>
  <c r="F763" i="65"/>
  <c r="G763" i="65"/>
  <c r="H763" i="65"/>
  <c r="F764" i="65"/>
  <c r="G764" i="65"/>
  <c r="H764" i="65"/>
  <c r="F765" i="65"/>
  <c r="G765" i="65"/>
  <c r="H765" i="65"/>
  <c r="F766" i="65"/>
  <c r="G766" i="65"/>
  <c r="H766" i="65"/>
  <c r="F767" i="65"/>
  <c r="G767" i="65"/>
  <c r="H767" i="65"/>
  <c r="F768" i="65"/>
  <c r="G768" i="65"/>
  <c r="H768" i="65"/>
  <c r="F769" i="65"/>
  <c r="G769" i="65"/>
  <c r="H769" i="65"/>
  <c r="F770" i="65"/>
  <c r="G770" i="65"/>
  <c r="H770" i="65"/>
  <c r="F771" i="65"/>
  <c r="G771" i="65"/>
  <c r="H771" i="65"/>
  <c r="F772" i="65"/>
  <c r="G772" i="65"/>
  <c r="H772" i="65"/>
  <c r="F773" i="65"/>
  <c r="G773" i="65"/>
  <c r="H773" i="65"/>
  <c r="F774" i="65"/>
  <c r="G774" i="65"/>
  <c r="H774" i="65"/>
  <c r="F775" i="65"/>
  <c r="G775" i="65"/>
  <c r="H775" i="65"/>
  <c r="F776" i="65"/>
  <c r="G776" i="65"/>
  <c r="H776" i="65"/>
  <c r="F777" i="65"/>
  <c r="G777" i="65"/>
  <c r="H777" i="65"/>
  <c r="F778" i="65"/>
  <c r="G778" i="65"/>
  <c r="H778" i="65"/>
  <c r="F779" i="65"/>
  <c r="G779" i="65"/>
  <c r="H779" i="65"/>
  <c r="F780" i="65"/>
  <c r="G780" i="65"/>
  <c r="H780" i="65"/>
  <c r="F781" i="65"/>
  <c r="G781" i="65"/>
  <c r="H781" i="65"/>
  <c r="F782" i="65"/>
  <c r="G782" i="65"/>
  <c r="H782" i="65"/>
  <c r="F783" i="65"/>
  <c r="G783" i="65"/>
  <c r="H783" i="65"/>
  <c r="F784" i="65"/>
  <c r="G784" i="65"/>
  <c r="H784" i="65"/>
  <c r="F785" i="65"/>
  <c r="G785" i="65"/>
  <c r="H785" i="65"/>
  <c r="F786" i="65"/>
  <c r="G786" i="65"/>
  <c r="H786" i="65"/>
  <c r="F787" i="65"/>
  <c r="G787" i="65"/>
  <c r="H787" i="65"/>
  <c r="F788" i="65"/>
  <c r="G788" i="65"/>
  <c r="H788" i="65"/>
  <c r="F789" i="65"/>
  <c r="G789" i="65"/>
  <c r="H789" i="65"/>
  <c r="F790" i="65"/>
  <c r="G790" i="65"/>
  <c r="H790" i="65"/>
  <c r="F791" i="65"/>
  <c r="G791" i="65"/>
  <c r="H791" i="65"/>
  <c r="F792" i="65"/>
  <c r="G792" i="65"/>
  <c r="H792" i="65"/>
  <c r="F793" i="65"/>
  <c r="G793" i="65"/>
  <c r="H793" i="65"/>
  <c r="F794" i="65"/>
  <c r="G794" i="65"/>
  <c r="H794" i="65"/>
  <c r="F795" i="65"/>
  <c r="G795" i="65"/>
  <c r="H795" i="65"/>
  <c r="F796" i="65"/>
  <c r="G796" i="65"/>
  <c r="H796" i="65"/>
  <c r="F797" i="65"/>
  <c r="G797" i="65"/>
  <c r="H797" i="65"/>
  <c r="F798" i="65"/>
  <c r="G798" i="65"/>
  <c r="H798" i="65"/>
  <c r="F799" i="65"/>
  <c r="G799" i="65"/>
  <c r="H799" i="65"/>
  <c r="F800" i="65"/>
  <c r="G800" i="65"/>
  <c r="H800" i="65"/>
  <c r="F801" i="65"/>
  <c r="G801" i="65"/>
  <c r="H801" i="65"/>
  <c r="F802" i="65"/>
  <c r="G802" i="65"/>
  <c r="H802" i="65"/>
  <c r="F803" i="65"/>
  <c r="G803" i="65"/>
  <c r="H803" i="65"/>
  <c r="F804" i="65"/>
  <c r="G804" i="65"/>
  <c r="H804" i="65"/>
  <c r="F805" i="65"/>
  <c r="G805" i="65"/>
  <c r="H805" i="65"/>
  <c r="F806" i="65"/>
  <c r="G806" i="65"/>
  <c r="H806" i="65"/>
  <c r="F807" i="65"/>
  <c r="G807" i="65"/>
  <c r="H807" i="65"/>
  <c r="F808" i="65"/>
  <c r="G808" i="65"/>
  <c r="H808" i="65"/>
  <c r="F809" i="65"/>
  <c r="G809" i="65"/>
  <c r="H809" i="65"/>
  <c r="F810" i="65"/>
  <c r="G810" i="65"/>
  <c r="H810" i="65"/>
  <c r="F811" i="65"/>
  <c r="G811" i="65"/>
  <c r="H811" i="65"/>
  <c r="F812" i="65"/>
  <c r="G812" i="65"/>
  <c r="H812" i="65"/>
  <c r="F813" i="65"/>
  <c r="G813" i="65"/>
  <c r="H813" i="65"/>
  <c r="F814" i="65"/>
  <c r="G814" i="65"/>
  <c r="H814" i="65"/>
  <c r="F815" i="65"/>
  <c r="G815" i="65"/>
  <c r="H815" i="65"/>
  <c r="F816" i="65"/>
  <c r="G816" i="65"/>
  <c r="H816" i="65"/>
  <c r="F817" i="65"/>
  <c r="G817" i="65"/>
  <c r="H817" i="65"/>
  <c r="F818" i="65"/>
  <c r="G818" i="65"/>
  <c r="H818" i="65"/>
  <c r="F819" i="65"/>
  <c r="G819" i="65"/>
  <c r="H819" i="65"/>
  <c r="F820" i="65"/>
  <c r="G820" i="65"/>
  <c r="H820" i="65"/>
  <c r="F821" i="65"/>
  <c r="G821" i="65"/>
  <c r="H821" i="65"/>
  <c r="F822" i="65"/>
  <c r="G822" i="65"/>
  <c r="H822" i="65"/>
  <c r="F823" i="65"/>
  <c r="G823" i="65"/>
  <c r="H823" i="65"/>
  <c r="F824" i="65"/>
  <c r="G824" i="65"/>
  <c r="H824" i="65"/>
  <c r="F825" i="65"/>
  <c r="G825" i="65"/>
  <c r="H825" i="65"/>
  <c r="F826" i="65"/>
  <c r="G826" i="65"/>
  <c r="H826" i="65"/>
  <c r="F827" i="65"/>
  <c r="G827" i="65"/>
  <c r="H827" i="65"/>
  <c r="F828" i="65"/>
  <c r="G828" i="65"/>
  <c r="H828" i="65"/>
  <c r="F829" i="65"/>
  <c r="G829" i="65"/>
  <c r="H829" i="65"/>
  <c r="F830" i="65"/>
  <c r="G830" i="65"/>
  <c r="H830" i="65"/>
  <c r="F831" i="65"/>
  <c r="G831" i="65"/>
  <c r="H831" i="65"/>
  <c r="F832" i="65"/>
  <c r="G832" i="65"/>
  <c r="H832" i="65"/>
  <c r="F833" i="65"/>
  <c r="G833" i="65"/>
  <c r="H833" i="65"/>
  <c r="F834" i="65"/>
  <c r="G834" i="65"/>
  <c r="H834" i="65"/>
  <c r="F835" i="65"/>
  <c r="G835" i="65"/>
  <c r="H835" i="65"/>
  <c r="F836" i="65"/>
  <c r="G836" i="65"/>
  <c r="H836" i="65"/>
  <c r="F837" i="65"/>
  <c r="G837" i="65"/>
  <c r="H837" i="65"/>
  <c r="F838" i="65"/>
  <c r="G838" i="65"/>
  <c r="H838" i="65"/>
  <c r="F839" i="65"/>
  <c r="G839" i="65"/>
  <c r="H839" i="65"/>
  <c r="F840" i="65"/>
  <c r="G840" i="65"/>
  <c r="H840" i="65"/>
  <c r="F841" i="65"/>
  <c r="G841" i="65"/>
  <c r="H841" i="65"/>
  <c r="F842" i="65"/>
  <c r="G842" i="65"/>
  <c r="H842" i="65"/>
  <c r="F843" i="65"/>
  <c r="G843" i="65"/>
  <c r="H843" i="65"/>
  <c r="F844" i="65"/>
  <c r="G844" i="65"/>
  <c r="H844" i="65"/>
  <c r="F845" i="65"/>
  <c r="G845" i="65"/>
  <c r="H845" i="65"/>
  <c r="F846" i="65"/>
  <c r="G846" i="65"/>
  <c r="H846" i="65"/>
  <c r="F847" i="65"/>
  <c r="G847" i="65"/>
  <c r="H847" i="65"/>
  <c r="F848" i="65"/>
  <c r="G848" i="65"/>
  <c r="H848" i="65"/>
  <c r="F849" i="65"/>
  <c r="G849" i="65"/>
  <c r="H849" i="65"/>
  <c r="F850" i="65"/>
  <c r="G850" i="65"/>
  <c r="H850" i="65"/>
  <c r="F851" i="65"/>
  <c r="G851" i="65"/>
  <c r="H851" i="65"/>
  <c r="F852" i="65"/>
  <c r="G852" i="65"/>
  <c r="H852" i="65"/>
  <c r="F853" i="65"/>
  <c r="G853" i="65"/>
  <c r="H853" i="65"/>
  <c r="F854" i="65"/>
  <c r="G854" i="65"/>
  <c r="H854" i="65"/>
  <c r="F855" i="65"/>
  <c r="G855" i="65"/>
  <c r="H855" i="65"/>
  <c r="F856" i="65"/>
  <c r="G856" i="65"/>
  <c r="H856" i="65"/>
  <c r="F857" i="65"/>
  <c r="G857" i="65"/>
  <c r="H857" i="65"/>
  <c r="F858" i="65"/>
  <c r="G858" i="65"/>
  <c r="H858" i="65"/>
  <c r="F859" i="65"/>
  <c r="G859" i="65"/>
  <c r="H859" i="65"/>
  <c r="F860" i="65"/>
  <c r="G860" i="65"/>
  <c r="H860" i="65"/>
  <c r="F861" i="65"/>
  <c r="G861" i="65"/>
  <c r="H861" i="65"/>
  <c r="F862" i="65"/>
  <c r="G862" i="65"/>
  <c r="H862" i="65"/>
  <c r="F863" i="65"/>
  <c r="G863" i="65"/>
  <c r="H863" i="65"/>
  <c r="F864" i="65"/>
  <c r="G864" i="65"/>
  <c r="H864" i="65"/>
  <c r="F865" i="65"/>
  <c r="G865" i="65"/>
  <c r="H865" i="65"/>
  <c r="F866" i="65"/>
  <c r="G866" i="65"/>
  <c r="H866" i="65"/>
  <c r="F867" i="65"/>
  <c r="G867" i="65"/>
  <c r="H867" i="65"/>
  <c r="F868" i="65"/>
  <c r="G868" i="65"/>
  <c r="H868" i="65"/>
  <c r="F869" i="65"/>
  <c r="G869" i="65"/>
  <c r="H869" i="65"/>
  <c r="F870" i="65"/>
  <c r="G870" i="65"/>
  <c r="H870" i="65"/>
  <c r="F871" i="65"/>
  <c r="G871" i="65"/>
  <c r="H871" i="65"/>
  <c r="F872" i="65"/>
  <c r="G872" i="65"/>
  <c r="H872" i="65"/>
  <c r="F873" i="65"/>
  <c r="G873" i="65"/>
  <c r="H873" i="65"/>
  <c r="F874" i="65"/>
  <c r="G874" i="65"/>
  <c r="H874" i="65"/>
  <c r="F875" i="65"/>
  <c r="G875" i="65"/>
  <c r="H875" i="65"/>
  <c r="F876" i="65"/>
  <c r="G876" i="65"/>
  <c r="H876" i="65"/>
  <c r="F877" i="65"/>
  <c r="G877" i="65"/>
  <c r="H877" i="65"/>
  <c r="F878" i="65"/>
  <c r="G878" i="65"/>
  <c r="H878" i="65"/>
  <c r="F879" i="65"/>
  <c r="G879" i="65"/>
  <c r="H879" i="65"/>
  <c r="F880" i="65"/>
  <c r="G880" i="65"/>
  <c r="H880" i="65"/>
  <c r="F881" i="65"/>
  <c r="G881" i="65"/>
  <c r="H881" i="65"/>
  <c r="F882" i="65"/>
  <c r="G882" i="65"/>
  <c r="H882" i="65"/>
  <c r="F883" i="65"/>
  <c r="G883" i="65"/>
  <c r="H883" i="65"/>
  <c r="F884" i="65"/>
  <c r="G884" i="65"/>
  <c r="H884" i="65"/>
  <c r="F885" i="65"/>
  <c r="G885" i="65"/>
  <c r="H885" i="65"/>
  <c r="F886" i="65"/>
  <c r="G886" i="65"/>
  <c r="H886" i="65"/>
  <c r="F887" i="65"/>
  <c r="G887" i="65"/>
  <c r="H887" i="65"/>
  <c r="F888" i="65"/>
  <c r="G888" i="65"/>
  <c r="H888" i="65"/>
  <c r="F889" i="65"/>
  <c r="G889" i="65"/>
  <c r="H889" i="65"/>
  <c r="F890" i="65"/>
  <c r="G890" i="65"/>
  <c r="H890" i="65"/>
  <c r="F891" i="65"/>
  <c r="G891" i="65"/>
  <c r="H891" i="65"/>
  <c r="F892" i="65"/>
  <c r="G892" i="65"/>
  <c r="H892" i="65"/>
  <c r="F893" i="65"/>
  <c r="G893" i="65"/>
  <c r="H893" i="65"/>
  <c r="F894" i="65"/>
  <c r="G894" i="65"/>
  <c r="H894" i="65"/>
  <c r="F895" i="65"/>
  <c r="G895" i="65"/>
  <c r="H895" i="65"/>
  <c r="F896" i="65"/>
  <c r="G896" i="65"/>
  <c r="H896" i="65"/>
  <c r="F897" i="65"/>
  <c r="G897" i="65"/>
  <c r="H897" i="65"/>
  <c r="F898" i="65"/>
  <c r="G898" i="65"/>
  <c r="H898" i="65"/>
  <c r="F899" i="65"/>
  <c r="G899" i="65"/>
  <c r="H899" i="65"/>
  <c r="F900" i="65"/>
  <c r="G900" i="65"/>
  <c r="H900" i="65"/>
  <c r="F901" i="65"/>
  <c r="G901" i="65"/>
  <c r="H901" i="65"/>
  <c r="F902" i="65"/>
  <c r="G902" i="65"/>
  <c r="H902" i="65"/>
  <c r="F903" i="65"/>
  <c r="G903" i="65"/>
  <c r="H903" i="65"/>
  <c r="F904" i="65"/>
  <c r="G904" i="65"/>
  <c r="H904" i="65"/>
  <c r="F905" i="65"/>
  <c r="G905" i="65"/>
  <c r="H905" i="65"/>
  <c r="F906" i="65"/>
  <c r="G906" i="65"/>
  <c r="H906" i="65"/>
  <c r="F907" i="65"/>
  <c r="G907" i="65"/>
  <c r="H907" i="65"/>
  <c r="F908" i="65"/>
  <c r="G908" i="65"/>
  <c r="H908" i="65"/>
  <c r="F909" i="65"/>
  <c r="G909" i="65"/>
  <c r="H909" i="65"/>
  <c r="F910" i="65"/>
  <c r="G910" i="65"/>
  <c r="H910" i="65"/>
  <c r="F911" i="65"/>
  <c r="G911" i="65"/>
  <c r="H911" i="65"/>
  <c r="F912" i="65"/>
  <c r="G912" i="65"/>
  <c r="H912" i="65"/>
  <c r="F913" i="65"/>
  <c r="G913" i="65"/>
  <c r="H913" i="65"/>
  <c r="F914" i="65"/>
  <c r="G914" i="65"/>
  <c r="H914" i="65"/>
  <c r="F915" i="65"/>
  <c r="G915" i="65"/>
  <c r="H915" i="65"/>
  <c r="F916" i="65"/>
  <c r="G916" i="65"/>
  <c r="H916" i="65"/>
  <c r="F917" i="65"/>
  <c r="G917" i="65"/>
  <c r="H917" i="65"/>
  <c r="F918" i="65"/>
  <c r="G918" i="65"/>
  <c r="H918" i="65"/>
  <c r="F919" i="65"/>
  <c r="G919" i="65"/>
  <c r="H919" i="65"/>
  <c r="F920" i="65"/>
  <c r="G920" i="65"/>
  <c r="H920" i="65"/>
  <c r="F921" i="65"/>
  <c r="G921" i="65"/>
  <c r="H921" i="65"/>
  <c r="F922" i="65"/>
  <c r="G922" i="65"/>
  <c r="H922" i="65"/>
  <c r="F923" i="65"/>
  <c r="G923" i="65"/>
  <c r="H923" i="65"/>
  <c r="F924" i="65"/>
  <c r="G924" i="65"/>
  <c r="H924" i="65"/>
  <c r="F925" i="65"/>
  <c r="G925" i="65"/>
  <c r="H925" i="65"/>
  <c r="F926" i="65"/>
  <c r="G926" i="65"/>
  <c r="H926" i="65"/>
  <c r="F927" i="65"/>
  <c r="G927" i="65"/>
  <c r="H927" i="65"/>
  <c r="F928" i="65"/>
  <c r="G928" i="65"/>
  <c r="H928" i="65"/>
  <c r="F929" i="65"/>
  <c r="G929" i="65"/>
  <c r="H929" i="65"/>
  <c r="F930" i="65"/>
  <c r="G930" i="65"/>
  <c r="H930" i="65"/>
  <c r="F931" i="65"/>
  <c r="G931" i="65"/>
  <c r="H931" i="65"/>
  <c r="F932" i="65"/>
  <c r="G932" i="65"/>
  <c r="H932" i="65"/>
  <c r="F933" i="65"/>
  <c r="G933" i="65"/>
  <c r="H933" i="65"/>
  <c r="F934" i="65"/>
  <c r="G934" i="65"/>
  <c r="H934" i="65"/>
  <c r="F935" i="65"/>
  <c r="G935" i="65"/>
  <c r="H935" i="65"/>
  <c r="F936" i="65"/>
  <c r="G936" i="65"/>
  <c r="H936" i="65"/>
  <c r="F937" i="65"/>
  <c r="G937" i="65"/>
  <c r="H937" i="65"/>
  <c r="F938" i="65"/>
  <c r="G938" i="65"/>
  <c r="H938" i="65"/>
  <c r="F939" i="65"/>
  <c r="G939" i="65"/>
  <c r="H939" i="65"/>
  <c r="F940" i="65"/>
  <c r="G940" i="65"/>
  <c r="H940" i="65"/>
  <c r="F941" i="65"/>
  <c r="G941" i="65"/>
  <c r="H941" i="65"/>
  <c r="F942" i="65"/>
  <c r="G942" i="65"/>
  <c r="H942" i="65"/>
  <c r="F943" i="65"/>
  <c r="G943" i="65"/>
  <c r="H943" i="65"/>
  <c r="F944" i="65"/>
  <c r="G944" i="65"/>
  <c r="H944" i="65"/>
  <c r="F945" i="65"/>
  <c r="G945" i="65"/>
  <c r="H945" i="65"/>
  <c r="F946" i="65"/>
  <c r="G946" i="65"/>
  <c r="H946" i="65"/>
  <c r="F947" i="65"/>
  <c r="G947" i="65"/>
  <c r="H947" i="65"/>
  <c r="F948" i="65"/>
  <c r="G948" i="65"/>
  <c r="H948" i="65"/>
  <c r="F949" i="65"/>
  <c r="G949" i="65"/>
  <c r="H949" i="65"/>
  <c r="F950" i="65"/>
  <c r="G950" i="65"/>
  <c r="H950" i="65"/>
  <c r="F951" i="65"/>
  <c r="G951" i="65"/>
  <c r="H951" i="65"/>
  <c r="F952" i="65"/>
  <c r="G952" i="65"/>
  <c r="H952" i="65"/>
  <c r="F953" i="65"/>
  <c r="G953" i="65"/>
  <c r="H953" i="65"/>
  <c r="F954" i="65"/>
  <c r="G954" i="65"/>
  <c r="H954" i="65"/>
  <c r="F955" i="65"/>
  <c r="G955" i="65"/>
  <c r="H955" i="65"/>
  <c r="F956" i="65"/>
  <c r="G956" i="65"/>
  <c r="H956" i="65"/>
  <c r="F957" i="65"/>
  <c r="G957" i="65"/>
  <c r="H957" i="65"/>
  <c r="F958" i="65"/>
  <c r="G958" i="65"/>
  <c r="H958" i="65"/>
  <c r="F959" i="65"/>
  <c r="G959" i="65"/>
  <c r="H959" i="65"/>
  <c r="F960" i="65"/>
  <c r="G960" i="65"/>
  <c r="H960" i="65"/>
  <c r="F961" i="65"/>
  <c r="G961" i="65"/>
  <c r="H961" i="65"/>
  <c r="F962" i="65"/>
  <c r="G962" i="65"/>
  <c r="H962" i="65"/>
  <c r="F963" i="65"/>
  <c r="G963" i="65"/>
  <c r="H963" i="65"/>
  <c r="F964" i="65"/>
  <c r="G964" i="65"/>
  <c r="H964" i="65"/>
  <c r="F965" i="65"/>
  <c r="G965" i="65"/>
  <c r="H965" i="65"/>
  <c r="F966" i="65"/>
  <c r="G966" i="65"/>
  <c r="H966" i="65"/>
  <c r="F967" i="65"/>
  <c r="G967" i="65"/>
  <c r="H967" i="65"/>
  <c r="F968" i="65"/>
  <c r="G968" i="65"/>
  <c r="H968" i="65"/>
  <c r="F969" i="65"/>
  <c r="G969" i="65"/>
  <c r="H969" i="65"/>
  <c r="F970" i="65"/>
  <c r="G970" i="65"/>
  <c r="H970" i="65"/>
  <c r="F971" i="65"/>
  <c r="G971" i="65"/>
  <c r="H971" i="65"/>
  <c r="F972" i="65"/>
  <c r="G972" i="65"/>
  <c r="H972" i="65"/>
  <c r="F973" i="65"/>
  <c r="G973" i="65"/>
  <c r="H973" i="65"/>
  <c r="F974" i="65"/>
  <c r="G974" i="65"/>
  <c r="H974" i="65"/>
  <c r="F975" i="65"/>
  <c r="G975" i="65"/>
  <c r="H975" i="65"/>
  <c r="F976" i="65"/>
  <c r="G976" i="65"/>
  <c r="H976" i="65"/>
  <c r="F977" i="65"/>
  <c r="G977" i="65"/>
  <c r="H977" i="65"/>
  <c r="F978" i="65"/>
  <c r="G978" i="65"/>
  <c r="H978" i="65"/>
  <c r="F979" i="65"/>
  <c r="G979" i="65"/>
  <c r="H979" i="65"/>
  <c r="F980" i="65"/>
  <c r="G980" i="65"/>
  <c r="H980" i="65"/>
  <c r="F981" i="65"/>
  <c r="G981" i="65"/>
  <c r="H981" i="65"/>
  <c r="F982" i="65"/>
  <c r="G982" i="65"/>
  <c r="H982" i="65"/>
  <c r="F983" i="65"/>
  <c r="G983" i="65"/>
  <c r="H983" i="65"/>
  <c r="F984" i="65"/>
  <c r="G984" i="65"/>
  <c r="H984" i="65"/>
  <c r="F985" i="65"/>
  <c r="G985" i="65"/>
  <c r="H985" i="65"/>
  <c r="F986" i="65"/>
  <c r="G986" i="65"/>
  <c r="H986" i="65"/>
  <c r="F987" i="65"/>
  <c r="G987" i="65"/>
  <c r="H987" i="65"/>
  <c r="F988" i="65"/>
  <c r="G988" i="65"/>
  <c r="H988" i="65"/>
  <c r="F989" i="65"/>
  <c r="G989" i="65"/>
  <c r="H989" i="65"/>
  <c r="F990" i="65"/>
  <c r="G990" i="65"/>
  <c r="H990" i="65"/>
  <c r="F991" i="65"/>
  <c r="G991" i="65"/>
  <c r="H991" i="65"/>
  <c r="F992" i="65"/>
  <c r="G992" i="65"/>
  <c r="H992" i="65"/>
  <c r="F993" i="65"/>
  <c r="G993" i="65"/>
  <c r="H993" i="65"/>
  <c r="F994" i="65"/>
  <c r="G994" i="65"/>
  <c r="H994" i="65"/>
  <c r="F995" i="65"/>
  <c r="G995" i="65"/>
  <c r="H995" i="65"/>
  <c r="F996" i="65"/>
  <c r="G996" i="65"/>
  <c r="H996" i="65"/>
  <c r="F997" i="65"/>
  <c r="G997" i="65"/>
  <c r="H997" i="65"/>
  <c r="F998" i="65"/>
  <c r="G998" i="65"/>
  <c r="H998" i="65"/>
  <c r="F999" i="65"/>
  <c r="G999" i="65"/>
  <c r="H999" i="65"/>
  <c r="F1000" i="65"/>
  <c r="G1000" i="65"/>
  <c r="H1000" i="65"/>
  <c r="F1001" i="65"/>
  <c r="G1001" i="65"/>
  <c r="H1001" i="65"/>
  <c r="F1002" i="65"/>
  <c r="G1002" i="65"/>
  <c r="H1002" i="65"/>
  <c r="F1003" i="65"/>
  <c r="G1003" i="65"/>
  <c r="H1003" i="65"/>
  <c r="F1004" i="65"/>
  <c r="G1004" i="65"/>
  <c r="H1004" i="65"/>
  <c r="F1005" i="65"/>
  <c r="G1005" i="65"/>
  <c r="H1005" i="65"/>
  <c r="F1006" i="65"/>
  <c r="G1006" i="65"/>
  <c r="H1006" i="65"/>
  <c r="F1007" i="65"/>
  <c r="G1007" i="65"/>
  <c r="H1007" i="65"/>
  <c r="F1008" i="65"/>
  <c r="G1008" i="65"/>
  <c r="H1008" i="65"/>
  <c r="F1009" i="65"/>
  <c r="G1009" i="65"/>
  <c r="H1009" i="65"/>
  <c r="F1010" i="65"/>
  <c r="G1010" i="65"/>
  <c r="H1010" i="65"/>
  <c r="F1011" i="65"/>
  <c r="G1011" i="65"/>
  <c r="H1011" i="65"/>
  <c r="F1012" i="65"/>
  <c r="G1012" i="65"/>
  <c r="H1012" i="65"/>
  <c r="F1013" i="65"/>
  <c r="G1013" i="65"/>
  <c r="H1013" i="65"/>
  <c r="F1014" i="65"/>
  <c r="G1014" i="65"/>
  <c r="H1014" i="65"/>
  <c r="F1015" i="65"/>
  <c r="G1015" i="65"/>
  <c r="H1015" i="65"/>
  <c r="F1016" i="65"/>
  <c r="G1016" i="65"/>
  <c r="H1016" i="65"/>
  <c r="F1017" i="65"/>
  <c r="G1017" i="65"/>
  <c r="H1017" i="65"/>
  <c r="F1018" i="65"/>
  <c r="G1018" i="65"/>
  <c r="H1018" i="65"/>
  <c r="F1019" i="65"/>
  <c r="G1019" i="65"/>
  <c r="H1019" i="65"/>
  <c r="F1020" i="65"/>
  <c r="G1020" i="65"/>
  <c r="H1020" i="65"/>
  <c r="F1021" i="65"/>
  <c r="G1021" i="65"/>
  <c r="H1021" i="65"/>
  <c r="F1022" i="65"/>
  <c r="G1022" i="65"/>
  <c r="H1022" i="65"/>
  <c r="F1023" i="65"/>
  <c r="G1023" i="65"/>
  <c r="H1023" i="65"/>
  <c r="F1024" i="65"/>
  <c r="G1024" i="65"/>
  <c r="H1024" i="65"/>
  <c r="F1025" i="65"/>
  <c r="G1025" i="65"/>
  <c r="H1025" i="65"/>
  <c r="F1026" i="65"/>
  <c r="G1026" i="65"/>
  <c r="H1026" i="65"/>
  <c r="F1027" i="65"/>
  <c r="G1027" i="65"/>
  <c r="H1027" i="65"/>
  <c r="F1028" i="65"/>
  <c r="G1028" i="65"/>
  <c r="H1028" i="65"/>
  <c r="F1029" i="65"/>
  <c r="G1029" i="65"/>
  <c r="H1029" i="65"/>
  <c r="F1030" i="65"/>
  <c r="G1030" i="65"/>
  <c r="H1030" i="65"/>
  <c r="F1031" i="65"/>
  <c r="G1031" i="65"/>
  <c r="H1031" i="65"/>
  <c r="F1032" i="65"/>
  <c r="G1032" i="65"/>
  <c r="H1032" i="65"/>
  <c r="F1033" i="65"/>
  <c r="G1033" i="65"/>
  <c r="H1033" i="65"/>
  <c r="F1034" i="65"/>
  <c r="G1034" i="65"/>
  <c r="H1034" i="65"/>
  <c r="F1035" i="65"/>
  <c r="G1035" i="65"/>
  <c r="H1035" i="65"/>
  <c r="F1036" i="65"/>
  <c r="G1036" i="65"/>
  <c r="H1036" i="65"/>
  <c r="F1037" i="65"/>
  <c r="G1037" i="65"/>
  <c r="H1037" i="65"/>
  <c r="F1038" i="65"/>
  <c r="G1038" i="65"/>
  <c r="H1038" i="65"/>
  <c r="F1039" i="65"/>
  <c r="G1039" i="65"/>
  <c r="H1039" i="65"/>
  <c r="F1040" i="65"/>
  <c r="G1040" i="65"/>
  <c r="H1040" i="65"/>
  <c r="F1041" i="65"/>
  <c r="G1041" i="65"/>
  <c r="H1041" i="65"/>
  <c r="F1042" i="65"/>
  <c r="G1042" i="65"/>
  <c r="H1042" i="65"/>
  <c r="F1043" i="65"/>
  <c r="G1043" i="65"/>
  <c r="H1043" i="65"/>
  <c r="F1044" i="65"/>
  <c r="G1044" i="65"/>
  <c r="H1044" i="65"/>
  <c r="F1045" i="65"/>
  <c r="G1045" i="65"/>
  <c r="H1045" i="65"/>
  <c r="F1046" i="65"/>
  <c r="G1046" i="65"/>
  <c r="H1046" i="65"/>
  <c r="F1047" i="65"/>
  <c r="G1047" i="65"/>
  <c r="H1047" i="65"/>
  <c r="F1048" i="65"/>
  <c r="G1048" i="65"/>
  <c r="H1048" i="65"/>
  <c r="F1049" i="65"/>
  <c r="G1049" i="65"/>
  <c r="H1049" i="65"/>
  <c r="F1050" i="65"/>
  <c r="G1050" i="65"/>
  <c r="H1050" i="65"/>
  <c r="F1051" i="65"/>
  <c r="G1051" i="65"/>
  <c r="H1051" i="65"/>
  <c r="F1052" i="65"/>
  <c r="G1052" i="65"/>
  <c r="H1052" i="65"/>
  <c r="F1053" i="65"/>
  <c r="G1053" i="65"/>
  <c r="H1053" i="65"/>
  <c r="F1054" i="65"/>
  <c r="G1054" i="65"/>
  <c r="H1054" i="65"/>
  <c r="F1055" i="65"/>
  <c r="G1055" i="65"/>
  <c r="H1055" i="65"/>
  <c r="F1056" i="65"/>
  <c r="G1056" i="65"/>
  <c r="H1056" i="65"/>
  <c r="F1057" i="65"/>
  <c r="G1057" i="65"/>
  <c r="H1057" i="65"/>
  <c r="F1058" i="65"/>
  <c r="G1058" i="65"/>
  <c r="H1058" i="65"/>
  <c r="F1059" i="65"/>
  <c r="G1059" i="65"/>
  <c r="H1059" i="65"/>
  <c r="F1060" i="65"/>
  <c r="G1060" i="65"/>
  <c r="H1060" i="65"/>
  <c r="F1061" i="65"/>
  <c r="G1061" i="65"/>
  <c r="H1061" i="65"/>
  <c r="F1062" i="65"/>
  <c r="G1062" i="65"/>
  <c r="H1062" i="65"/>
  <c r="F1063" i="65"/>
  <c r="G1063" i="65"/>
  <c r="H1063" i="65"/>
  <c r="F1064" i="65"/>
  <c r="G1064" i="65"/>
  <c r="H1064" i="65"/>
  <c r="F1065" i="65"/>
  <c r="G1065" i="65"/>
  <c r="H1065" i="65"/>
  <c r="F1066" i="65"/>
  <c r="G1066" i="65"/>
  <c r="H1066" i="65"/>
  <c r="F1067" i="65"/>
  <c r="G1067" i="65"/>
  <c r="H1067" i="65"/>
  <c r="F1068" i="65"/>
  <c r="G1068" i="65"/>
  <c r="H1068" i="65"/>
  <c r="F1069" i="65"/>
  <c r="G1069" i="65"/>
  <c r="H1069" i="65"/>
  <c r="F1070" i="65"/>
  <c r="G1070" i="65"/>
  <c r="H1070" i="65"/>
  <c r="F1071" i="65"/>
  <c r="G1071" i="65"/>
  <c r="H1071" i="65"/>
  <c r="F1072" i="65"/>
  <c r="G1072" i="65"/>
  <c r="H1072" i="65"/>
  <c r="F1073" i="65"/>
  <c r="G1073" i="65"/>
  <c r="H1073" i="65"/>
  <c r="F1074" i="65"/>
  <c r="G1074" i="65"/>
  <c r="H1074" i="65"/>
  <c r="F1075" i="65"/>
  <c r="G1075" i="65"/>
  <c r="H1075" i="65"/>
  <c r="F1076" i="65"/>
  <c r="G1076" i="65"/>
  <c r="H1076" i="65"/>
  <c r="F1077" i="65"/>
  <c r="G1077" i="65"/>
  <c r="H1077" i="65"/>
  <c r="F1078" i="65"/>
  <c r="G1078" i="65"/>
  <c r="H1078" i="65"/>
  <c r="F1079" i="65"/>
  <c r="G1079" i="65"/>
  <c r="H1079" i="65"/>
  <c r="F1080" i="65"/>
  <c r="G1080" i="65"/>
  <c r="H1080" i="65"/>
  <c r="F1081" i="65"/>
  <c r="G1081" i="65"/>
  <c r="H1081" i="65"/>
  <c r="F1082" i="65"/>
  <c r="G1082" i="65"/>
  <c r="H1082" i="65"/>
  <c r="F1083" i="65"/>
  <c r="G1083" i="65"/>
  <c r="H1083" i="65"/>
  <c r="F1084" i="65"/>
  <c r="G1084" i="65"/>
  <c r="H1084" i="65"/>
  <c r="F1085" i="65"/>
  <c r="G1085" i="65"/>
  <c r="H1085" i="65"/>
  <c r="F1086" i="65"/>
  <c r="G1086" i="65"/>
  <c r="H1086" i="65"/>
  <c r="F1087" i="65"/>
  <c r="G1087" i="65"/>
  <c r="H1087" i="65"/>
  <c r="F1088" i="65"/>
  <c r="G1088" i="65"/>
  <c r="H1088" i="65"/>
  <c r="F1089" i="65"/>
  <c r="G1089" i="65"/>
  <c r="H1089" i="65"/>
  <c r="F1090" i="65"/>
  <c r="G1090" i="65"/>
  <c r="H1090" i="65"/>
  <c r="F1091" i="65"/>
  <c r="G1091" i="65"/>
  <c r="H1091" i="65"/>
  <c r="F1092" i="65"/>
  <c r="G1092" i="65"/>
  <c r="H1092" i="65"/>
  <c r="F1093" i="65"/>
  <c r="G1093" i="65"/>
  <c r="H1093" i="65"/>
  <c r="F1094" i="65"/>
  <c r="G1094" i="65"/>
  <c r="H1094" i="65"/>
  <c r="F1095" i="65"/>
  <c r="G1095" i="65"/>
  <c r="H1095" i="65"/>
  <c r="F1096" i="65"/>
  <c r="G1096" i="65"/>
  <c r="H1096" i="65"/>
  <c r="F1097" i="65"/>
  <c r="G1097" i="65"/>
  <c r="H1097" i="65"/>
  <c r="F1098" i="65"/>
  <c r="G1098" i="65"/>
  <c r="H1098" i="65"/>
  <c r="F1099" i="65"/>
  <c r="G1099" i="65"/>
  <c r="H1099" i="65"/>
  <c r="F1100" i="65"/>
  <c r="G1100" i="65"/>
  <c r="H1100" i="65"/>
  <c r="F1101" i="65"/>
  <c r="G1101" i="65"/>
  <c r="H1101" i="65"/>
  <c r="F1102" i="65"/>
  <c r="G1102" i="65"/>
  <c r="H1102" i="65"/>
  <c r="F1103" i="65"/>
  <c r="G1103" i="65"/>
  <c r="H1103" i="65"/>
  <c r="F1104" i="65"/>
  <c r="G1104" i="65"/>
  <c r="H1104" i="65"/>
  <c r="F1105" i="65"/>
  <c r="G1105" i="65"/>
  <c r="H1105" i="65"/>
  <c r="F1106" i="65"/>
  <c r="G1106" i="65"/>
  <c r="H1106" i="65"/>
  <c r="F1107" i="65"/>
  <c r="G1107" i="65"/>
  <c r="H1107" i="65"/>
  <c r="F1108" i="65"/>
  <c r="G1108" i="65"/>
  <c r="H1108" i="65"/>
  <c r="F1109" i="65"/>
  <c r="G1109" i="65"/>
  <c r="H1109" i="65"/>
  <c r="F1110" i="65"/>
  <c r="G1110" i="65"/>
  <c r="H1110" i="65"/>
  <c r="F1111" i="65"/>
  <c r="G1111" i="65"/>
  <c r="H1111" i="65"/>
  <c r="F1112" i="65"/>
  <c r="G1112" i="65"/>
  <c r="H1112" i="65"/>
  <c r="F1113" i="65"/>
  <c r="G1113" i="65"/>
  <c r="H1113" i="65"/>
  <c r="F1114" i="65"/>
  <c r="G1114" i="65"/>
  <c r="H1114" i="65"/>
  <c r="F1115" i="65"/>
  <c r="G1115" i="65"/>
  <c r="H1115" i="65"/>
  <c r="F1116" i="65"/>
  <c r="G1116" i="65"/>
  <c r="H1116" i="65"/>
  <c r="F1117" i="65"/>
  <c r="G1117" i="65"/>
  <c r="H1117" i="65"/>
  <c r="F1118" i="65"/>
  <c r="G1118" i="65"/>
  <c r="H1118" i="65"/>
  <c r="F1119" i="65"/>
  <c r="G1119" i="65"/>
  <c r="H1119" i="65"/>
  <c r="F1120" i="65"/>
  <c r="G1120" i="65"/>
  <c r="H1120" i="65"/>
  <c r="F1121" i="65"/>
  <c r="G1121" i="65"/>
  <c r="H1121" i="65"/>
  <c r="F1122" i="65"/>
  <c r="G1122" i="65"/>
  <c r="H1122" i="65"/>
  <c r="F1123" i="65"/>
  <c r="G1123" i="65"/>
  <c r="H1123" i="65"/>
  <c r="F1124" i="65"/>
  <c r="G1124" i="65"/>
  <c r="H1124" i="65"/>
  <c r="F1125" i="65"/>
  <c r="G1125" i="65"/>
  <c r="H1125" i="65"/>
  <c r="F1126" i="65"/>
  <c r="G1126" i="65"/>
  <c r="H1126" i="65"/>
  <c r="F1127" i="65"/>
  <c r="G1127" i="65"/>
  <c r="H1127" i="65"/>
  <c r="F1128" i="65"/>
  <c r="G1128" i="65"/>
  <c r="H1128" i="65"/>
  <c r="F1129" i="65"/>
  <c r="G1129" i="65"/>
  <c r="H1129" i="65"/>
  <c r="F1130" i="65"/>
  <c r="G1130" i="65"/>
  <c r="H1130" i="65"/>
  <c r="F1131" i="65"/>
  <c r="G1131" i="65"/>
  <c r="H1131" i="65"/>
  <c r="F1132" i="65"/>
  <c r="G1132" i="65"/>
  <c r="H1132" i="65"/>
  <c r="F1133" i="65"/>
  <c r="G1133" i="65"/>
  <c r="H1133" i="65"/>
  <c r="F1134" i="65"/>
  <c r="G1134" i="65"/>
  <c r="H1134" i="65"/>
  <c r="F1135" i="65"/>
  <c r="G1135" i="65"/>
  <c r="H1135" i="65"/>
  <c r="F1136" i="65"/>
  <c r="G1136" i="65"/>
  <c r="H1136" i="65"/>
  <c r="F1137" i="65"/>
  <c r="G1137" i="65"/>
  <c r="H1137" i="65"/>
  <c r="F1138" i="65"/>
  <c r="G1138" i="65"/>
  <c r="H1138" i="65"/>
  <c r="F1139" i="65"/>
  <c r="G1139" i="65"/>
  <c r="H1139" i="65"/>
  <c r="F1140" i="65"/>
  <c r="G1140" i="65"/>
  <c r="H1140" i="65"/>
  <c r="F1141" i="65"/>
  <c r="G1141" i="65"/>
  <c r="H1141" i="65"/>
  <c r="F1142" i="65"/>
  <c r="G1142" i="65"/>
  <c r="H1142" i="65"/>
  <c r="F1143" i="65"/>
  <c r="G1143" i="65"/>
  <c r="H1143" i="65"/>
  <c r="F1144" i="65"/>
  <c r="G1144" i="65"/>
  <c r="H1144" i="65"/>
  <c r="F1145" i="65"/>
  <c r="G1145" i="65"/>
  <c r="H1145" i="65"/>
  <c r="F1146" i="65"/>
  <c r="G1146" i="65"/>
  <c r="H1146" i="65"/>
  <c r="F1147" i="65"/>
  <c r="G1147" i="65"/>
  <c r="H1147" i="65"/>
  <c r="F1148" i="65"/>
  <c r="G1148" i="65"/>
  <c r="H1148" i="65"/>
  <c r="F1149" i="65"/>
  <c r="G1149" i="65"/>
  <c r="H1149" i="65"/>
  <c r="F1150" i="65"/>
  <c r="G1150" i="65"/>
  <c r="H1150" i="65"/>
  <c r="F1151" i="65"/>
  <c r="G1151" i="65"/>
  <c r="H1151" i="65"/>
  <c r="F1152" i="65"/>
  <c r="G1152" i="65"/>
  <c r="H1152" i="65"/>
  <c r="F1153" i="65"/>
  <c r="G1153" i="65"/>
  <c r="H1153" i="65"/>
  <c r="F1154" i="65"/>
  <c r="G1154" i="65"/>
  <c r="H1154" i="65"/>
  <c r="F1155" i="65"/>
  <c r="G1155" i="65"/>
  <c r="H1155" i="65"/>
  <c r="F1156" i="65"/>
  <c r="G1156" i="65"/>
  <c r="H1156" i="65"/>
  <c r="F1157" i="65"/>
  <c r="G1157" i="65"/>
  <c r="H1157" i="65"/>
  <c r="F1158" i="65"/>
  <c r="G1158" i="65"/>
  <c r="H1158" i="65"/>
  <c r="F1159" i="65"/>
  <c r="G1159" i="65"/>
  <c r="H1159" i="65"/>
  <c r="F1160" i="65"/>
  <c r="G1160" i="65"/>
  <c r="H1160" i="65"/>
  <c r="F1161" i="65"/>
  <c r="G1161" i="65"/>
  <c r="H1161" i="65"/>
  <c r="F1162" i="65"/>
  <c r="G1162" i="65"/>
  <c r="H1162" i="65"/>
  <c r="F1163" i="65"/>
  <c r="G1163" i="65"/>
  <c r="H1163" i="65"/>
  <c r="F1164" i="65"/>
  <c r="G1164" i="65"/>
  <c r="H1164" i="65"/>
  <c r="F1165" i="65"/>
  <c r="G1165" i="65"/>
  <c r="H1165" i="65"/>
  <c r="F1166" i="65"/>
  <c r="G1166" i="65"/>
  <c r="H1166" i="65"/>
  <c r="F1167" i="65"/>
  <c r="G1167" i="65"/>
  <c r="H1167" i="65"/>
  <c r="F1168" i="65"/>
  <c r="G1168" i="65"/>
  <c r="H1168" i="65"/>
  <c r="F1169" i="65"/>
  <c r="G1169" i="65"/>
  <c r="H1169" i="65"/>
  <c r="F1170" i="65"/>
  <c r="G1170" i="65"/>
  <c r="H1170" i="65"/>
  <c r="F1171" i="65"/>
  <c r="G1171" i="65"/>
  <c r="H1171" i="65"/>
  <c r="F1172" i="65"/>
  <c r="G1172" i="65"/>
  <c r="H1172" i="65"/>
  <c r="F1173" i="65"/>
  <c r="G1173" i="65"/>
  <c r="H1173" i="65"/>
  <c r="F1174" i="65"/>
  <c r="G1174" i="65"/>
  <c r="H1174" i="65"/>
  <c r="F1175" i="65"/>
  <c r="G1175" i="65"/>
  <c r="H1175" i="65"/>
  <c r="F1176" i="65"/>
  <c r="G1176" i="65"/>
  <c r="H1176" i="65"/>
  <c r="F1177" i="65"/>
  <c r="G1177" i="65"/>
  <c r="H1177" i="65"/>
  <c r="F1178" i="65"/>
  <c r="G1178" i="65"/>
  <c r="H1178" i="65"/>
  <c r="F1179" i="65"/>
  <c r="G1179" i="65"/>
  <c r="H1179" i="65"/>
  <c r="F1180" i="65"/>
  <c r="G1180" i="65"/>
  <c r="H1180" i="65"/>
  <c r="F1181" i="65"/>
  <c r="G1181" i="65"/>
  <c r="H1181" i="65"/>
  <c r="F1182" i="65"/>
  <c r="G1182" i="65"/>
  <c r="H1182" i="65"/>
  <c r="F1183" i="65"/>
  <c r="G1183" i="65"/>
  <c r="H1183" i="65"/>
  <c r="F1184" i="65"/>
  <c r="G1184" i="65"/>
  <c r="H1184" i="65"/>
  <c r="F1185" i="65"/>
  <c r="G1185" i="65"/>
  <c r="H1185" i="65"/>
  <c r="F1186" i="65"/>
  <c r="G1186" i="65"/>
  <c r="H1186" i="65"/>
  <c r="F1187" i="65"/>
  <c r="G1187" i="65"/>
  <c r="H1187" i="65"/>
  <c r="F1188" i="65"/>
  <c r="G1188" i="65"/>
  <c r="H1188" i="65"/>
  <c r="F1189" i="65"/>
  <c r="G1189" i="65"/>
  <c r="H1189" i="65"/>
  <c r="F1190" i="65"/>
  <c r="G1190" i="65"/>
  <c r="H1190" i="65"/>
  <c r="F1191" i="65"/>
  <c r="G1191" i="65"/>
  <c r="H1191" i="65"/>
  <c r="F1192" i="65"/>
  <c r="G1192" i="65"/>
  <c r="H1192" i="65"/>
  <c r="F1193" i="65"/>
  <c r="G1193" i="65"/>
  <c r="H1193" i="65"/>
  <c r="F1194" i="65"/>
  <c r="G1194" i="65"/>
  <c r="H1194" i="65"/>
  <c r="F1195" i="65"/>
  <c r="G1195" i="65"/>
  <c r="H1195" i="65"/>
  <c r="F1196" i="65"/>
  <c r="G1196" i="65"/>
  <c r="H1196" i="65"/>
  <c r="F1197" i="65"/>
  <c r="G1197" i="65"/>
  <c r="H1197" i="65"/>
  <c r="F1198" i="65"/>
  <c r="G1198" i="65"/>
  <c r="H1198" i="65"/>
  <c r="F1199" i="65"/>
  <c r="G1199" i="65"/>
  <c r="H1199" i="65"/>
  <c r="F1200" i="65"/>
  <c r="G1200" i="65"/>
  <c r="H1200" i="65"/>
  <c r="F1201" i="65"/>
  <c r="G1201" i="65"/>
  <c r="H1201" i="65"/>
  <c r="F1202" i="65"/>
  <c r="G1202" i="65"/>
  <c r="H1202" i="65"/>
  <c r="F1203" i="65"/>
  <c r="G1203" i="65"/>
  <c r="H1203" i="65"/>
  <c r="F1204" i="65"/>
  <c r="G1204" i="65"/>
  <c r="H1204" i="65"/>
  <c r="F1205" i="65"/>
  <c r="G1205" i="65"/>
  <c r="H1205" i="65"/>
  <c r="F1206" i="65"/>
  <c r="G1206" i="65"/>
  <c r="H1206" i="65"/>
  <c r="F1207" i="65"/>
  <c r="G1207" i="65"/>
  <c r="H1207" i="65"/>
  <c r="F1208" i="65"/>
  <c r="G1208" i="65"/>
  <c r="H1208" i="65"/>
  <c r="F1209" i="65"/>
  <c r="G1209" i="65"/>
  <c r="H1209" i="65"/>
  <c r="F1210" i="65"/>
  <c r="G1210" i="65"/>
  <c r="H1210" i="65"/>
  <c r="F1211" i="65"/>
  <c r="G1211" i="65"/>
  <c r="H1211" i="65"/>
  <c r="F1212" i="65"/>
  <c r="G1212" i="65"/>
  <c r="H1212" i="65"/>
  <c r="F1213" i="65"/>
  <c r="G1213" i="65"/>
  <c r="H1213" i="65"/>
  <c r="F1214" i="65"/>
  <c r="G1214" i="65"/>
  <c r="H1214" i="65"/>
  <c r="F1215" i="65"/>
  <c r="G1215" i="65"/>
  <c r="H1215" i="65"/>
  <c r="F1216" i="65"/>
  <c r="G1216" i="65"/>
  <c r="H1216" i="65"/>
  <c r="F1217" i="65"/>
  <c r="G1217" i="65"/>
  <c r="H1217" i="65"/>
  <c r="F1218" i="65"/>
  <c r="G1218" i="65"/>
  <c r="H1218" i="65"/>
  <c r="F1219" i="65"/>
  <c r="G1219" i="65"/>
  <c r="H1219" i="65"/>
  <c r="F1220" i="65"/>
  <c r="G1220" i="65"/>
  <c r="H1220" i="65"/>
  <c r="F1221" i="65"/>
  <c r="G1221" i="65"/>
  <c r="H1221" i="65"/>
  <c r="H3" i="65"/>
  <c r="G3" i="65"/>
  <c r="F3" i="65"/>
  <c r="O1182" i="4"/>
  <c r="O1157" i="4"/>
  <c r="O1156" i="4"/>
  <c r="O1215" i="4"/>
  <c r="O1133" i="4"/>
  <c r="O1134" i="4"/>
  <c r="O1107" i="4"/>
  <c r="O1052" i="4"/>
  <c r="O1195" i="4"/>
  <c r="O1054" i="4"/>
  <c r="O1057" i="4"/>
  <c r="O1229" i="4"/>
  <c r="O1149" i="4"/>
  <c r="P1008" i="4"/>
  <c r="P1122" i="4"/>
  <c r="P1179" i="4"/>
  <c r="P1152" i="4"/>
  <c r="P1209" i="4"/>
  <c r="P1210" i="4"/>
  <c r="P1183" i="4"/>
  <c r="P1045" i="4"/>
  <c r="P1212" i="4"/>
  <c r="P1187" i="4"/>
  <c r="P1130" i="4"/>
  <c r="P1132" i="4"/>
  <c r="P1021" i="4"/>
  <c r="P1106" i="4"/>
  <c r="P1107" i="4"/>
  <c r="P1193" i="4"/>
  <c r="P1108" i="4"/>
  <c r="P1195" i="4"/>
  <c r="P1082" i="4"/>
  <c r="P1141" i="4"/>
  <c r="P1196" i="4"/>
  <c r="P1203" i="4"/>
  <c r="P1143" i="4"/>
  <c r="P1226" i="4"/>
  <c r="P1118" i="4"/>
  <c r="P1229" i="4"/>
  <c r="P1144" i="4"/>
  <c r="P1177" i="4"/>
  <c r="Y1344" i="62"/>
  <c r="Y1345" i="62"/>
  <c r="Y1346" i="62"/>
  <c r="Y1347" i="62"/>
  <c r="Y1348" i="62"/>
  <c r="Y1349" i="62"/>
  <c r="Y1350" i="62"/>
  <c r="Y1351" i="62"/>
  <c r="Y1352" i="62"/>
  <c r="Y1353" i="62"/>
  <c r="Y1354" i="62"/>
  <c r="Y1355" i="62"/>
  <c r="Y1356" i="62"/>
  <c r="Y1357" i="62"/>
  <c r="Y1358" i="62"/>
  <c r="Y1359" i="62"/>
  <c r="Y1360" i="62"/>
  <c r="Y1361" i="62"/>
  <c r="Y1362" i="62"/>
  <c r="Y1363" i="62"/>
  <c r="Y1364" i="62"/>
  <c r="Y1365" i="62"/>
  <c r="Y1366" i="62"/>
  <c r="Y1367" i="62"/>
  <c r="Y1368" i="62"/>
  <c r="Y1369" i="62"/>
  <c r="Y1370" i="62"/>
  <c r="Y1371" i="62"/>
  <c r="Y1372" i="62"/>
  <c r="Y1318" i="62"/>
  <c r="Y1319" i="62"/>
  <c r="Y1320" i="62"/>
  <c r="Y1321" i="62"/>
  <c r="Y1322" i="62"/>
  <c r="Y1323" i="62"/>
  <c r="Y1324" i="62"/>
  <c r="Y1325" i="62"/>
  <c r="Y1326" i="62"/>
  <c r="Y1327" i="62"/>
  <c r="Y1328" i="62"/>
  <c r="Y1329" i="62"/>
  <c r="Y1330" i="62"/>
  <c r="Y1331" i="62"/>
  <c r="Y1332" i="62"/>
  <c r="Y1333" i="62"/>
  <c r="Y1334" i="62"/>
  <c r="Y1335" i="62"/>
  <c r="Y1336" i="62"/>
  <c r="Y1337" i="62"/>
  <c r="Y1338" i="62"/>
  <c r="Y1339" i="62"/>
  <c r="Y1340" i="62"/>
  <c r="Y1341" i="62"/>
  <c r="Y1342" i="62"/>
  <c r="Y1343" i="62"/>
  <c r="Y1289" i="62"/>
  <c r="Y1290" i="62"/>
  <c r="Y1291" i="62"/>
  <c r="Y1292" i="62"/>
  <c r="Y1293" i="62"/>
  <c r="Y1294" i="62"/>
  <c r="Y1295" i="62"/>
  <c r="Y1296" i="62"/>
  <c r="Y1297" i="62"/>
  <c r="Y1298" i="62"/>
  <c r="Y1299" i="62"/>
  <c r="Y1300" i="62"/>
  <c r="Y1301" i="62"/>
  <c r="Y1302" i="62"/>
  <c r="Y1303" i="62"/>
  <c r="Y1304" i="62"/>
  <c r="Y1305" i="62"/>
  <c r="Y1306" i="62"/>
  <c r="Y1307" i="62"/>
  <c r="Y1308" i="62"/>
  <c r="Y1309" i="62"/>
  <c r="Y1310" i="62"/>
  <c r="Y1311" i="62"/>
  <c r="Y1312" i="62"/>
  <c r="Y1313" i="62"/>
  <c r="Y1314" i="62"/>
  <c r="Y1315" i="62"/>
  <c r="Y1316" i="62"/>
  <c r="Y1317" i="62"/>
  <c r="Y1260" i="62"/>
  <c r="Y1261" i="62"/>
  <c r="Y1262" i="62"/>
  <c r="Y1263" i="62"/>
  <c r="Y1264" i="62"/>
  <c r="Y1265" i="62"/>
  <c r="Y1266" i="62"/>
  <c r="Y1267" i="62"/>
  <c r="Y1268" i="62"/>
  <c r="Y1269" i="62"/>
  <c r="Y1270" i="62"/>
  <c r="Y1271" i="62"/>
  <c r="Y1272" i="62"/>
  <c r="Y1273" i="62"/>
  <c r="Y1274" i="62"/>
  <c r="Y1275" i="62"/>
  <c r="Y1276" i="62"/>
  <c r="Y1277" i="62"/>
  <c r="Y1278" i="62"/>
  <c r="Y1279" i="62"/>
  <c r="Y1280" i="62"/>
  <c r="Y1281" i="62"/>
  <c r="Y1282" i="62"/>
  <c r="Y1283" i="62"/>
  <c r="Y1284" i="62"/>
  <c r="Y1285" i="62"/>
  <c r="Y1286" i="62"/>
  <c r="Y1287" i="62"/>
  <c r="Y1288" i="62"/>
  <c r="Y1231" i="62"/>
  <c r="Y1232" i="62"/>
  <c r="Y1233" i="62"/>
  <c r="Y1234" i="62"/>
  <c r="Y1235" i="62"/>
  <c r="Y1236" i="62"/>
  <c r="Y1237" i="62"/>
  <c r="Y1238" i="62"/>
  <c r="Y1239" i="62"/>
  <c r="Y1240" i="62"/>
  <c r="Y1241" i="62"/>
  <c r="Y1242" i="62"/>
  <c r="Y1243" i="62"/>
  <c r="Y1244" i="62"/>
  <c r="Y1245" i="62"/>
  <c r="Y1246" i="62"/>
  <c r="Y1247" i="62"/>
  <c r="Y1248" i="62"/>
  <c r="Y1249" i="62"/>
  <c r="Y1250" i="62"/>
  <c r="Y1251" i="62"/>
  <c r="Y1252" i="62"/>
  <c r="Y1253" i="62"/>
  <c r="Y1254" i="62"/>
  <c r="Y1255" i="62"/>
  <c r="Y1256" i="62"/>
  <c r="Y1257" i="62"/>
  <c r="Y1258" i="62"/>
  <c r="Y1259" i="62"/>
  <c r="Y1202" i="62"/>
  <c r="Y1203" i="62"/>
  <c r="Y1204" i="62"/>
  <c r="Y1205" i="62"/>
  <c r="Y1206" i="62"/>
  <c r="Y1207" i="62"/>
  <c r="Y1208" i="62"/>
  <c r="Y1209" i="62"/>
  <c r="Y1210" i="62"/>
  <c r="Y1211" i="62"/>
  <c r="Y1212" i="62"/>
  <c r="Y1213" i="62"/>
  <c r="Y1214" i="62"/>
  <c r="Y1215" i="62"/>
  <c r="Y1216" i="62"/>
  <c r="Y1217" i="62"/>
  <c r="Y1218" i="62"/>
  <c r="Y1219" i="62"/>
  <c r="Y1220" i="62"/>
  <c r="Y1221" i="62"/>
  <c r="Y1222" i="62"/>
  <c r="Y1223" i="62"/>
  <c r="Y1224" i="62"/>
  <c r="Y1225" i="62"/>
  <c r="Y1226" i="62"/>
  <c r="Y1227" i="62"/>
  <c r="Y1228" i="62"/>
  <c r="Y1229" i="62"/>
  <c r="Y1230" i="62"/>
  <c r="Y1173" i="62"/>
  <c r="Y1174" i="62"/>
  <c r="Y1175" i="62"/>
  <c r="Y1176" i="62"/>
  <c r="Y1177" i="62"/>
  <c r="Y1178" i="62"/>
  <c r="Y1179" i="62"/>
  <c r="Y1180" i="62"/>
  <c r="Y1181" i="62"/>
  <c r="Y1182" i="62"/>
  <c r="Y1183" i="62"/>
  <c r="Y1184" i="62"/>
  <c r="Y1185" i="62"/>
  <c r="Y1186" i="62"/>
  <c r="Y1187" i="62"/>
  <c r="Y1188" i="62"/>
  <c r="Y1189" i="62"/>
  <c r="Y1190" i="62"/>
  <c r="Y1191" i="62"/>
  <c r="Y1192" i="62"/>
  <c r="Y1193" i="62"/>
  <c r="Y1194" i="62"/>
  <c r="Y1195" i="62"/>
  <c r="Y1196" i="62"/>
  <c r="Y1197" i="62"/>
  <c r="Y1198" i="62"/>
  <c r="Y1199" i="62"/>
  <c r="Y1200" i="62"/>
  <c r="Y1201" i="62"/>
  <c r="Y1144" i="62"/>
  <c r="Y1145" i="62"/>
  <c r="Y1146" i="62"/>
  <c r="Y1147" i="62"/>
  <c r="Y1148" i="62"/>
  <c r="Y1149" i="62"/>
  <c r="Y1150" i="62"/>
  <c r="Y1151" i="62"/>
  <c r="Y1152" i="62"/>
  <c r="Y1153" i="62"/>
  <c r="Y1154" i="62"/>
  <c r="Y1155" i="62"/>
  <c r="Y1156" i="62"/>
  <c r="Y1157" i="62"/>
  <c r="Y1158" i="62"/>
  <c r="Y1159" i="62"/>
  <c r="Y1160" i="62"/>
  <c r="Y1161" i="62"/>
  <c r="Y1162" i="62"/>
  <c r="Y1163" i="62"/>
  <c r="Y1164" i="62"/>
  <c r="Y1165" i="62"/>
  <c r="Y1166" i="62"/>
  <c r="Y1167" i="62"/>
  <c r="Y1168" i="62"/>
  <c r="Y1169" i="62"/>
  <c r="Y1170" i="62"/>
  <c r="Y1171" i="62"/>
  <c r="Y1172" i="62"/>
  <c r="Y1115" i="62"/>
  <c r="Y1116" i="62"/>
  <c r="Y1117" i="62"/>
  <c r="Y1118" i="62"/>
  <c r="Y1119" i="62"/>
  <c r="Y1120" i="62"/>
  <c r="Y1121" i="62"/>
  <c r="Y1122" i="62"/>
  <c r="Y1123" i="62"/>
  <c r="Y1124" i="62"/>
  <c r="Y1125" i="62"/>
  <c r="Y1126" i="62"/>
  <c r="Y1127" i="62"/>
  <c r="Y1128" i="62"/>
  <c r="Y1129" i="62"/>
  <c r="Y1130" i="62"/>
  <c r="Y1131" i="62"/>
  <c r="Y1132" i="62"/>
  <c r="Y1133" i="62"/>
  <c r="Y1134" i="62"/>
  <c r="Y1135" i="62"/>
  <c r="Y1136" i="62"/>
  <c r="Y1137" i="62"/>
  <c r="Y1138" i="62"/>
  <c r="Y1139" i="62"/>
  <c r="Y1140" i="62"/>
  <c r="Y1141" i="62"/>
  <c r="Y1142" i="62"/>
  <c r="Y1143" i="62"/>
  <c r="Y1086" i="62"/>
  <c r="Y1087" i="62"/>
  <c r="Y1088" i="62"/>
  <c r="Y1089" i="62"/>
  <c r="Y1090" i="62"/>
  <c r="Y1091" i="62"/>
  <c r="Y1092" i="62"/>
  <c r="Y1093" i="62"/>
  <c r="Y1094" i="62"/>
  <c r="Y1095" i="62"/>
  <c r="Y1096" i="62"/>
  <c r="Y1097" i="62"/>
  <c r="Y1098" i="62"/>
  <c r="Y1099" i="62"/>
  <c r="Y1100" i="62"/>
  <c r="Y1101" i="62"/>
  <c r="Y1102" i="62"/>
  <c r="Y1103" i="62"/>
  <c r="Y1104" i="62"/>
  <c r="Y1105" i="62"/>
  <c r="Y1106" i="62"/>
  <c r="Y1107" i="62"/>
  <c r="Y1108" i="62"/>
  <c r="Y1109" i="62"/>
  <c r="Y1110" i="62"/>
  <c r="Y1111" i="62"/>
  <c r="Y1112" i="62"/>
  <c r="Y1113" i="62"/>
  <c r="Y1114" i="62"/>
  <c r="Y1057" i="62"/>
  <c r="Y1058" i="62"/>
  <c r="Y1059" i="62"/>
  <c r="Y1060" i="62"/>
  <c r="Y1061" i="62"/>
  <c r="Y1062" i="62"/>
  <c r="Y1063" i="62"/>
  <c r="Y1064" i="62"/>
  <c r="Y1065" i="62"/>
  <c r="Y1066" i="62"/>
  <c r="Y1067" i="62"/>
  <c r="Y1068" i="62"/>
  <c r="Y1069" i="62"/>
  <c r="Y1070" i="62"/>
  <c r="Y1071" i="62"/>
  <c r="Y1072" i="62"/>
  <c r="Y1073" i="62"/>
  <c r="Y1074" i="62"/>
  <c r="Y1075" i="62"/>
  <c r="Y1076" i="62"/>
  <c r="Y1077" i="62"/>
  <c r="Y1078" i="62"/>
  <c r="Y1079" i="62"/>
  <c r="Y1080" i="62"/>
  <c r="Y1081" i="62"/>
  <c r="Y1082" i="62"/>
  <c r="Y1083" i="62"/>
  <c r="Y1084" i="62"/>
  <c r="Y1085" i="62"/>
  <c r="Y1028" i="62"/>
  <c r="Y1029" i="62"/>
  <c r="Y1030" i="62"/>
  <c r="Y1031" i="62"/>
  <c r="Y1032" i="62"/>
  <c r="Y1033" i="62"/>
  <c r="Y1034" i="62"/>
  <c r="Y1035" i="62"/>
  <c r="Y1036" i="62"/>
  <c r="Y1037" i="62"/>
  <c r="Y1038" i="62"/>
  <c r="Y1039" i="62"/>
  <c r="Y1040" i="62"/>
  <c r="Y1041" i="62"/>
  <c r="Y1042" i="62"/>
  <c r="Y1043" i="62"/>
  <c r="Y1044" i="62"/>
  <c r="Y1045" i="62"/>
  <c r="Y1046" i="62"/>
  <c r="Y1047" i="62"/>
  <c r="Y1048" i="62"/>
  <c r="Y1049" i="62"/>
  <c r="Y1050" i="62"/>
  <c r="Y1051" i="62"/>
  <c r="Y1052" i="62"/>
  <c r="Y1053" i="62"/>
  <c r="Y1054" i="62"/>
  <c r="Y1055" i="62"/>
  <c r="Y1056" i="62"/>
  <c r="Y999" i="62"/>
  <c r="Y1000" i="62"/>
  <c r="Y1001" i="62"/>
  <c r="Y1002" i="62"/>
  <c r="Y1003" i="62"/>
  <c r="Y1004" i="62"/>
  <c r="Y1005" i="62"/>
  <c r="Y1006" i="62"/>
  <c r="Y1007" i="62"/>
  <c r="Y1008" i="62"/>
  <c r="Y1009" i="62"/>
  <c r="Y1010" i="62"/>
  <c r="Y1011" i="62"/>
  <c r="Y1012" i="62"/>
  <c r="Y1013" i="62"/>
  <c r="Y1014" i="62"/>
  <c r="Y1015" i="62"/>
  <c r="Y1016" i="62"/>
  <c r="Y1017" i="62"/>
  <c r="Y1018" i="62"/>
  <c r="Y1019" i="62"/>
  <c r="Y1020" i="62"/>
  <c r="Y1021" i="62"/>
  <c r="Y1022" i="62"/>
  <c r="Y1023" i="62"/>
  <c r="Y1024" i="62"/>
  <c r="Y1025" i="62"/>
  <c r="Y1026" i="62"/>
  <c r="Y1027" i="62"/>
  <c r="Y970" i="62"/>
  <c r="Y971" i="62"/>
  <c r="Y972" i="62"/>
  <c r="Y973" i="62"/>
  <c r="Y974" i="62"/>
  <c r="Y975" i="62"/>
  <c r="Y976" i="62"/>
  <c r="Y977" i="62"/>
  <c r="Y978" i="62"/>
  <c r="Y979" i="62"/>
  <c r="Y980" i="62"/>
  <c r="Y981" i="62"/>
  <c r="Y982" i="62"/>
  <c r="Y983" i="62"/>
  <c r="Y984" i="62"/>
  <c r="Y985" i="62"/>
  <c r="Y986" i="62"/>
  <c r="Y987" i="62"/>
  <c r="Y988" i="62"/>
  <c r="Y989" i="62"/>
  <c r="Y990" i="62"/>
  <c r="Y991" i="62"/>
  <c r="Y992" i="62"/>
  <c r="Y993" i="62"/>
  <c r="Y994" i="62"/>
  <c r="Y995" i="62"/>
  <c r="Y996" i="62"/>
  <c r="Y997" i="62"/>
  <c r="Y998" i="62"/>
  <c r="Y941" i="62"/>
  <c r="Y942" i="62"/>
  <c r="Y943" i="62"/>
  <c r="Y944" i="62"/>
  <c r="Y945" i="62"/>
  <c r="Y946" i="62"/>
  <c r="Y947" i="62"/>
  <c r="Y948" i="62"/>
  <c r="Y949" i="62"/>
  <c r="Y950" i="62"/>
  <c r="Y951" i="62"/>
  <c r="Y952" i="62"/>
  <c r="Y953" i="62"/>
  <c r="Y954" i="62"/>
  <c r="Y955" i="62"/>
  <c r="Y956" i="62"/>
  <c r="Y957" i="62"/>
  <c r="Y958" i="62"/>
  <c r="Y959" i="62"/>
  <c r="Y960" i="62"/>
  <c r="Y961" i="62"/>
  <c r="Y962" i="62"/>
  <c r="Y963" i="62"/>
  <c r="Y964" i="62"/>
  <c r="Y965" i="62"/>
  <c r="Y966" i="62"/>
  <c r="Y967" i="62"/>
  <c r="Y968" i="62"/>
  <c r="Y969" i="62"/>
  <c r="Y912" i="62"/>
  <c r="Y913" i="62"/>
  <c r="Y914" i="62"/>
  <c r="Y915" i="62"/>
  <c r="Y916" i="62"/>
  <c r="Y917" i="62"/>
  <c r="Y918" i="62"/>
  <c r="Y919" i="62"/>
  <c r="Y920" i="62"/>
  <c r="Y921" i="62"/>
  <c r="Y922" i="62"/>
  <c r="Y923" i="62"/>
  <c r="Y924" i="62"/>
  <c r="Y925" i="62"/>
  <c r="Y926" i="62"/>
  <c r="Y927" i="62"/>
  <c r="Y928" i="62"/>
  <c r="Y929" i="62"/>
  <c r="Y930" i="62"/>
  <c r="Y931" i="62"/>
  <c r="Y932" i="62"/>
  <c r="Y933" i="62"/>
  <c r="Y934" i="62"/>
  <c r="Y935" i="62"/>
  <c r="Y936" i="62"/>
  <c r="Y937" i="62"/>
  <c r="Y938" i="62"/>
  <c r="Y939" i="62"/>
  <c r="Y940" i="62"/>
  <c r="Y883" i="62"/>
  <c r="Y884" i="62"/>
  <c r="Y885" i="62"/>
  <c r="Y886" i="62"/>
  <c r="Y887" i="62"/>
  <c r="Y888" i="62"/>
  <c r="Y889" i="62"/>
  <c r="Y890" i="62"/>
  <c r="Y891" i="62"/>
  <c r="Y892" i="62"/>
  <c r="Y893" i="62"/>
  <c r="Y894" i="62"/>
  <c r="Y895" i="62"/>
  <c r="Y896" i="62"/>
  <c r="Y897" i="62"/>
  <c r="Y898" i="62"/>
  <c r="Y899" i="62"/>
  <c r="Y900" i="62"/>
  <c r="Y901" i="62"/>
  <c r="Y902" i="62"/>
  <c r="Y903" i="62"/>
  <c r="Y904" i="62"/>
  <c r="Y905" i="62"/>
  <c r="Y906" i="62"/>
  <c r="Y907" i="62"/>
  <c r="Y908" i="62"/>
  <c r="Y909" i="62"/>
  <c r="Y910" i="62"/>
  <c r="Y911" i="62"/>
  <c r="Y854" i="62"/>
  <c r="Y855" i="62"/>
  <c r="Y856" i="62"/>
  <c r="Y857" i="62"/>
  <c r="Y858" i="62"/>
  <c r="Y859" i="62"/>
  <c r="Y860" i="62"/>
  <c r="Y861" i="62"/>
  <c r="Y862" i="62"/>
  <c r="Y863" i="62"/>
  <c r="Y864" i="62"/>
  <c r="Y865" i="62"/>
  <c r="Y866" i="62"/>
  <c r="Y867" i="62"/>
  <c r="Y868" i="62"/>
  <c r="Y869" i="62"/>
  <c r="Y870" i="62"/>
  <c r="Y871" i="62"/>
  <c r="Y872" i="62"/>
  <c r="Y873" i="62"/>
  <c r="Y874" i="62"/>
  <c r="Y875" i="62"/>
  <c r="Y876" i="62"/>
  <c r="Y877" i="62"/>
  <c r="Y878" i="62"/>
  <c r="Y879" i="62"/>
  <c r="Y880" i="62"/>
  <c r="Y881" i="62"/>
  <c r="Y882" i="62"/>
  <c r="Y825" i="62"/>
  <c r="Y826" i="62"/>
  <c r="Y827" i="62"/>
  <c r="Y828" i="62"/>
  <c r="Y829" i="62"/>
  <c r="Y830" i="62"/>
  <c r="Y831" i="62"/>
  <c r="Y832" i="62"/>
  <c r="Y833" i="62"/>
  <c r="Y834" i="62"/>
  <c r="Y835" i="62"/>
  <c r="Y836" i="62"/>
  <c r="Y837" i="62"/>
  <c r="Y838" i="62"/>
  <c r="Y839" i="62"/>
  <c r="Y840" i="62"/>
  <c r="Y841" i="62"/>
  <c r="Y842" i="62"/>
  <c r="Y843" i="62"/>
  <c r="Y844" i="62"/>
  <c r="Y845" i="62"/>
  <c r="Y846" i="62"/>
  <c r="Y847" i="62"/>
  <c r="Y848" i="62"/>
  <c r="Y849" i="62"/>
  <c r="Y850" i="62"/>
  <c r="Y851" i="62"/>
  <c r="Y852" i="62"/>
  <c r="Y853" i="62"/>
  <c r="Y796" i="62"/>
  <c r="Y797" i="62"/>
  <c r="Y798" i="62"/>
  <c r="Y799" i="62"/>
  <c r="Y800" i="62"/>
  <c r="Y801" i="62"/>
  <c r="Y802" i="62"/>
  <c r="Y803" i="62"/>
  <c r="Y804" i="62"/>
  <c r="Y805" i="62"/>
  <c r="Y806" i="62"/>
  <c r="Y807" i="62"/>
  <c r="Y808" i="62"/>
  <c r="Y809" i="62"/>
  <c r="Y810" i="62"/>
  <c r="Y811" i="62"/>
  <c r="Y812" i="62"/>
  <c r="Y813" i="62"/>
  <c r="Y814" i="62"/>
  <c r="Y815" i="62"/>
  <c r="Y816" i="62"/>
  <c r="Y817" i="62"/>
  <c r="Y818" i="62"/>
  <c r="Y819" i="62"/>
  <c r="Y820" i="62"/>
  <c r="Y821" i="62"/>
  <c r="Y822" i="62"/>
  <c r="Y823" i="62"/>
  <c r="Y824" i="62"/>
  <c r="Y767" i="62"/>
  <c r="Y768" i="62"/>
  <c r="Y769" i="62"/>
  <c r="Y770" i="62"/>
  <c r="Y771" i="62"/>
  <c r="Y772" i="62"/>
  <c r="Y773" i="62"/>
  <c r="Y774" i="62"/>
  <c r="Y775" i="62"/>
  <c r="Y776" i="62"/>
  <c r="Y777" i="62"/>
  <c r="Y778" i="62"/>
  <c r="Y779" i="62"/>
  <c r="Y780" i="62"/>
  <c r="Y781" i="62"/>
  <c r="Y782" i="62"/>
  <c r="Y783" i="62"/>
  <c r="Y784" i="62"/>
  <c r="Y785" i="62"/>
  <c r="Y786" i="62"/>
  <c r="Y787" i="62"/>
  <c r="Y788" i="62"/>
  <c r="Y789" i="62"/>
  <c r="Y790" i="62"/>
  <c r="Y791" i="62"/>
  <c r="Y792" i="62"/>
  <c r="Y793" i="62"/>
  <c r="Y794" i="62"/>
  <c r="Y795" i="62"/>
  <c r="Y738" i="62"/>
  <c r="Y739" i="62"/>
  <c r="Y740" i="62"/>
  <c r="Y741" i="62"/>
  <c r="Y742" i="62"/>
  <c r="Y743" i="62"/>
  <c r="Y744" i="62"/>
  <c r="Y745" i="62"/>
  <c r="Y746" i="62"/>
  <c r="Y747" i="62"/>
  <c r="Y748" i="62"/>
  <c r="Y749" i="62"/>
  <c r="Y750" i="62"/>
  <c r="Y751" i="62"/>
  <c r="Y752" i="62"/>
  <c r="Y753" i="62"/>
  <c r="Y754" i="62"/>
  <c r="Y755" i="62"/>
  <c r="Y756" i="62"/>
  <c r="Y757" i="62"/>
  <c r="Y758" i="62"/>
  <c r="Y759" i="62"/>
  <c r="Y760" i="62"/>
  <c r="Y761" i="62"/>
  <c r="Y762" i="62"/>
  <c r="Y763" i="62"/>
  <c r="Y764" i="62"/>
  <c r="Y765" i="62"/>
  <c r="Y766" i="62"/>
  <c r="Y709" i="62"/>
  <c r="Y710" i="62"/>
  <c r="Y711" i="62"/>
  <c r="Y712" i="62"/>
  <c r="Y713" i="62"/>
  <c r="Y714" i="62"/>
  <c r="Y715" i="62"/>
  <c r="Y716" i="62"/>
  <c r="Y717" i="62"/>
  <c r="Y718" i="62"/>
  <c r="Y719" i="62"/>
  <c r="Y720" i="62"/>
  <c r="Y721" i="62"/>
  <c r="Y722" i="62"/>
  <c r="Y723" i="62"/>
  <c r="Y724" i="62"/>
  <c r="Y725" i="62"/>
  <c r="Y726" i="62"/>
  <c r="Y727" i="62"/>
  <c r="Y728" i="62"/>
  <c r="Y729" i="62"/>
  <c r="Y730" i="62"/>
  <c r="Y731" i="62"/>
  <c r="Y732" i="62"/>
  <c r="Y733" i="62"/>
  <c r="Y734" i="62"/>
  <c r="Y735" i="62"/>
  <c r="Y736" i="62"/>
  <c r="Y737" i="62"/>
  <c r="Y680" i="62"/>
  <c r="Y681" i="62"/>
  <c r="Y682" i="62"/>
  <c r="Y683" i="62"/>
  <c r="Y684" i="62"/>
  <c r="Y685" i="62"/>
  <c r="Y686" i="62"/>
  <c r="Y687" i="62"/>
  <c r="Y688" i="62"/>
  <c r="Y689" i="62"/>
  <c r="Y690" i="62"/>
  <c r="Y691" i="62"/>
  <c r="Y692" i="62"/>
  <c r="Y693" i="62"/>
  <c r="Y694" i="62"/>
  <c r="Y695" i="62"/>
  <c r="Y696" i="62"/>
  <c r="Y697" i="62"/>
  <c r="Y698" i="62"/>
  <c r="Y699" i="62"/>
  <c r="Y700" i="62"/>
  <c r="Y701" i="62"/>
  <c r="Y702" i="62"/>
  <c r="Y703" i="62"/>
  <c r="Y704" i="62"/>
  <c r="Y705" i="62"/>
  <c r="Y706" i="62"/>
  <c r="Y707" i="62"/>
  <c r="Y708" i="62"/>
  <c r="Y651" i="62"/>
  <c r="Y652" i="62"/>
  <c r="Y653" i="62"/>
  <c r="Y654" i="62"/>
  <c r="Y655" i="62"/>
  <c r="Y656" i="62"/>
  <c r="Y657" i="62"/>
  <c r="Y658" i="62"/>
  <c r="Y659" i="62"/>
  <c r="Y660" i="62"/>
  <c r="Y661" i="62"/>
  <c r="Y662" i="62"/>
  <c r="Y663" i="62"/>
  <c r="Y664" i="62"/>
  <c r="Y665" i="62"/>
  <c r="Y666" i="62"/>
  <c r="Y667" i="62"/>
  <c r="Y668" i="62"/>
  <c r="Y669" i="62"/>
  <c r="Y670" i="62"/>
  <c r="Y671" i="62"/>
  <c r="Y672" i="62"/>
  <c r="Y673" i="62"/>
  <c r="Y674" i="62"/>
  <c r="Y675" i="62"/>
  <c r="Y676" i="62"/>
  <c r="Y677" i="62"/>
  <c r="Y678" i="62"/>
  <c r="Y679" i="62"/>
  <c r="Y622" i="62"/>
  <c r="Y623" i="62"/>
  <c r="Y624" i="62"/>
  <c r="Y625" i="62"/>
  <c r="Y626" i="62"/>
  <c r="Y627" i="62"/>
  <c r="Y628" i="62"/>
  <c r="Y629" i="62"/>
  <c r="Y630" i="62"/>
  <c r="Y631" i="62"/>
  <c r="Y632" i="62"/>
  <c r="Y633" i="62"/>
  <c r="Y634" i="62"/>
  <c r="Y635" i="62"/>
  <c r="Y636" i="62"/>
  <c r="Y637" i="62"/>
  <c r="Y638" i="62"/>
  <c r="Y639" i="62"/>
  <c r="Y640" i="62"/>
  <c r="Y641" i="62"/>
  <c r="Y642" i="62"/>
  <c r="Y643" i="62"/>
  <c r="Y644" i="62"/>
  <c r="Y645" i="62"/>
  <c r="Y646" i="62"/>
  <c r="Y647" i="62"/>
  <c r="Y648" i="62"/>
  <c r="Y649" i="62"/>
  <c r="Y650" i="62"/>
  <c r="Y593" i="62"/>
  <c r="Y594" i="62"/>
  <c r="Y595" i="62"/>
  <c r="Y596" i="62"/>
  <c r="Y597" i="62"/>
  <c r="Y598" i="62"/>
  <c r="Y599" i="62"/>
  <c r="Y600" i="62"/>
  <c r="Y601" i="62"/>
  <c r="Y602" i="62"/>
  <c r="Y603" i="62"/>
  <c r="Y604" i="62"/>
  <c r="Y605" i="62"/>
  <c r="Y606" i="62"/>
  <c r="Y607" i="62"/>
  <c r="Y608" i="62"/>
  <c r="Y609" i="62"/>
  <c r="Y610" i="62"/>
  <c r="Y611" i="62"/>
  <c r="Y612" i="62"/>
  <c r="Y613" i="62"/>
  <c r="Y614" i="62"/>
  <c r="Y615" i="62"/>
  <c r="Y616" i="62"/>
  <c r="Y617" i="62"/>
  <c r="Y618" i="62"/>
  <c r="Y619" i="62"/>
  <c r="Y620" i="62"/>
  <c r="Y621" i="62"/>
  <c r="Y564" i="62"/>
  <c r="Y565" i="62"/>
  <c r="Y566" i="62"/>
  <c r="Y567" i="62"/>
  <c r="Y568" i="62"/>
  <c r="Y569" i="62"/>
  <c r="Y570" i="62"/>
  <c r="Y571" i="62"/>
  <c r="Y572" i="62"/>
  <c r="Y573" i="62"/>
  <c r="Y574" i="62"/>
  <c r="Y575" i="62"/>
  <c r="Y576" i="62"/>
  <c r="Y577" i="62"/>
  <c r="Y578" i="62"/>
  <c r="Y579" i="62"/>
  <c r="Y580" i="62"/>
  <c r="Y581" i="62"/>
  <c r="Y582" i="62"/>
  <c r="Y583" i="62"/>
  <c r="Y584" i="62"/>
  <c r="Y585" i="62"/>
  <c r="Y586" i="62"/>
  <c r="Y587" i="62"/>
  <c r="Y588" i="62"/>
  <c r="Y589" i="62"/>
  <c r="Y590" i="62"/>
  <c r="Y591" i="62"/>
  <c r="Y592" i="62"/>
  <c r="Y535" i="62"/>
  <c r="Y536" i="62"/>
  <c r="Y537" i="62"/>
  <c r="Y538" i="62"/>
  <c r="Y539" i="62"/>
  <c r="Y540" i="62"/>
  <c r="Y541" i="62"/>
  <c r="Y542" i="62"/>
  <c r="Y543" i="62"/>
  <c r="Y544" i="62"/>
  <c r="Y545" i="62"/>
  <c r="Y546" i="62"/>
  <c r="Y547" i="62"/>
  <c r="Y548" i="62"/>
  <c r="Y549" i="62"/>
  <c r="Y550" i="62"/>
  <c r="Y551" i="62"/>
  <c r="Y552" i="62"/>
  <c r="Y553" i="62"/>
  <c r="Y554" i="62"/>
  <c r="Y555" i="62"/>
  <c r="Y556" i="62"/>
  <c r="Y557" i="62"/>
  <c r="Y558" i="62"/>
  <c r="Y559" i="62"/>
  <c r="Y560" i="62"/>
  <c r="Y561" i="62"/>
  <c r="Y562" i="62"/>
  <c r="Y563" i="62"/>
  <c r="Y506" i="62"/>
  <c r="Y507" i="62"/>
  <c r="Y508" i="62"/>
  <c r="Y509" i="62"/>
  <c r="Y510" i="62"/>
  <c r="Y511" i="62"/>
  <c r="Y512" i="62"/>
  <c r="Y513" i="62"/>
  <c r="Y514" i="62"/>
  <c r="Y515" i="62"/>
  <c r="Y516" i="62"/>
  <c r="Y517" i="62"/>
  <c r="Y518" i="62"/>
  <c r="Y519" i="62"/>
  <c r="Y520" i="62"/>
  <c r="Y521" i="62"/>
  <c r="Y522" i="62"/>
  <c r="Y523" i="62"/>
  <c r="Y524" i="62"/>
  <c r="Y525" i="62"/>
  <c r="Y526" i="62"/>
  <c r="Y527" i="62"/>
  <c r="Y528" i="62"/>
  <c r="Y529" i="62"/>
  <c r="Y530" i="62"/>
  <c r="Y531" i="62"/>
  <c r="Y532" i="62"/>
  <c r="Y533" i="62"/>
  <c r="Y534" i="62"/>
  <c r="Y477" i="62"/>
  <c r="Y478" i="62"/>
  <c r="Y479" i="62"/>
  <c r="Y480" i="62"/>
  <c r="Y481" i="62"/>
  <c r="Y482" i="62"/>
  <c r="Y483" i="62"/>
  <c r="Y484" i="62"/>
  <c r="Y485" i="62"/>
  <c r="Y486" i="62"/>
  <c r="Y487" i="62"/>
  <c r="Y488" i="62"/>
  <c r="Y489" i="62"/>
  <c r="Y490" i="62"/>
  <c r="Y491" i="62"/>
  <c r="Y492" i="62"/>
  <c r="Y493" i="62"/>
  <c r="Y494" i="62"/>
  <c r="Y495" i="62"/>
  <c r="Y496" i="62"/>
  <c r="Y497" i="62"/>
  <c r="Y498" i="62"/>
  <c r="Y499" i="62"/>
  <c r="Y500" i="62"/>
  <c r="Y501" i="62"/>
  <c r="Y502" i="62"/>
  <c r="Y503" i="62"/>
  <c r="Y504" i="62"/>
  <c r="Y505" i="62"/>
  <c r="Y448" i="62"/>
  <c r="Y449" i="62"/>
  <c r="Y450" i="62"/>
  <c r="Y451" i="62"/>
  <c r="Y452" i="62"/>
  <c r="Y453" i="62"/>
  <c r="Y454" i="62"/>
  <c r="Y455" i="62"/>
  <c r="Y456" i="62"/>
  <c r="Y457" i="62"/>
  <c r="Y458" i="62"/>
  <c r="Y459" i="62"/>
  <c r="Y460" i="62"/>
  <c r="Y461" i="62"/>
  <c r="Y462" i="62"/>
  <c r="Y463" i="62"/>
  <c r="Y464" i="62"/>
  <c r="Y465" i="62"/>
  <c r="Y466" i="62"/>
  <c r="Y467" i="62"/>
  <c r="Y468" i="62"/>
  <c r="Y469" i="62"/>
  <c r="Y470" i="62"/>
  <c r="Y471" i="62"/>
  <c r="Y472" i="62"/>
  <c r="Y473" i="62"/>
  <c r="Y474" i="62"/>
  <c r="Y475" i="62"/>
  <c r="Y476" i="62"/>
  <c r="Y419" i="62"/>
  <c r="Y420" i="62"/>
  <c r="Y421" i="62"/>
  <c r="Y422" i="62"/>
  <c r="Y423" i="62"/>
  <c r="Y424" i="62"/>
  <c r="Y425" i="62"/>
  <c r="Y426" i="62"/>
  <c r="Y427" i="62"/>
  <c r="Y428" i="62"/>
  <c r="Y429" i="62"/>
  <c r="Y430" i="62"/>
  <c r="Y431" i="62"/>
  <c r="Y432" i="62"/>
  <c r="Y433" i="62"/>
  <c r="Y434" i="62"/>
  <c r="Y435" i="62"/>
  <c r="Y436" i="62"/>
  <c r="Y437" i="62"/>
  <c r="Y438" i="62"/>
  <c r="Y439" i="62"/>
  <c r="Y440" i="62"/>
  <c r="Y441" i="62"/>
  <c r="Y442" i="62"/>
  <c r="Y443" i="62"/>
  <c r="Y444" i="62"/>
  <c r="Y445" i="62"/>
  <c r="Y446" i="62"/>
  <c r="Y447" i="62"/>
  <c r="Y390" i="62"/>
  <c r="Y391" i="62"/>
  <c r="Y392" i="62"/>
  <c r="Y393" i="62"/>
  <c r="Y394" i="62"/>
  <c r="Y395" i="62"/>
  <c r="Y396" i="62"/>
  <c r="Y397" i="62"/>
  <c r="Y398" i="62"/>
  <c r="Y399" i="62"/>
  <c r="Y400" i="62"/>
  <c r="Y401" i="62"/>
  <c r="Y402" i="62"/>
  <c r="Y403" i="62"/>
  <c r="Y404" i="62"/>
  <c r="Y405" i="62"/>
  <c r="Y406" i="62"/>
  <c r="Y407" i="62"/>
  <c r="Y408" i="62"/>
  <c r="Y409" i="62"/>
  <c r="Y410" i="62"/>
  <c r="Y411" i="62"/>
  <c r="Y412" i="62"/>
  <c r="Y413" i="62"/>
  <c r="Y414" i="62"/>
  <c r="Y415" i="62"/>
  <c r="Y416" i="62"/>
  <c r="Y417" i="62"/>
  <c r="Y418" i="62"/>
  <c r="Y361" i="62"/>
  <c r="Y362" i="62"/>
  <c r="Y363" i="62"/>
  <c r="Y364" i="62"/>
  <c r="Y365" i="62"/>
  <c r="Y366" i="62"/>
  <c r="Y367" i="62"/>
  <c r="Y368" i="62"/>
  <c r="Y369" i="62"/>
  <c r="Y370" i="62"/>
  <c r="Y371" i="62"/>
  <c r="Y372" i="62"/>
  <c r="Y373" i="62"/>
  <c r="Y374" i="62"/>
  <c r="Y375" i="62"/>
  <c r="Y376" i="62"/>
  <c r="Y377" i="62"/>
  <c r="Y378" i="62"/>
  <c r="Y379" i="62"/>
  <c r="Y380" i="62"/>
  <c r="Y381" i="62"/>
  <c r="Y382" i="62"/>
  <c r="Y383" i="62"/>
  <c r="Y384" i="62"/>
  <c r="Y385" i="62"/>
  <c r="Y386" i="62"/>
  <c r="Y387" i="62"/>
  <c r="Y388" i="62"/>
  <c r="Y389" i="62"/>
  <c r="Y332" i="62"/>
  <c r="Y333" i="62"/>
  <c r="Y334" i="62"/>
  <c r="Y335" i="62"/>
  <c r="Y336" i="62"/>
  <c r="Y337" i="62"/>
  <c r="Y338" i="62"/>
  <c r="Y339" i="62"/>
  <c r="Y340" i="62"/>
  <c r="Y341" i="62"/>
  <c r="Y342" i="62"/>
  <c r="Y343" i="62"/>
  <c r="Y344" i="62"/>
  <c r="Y345" i="62"/>
  <c r="Y346" i="62"/>
  <c r="Y347" i="62"/>
  <c r="Y348" i="62"/>
  <c r="Y349" i="62"/>
  <c r="Y350" i="62"/>
  <c r="Y351" i="62"/>
  <c r="Y352" i="62"/>
  <c r="Y353" i="62"/>
  <c r="Y354" i="62"/>
  <c r="Y355" i="62"/>
  <c r="Y356" i="62"/>
  <c r="Y357" i="62"/>
  <c r="Y358" i="62"/>
  <c r="Y359" i="62"/>
  <c r="Y360" i="62"/>
  <c r="Y303" i="62"/>
  <c r="Y304" i="62"/>
  <c r="Y305" i="62"/>
  <c r="Y306" i="62"/>
  <c r="Y307" i="62"/>
  <c r="Y308" i="62"/>
  <c r="Y309" i="62"/>
  <c r="Y310" i="62"/>
  <c r="Y311" i="62"/>
  <c r="Y312" i="62"/>
  <c r="Y313" i="62"/>
  <c r="Y314" i="62"/>
  <c r="Y315" i="62"/>
  <c r="Y316" i="62"/>
  <c r="Y317" i="62"/>
  <c r="Y318" i="62"/>
  <c r="Y319" i="62"/>
  <c r="Y320" i="62"/>
  <c r="Y321" i="62"/>
  <c r="Y322" i="62"/>
  <c r="Y323" i="62"/>
  <c r="Y324" i="62"/>
  <c r="Y325" i="62"/>
  <c r="Y326" i="62"/>
  <c r="Y327" i="62"/>
  <c r="Y328" i="62"/>
  <c r="Y329" i="62"/>
  <c r="Y330" i="62"/>
  <c r="Y331" i="62"/>
  <c r="Y274" i="62"/>
  <c r="Y275" i="62"/>
  <c r="Y276" i="62"/>
  <c r="Y277" i="62"/>
  <c r="Y278" i="62"/>
  <c r="Y279" i="62"/>
  <c r="Y280" i="62"/>
  <c r="Y281" i="62"/>
  <c r="Y282" i="62"/>
  <c r="Y283" i="62"/>
  <c r="Y284" i="62"/>
  <c r="Y285" i="62"/>
  <c r="Y286" i="62"/>
  <c r="Y287" i="62"/>
  <c r="Y288" i="62"/>
  <c r="Y289" i="62"/>
  <c r="Y290" i="62"/>
  <c r="Y291" i="62"/>
  <c r="Y292" i="62"/>
  <c r="Y293" i="62"/>
  <c r="Y294" i="62"/>
  <c r="Y295" i="62"/>
  <c r="Y296" i="62"/>
  <c r="Y297" i="62"/>
  <c r="Y298" i="62"/>
  <c r="Y299" i="62"/>
  <c r="Y300" i="62"/>
  <c r="Y301" i="62"/>
  <c r="Y302" i="62"/>
  <c r="Y245" i="62"/>
  <c r="Y246" i="62"/>
  <c r="Y247" i="62"/>
  <c r="Y248" i="62"/>
  <c r="Y249" i="62"/>
  <c r="Y250" i="62"/>
  <c r="Y251" i="62"/>
  <c r="Y252" i="62"/>
  <c r="Y253" i="62"/>
  <c r="Y254" i="62"/>
  <c r="Y255" i="62"/>
  <c r="Y256" i="62"/>
  <c r="Y257" i="62"/>
  <c r="Y258" i="62"/>
  <c r="Y259" i="62"/>
  <c r="Y260" i="62"/>
  <c r="Y261" i="62"/>
  <c r="Y262" i="62"/>
  <c r="Y263" i="62"/>
  <c r="Y264" i="62"/>
  <c r="Y265" i="62"/>
  <c r="Y266" i="62"/>
  <c r="Y267" i="62"/>
  <c r="Y268" i="62"/>
  <c r="Y269" i="62"/>
  <c r="Y270" i="62"/>
  <c r="Y271" i="62"/>
  <c r="Y272" i="62"/>
  <c r="Y273" i="62"/>
  <c r="Y216" i="62"/>
  <c r="Y217" i="62"/>
  <c r="Y218" i="62"/>
  <c r="Y219" i="62"/>
  <c r="Y220" i="62"/>
  <c r="Y221" i="62"/>
  <c r="Y222" i="62"/>
  <c r="Y223" i="62"/>
  <c r="Y224" i="62"/>
  <c r="Y225" i="62"/>
  <c r="Y226" i="62"/>
  <c r="Y227" i="62"/>
  <c r="Y228" i="62"/>
  <c r="Y229" i="62"/>
  <c r="Y230" i="62"/>
  <c r="Y231" i="62"/>
  <c r="Y232" i="62"/>
  <c r="Y233" i="62"/>
  <c r="Y234" i="62"/>
  <c r="Y235" i="62"/>
  <c r="Y236" i="62"/>
  <c r="Y237" i="62"/>
  <c r="Y238" i="62"/>
  <c r="Y239" i="62"/>
  <c r="Y240" i="62"/>
  <c r="Y241" i="62"/>
  <c r="Y242" i="62"/>
  <c r="Y243" i="62"/>
  <c r="Y244" i="62"/>
  <c r="Y187" i="62"/>
  <c r="Y188" i="62"/>
  <c r="Y189" i="62"/>
  <c r="Y190" i="62"/>
  <c r="Y191" i="62"/>
  <c r="Y192" i="62"/>
  <c r="Y193" i="62"/>
  <c r="Y194" i="62"/>
  <c r="Y195" i="62"/>
  <c r="Y196" i="62"/>
  <c r="Y197" i="62"/>
  <c r="Y198" i="62"/>
  <c r="Y199" i="62"/>
  <c r="Y200" i="62"/>
  <c r="Y201" i="62"/>
  <c r="Y202" i="62"/>
  <c r="Y203" i="62"/>
  <c r="Y204" i="62"/>
  <c r="Y205" i="62"/>
  <c r="Y206" i="62"/>
  <c r="Y207" i="62"/>
  <c r="Y208" i="62"/>
  <c r="Y209" i="62"/>
  <c r="Y210" i="62"/>
  <c r="Y211" i="62"/>
  <c r="Y212" i="62"/>
  <c r="Y213" i="62"/>
  <c r="Y214" i="62"/>
  <c r="Y215" i="62"/>
  <c r="Y158" i="62"/>
  <c r="Y159" i="62"/>
  <c r="Y160" i="62"/>
  <c r="Y161" i="62"/>
  <c r="Y162" i="62"/>
  <c r="Y163" i="62"/>
  <c r="Y164" i="62"/>
  <c r="Y165" i="62"/>
  <c r="Y166" i="62"/>
  <c r="Y167" i="62"/>
  <c r="Y168" i="62"/>
  <c r="Y169" i="62"/>
  <c r="Y170" i="62"/>
  <c r="Y171" i="62"/>
  <c r="Y172" i="62"/>
  <c r="Y173" i="62"/>
  <c r="Y174" i="62"/>
  <c r="Y175" i="62"/>
  <c r="Y176" i="62"/>
  <c r="Y177" i="62"/>
  <c r="Y178" i="62"/>
  <c r="Y179" i="62"/>
  <c r="Y180" i="62"/>
  <c r="Y181" i="62"/>
  <c r="Y182" i="62"/>
  <c r="Y183" i="62"/>
  <c r="Y184" i="62"/>
  <c r="Y185" i="62"/>
  <c r="Y186" i="62"/>
  <c r="Y129" i="62"/>
  <c r="Y130" i="62"/>
  <c r="Y131" i="62"/>
  <c r="Y132" i="62"/>
  <c r="Y133" i="62"/>
  <c r="Y134" i="62"/>
  <c r="Y135" i="62"/>
  <c r="Y136" i="62"/>
  <c r="Y137" i="62"/>
  <c r="Y138" i="62"/>
  <c r="Y139" i="62"/>
  <c r="Y140" i="62"/>
  <c r="Y141" i="62"/>
  <c r="Y142" i="62"/>
  <c r="Y143" i="62"/>
  <c r="Y144" i="62"/>
  <c r="Y145" i="62"/>
  <c r="Y146" i="62"/>
  <c r="Y147" i="62"/>
  <c r="Y148" i="62"/>
  <c r="Y149" i="62"/>
  <c r="Y150" i="62"/>
  <c r="Y151" i="62"/>
  <c r="Y152" i="62"/>
  <c r="Y153" i="62"/>
  <c r="Y154" i="62"/>
  <c r="Y155" i="62"/>
  <c r="Y156" i="62"/>
  <c r="Y157" i="62"/>
  <c r="Y100" i="62"/>
  <c r="T501" i="62" s="1"/>
  <c r="Y101" i="62"/>
  <c r="Y102" i="62"/>
  <c r="Y103" i="62"/>
  <c r="Y104" i="62"/>
  <c r="Y105" i="62"/>
  <c r="Y106" i="62"/>
  <c r="T185" i="62" s="1"/>
  <c r="Y107" i="62"/>
  <c r="Y108" i="62"/>
  <c r="Y109" i="62"/>
  <c r="Y110" i="62"/>
  <c r="Y111" i="62"/>
  <c r="Y112" i="62"/>
  <c r="Y113" i="62"/>
  <c r="Y114" i="62"/>
  <c r="Y115" i="62"/>
  <c r="Y116" i="62"/>
  <c r="Y117" i="62"/>
  <c r="Y118" i="62"/>
  <c r="Y119" i="62"/>
  <c r="Y120" i="62"/>
  <c r="Y121" i="62"/>
  <c r="Y122" i="62"/>
  <c r="Y123" i="62"/>
  <c r="Y124" i="62"/>
  <c r="Y125" i="62"/>
  <c r="Y126" i="62"/>
  <c r="Y127" i="62"/>
  <c r="Y128" i="62"/>
  <c r="Z1344" i="62"/>
  <c r="Z1345" i="62"/>
  <c r="Z1346" i="62"/>
  <c r="Z1347" i="62"/>
  <c r="Z1348" i="62"/>
  <c r="Z1349" i="62"/>
  <c r="Z1350" i="62"/>
  <c r="Z1351" i="62"/>
  <c r="Z1352" i="62"/>
  <c r="Z1353" i="62"/>
  <c r="Z1354" i="62"/>
  <c r="Z1355" i="62"/>
  <c r="Z1356" i="62"/>
  <c r="Z1357" i="62"/>
  <c r="Z1358" i="62"/>
  <c r="Z1359" i="62"/>
  <c r="Z1360" i="62"/>
  <c r="Z1361" i="62"/>
  <c r="Z1362" i="62"/>
  <c r="Z1363" i="62"/>
  <c r="Z1364" i="62"/>
  <c r="Z1365" i="62"/>
  <c r="Z1366" i="62"/>
  <c r="Z1367" i="62"/>
  <c r="Z1368" i="62"/>
  <c r="Z1369" i="62"/>
  <c r="Z1370" i="62"/>
  <c r="Z1371" i="62"/>
  <c r="Z1372" i="62"/>
  <c r="Z1318" i="62"/>
  <c r="Z1319" i="62"/>
  <c r="Z1320" i="62"/>
  <c r="Z1321" i="62"/>
  <c r="Z1322" i="62"/>
  <c r="Z1323" i="62"/>
  <c r="Z1324" i="62"/>
  <c r="Z1325" i="62"/>
  <c r="Z1326" i="62"/>
  <c r="Z1327" i="62"/>
  <c r="Z1328" i="62"/>
  <c r="Z1329" i="62"/>
  <c r="Z1330" i="62"/>
  <c r="Z1331" i="62"/>
  <c r="Z1332" i="62"/>
  <c r="Z1333" i="62"/>
  <c r="Z1334" i="62"/>
  <c r="Z1335" i="62"/>
  <c r="Z1336" i="62"/>
  <c r="Z1337" i="62"/>
  <c r="Z1338" i="62"/>
  <c r="Z1339" i="62"/>
  <c r="Z1340" i="62"/>
  <c r="Z1341" i="62"/>
  <c r="Z1342" i="62"/>
  <c r="Z1343" i="62"/>
  <c r="Z1289" i="62"/>
  <c r="Z1290" i="62"/>
  <c r="Z1291" i="62"/>
  <c r="Z1292" i="62"/>
  <c r="Z1293" i="62"/>
  <c r="Z1294" i="62"/>
  <c r="Z1295" i="62"/>
  <c r="Z1296" i="62"/>
  <c r="Z1297" i="62"/>
  <c r="Z1298" i="62"/>
  <c r="Z1299" i="62"/>
  <c r="Z1300" i="62"/>
  <c r="Z1301" i="62"/>
  <c r="Z1302" i="62"/>
  <c r="Z1303" i="62"/>
  <c r="Z1304" i="62"/>
  <c r="Z1305" i="62"/>
  <c r="Z1306" i="62"/>
  <c r="Z1307" i="62"/>
  <c r="Z1308" i="62"/>
  <c r="Z1309" i="62"/>
  <c r="Z1310" i="62"/>
  <c r="Z1311" i="62"/>
  <c r="Z1312" i="62"/>
  <c r="Z1313" i="62"/>
  <c r="Z1314" i="62"/>
  <c r="Z1315" i="62"/>
  <c r="Z1316" i="62"/>
  <c r="Z1317" i="62"/>
  <c r="Z1260" i="62"/>
  <c r="Z1261" i="62"/>
  <c r="Z1262" i="62"/>
  <c r="Z1263" i="62"/>
  <c r="Z1264" i="62"/>
  <c r="Z1265" i="62"/>
  <c r="Z1266" i="62"/>
  <c r="Z1267" i="62"/>
  <c r="Z1268" i="62"/>
  <c r="Z1269" i="62"/>
  <c r="Z1270" i="62"/>
  <c r="Z1271" i="62"/>
  <c r="Z1272" i="62"/>
  <c r="Z1273" i="62"/>
  <c r="Z1274" i="62"/>
  <c r="Z1275" i="62"/>
  <c r="Z1276" i="62"/>
  <c r="Z1277" i="62"/>
  <c r="Z1278" i="62"/>
  <c r="Z1279" i="62"/>
  <c r="Z1280" i="62"/>
  <c r="Z1281" i="62"/>
  <c r="Z1282" i="62"/>
  <c r="Z1283" i="62"/>
  <c r="Z1284" i="62"/>
  <c r="Z1285" i="62"/>
  <c r="Z1286" i="62"/>
  <c r="Z1287" i="62"/>
  <c r="Z1288" i="62"/>
  <c r="Z1231" i="62"/>
  <c r="Z1232" i="62"/>
  <c r="Z1233" i="62"/>
  <c r="Z1234" i="62"/>
  <c r="Z1235" i="62"/>
  <c r="Z1236" i="62"/>
  <c r="Z1237" i="62"/>
  <c r="Z1238" i="62"/>
  <c r="Z1239" i="62"/>
  <c r="Z1240" i="62"/>
  <c r="Z1241" i="62"/>
  <c r="Z1242" i="62"/>
  <c r="Z1243" i="62"/>
  <c r="Z1244" i="62"/>
  <c r="Z1245" i="62"/>
  <c r="Z1246" i="62"/>
  <c r="Z1247" i="62"/>
  <c r="Z1248" i="62"/>
  <c r="Z1249" i="62"/>
  <c r="Z1250" i="62"/>
  <c r="Z1251" i="62"/>
  <c r="Z1252" i="62"/>
  <c r="Z1253" i="62"/>
  <c r="Z1254" i="62"/>
  <c r="Z1255" i="62"/>
  <c r="Z1256" i="62"/>
  <c r="Z1257" i="62"/>
  <c r="Z1258" i="62"/>
  <c r="Z1259" i="62"/>
  <c r="Z1202" i="62"/>
  <c r="Z1203" i="62"/>
  <c r="Z1204" i="62"/>
  <c r="Z1205" i="62"/>
  <c r="Z1206" i="62"/>
  <c r="Z1207" i="62"/>
  <c r="Z1208" i="62"/>
  <c r="Z1209" i="62"/>
  <c r="Z1210" i="62"/>
  <c r="Z1211" i="62"/>
  <c r="Z1212" i="62"/>
  <c r="Z1213" i="62"/>
  <c r="Z1214" i="62"/>
  <c r="Z1215" i="62"/>
  <c r="Z1216" i="62"/>
  <c r="Z1217" i="62"/>
  <c r="Z1218" i="62"/>
  <c r="Z1219" i="62"/>
  <c r="Z1220" i="62"/>
  <c r="Z1221" i="62"/>
  <c r="Z1222" i="62"/>
  <c r="Z1223" i="62"/>
  <c r="Z1224" i="62"/>
  <c r="Z1225" i="62"/>
  <c r="Z1226" i="62"/>
  <c r="Z1227" i="62"/>
  <c r="Z1228" i="62"/>
  <c r="Z1229" i="62"/>
  <c r="Z1230" i="62"/>
  <c r="Z1173" i="62"/>
  <c r="Z1174" i="62"/>
  <c r="Z1175" i="62"/>
  <c r="Z1176" i="62"/>
  <c r="Z1177" i="62"/>
  <c r="Z1178" i="62"/>
  <c r="Z1179" i="62"/>
  <c r="Z1180" i="62"/>
  <c r="Z1181" i="62"/>
  <c r="Z1182" i="62"/>
  <c r="Z1183" i="62"/>
  <c r="Z1184" i="62"/>
  <c r="Z1185" i="62"/>
  <c r="Z1186" i="62"/>
  <c r="Z1187" i="62"/>
  <c r="Z1188" i="62"/>
  <c r="Z1189" i="62"/>
  <c r="Z1190" i="62"/>
  <c r="Z1191" i="62"/>
  <c r="Z1192" i="62"/>
  <c r="Z1193" i="62"/>
  <c r="Z1194" i="62"/>
  <c r="Z1195" i="62"/>
  <c r="Z1196" i="62"/>
  <c r="Z1197" i="62"/>
  <c r="Z1198" i="62"/>
  <c r="Z1199" i="62"/>
  <c r="Z1200" i="62"/>
  <c r="Z1201" i="62"/>
  <c r="Z1144" i="62"/>
  <c r="Z1145" i="62"/>
  <c r="Z1146" i="62"/>
  <c r="Z1147" i="62"/>
  <c r="Z1148" i="62"/>
  <c r="Z1149" i="62"/>
  <c r="Z1150" i="62"/>
  <c r="Z1151" i="62"/>
  <c r="Z1152" i="62"/>
  <c r="Z1153" i="62"/>
  <c r="Z1154" i="62"/>
  <c r="Z1155" i="62"/>
  <c r="Z1156" i="62"/>
  <c r="Z1157" i="62"/>
  <c r="Z1158" i="62"/>
  <c r="Z1159" i="62"/>
  <c r="Z1160" i="62"/>
  <c r="Z1161" i="62"/>
  <c r="Z1162" i="62"/>
  <c r="Z1163" i="62"/>
  <c r="Z1164" i="62"/>
  <c r="Z1165" i="62"/>
  <c r="Z1166" i="62"/>
  <c r="Z1167" i="62"/>
  <c r="Z1168" i="62"/>
  <c r="Z1169" i="62"/>
  <c r="Z1170" i="62"/>
  <c r="Z1171" i="62"/>
  <c r="Z1172" i="62"/>
  <c r="Z1115" i="62"/>
  <c r="Z1116" i="62"/>
  <c r="Z1117" i="62"/>
  <c r="Z1118" i="62"/>
  <c r="Z1119" i="62"/>
  <c r="Z1120" i="62"/>
  <c r="Z1121" i="62"/>
  <c r="Z1122" i="62"/>
  <c r="Z1123" i="62"/>
  <c r="Z1124" i="62"/>
  <c r="Z1125" i="62"/>
  <c r="Z1126" i="62"/>
  <c r="Z1127" i="62"/>
  <c r="Z1128" i="62"/>
  <c r="Z1129" i="62"/>
  <c r="Z1130" i="62"/>
  <c r="Z1131" i="62"/>
  <c r="Z1132" i="62"/>
  <c r="Z1133" i="62"/>
  <c r="Z1134" i="62"/>
  <c r="Z1135" i="62"/>
  <c r="Z1136" i="62"/>
  <c r="Z1137" i="62"/>
  <c r="Z1138" i="62"/>
  <c r="Z1139" i="62"/>
  <c r="Z1140" i="62"/>
  <c r="Z1141" i="62"/>
  <c r="Z1142" i="62"/>
  <c r="Z1143" i="62"/>
  <c r="Z1086" i="62"/>
  <c r="Z1087" i="62"/>
  <c r="Z1088" i="62"/>
  <c r="Z1089" i="62"/>
  <c r="Z1090" i="62"/>
  <c r="Z1091" i="62"/>
  <c r="Z1092" i="62"/>
  <c r="Z1093" i="62"/>
  <c r="Z1094" i="62"/>
  <c r="Z1095" i="62"/>
  <c r="Z1096" i="62"/>
  <c r="Z1097" i="62"/>
  <c r="Z1098" i="62"/>
  <c r="Z1099" i="62"/>
  <c r="Z1100" i="62"/>
  <c r="Z1101" i="62"/>
  <c r="Z1102" i="62"/>
  <c r="Z1103" i="62"/>
  <c r="Z1104" i="62"/>
  <c r="Z1105" i="62"/>
  <c r="Z1106" i="62"/>
  <c r="Z1107" i="62"/>
  <c r="Z1108" i="62"/>
  <c r="Z1109" i="62"/>
  <c r="Z1110" i="62"/>
  <c r="Z1111" i="62"/>
  <c r="Z1112" i="62"/>
  <c r="Z1113" i="62"/>
  <c r="Z1114" i="62"/>
  <c r="Z1057" i="62"/>
  <c r="Z1058" i="62"/>
  <c r="Z1059" i="62"/>
  <c r="Z1060" i="62"/>
  <c r="Z1061" i="62"/>
  <c r="Z1062" i="62"/>
  <c r="Z1063" i="62"/>
  <c r="Z1064" i="62"/>
  <c r="Z1065" i="62"/>
  <c r="Z1066" i="62"/>
  <c r="Z1067" i="62"/>
  <c r="Z1068" i="62"/>
  <c r="Z1069" i="62"/>
  <c r="Z1070" i="62"/>
  <c r="Z1071" i="62"/>
  <c r="Z1072" i="62"/>
  <c r="Z1073" i="62"/>
  <c r="Z1074" i="62"/>
  <c r="Z1075" i="62"/>
  <c r="Z1076" i="62"/>
  <c r="Z1077" i="62"/>
  <c r="Z1078" i="62"/>
  <c r="Z1079" i="62"/>
  <c r="Z1080" i="62"/>
  <c r="Z1081" i="62"/>
  <c r="Z1082" i="62"/>
  <c r="Z1083" i="62"/>
  <c r="Z1084" i="62"/>
  <c r="Z1085" i="62"/>
  <c r="Z1028" i="62"/>
  <c r="Z1029" i="62"/>
  <c r="Z1030" i="62"/>
  <c r="Z1031" i="62"/>
  <c r="Z1032" i="62"/>
  <c r="Z1033" i="62"/>
  <c r="Z1034" i="62"/>
  <c r="Z1035" i="62"/>
  <c r="Z1036" i="62"/>
  <c r="Z1037" i="62"/>
  <c r="Z1038" i="62"/>
  <c r="Z1039" i="62"/>
  <c r="Z1040" i="62"/>
  <c r="Z1041" i="62"/>
  <c r="Z1042" i="62"/>
  <c r="Z1043" i="62"/>
  <c r="Z1044" i="62"/>
  <c r="Z1045" i="62"/>
  <c r="Z1046" i="62"/>
  <c r="Z1047" i="62"/>
  <c r="Z1048" i="62"/>
  <c r="Z1049" i="62"/>
  <c r="Z1050" i="62"/>
  <c r="Z1051" i="62"/>
  <c r="Z1052" i="62"/>
  <c r="Z1053" i="62"/>
  <c r="Z1054" i="62"/>
  <c r="Z1055" i="62"/>
  <c r="Z1056" i="62"/>
  <c r="Z999" i="62"/>
  <c r="Z1000" i="62"/>
  <c r="Z1001" i="62"/>
  <c r="Z1002" i="62"/>
  <c r="Z1003" i="62"/>
  <c r="Z1004" i="62"/>
  <c r="Z1005" i="62"/>
  <c r="Z1006" i="62"/>
  <c r="Z1007" i="62"/>
  <c r="Z1008" i="62"/>
  <c r="Z1009" i="62"/>
  <c r="Z1010" i="62"/>
  <c r="Z1011" i="62"/>
  <c r="Z1012" i="62"/>
  <c r="Z1013" i="62"/>
  <c r="Z1014" i="62"/>
  <c r="Z1015" i="62"/>
  <c r="Z1016" i="62"/>
  <c r="Z1017" i="62"/>
  <c r="Z1018" i="62"/>
  <c r="Z1019" i="62"/>
  <c r="Z1020" i="62"/>
  <c r="Z1021" i="62"/>
  <c r="Z1022" i="62"/>
  <c r="Z1023" i="62"/>
  <c r="Z1024" i="62"/>
  <c r="Z1025" i="62"/>
  <c r="Z1026" i="62"/>
  <c r="Z1027" i="62"/>
  <c r="Z970" i="62"/>
  <c r="Z971" i="62"/>
  <c r="Z972" i="62"/>
  <c r="Z973" i="62"/>
  <c r="Z974" i="62"/>
  <c r="Z975" i="62"/>
  <c r="Z976" i="62"/>
  <c r="Z977" i="62"/>
  <c r="Z978" i="62"/>
  <c r="Z979" i="62"/>
  <c r="Z980" i="62"/>
  <c r="Z981" i="62"/>
  <c r="Z982" i="62"/>
  <c r="Z983" i="62"/>
  <c r="Z984" i="62"/>
  <c r="Z985" i="62"/>
  <c r="Z986" i="62"/>
  <c r="Z987" i="62"/>
  <c r="Z988" i="62"/>
  <c r="Z989" i="62"/>
  <c r="Z990" i="62"/>
  <c r="Z991" i="62"/>
  <c r="Z992" i="62"/>
  <c r="Z993" i="62"/>
  <c r="Z994" i="62"/>
  <c r="Z995" i="62"/>
  <c r="Z996" i="62"/>
  <c r="Z997" i="62"/>
  <c r="Z998" i="62"/>
  <c r="Z941" i="62"/>
  <c r="Z942" i="62"/>
  <c r="Z943" i="62"/>
  <c r="Z944" i="62"/>
  <c r="Z945" i="62"/>
  <c r="Z946" i="62"/>
  <c r="Z947" i="62"/>
  <c r="Z948" i="62"/>
  <c r="Z949" i="62"/>
  <c r="Z950" i="62"/>
  <c r="Z951" i="62"/>
  <c r="Z952" i="62"/>
  <c r="Z953" i="62"/>
  <c r="Z954" i="62"/>
  <c r="Z955" i="62"/>
  <c r="Z956" i="62"/>
  <c r="Z957" i="62"/>
  <c r="Z958" i="62"/>
  <c r="Z959" i="62"/>
  <c r="Z960" i="62"/>
  <c r="Z961" i="62"/>
  <c r="Z962" i="62"/>
  <c r="Z963" i="62"/>
  <c r="Z964" i="62"/>
  <c r="Z965" i="62"/>
  <c r="Z966" i="62"/>
  <c r="Z967" i="62"/>
  <c r="Z968" i="62"/>
  <c r="Z969" i="62"/>
  <c r="Z912" i="62"/>
  <c r="Z913" i="62"/>
  <c r="Z914" i="62"/>
  <c r="Z915" i="62"/>
  <c r="Z916" i="62"/>
  <c r="Z917" i="62"/>
  <c r="Z918" i="62"/>
  <c r="Z919" i="62"/>
  <c r="Z920" i="62"/>
  <c r="Z921" i="62"/>
  <c r="Z922" i="62"/>
  <c r="Z923" i="62"/>
  <c r="Z924" i="62"/>
  <c r="Z925" i="62"/>
  <c r="Z926" i="62"/>
  <c r="Z927" i="62"/>
  <c r="Z928" i="62"/>
  <c r="Z929" i="62"/>
  <c r="Z930" i="62"/>
  <c r="Z931" i="62"/>
  <c r="Z932" i="62"/>
  <c r="Z933" i="62"/>
  <c r="Z934" i="62"/>
  <c r="Z935" i="62"/>
  <c r="Z936" i="62"/>
  <c r="Z937" i="62"/>
  <c r="Z938" i="62"/>
  <c r="Z939" i="62"/>
  <c r="Z940" i="62"/>
  <c r="Z883" i="62"/>
  <c r="Z884" i="62"/>
  <c r="Z885" i="62"/>
  <c r="Z886" i="62"/>
  <c r="Z887" i="62"/>
  <c r="Z888" i="62"/>
  <c r="Z889" i="62"/>
  <c r="Z890" i="62"/>
  <c r="Z891" i="62"/>
  <c r="Z892" i="62"/>
  <c r="Z893" i="62"/>
  <c r="Z894" i="62"/>
  <c r="Z895" i="62"/>
  <c r="Z896" i="62"/>
  <c r="Z897" i="62"/>
  <c r="Z898" i="62"/>
  <c r="Z899" i="62"/>
  <c r="Z900" i="62"/>
  <c r="Z901" i="62"/>
  <c r="Z902" i="62"/>
  <c r="Z903" i="62"/>
  <c r="Z904" i="62"/>
  <c r="Z905" i="62"/>
  <c r="Z906" i="62"/>
  <c r="Z907" i="62"/>
  <c r="Z908" i="62"/>
  <c r="Z909" i="62"/>
  <c r="Z910" i="62"/>
  <c r="Z911" i="62"/>
  <c r="Z854" i="62"/>
  <c r="Z855" i="62"/>
  <c r="Z856" i="62"/>
  <c r="Z857" i="62"/>
  <c r="Z858" i="62"/>
  <c r="Z859" i="62"/>
  <c r="Z860" i="62"/>
  <c r="Z861" i="62"/>
  <c r="Z862" i="62"/>
  <c r="Z863" i="62"/>
  <c r="Z864" i="62"/>
  <c r="Z865" i="62"/>
  <c r="Z866" i="62"/>
  <c r="Z867" i="62"/>
  <c r="Z868" i="62"/>
  <c r="Z869" i="62"/>
  <c r="Z870" i="62"/>
  <c r="Z871" i="62"/>
  <c r="Z872" i="62"/>
  <c r="Z873" i="62"/>
  <c r="Z874" i="62"/>
  <c r="Z875" i="62"/>
  <c r="Z876" i="62"/>
  <c r="Z877" i="62"/>
  <c r="Z878" i="62"/>
  <c r="Z879" i="62"/>
  <c r="Z880" i="62"/>
  <c r="Z881" i="62"/>
  <c r="Z882" i="62"/>
  <c r="Z825" i="62"/>
  <c r="Z826" i="62"/>
  <c r="Z827" i="62"/>
  <c r="Z828" i="62"/>
  <c r="Z829" i="62"/>
  <c r="Z830" i="62"/>
  <c r="Z831" i="62"/>
  <c r="Z832" i="62"/>
  <c r="Z833" i="62"/>
  <c r="Z834" i="62"/>
  <c r="Z835" i="62"/>
  <c r="Z836" i="62"/>
  <c r="Z837" i="62"/>
  <c r="Z838" i="62"/>
  <c r="Z839" i="62"/>
  <c r="Z840" i="62"/>
  <c r="Z841" i="62"/>
  <c r="Z842" i="62"/>
  <c r="Z843" i="62"/>
  <c r="Z844" i="62"/>
  <c r="Z845" i="62"/>
  <c r="Z846" i="62"/>
  <c r="Z847" i="62"/>
  <c r="Z848" i="62"/>
  <c r="Z849" i="62"/>
  <c r="Z850" i="62"/>
  <c r="Z851" i="62"/>
  <c r="Z852" i="62"/>
  <c r="Z853" i="62"/>
  <c r="Z796" i="62"/>
  <c r="Z797" i="62"/>
  <c r="Z798" i="62"/>
  <c r="Z799" i="62"/>
  <c r="Z800" i="62"/>
  <c r="Z801" i="62"/>
  <c r="Z802" i="62"/>
  <c r="Z803" i="62"/>
  <c r="Z804" i="62"/>
  <c r="Z805" i="62"/>
  <c r="Z806" i="62"/>
  <c r="Z807" i="62"/>
  <c r="Z808" i="62"/>
  <c r="Z809" i="62"/>
  <c r="Z810" i="62"/>
  <c r="Z811" i="62"/>
  <c r="Z812" i="62"/>
  <c r="Z813" i="62"/>
  <c r="Z814" i="62"/>
  <c r="Z815" i="62"/>
  <c r="Z816" i="62"/>
  <c r="Z817" i="62"/>
  <c r="Z818" i="62"/>
  <c r="Z819" i="62"/>
  <c r="Z820" i="62"/>
  <c r="Z821" i="62"/>
  <c r="Z822" i="62"/>
  <c r="Z823" i="62"/>
  <c r="Z824" i="62"/>
  <c r="Z767" i="62"/>
  <c r="Z768" i="62"/>
  <c r="Z769" i="62"/>
  <c r="Z770" i="62"/>
  <c r="Z771" i="62"/>
  <c r="Z772" i="62"/>
  <c r="Z773" i="62"/>
  <c r="Z774" i="62"/>
  <c r="Z775" i="62"/>
  <c r="Z776" i="62"/>
  <c r="Z777" i="62"/>
  <c r="Z778" i="62"/>
  <c r="Z779" i="62"/>
  <c r="Z780" i="62"/>
  <c r="Z781" i="62"/>
  <c r="Z782" i="62"/>
  <c r="Z783" i="62"/>
  <c r="Z784" i="62"/>
  <c r="Z785" i="62"/>
  <c r="Z786" i="62"/>
  <c r="Z787" i="62"/>
  <c r="Z788" i="62"/>
  <c r="Z789" i="62"/>
  <c r="Z790" i="62"/>
  <c r="Z791" i="62"/>
  <c r="Z792" i="62"/>
  <c r="Z793" i="62"/>
  <c r="Z794" i="62"/>
  <c r="Z795" i="62"/>
  <c r="Z738" i="62"/>
  <c r="Z739" i="62"/>
  <c r="Z740" i="62"/>
  <c r="Z741" i="62"/>
  <c r="Z742" i="62"/>
  <c r="Z743" i="62"/>
  <c r="Z744" i="62"/>
  <c r="Z745" i="62"/>
  <c r="Z746" i="62"/>
  <c r="Z747" i="62"/>
  <c r="Z748" i="62"/>
  <c r="Z749" i="62"/>
  <c r="Z750" i="62"/>
  <c r="Z751" i="62"/>
  <c r="Z752" i="62"/>
  <c r="Z753" i="62"/>
  <c r="Z754" i="62"/>
  <c r="Z755" i="62"/>
  <c r="Z756" i="62"/>
  <c r="Z757" i="62"/>
  <c r="Z758" i="62"/>
  <c r="Z759" i="62"/>
  <c r="Z760" i="62"/>
  <c r="Z761" i="62"/>
  <c r="Z762" i="62"/>
  <c r="Z763" i="62"/>
  <c r="Z764" i="62"/>
  <c r="Z765" i="62"/>
  <c r="Z766" i="62"/>
  <c r="Z709" i="62"/>
  <c r="Z710" i="62"/>
  <c r="Z711" i="62"/>
  <c r="Z712" i="62"/>
  <c r="Z713" i="62"/>
  <c r="Z714" i="62"/>
  <c r="Z715" i="62"/>
  <c r="Z716" i="62"/>
  <c r="Z717" i="62"/>
  <c r="Z718" i="62"/>
  <c r="Z719" i="62"/>
  <c r="Z720" i="62"/>
  <c r="Z721" i="62"/>
  <c r="Z722" i="62"/>
  <c r="Z723" i="62"/>
  <c r="Z724" i="62"/>
  <c r="Z725" i="62"/>
  <c r="Z726" i="62"/>
  <c r="Z727" i="62"/>
  <c r="Z728" i="62"/>
  <c r="Z729" i="62"/>
  <c r="Z730" i="62"/>
  <c r="Z731" i="62"/>
  <c r="Z732" i="62"/>
  <c r="Z733" i="62"/>
  <c r="Z734" i="62"/>
  <c r="Z735" i="62"/>
  <c r="Z736" i="62"/>
  <c r="Z737" i="62"/>
  <c r="Z680" i="62"/>
  <c r="Z681" i="62"/>
  <c r="Z682" i="62"/>
  <c r="Z683" i="62"/>
  <c r="Z684" i="62"/>
  <c r="Z685" i="62"/>
  <c r="Z686" i="62"/>
  <c r="Z687" i="62"/>
  <c r="Z688" i="62"/>
  <c r="Z689" i="62"/>
  <c r="Z690" i="62"/>
  <c r="Z691" i="62"/>
  <c r="Z692" i="62"/>
  <c r="Z693" i="62"/>
  <c r="Z694" i="62"/>
  <c r="Z695" i="62"/>
  <c r="Z696" i="62"/>
  <c r="Z697" i="62"/>
  <c r="Z698" i="62"/>
  <c r="Z699" i="62"/>
  <c r="Z700" i="62"/>
  <c r="Z701" i="62"/>
  <c r="Z702" i="62"/>
  <c r="Z703" i="62"/>
  <c r="Z704" i="62"/>
  <c r="Z705" i="62"/>
  <c r="Z706" i="62"/>
  <c r="Z707" i="62"/>
  <c r="Z708" i="62"/>
  <c r="Z651" i="62"/>
  <c r="Z652" i="62"/>
  <c r="Z653" i="62"/>
  <c r="Z654" i="62"/>
  <c r="Z655" i="62"/>
  <c r="Z656" i="62"/>
  <c r="Z657" i="62"/>
  <c r="Z658" i="62"/>
  <c r="Z659" i="62"/>
  <c r="Z660" i="62"/>
  <c r="Z661" i="62"/>
  <c r="Z662" i="62"/>
  <c r="Z663" i="62"/>
  <c r="Z664" i="62"/>
  <c r="Z665" i="62"/>
  <c r="Z666" i="62"/>
  <c r="Z667" i="62"/>
  <c r="Z668" i="62"/>
  <c r="Z669" i="62"/>
  <c r="Z670" i="62"/>
  <c r="Z671" i="62"/>
  <c r="Z672" i="62"/>
  <c r="Z673" i="62"/>
  <c r="Z674" i="62"/>
  <c r="Z675" i="62"/>
  <c r="Z676" i="62"/>
  <c r="Z677" i="62"/>
  <c r="Z678" i="62"/>
  <c r="Z679" i="62"/>
  <c r="Z622" i="62"/>
  <c r="Z623" i="62"/>
  <c r="Z624" i="62"/>
  <c r="Z625" i="62"/>
  <c r="Z626" i="62"/>
  <c r="Z627" i="62"/>
  <c r="Z628" i="62"/>
  <c r="Z629" i="62"/>
  <c r="Z630" i="62"/>
  <c r="Z631" i="62"/>
  <c r="Z632" i="62"/>
  <c r="Z633" i="62"/>
  <c r="Z634" i="62"/>
  <c r="Z635" i="62"/>
  <c r="Z636" i="62"/>
  <c r="Z637" i="62"/>
  <c r="Z638" i="62"/>
  <c r="Z639" i="62"/>
  <c r="Z640" i="62"/>
  <c r="Z641" i="62"/>
  <c r="Z642" i="62"/>
  <c r="Z643" i="62"/>
  <c r="Z644" i="62"/>
  <c r="Z645" i="62"/>
  <c r="Z646" i="62"/>
  <c r="Z647" i="62"/>
  <c r="Z648" i="62"/>
  <c r="Z649" i="62"/>
  <c r="Z650" i="62"/>
  <c r="Z593" i="62"/>
  <c r="Z594" i="62"/>
  <c r="Z595" i="62"/>
  <c r="Z596" i="62"/>
  <c r="Z597" i="62"/>
  <c r="Z598" i="62"/>
  <c r="Z599" i="62"/>
  <c r="Z600" i="62"/>
  <c r="Z601" i="62"/>
  <c r="Z602" i="62"/>
  <c r="Z603" i="62"/>
  <c r="Z604" i="62"/>
  <c r="Z605" i="62"/>
  <c r="Z606" i="62"/>
  <c r="Z607" i="62"/>
  <c r="Z608" i="62"/>
  <c r="Z609" i="62"/>
  <c r="Z610" i="62"/>
  <c r="Z611" i="62"/>
  <c r="Z612" i="62"/>
  <c r="Z613" i="62"/>
  <c r="Z614" i="62"/>
  <c r="Z615" i="62"/>
  <c r="Z616" i="62"/>
  <c r="Z617" i="62"/>
  <c r="Z618" i="62"/>
  <c r="Z619" i="62"/>
  <c r="Z620" i="62"/>
  <c r="Z621" i="62"/>
  <c r="Z564" i="62"/>
  <c r="Z565" i="62"/>
  <c r="Z566" i="62"/>
  <c r="Z567" i="62"/>
  <c r="Z568" i="62"/>
  <c r="Z569" i="62"/>
  <c r="Z570" i="62"/>
  <c r="Z571" i="62"/>
  <c r="Z572" i="62"/>
  <c r="Z573" i="62"/>
  <c r="Z574" i="62"/>
  <c r="Z575" i="62"/>
  <c r="Z576" i="62"/>
  <c r="Z577" i="62"/>
  <c r="Z578" i="62"/>
  <c r="Z579" i="62"/>
  <c r="Z580" i="62"/>
  <c r="Z581" i="62"/>
  <c r="Z582" i="62"/>
  <c r="Z583" i="62"/>
  <c r="Z584" i="62"/>
  <c r="Z585" i="62"/>
  <c r="Z586" i="62"/>
  <c r="Z587" i="62"/>
  <c r="Z588" i="62"/>
  <c r="Z589" i="62"/>
  <c r="Z590" i="62"/>
  <c r="Z591" i="62"/>
  <c r="Z592" i="62"/>
  <c r="Z535" i="62"/>
  <c r="Z536" i="62"/>
  <c r="Z537" i="62"/>
  <c r="Z538" i="62"/>
  <c r="Z539" i="62"/>
  <c r="Z540" i="62"/>
  <c r="Z541" i="62"/>
  <c r="Z542" i="62"/>
  <c r="Z543" i="62"/>
  <c r="Z544" i="62"/>
  <c r="Z545" i="62"/>
  <c r="Z546" i="62"/>
  <c r="Z547" i="62"/>
  <c r="Z548" i="62"/>
  <c r="Z549" i="62"/>
  <c r="Z550" i="62"/>
  <c r="Z551" i="62"/>
  <c r="Z552" i="62"/>
  <c r="Z553" i="62"/>
  <c r="Z554" i="62"/>
  <c r="Z555" i="62"/>
  <c r="Z556" i="62"/>
  <c r="Z557" i="62"/>
  <c r="Z558" i="62"/>
  <c r="Z559" i="62"/>
  <c r="Z560" i="62"/>
  <c r="Z561" i="62"/>
  <c r="Z562" i="62"/>
  <c r="Z563" i="62"/>
  <c r="Z506" i="62"/>
  <c r="Z507" i="62"/>
  <c r="Z508" i="62"/>
  <c r="Z509" i="62"/>
  <c r="Z510" i="62"/>
  <c r="Z511" i="62"/>
  <c r="Z512" i="62"/>
  <c r="Z513" i="62"/>
  <c r="Z514" i="62"/>
  <c r="Z515" i="62"/>
  <c r="Z516" i="62"/>
  <c r="Z517" i="62"/>
  <c r="Z518" i="62"/>
  <c r="Z519" i="62"/>
  <c r="Z520" i="62"/>
  <c r="Z521" i="62"/>
  <c r="Z522" i="62"/>
  <c r="Z523" i="62"/>
  <c r="Z524" i="62"/>
  <c r="Z525" i="62"/>
  <c r="Z526" i="62"/>
  <c r="Z527" i="62"/>
  <c r="Z528" i="62"/>
  <c r="Z529" i="62"/>
  <c r="Z530" i="62"/>
  <c r="Z531" i="62"/>
  <c r="Z532" i="62"/>
  <c r="Z533" i="62"/>
  <c r="Z534" i="62"/>
  <c r="Z477" i="62"/>
  <c r="Z478" i="62"/>
  <c r="Z479" i="62"/>
  <c r="Z480" i="62"/>
  <c r="Z481" i="62"/>
  <c r="Z482" i="62"/>
  <c r="Z483" i="62"/>
  <c r="Z484" i="62"/>
  <c r="Z485" i="62"/>
  <c r="Z486" i="62"/>
  <c r="Z487" i="62"/>
  <c r="Z488" i="62"/>
  <c r="Z489" i="62"/>
  <c r="Z490" i="62"/>
  <c r="Z491" i="62"/>
  <c r="Z492" i="62"/>
  <c r="Z493" i="62"/>
  <c r="Z494" i="62"/>
  <c r="Z495" i="62"/>
  <c r="Z496" i="62"/>
  <c r="Z497" i="62"/>
  <c r="Z498" i="62"/>
  <c r="Z499" i="62"/>
  <c r="Z500" i="62"/>
  <c r="Z501" i="62"/>
  <c r="Z502" i="62"/>
  <c r="Z503" i="62"/>
  <c r="Z504" i="62"/>
  <c r="Z505" i="62"/>
  <c r="Z448" i="62"/>
  <c r="Z449" i="62"/>
  <c r="Z450" i="62"/>
  <c r="Z451" i="62"/>
  <c r="Z452" i="62"/>
  <c r="Z453" i="62"/>
  <c r="Z454" i="62"/>
  <c r="Z455" i="62"/>
  <c r="Z456" i="62"/>
  <c r="Z457" i="62"/>
  <c r="Z458" i="62"/>
  <c r="Z459" i="62"/>
  <c r="Z460" i="62"/>
  <c r="Z461" i="62"/>
  <c r="Z462" i="62"/>
  <c r="Z463" i="62"/>
  <c r="Z464" i="62"/>
  <c r="Z465" i="62"/>
  <c r="Z466" i="62"/>
  <c r="Z467" i="62"/>
  <c r="Z468" i="62"/>
  <c r="Z469" i="62"/>
  <c r="Z470" i="62"/>
  <c r="Z471" i="62"/>
  <c r="Z472" i="62"/>
  <c r="Z473" i="62"/>
  <c r="Z474" i="62"/>
  <c r="Z475" i="62"/>
  <c r="Z476" i="62"/>
  <c r="Z419" i="62"/>
  <c r="Z420" i="62"/>
  <c r="Z421" i="62"/>
  <c r="Z422" i="62"/>
  <c r="Z423" i="62"/>
  <c r="Z424" i="62"/>
  <c r="Z425" i="62"/>
  <c r="Z426" i="62"/>
  <c r="Z427" i="62"/>
  <c r="Z428" i="62"/>
  <c r="Z429" i="62"/>
  <c r="Z430" i="62"/>
  <c r="Z431" i="62"/>
  <c r="Z432" i="62"/>
  <c r="Z433" i="62"/>
  <c r="Z434" i="62"/>
  <c r="Z435" i="62"/>
  <c r="Z436" i="62"/>
  <c r="Z437" i="62"/>
  <c r="Z438" i="62"/>
  <c r="Z439" i="62"/>
  <c r="Z440" i="62"/>
  <c r="Z441" i="62"/>
  <c r="Z442" i="62"/>
  <c r="Z443" i="62"/>
  <c r="Z444" i="62"/>
  <c r="Z445" i="62"/>
  <c r="Z446" i="62"/>
  <c r="Z447" i="62"/>
  <c r="Z390" i="62"/>
  <c r="Z391" i="62"/>
  <c r="Z392" i="62"/>
  <c r="Z393" i="62"/>
  <c r="Z394" i="62"/>
  <c r="Z395" i="62"/>
  <c r="Z396" i="62"/>
  <c r="Z397" i="62"/>
  <c r="Z398" i="62"/>
  <c r="Z399" i="62"/>
  <c r="Z400" i="62"/>
  <c r="Z401" i="62"/>
  <c r="Z402" i="62"/>
  <c r="Z403" i="62"/>
  <c r="Z404" i="62"/>
  <c r="Z405" i="62"/>
  <c r="Z406" i="62"/>
  <c r="Z407" i="62"/>
  <c r="Z408" i="62"/>
  <c r="Z409" i="62"/>
  <c r="Z410" i="62"/>
  <c r="Z411" i="62"/>
  <c r="Z412" i="62"/>
  <c r="Z413" i="62"/>
  <c r="Z414" i="62"/>
  <c r="Z415" i="62"/>
  <c r="Z416" i="62"/>
  <c r="Z417" i="62"/>
  <c r="Z418" i="62"/>
  <c r="Z361" i="62"/>
  <c r="Z362" i="62"/>
  <c r="Z363" i="62"/>
  <c r="Z364" i="62"/>
  <c r="Z365" i="62"/>
  <c r="Z366" i="62"/>
  <c r="Z367" i="62"/>
  <c r="Z368" i="62"/>
  <c r="Z369" i="62"/>
  <c r="Z370" i="62"/>
  <c r="Z371" i="62"/>
  <c r="Z372" i="62"/>
  <c r="Z373" i="62"/>
  <c r="Z374" i="62"/>
  <c r="Z375" i="62"/>
  <c r="Z376" i="62"/>
  <c r="Z377" i="62"/>
  <c r="Z378" i="62"/>
  <c r="Z379" i="62"/>
  <c r="Z380" i="62"/>
  <c r="Z381" i="62"/>
  <c r="Z382" i="62"/>
  <c r="Z383" i="62"/>
  <c r="Z384" i="62"/>
  <c r="Z385" i="62"/>
  <c r="Z386" i="62"/>
  <c r="Z387" i="62"/>
  <c r="Z388" i="62"/>
  <c r="Z389" i="62"/>
  <c r="Z332" i="62"/>
  <c r="Z333" i="62"/>
  <c r="Z334" i="62"/>
  <c r="Z335" i="62"/>
  <c r="Z336" i="62"/>
  <c r="Z337" i="62"/>
  <c r="Z338" i="62"/>
  <c r="Z339" i="62"/>
  <c r="Z340" i="62"/>
  <c r="Z341" i="62"/>
  <c r="Z342" i="62"/>
  <c r="Z343" i="62"/>
  <c r="Z344" i="62"/>
  <c r="Z345" i="62"/>
  <c r="Z346" i="62"/>
  <c r="Z347" i="62"/>
  <c r="Z348" i="62"/>
  <c r="Z349" i="62"/>
  <c r="Z350" i="62"/>
  <c r="Z351" i="62"/>
  <c r="Z352" i="62"/>
  <c r="Z353" i="62"/>
  <c r="Z354" i="62"/>
  <c r="Z355" i="62"/>
  <c r="Z356" i="62"/>
  <c r="Z357" i="62"/>
  <c r="Z358" i="62"/>
  <c r="Z359" i="62"/>
  <c r="Z360" i="62"/>
  <c r="Z303" i="62"/>
  <c r="Z304" i="62"/>
  <c r="Z305" i="62"/>
  <c r="Z306" i="62"/>
  <c r="Z307" i="62"/>
  <c r="Z308" i="62"/>
  <c r="Z309" i="62"/>
  <c r="Z310" i="62"/>
  <c r="Z311" i="62"/>
  <c r="Z312" i="62"/>
  <c r="Z313" i="62"/>
  <c r="Z314" i="62"/>
  <c r="Z315" i="62"/>
  <c r="Z316" i="62"/>
  <c r="Z317" i="62"/>
  <c r="Z318" i="62"/>
  <c r="Z319" i="62"/>
  <c r="Z320" i="62"/>
  <c r="Z321" i="62"/>
  <c r="Z322" i="62"/>
  <c r="Z323" i="62"/>
  <c r="Z324" i="62"/>
  <c r="Z325" i="62"/>
  <c r="Z326" i="62"/>
  <c r="Z327" i="62"/>
  <c r="Z328" i="62"/>
  <c r="Z329" i="62"/>
  <c r="Z330" i="62"/>
  <c r="Z331" i="62"/>
  <c r="Z274" i="62"/>
  <c r="Z275" i="62"/>
  <c r="Z276" i="62"/>
  <c r="Z277" i="62"/>
  <c r="Z278" i="62"/>
  <c r="Z279" i="62"/>
  <c r="Z280" i="62"/>
  <c r="Z281" i="62"/>
  <c r="Z282" i="62"/>
  <c r="Z283" i="62"/>
  <c r="Z284" i="62"/>
  <c r="Z285" i="62"/>
  <c r="Z286" i="62"/>
  <c r="Z287" i="62"/>
  <c r="Z288" i="62"/>
  <c r="Z289" i="62"/>
  <c r="Z290" i="62"/>
  <c r="Z291" i="62"/>
  <c r="Z292" i="62"/>
  <c r="Z293" i="62"/>
  <c r="Z294" i="62"/>
  <c r="Z295" i="62"/>
  <c r="Z296" i="62"/>
  <c r="Z297" i="62"/>
  <c r="Z298" i="62"/>
  <c r="Z299" i="62"/>
  <c r="Z300" i="62"/>
  <c r="Z301" i="62"/>
  <c r="Z302" i="62"/>
  <c r="Z245" i="62"/>
  <c r="Z246" i="62"/>
  <c r="Z247" i="62"/>
  <c r="Z248" i="62"/>
  <c r="Z249" i="62"/>
  <c r="Z250" i="62"/>
  <c r="Z251" i="62"/>
  <c r="Z252" i="62"/>
  <c r="Z253" i="62"/>
  <c r="Z254" i="62"/>
  <c r="Z255" i="62"/>
  <c r="Z256" i="62"/>
  <c r="Z257" i="62"/>
  <c r="Z258" i="62"/>
  <c r="Z259" i="62"/>
  <c r="Z260" i="62"/>
  <c r="Z261" i="62"/>
  <c r="Z262" i="62"/>
  <c r="Z263" i="62"/>
  <c r="Z264" i="62"/>
  <c r="Z265" i="62"/>
  <c r="Z266" i="62"/>
  <c r="Z267" i="62"/>
  <c r="Z268" i="62"/>
  <c r="Z269" i="62"/>
  <c r="Z270" i="62"/>
  <c r="Z271" i="62"/>
  <c r="Z272" i="62"/>
  <c r="Z273" i="62"/>
  <c r="Z216" i="62"/>
  <c r="Z217" i="62"/>
  <c r="Z218" i="62"/>
  <c r="Z219" i="62"/>
  <c r="Z220" i="62"/>
  <c r="Z221" i="62"/>
  <c r="Z222" i="62"/>
  <c r="Z223" i="62"/>
  <c r="Z224" i="62"/>
  <c r="Z225" i="62"/>
  <c r="Z226" i="62"/>
  <c r="Z227" i="62"/>
  <c r="Z228" i="62"/>
  <c r="Z229" i="62"/>
  <c r="Z230" i="62"/>
  <c r="Z231" i="62"/>
  <c r="Z232" i="62"/>
  <c r="Z233" i="62"/>
  <c r="Z234" i="62"/>
  <c r="Z235" i="62"/>
  <c r="Z236" i="62"/>
  <c r="Z237" i="62"/>
  <c r="Z238" i="62"/>
  <c r="Z239" i="62"/>
  <c r="Z240" i="62"/>
  <c r="Z241" i="62"/>
  <c r="Z242" i="62"/>
  <c r="Z243" i="62"/>
  <c r="Z244" i="62"/>
  <c r="Z187" i="62"/>
  <c r="Z188" i="62"/>
  <c r="Z189" i="62"/>
  <c r="Z190" i="62"/>
  <c r="Z191" i="62"/>
  <c r="Z192" i="62"/>
  <c r="Z193" i="62"/>
  <c r="Z194" i="62"/>
  <c r="Z195" i="62"/>
  <c r="Z196" i="62"/>
  <c r="Z197" i="62"/>
  <c r="Z198" i="62"/>
  <c r="Z199" i="62"/>
  <c r="Z200" i="62"/>
  <c r="Z201" i="62"/>
  <c r="Z202" i="62"/>
  <c r="Z203" i="62"/>
  <c r="Z204" i="62"/>
  <c r="Z205" i="62"/>
  <c r="Z206" i="62"/>
  <c r="Z207" i="62"/>
  <c r="Z208" i="62"/>
  <c r="Z209" i="62"/>
  <c r="Z210" i="62"/>
  <c r="Z211" i="62"/>
  <c r="Z212" i="62"/>
  <c r="Z213" i="62"/>
  <c r="Z214" i="62"/>
  <c r="Z215" i="62"/>
  <c r="Z158" i="62"/>
  <c r="Z159" i="62"/>
  <c r="Z160" i="62"/>
  <c r="Z161" i="62"/>
  <c r="Z162" i="62"/>
  <c r="Z163" i="62"/>
  <c r="Z164" i="62"/>
  <c r="Z165" i="62"/>
  <c r="Z166" i="62"/>
  <c r="Z167" i="62"/>
  <c r="Z168" i="62"/>
  <c r="Z169" i="62"/>
  <c r="Z170" i="62"/>
  <c r="Z171" i="62"/>
  <c r="Z172" i="62"/>
  <c r="Z173" i="62"/>
  <c r="Z174" i="62"/>
  <c r="Z175" i="62"/>
  <c r="Z176" i="62"/>
  <c r="Z177" i="62"/>
  <c r="Z178" i="62"/>
  <c r="Z179" i="62"/>
  <c r="Z180" i="62"/>
  <c r="Z181" i="62"/>
  <c r="Z182" i="62"/>
  <c r="Z183" i="62"/>
  <c r="Z184" i="62"/>
  <c r="Z185" i="62"/>
  <c r="Z186" i="62"/>
  <c r="Z129" i="62"/>
  <c r="Z130" i="62"/>
  <c r="Z131" i="62"/>
  <c r="Z132" i="62"/>
  <c r="Z133" i="62"/>
  <c r="Z134" i="62"/>
  <c r="Z135" i="62"/>
  <c r="Z136" i="62"/>
  <c r="Z137" i="62"/>
  <c r="Z138" i="62"/>
  <c r="Z139" i="62"/>
  <c r="Z140" i="62"/>
  <c r="Z141" i="62"/>
  <c r="Z142" i="62"/>
  <c r="Z143" i="62"/>
  <c r="Z144" i="62"/>
  <c r="Z145" i="62"/>
  <c r="Z146" i="62"/>
  <c r="Z147" i="62"/>
  <c r="Z148" i="62"/>
  <c r="Z149" i="62"/>
  <c r="Z150" i="62"/>
  <c r="Z151" i="62"/>
  <c r="Z152" i="62"/>
  <c r="Z153" i="62"/>
  <c r="Z154" i="62"/>
  <c r="Z155" i="62"/>
  <c r="Z156" i="62"/>
  <c r="Z157" i="62"/>
  <c r="Z100" i="62"/>
  <c r="Z101" i="62"/>
  <c r="Z102" i="62"/>
  <c r="Z103" i="62"/>
  <c r="Z104" i="62"/>
  <c r="Z105" i="62"/>
  <c r="Z106" i="62"/>
  <c r="Z107" i="62"/>
  <c r="Z108" i="62"/>
  <c r="Z109" i="62"/>
  <c r="Z110" i="62"/>
  <c r="Z111" i="62"/>
  <c r="Z112" i="62"/>
  <c r="Z113" i="62"/>
  <c r="Z114" i="62"/>
  <c r="Z115" i="62"/>
  <c r="Z116" i="62"/>
  <c r="Z117" i="62"/>
  <c r="Z118" i="62"/>
  <c r="Z119" i="62"/>
  <c r="Z120" i="62"/>
  <c r="Z121" i="62"/>
  <c r="Z122" i="62"/>
  <c r="Z123" i="62"/>
  <c r="Z124" i="62"/>
  <c r="Z125" i="62"/>
  <c r="Z126" i="62"/>
  <c r="Z127" i="62"/>
  <c r="Z128" i="62"/>
  <c r="AA1344" i="62"/>
  <c r="AA1345" i="62"/>
  <c r="AA1346" i="62"/>
  <c r="AA1347" i="62"/>
  <c r="AA1348" i="62"/>
  <c r="AA1349" i="62"/>
  <c r="AA1350" i="62"/>
  <c r="AA1351" i="62"/>
  <c r="AA1352" i="62"/>
  <c r="AA1353" i="62"/>
  <c r="AA1354" i="62"/>
  <c r="AA1355" i="62"/>
  <c r="AA1356" i="62"/>
  <c r="AA1357" i="62"/>
  <c r="AA1358" i="62"/>
  <c r="AA1359" i="62"/>
  <c r="AA1360" i="62"/>
  <c r="AA1361" i="62"/>
  <c r="AA1362" i="62"/>
  <c r="AA1363" i="62"/>
  <c r="AA1364" i="62"/>
  <c r="AA1365" i="62"/>
  <c r="AA1366" i="62"/>
  <c r="AA1367" i="62"/>
  <c r="AA1368" i="62"/>
  <c r="AA1369" i="62"/>
  <c r="AA1370" i="62"/>
  <c r="AA1371" i="62"/>
  <c r="AA1372" i="62"/>
  <c r="AA1318" i="62"/>
  <c r="AA1319" i="62"/>
  <c r="AA1320" i="62"/>
  <c r="AA1321" i="62"/>
  <c r="AA1322" i="62"/>
  <c r="AA1323" i="62"/>
  <c r="AA1324" i="62"/>
  <c r="AA1325" i="62"/>
  <c r="AA1326" i="62"/>
  <c r="AA1327" i="62"/>
  <c r="AA1328" i="62"/>
  <c r="AA1329" i="62"/>
  <c r="AA1330" i="62"/>
  <c r="AA1331" i="62"/>
  <c r="AA1332" i="62"/>
  <c r="AA1333" i="62"/>
  <c r="AA1334" i="62"/>
  <c r="AA1335" i="62"/>
  <c r="AA1336" i="62"/>
  <c r="AA1337" i="62"/>
  <c r="AA1338" i="62"/>
  <c r="AA1339" i="62"/>
  <c r="AA1340" i="62"/>
  <c r="AA1341" i="62"/>
  <c r="AA1342" i="62"/>
  <c r="AA1343" i="62"/>
  <c r="AA1289" i="62"/>
  <c r="AA1290" i="62"/>
  <c r="AA1291" i="62"/>
  <c r="AA1292" i="62"/>
  <c r="AA1293" i="62"/>
  <c r="AA1294" i="62"/>
  <c r="AA1295" i="62"/>
  <c r="AA1296" i="62"/>
  <c r="AA1297" i="62"/>
  <c r="AA1298" i="62"/>
  <c r="AA1299" i="62"/>
  <c r="AA1300" i="62"/>
  <c r="AA1301" i="62"/>
  <c r="AA1302" i="62"/>
  <c r="AA1303" i="62"/>
  <c r="AA1304" i="62"/>
  <c r="AA1305" i="62"/>
  <c r="AA1306" i="62"/>
  <c r="AA1307" i="62"/>
  <c r="AA1308" i="62"/>
  <c r="AA1309" i="62"/>
  <c r="AA1310" i="62"/>
  <c r="AA1311" i="62"/>
  <c r="AA1312" i="62"/>
  <c r="AA1313" i="62"/>
  <c r="AA1314" i="62"/>
  <c r="AA1315" i="62"/>
  <c r="AA1316" i="62"/>
  <c r="AA1317" i="62"/>
  <c r="AA1260" i="62"/>
  <c r="AA1261" i="62"/>
  <c r="AA1262" i="62"/>
  <c r="AA1263" i="62"/>
  <c r="AA1264" i="62"/>
  <c r="AA1265" i="62"/>
  <c r="AA1266" i="62"/>
  <c r="AA1267" i="62"/>
  <c r="AA1268" i="62"/>
  <c r="AA1269" i="62"/>
  <c r="AA1270" i="62"/>
  <c r="AA1271" i="62"/>
  <c r="AA1272" i="62"/>
  <c r="AA1273" i="62"/>
  <c r="AA1274" i="62"/>
  <c r="AA1275" i="62"/>
  <c r="AA1276" i="62"/>
  <c r="AA1277" i="62"/>
  <c r="AA1278" i="62"/>
  <c r="AA1279" i="62"/>
  <c r="AA1280" i="62"/>
  <c r="AA1281" i="62"/>
  <c r="AA1282" i="62"/>
  <c r="AA1283" i="62"/>
  <c r="AA1284" i="62"/>
  <c r="AA1285" i="62"/>
  <c r="AA1286" i="62"/>
  <c r="AA1287" i="62"/>
  <c r="AA1288" i="62"/>
  <c r="AA1231" i="62"/>
  <c r="AA1232" i="62"/>
  <c r="AA1233" i="62"/>
  <c r="AA1234" i="62"/>
  <c r="AA1235" i="62"/>
  <c r="AA1236" i="62"/>
  <c r="AA1237" i="62"/>
  <c r="AA1238" i="62"/>
  <c r="AA1239" i="62"/>
  <c r="AA1240" i="62"/>
  <c r="AA1241" i="62"/>
  <c r="AA1242" i="62"/>
  <c r="AA1243" i="62"/>
  <c r="AA1244" i="62"/>
  <c r="AA1245" i="62"/>
  <c r="AA1246" i="62"/>
  <c r="AA1247" i="62"/>
  <c r="AA1248" i="62"/>
  <c r="AA1249" i="62"/>
  <c r="AA1250" i="62"/>
  <c r="AA1251" i="62"/>
  <c r="AA1252" i="62"/>
  <c r="AA1253" i="62"/>
  <c r="AA1254" i="62"/>
  <c r="AA1255" i="62"/>
  <c r="AA1256" i="62"/>
  <c r="AA1257" i="62"/>
  <c r="AA1258" i="62"/>
  <c r="AA1259" i="62"/>
  <c r="AA1202" i="62"/>
  <c r="AA1203" i="62"/>
  <c r="AA1204" i="62"/>
  <c r="AA1205" i="62"/>
  <c r="AA1206" i="62"/>
  <c r="AA1207" i="62"/>
  <c r="AA1208" i="62"/>
  <c r="AA1209" i="62"/>
  <c r="AA1210" i="62"/>
  <c r="AA1211" i="62"/>
  <c r="AA1212" i="62"/>
  <c r="AA1213" i="62"/>
  <c r="AA1214" i="62"/>
  <c r="AA1215" i="62"/>
  <c r="AA1216" i="62"/>
  <c r="AA1217" i="62"/>
  <c r="AA1218" i="62"/>
  <c r="AA1219" i="62"/>
  <c r="AA1220" i="62"/>
  <c r="AA1221" i="62"/>
  <c r="AA1222" i="62"/>
  <c r="AA1223" i="62"/>
  <c r="AA1224" i="62"/>
  <c r="AA1225" i="62"/>
  <c r="AA1226" i="62"/>
  <c r="AA1227" i="62"/>
  <c r="AA1228" i="62"/>
  <c r="AA1229" i="62"/>
  <c r="AA1230" i="62"/>
  <c r="AA1173" i="62"/>
  <c r="AA1174" i="62"/>
  <c r="AA1175" i="62"/>
  <c r="AA1176" i="62"/>
  <c r="AA1177" i="62"/>
  <c r="AA1178" i="62"/>
  <c r="AA1179" i="62"/>
  <c r="AA1180" i="62"/>
  <c r="AA1181" i="62"/>
  <c r="AA1182" i="62"/>
  <c r="AA1183" i="62"/>
  <c r="AA1184" i="62"/>
  <c r="AA1185" i="62"/>
  <c r="AA1186" i="62"/>
  <c r="AA1187" i="62"/>
  <c r="AA1188" i="62"/>
  <c r="AA1189" i="62"/>
  <c r="AA1190" i="62"/>
  <c r="AA1191" i="62"/>
  <c r="AA1192" i="62"/>
  <c r="AA1193" i="62"/>
  <c r="AA1194" i="62"/>
  <c r="AA1195" i="62"/>
  <c r="AA1196" i="62"/>
  <c r="AA1197" i="62"/>
  <c r="AA1198" i="62"/>
  <c r="AA1199" i="62"/>
  <c r="AA1200" i="62"/>
  <c r="AA1201" i="62"/>
  <c r="AA1144" i="62"/>
  <c r="AA1145" i="62"/>
  <c r="AA1146" i="62"/>
  <c r="AA1147" i="62"/>
  <c r="AA1148" i="62"/>
  <c r="AA1149" i="62"/>
  <c r="AA1150" i="62"/>
  <c r="AA1151" i="62"/>
  <c r="AA1152" i="62"/>
  <c r="AA1153" i="62"/>
  <c r="AA1154" i="62"/>
  <c r="AA1155" i="62"/>
  <c r="AA1156" i="62"/>
  <c r="AA1157" i="62"/>
  <c r="AA1158" i="62"/>
  <c r="AA1159" i="62"/>
  <c r="AA1160" i="62"/>
  <c r="AA1161" i="62"/>
  <c r="AA1162" i="62"/>
  <c r="AA1163" i="62"/>
  <c r="AA1164" i="62"/>
  <c r="AA1165" i="62"/>
  <c r="AA1166" i="62"/>
  <c r="AA1167" i="62"/>
  <c r="AA1168" i="62"/>
  <c r="AA1169" i="62"/>
  <c r="AA1170" i="62"/>
  <c r="AA1171" i="62"/>
  <c r="AA1172" i="62"/>
  <c r="AA1115" i="62"/>
  <c r="AA1116" i="62"/>
  <c r="AA1117" i="62"/>
  <c r="AA1118" i="62"/>
  <c r="AA1119" i="62"/>
  <c r="AA1120" i="62"/>
  <c r="AA1121" i="62"/>
  <c r="AA1122" i="62"/>
  <c r="AA1123" i="62"/>
  <c r="AA1124" i="62"/>
  <c r="AA1125" i="62"/>
  <c r="AA1126" i="62"/>
  <c r="AA1127" i="62"/>
  <c r="AA1128" i="62"/>
  <c r="AA1129" i="62"/>
  <c r="AA1130" i="62"/>
  <c r="AA1131" i="62"/>
  <c r="AA1132" i="62"/>
  <c r="AA1133" i="62"/>
  <c r="AA1134" i="62"/>
  <c r="AA1135" i="62"/>
  <c r="AA1136" i="62"/>
  <c r="AA1137" i="62"/>
  <c r="AA1138" i="62"/>
  <c r="AA1139" i="62"/>
  <c r="AA1140" i="62"/>
  <c r="AA1141" i="62"/>
  <c r="AA1142" i="62"/>
  <c r="AA1143" i="62"/>
  <c r="AA1086" i="62"/>
  <c r="AA1087" i="62"/>
  <c r="AA1088" i="62"/>
  <c r="AA1089" i="62"/>
  <c r="AA1090" i="62"/>
  <c r="AA1091" i="62"/>
  <c r="AA1092" i="62"/>
  <c r="AA1093" i="62"/>
  <c r="AA1094" i="62"/>
  <c r="AA1095" i="62"/>
  <c r="AA1096" i="62"/>
  <c r="AA1097" i="62"/>
  <c r="AA1098" i="62"/>
  <c r="AA1099" i="62"/>
  <c r="AA1100" i="62"/>
  <c r="AA1101" i="62"/>
  <c r="AA1102" i="62"/>
  <c r="AA1103" i="62"/>
  <c r="AA1104" i="62"/>
  <c r="AA1105" i="62"/>
  <c r="AA1106" i="62"/>
  <c r="AA1107" i="62"/>
  <c r="AA1108" i="62"/>
  <c r="AA1109" i="62"/>
  <c r="AA1110" i="62"/>
  <c r="AA1111" i="62"/>
  <c r="AA1112" i="62"/>
  <c r="AA1113" i="62"/>
  <c r="AA1114" i="62"/>
  <c r="AA1057" i="62"/>
  <c r="AA1058" i="62"/>
  <c r="AA1059" i="62"/>
  <c r="AA1060" i="62"/>
  <c r="AA1061" i="62"/>
  <c r="AA1062" i="62"/>
  <c r="AA1063" i="62"/>
  <c r="AA1064" i="62"/>
  <c r="AA1065" i="62"/>
  <c r="AA1066" i="62"/>
  <c r="AA1067" i="62"/>
  <c r="AA1068" i="62"/>
  <c r="AA1069" i="62"/>
  <c r="AA1070" i="62"/>
  <c r="AA1071" i="62"/>
  <c r="AA1072" i="62"/>
  <c r="AA1073" i="62"/>
  <c r="AA1074" i="62"/>
  <c r="AA1075" i="62"/>
  <c r="AA1076" i="62"/>
  <c r="AA1077" i="62"/>
  <c r="AA1078" i="62"/>
  <c r="AA1079" i="62"/>
  <c r="AA1080" i="62"/>
  <c r="AA1081" i="62"/>
  <c r="AA1082" i="62"/>
  <c r="AA1083" i="62"/>
  <c r="AA1084" i="62"/>
  <c r="AA1085" i="62"/>
  <c r="AA1028" i="62"/>
  <c r="AA1029" i="62"/>
  <c r="AA1030" i="62"/>
  <c r="AA1031" i="62"/>
  <c r="AA1032" i="62"/>
  <c r="AA1033" i="62"/>
  <c r="AA1034" i="62"/>
  <c r="AA1035" i="62"/>
  <c r="AA1036" i="62"/>
  <c r="AA1037" i="62"/>
  <c r="AA1038" i="62"/>
  <c r="AA1039" i="62"/>
  <c r="AA1040" i="62"/>
  <c r="AA1041" i="62"/>
  <c r="AA1042" i="62"/>
  <c r="AA1043" i="62"/>
  <c r="AA1044" i="62"/>
  <c r="AA1045" i="62"/>
  <c r="AA1046" i="62"/>
  <c r="AA1047" i="62"/>
  <c r="AA1048" i="62"/>
  <c r="AA1049" i="62"/>
  <c r="AA1050" i="62"/>
  <c r="AA1051" i="62"/>
  <c r="AA1052" i="62"/>
  <c r="AA1053" i="62"/>
  <c r="AA1054" i="62"/>
  <c r="AA1055" i="62"/>
  <c r="AA1056" i="62"/>
  <c r="AA999" i="62"/>
  <c r="AA1000" i="62"/>
  <c r="AA1001" i="62"/>
  <c r="AA1002" i="62"/>
  <c r="AA1003" i="62"/>
  <c r="AA1004" i="62"/>
  <c r="AA1005" i="62"/>
  <c r="AA1006" i="62"/>
  <c r="AA1007" i="62"/>
  <c r="AA1008" i="62"/>
  <c r="AA1009" i="62"/>
  <c r="AA1010" i="62"/>
  <c r="AA1011" i="62"/>
  <c r="AA1012" i="62"/>
  <c r="AA1013" i="62"/>
  <c r="AA1014" i="62"/>
  <c r="AA1015" i="62"/>
  <c r="AA1016" i="62"/>
  <c r="AA1017" i="62"/>
  <c r="AA1018" i="62"/>
  <c r="AA1019" i="62"/>
  <c r="AA1020" i="62"/>
  <c r="AA1021" i="62"/>
  <c r="AA1022" i="62"/>
  <c r="AA1023" i="62"/>
  <c r="AA1024" i="62"/>
  <c r="AA1025" i="62"/>
  <c r="AA1026" i="62"/>
  <c r="AA1027" i="62"/>
  <c r="AA970" i="62"/>
  <c r="AA971" i="62"/>
  <c r="AA972" i="62"/>
  <c r="AA973" i="62"/>
  <c r="AA974" i="62"/>
  <c r="AA975" i="62"/>
  <c r="AA976" i="62"/>
  <c r="AA977" i="62"/>
  <c r="AA978" i="62"/>
  <c r="AA979" i="62"/>
  <c r="AA980" i="62"/>
  <c r="AA981" i="62"/>
  <c r="AA982" i="62"/>
  <c r="AA983" i="62"/>
  <c r="AA984" i="62"/>
  <c r="AA985" i="62"/>
  <c r="AA986" i="62"/>
  <c r="AA987" i="62"/>
  <c r="AA988" i="62"/>
  <c r="AA989" i="62"/>
  <c r="AA990" i="62"/>
  <c r="AA991" i="62"/>
  <c r="AA992" i="62"/>
  <c r="AA993" i="62"/>
  <c r="AA994" i="62"/>
  <c r="AA995" i="62"/>
  <c r="AA996" i="62"/>
  <c r="AA997" i="62"/>
  <c r="AA998" i="62"/>
  <c r="AA941" i="62"/>
  <c r="AA942" i="62"/>
  <c r="AA943" i="62"/>
  <c r="AA944" i="62"/>
  <c r="AA945" i="62"/>
  <c r="AA946" i="62"/>
  <c r="AA947" i="62"/>
  <c r="AA948" i="62"/>
  <c r="AA949" i="62"/>
  <c r="AA950" i="62"/>
  <c r="AA951" i="62"/>
  <c r="AA952" i="62"/>
  <c r="AA953" i="62"/>
  <c r="AA954" i="62"/>
  <c r="AA955" i="62"/>
  <c r="AA956" i="62"/>
  <c r="AA957" i="62"/>
  <c r="AA958" i="62"/>
  <c r="AA959" i="62"/>
  <c r="AA960" i="62"/>
  <c r="AA961" i="62"/>
  <c r="AA962" i="62"/>
  <c r="AA963" i="62"/>
  <c r="AA964" i="62"/>
  <c r="AA965" i="62"/>
  <c r="AA966" i="62"/>
  <c r="AA967" i="62"/>
  <c r="AA968" i="62"/>
  <c r="AA969" i="62"/>
  <c r="AA912" i="62"/>
  <c r="AA913" i="62"/>
  <c r="AA914" i="62"/>
  <c r="AA915" i="62"/>
  <c r="AA916" i="62"/>
  <c r="AA917" i="62"/>
  <c r="AA918" i="62"/>
  <c r="AA919" i="62"/>
  <c r="AA920" i="62"/>
  <c r="AA921" i="62"/>
  <c r="AA922" i="62"/>
  <c r="AA923" i="62"/>
  <c r="AA924" i="62"/>
  <c r="AA925" i="62"/>
  <c r="AA926" i="62"/>
  <c r="AA927" i="62"/>
  <c r="AA928" i="62"/>
  <c r="AA929" i="62"/>
  <c r="AA930" i="62"/>
  <c r="AA931" i="62"/>
  <c r="AA932" i="62"/>
  <c r="AA933" i="62"/>
  <c r="AA934" i="62"/>
  <c r="AA935" i="62"/>
  <c r="AA936" i="62"/>
  <c r="AA937" i="62"/>
  <c r="AA938" i="62"/>
  <c r="AA939" i="62"/>
  <c r="AA940" i="62"/>
  <c r="AA883" i="62"/>
  <c r="AA884" i="62"/>
  <c r="AA885" i="62"/>
  <c r="AA886" i="62"/>
  <c r="AA887" i="62"/>
  <c r="AA888" i="62"/>
  <c r="AA889" i="62"/>
  <c r="AA890" i="62"/>
  <c r="AA891" i="62"/>
  <c r="AA892" i="62"/>
  <c r="AA893" i="62"/>
  <c r="AA894" i="62"/>
  <c r="AA895" i="62"/>
  <c r="AA896" i="62"/>
  <c r="AA897" i="62"/>
  <c r="AA898" i="62"/>
  <c r="AA899" i="62"/>
  <c r="AA900" i="62"/>
  <c r="AA901" i="62"/>
  <c r="AA902" i="62"/>
  <c r="AA903" i="62"/>
  <c r="AA904" i="62"/>
  <c r="AA905" i="62"/>
  <c r="AA906" i="62"/>
  <c r="AA907" i="62"/>
  <c r="AA908" i="62"/>
  <c r="AA909" i="62"/>
  <c r="AA910" i="62"/>
  <c r="AA911" i="62"/>
  <c r="AA854" i="62"/>
  <c r="AA855" i="62"/>
  <c r="AA856" i="62"/>
  <c r="AA857" i="62"/>
  <c r="AA858" i="62"/>
  <c r="AA859" i="62"/>
  <c r="AA860" i="62"/>
  <c r="AA861" i="62"/>
  <c r="AA862" i="62"/>
  <c r="AA863" i="62"/>
  <c r="AA864" i="62"/>
  <c r="AA865" i="62"/>
  <c r="AA866" i="62"/>
  <c r="AA867" i="62"/>
  <c r="AA868" i="62"/>
  <c r="AA869" i="62"/>
  <c r="AA870" i="62"/>
  <c r="AA871" i="62"/>
  <c r="AA872" i="62"/>
  <c r="AA873" i="62"/>
  <c r="AA874" i="62"/>
  <c r="AA875" i="62"/>
  <c r="AA876" i="62"/>
  <c r="AA877" i="62"/>
  <c r="AA878" i="62"/>
  <c r="AA879" i="62"/>
  <c r="AA880" i="62"/>
  <c r="AA881" i="62"/>
  <c r="AA882" i="62"/>
  <c r="AA825" i="62"/>
  <c r="AA826" i="62"/>
  <c r="AA827" i="62"/>
  <c r="AA828" i="62"/>
  <c r="AA829" i="62"/>
  <c r="AA830" i="62"/>
  <c r="AA831" i="62"/>
  <c r="AA832" i="62"/>
  <c r="AA833" i="62"/>
  <c r="AA834" i="62"/>
  <c r="AA835" i="62"/>
  <c r="AA836" i="62"/>
  <c r="AA837" i="62"/>
  <c r="AA838" i="62"/>
  <c r="AA839" i="62"/>
  <c r="AA840" i="62"/>
  <c r="AA841" i="62"/>
  <c r="AA842" i="62"/>
  <c r="AA843" i="62"/>
  <c r="AA844" i="62"/>
  <c r="AA845" i="62"/>
  <c r="AA846" i="62"/>
  <c r="AA847" i="62"/>
  <c r="AA848" i="62"/>
  <c r="AA849" i="62"/>
  <c r="AA850" i="62"/>
  <c r="AA851" i="62"/>
  <c r="AA852" i="62"/>
  <c r="AA853" i="62"/>
  <c r="AA796" i="62"/>
  <c r="AA797" i="62"/>
  <c r="AA798" i="62"/>
  <c r="AA799" i="62"/>
  <c r="AA800" i="62"/>
  <c r="AA801" i="62"/>
  <c r="AA802" i="62"/>
  <c r="AA803" i="62"/>
  <c r="AA804" i="62"/>
  <c r="AA805" i="62"/>
  <c r="AA806" i="62"/>
  <c r="AA807" i="62"/>
  <c r="AA808" i="62"/>
  <c r="AA809" i="62"/>
  <c r="AA810" i="62"/>
  <c r="AA811" i="62"/>
  <c r="AA812" i="62"/>
  <c r="AA813" i="62"/>
  <c r="AA814" i="62"/>
  <c r="AA815" i="62"/>
  <c r="AA816" i="62"/>
  <c r="AA817" i="62"/>
  <c r="AA818" i="62"/>
  <c r="AA819" i="62"/>
  <c r="AA820" i="62"/>
  <c r="AA821" i="62"/>
  <c r="AA822" i="62"/>
  <c r="AA823" i="62"/>
  <c r="AA824" i="62"/>
  <c r="AA767" i="62"/>
  <c r="AA768" i="62"/>
  <c r="AA769" i="62"/>
  <c r="AA770" i="62"/>
  <c r="AA771" i="62"/>
  <c r="AA772" i="62"/>
  <c r="AA773" i="62"/>
  <c r="AA774" i="62"/>
  <c r="AA775" i="62"/>
  <c r="AA776" i="62"/>
  <c r="AA777" i="62"/>
  <c r="AA778" i="62"/>
  <c r="AA779" i="62"/>
  <c r="AA780" i="62"/>
  <c r="AA781" i="62"/>
  <c r="AA782" i="62"/>
  <c r="AA783" i="62"/>
  <c r="AA784" i="62"/>
  <c r="AA785" i="62"/>
  <c r="AA786" i="62"/>
  <c r="AA787" i="62"/>
  <c r="AA788" i="62"/>
  <c r="AA789" i="62"/>
  <c r="AA790" i="62"/>
  <c r="AA791" i="62"/>
  <c r="AA792" i="62"/>
  <c r="AA793" i="62"/>
  <c r="AA794" i="62"/>
  <c r="AA795" i="62"/>
  <c r="AA738" i="62"/>
  <c r="AA739" i="62"/>
  <c r="AA740" i="62"/>
  <c r="AA741" i="62"/>
  <c r="AA742" i="62"/>
  <c r="AA743" i="62"/>
  <c r="AA744" i="62"/>
  <c r="AA745" i="62"/>
  <c r="AA746" i="62"/>
  <c r="AA747" i="62"/>
  <c r="AA748" i="62"/>
  <c r="AA749" i="62"/>
  <c r="AA750" i="62"/>
  <c r="AA751" i="62"/>
  <c r="AA752" i="62"/>
  <c r="AA753" i="62"/>
  <c r="AA754" i="62"/>
  <c r="AA755" i="62"/>
  <c r="AA756" i="62"/>
  <c r="AA757" i="62"/>
  <c r="AA758" i="62"/>
  <c r="AA759" i="62"/>
  <c r="AA760" i="62"/>
  <c r="AA761" i="62"/>
  <c r="AA762" i="62"/>
  <c r="AA763" i="62"/>
  <c r="AA764" i="62"/>
  <c r="AA765" i="62"/>
  <c r="AA766" i="62"/>
  <c r="AA709" i="62"/>
  <c r="AA710" i="62"/>
  <c r="AA711" i="62"/>
  <c r="AA712" i="62"/>
  <c r="AA713" i="62"/>
  <c r="AA714" i="62"/>
  <c r="AA715" i="62"/>
  <c r="AA716" i="62"/>
  <c r="AA717" i="62"/>
  <c r="AA718" i="62"/>
  <c r="AA719" i="62"/>
  <c r="AA720" i="62"/>
  <c r="AA721" i="62"/>
  <c r="AA722" i="62"/>
  <c r="AA723" i="62"/>
  <c r="AA724" i="62"/>
  <c r="AA725" i="62"/>
  <c r="AA726" i="62"/>
  <c r="AA727" i="62"/>
  <c r="AA728" i="62"/>
  <c r="AA729" i="62"/>
  <c r="AA730" i="62"/>
  <c r="AA731" i="62"/>
  <c r="AA732" i="62"/>
  <c r="AA733" i="62"/>
  <c r="AA734" i="62"/>
  <c r="AA735" i="62"/>
  <c r="AA736" i="62"/>
  <c r="AA737" i="62"/>
  <c r="AA680" i="62"/>
  <c r="AA681" i="62"/>
  <c r="AA682" i="62"/>
  <c r="AA683" i="62"/>
  <c r="AA684" i="62"/>
  <c r="AA685" i="62"/>
  <c r="AA686" i="62"/>
  <c r="AA687" i="62"/>
  <c r="AA688" i="62"/>
  <c r="AA689" i="62"/>
  <c r="AA690" i="62"/>
  <c r="AA691" i="62"/>
  <c r="AA692" i="62"/>
  <c r="AA693" i="62"/>
  <c r="AA694" i="62"/>
  <c r="AA695" i="62"/>
  <c r="AA696" i="62"/>
  <c r="AA697" i="62"/>
  <c r="AA698" i="62"/>
  <c r="AA699" i="62"/>
  <c r="AA700" i="62"/>
  <c r="AA701" i="62"/>
  <c r="AA702" i="62"/>
  <c r="AA703" i="62"/>
  <c r="AA704" i="62"/>
  <c r="AA705" i="62"/>
  <c r="AA706" i="62"/>
  <c r="AA707" i="62"/>
  <c r="AA708" i="62"/>
  <c r="AA651" i="62"/>
  <c r="AA652" i="62"/>
  <c r="AA653" i="62"/>
  <c r="AA654" i="62"/>
  <c r="AA655" i="62"/>
  <c r="AA656" i="62"/>
  <c r="AA657" i="62"/>
  <c r="AA658" i="62"/>
  <c r="AA659" i="62"/>
  <c r="AA660" i="62"/>
  <c r="AA661" i="62"/>
  <c r="AA662" i="62"/>
  <c r="AA663" i="62"/>
  <c r="AA664" i="62"/>
  <c r="AA665" i="62"/>
  <c r="AA666" i="62"/>
  <c r="AA667" i="62"/>
  <c r="AA668" i="62"/>
  <c r="AA669" i="62"/>
  <c r="AA670" i="62"/>
  <c r="AA671" i="62"/>
  <c r="AA672" i="62"/>
  <c r="AA673" i="62"/>
  <c r="AA674" i="62"/>
  <c r="AA675" i="62"/>
  <c r="AA676" i="62"/>
  <c r="AA677" i="62"/>
  <c r="AA678" i="62"/>
  <c r="AA679" i="62"/>
  <c r="AA622" i="62"/>
  <c r="AA623" i="62"/>
  <c r="AA624" i="62"/>
  <c r="AA625" i="62"/>
  <c r="AA626" i="62"/>
  <c r="AA627" i="62"/>
  <c r="AA628" i="62"/>
  <c r="AA629" i="62"/>
  <c r="AA630" i="62"/>
  <c r="AA631" i="62"/>
  <c r="AA632" i="62"/>
  <c r="AA633" i="62"/>
  <c r="AA634" i="62"/>
  <c r="AA635" i="62"/>
  <c r="AA636" i="62"/>
  <c r="AA637" i="62"/>
  <c r="AA638" i="62"/>
  <c r="AA639" i="62"/>
  <c r="AA640" i="62"/>
  <c r="AA641" i="62"/>
  <c r="AA642" i="62"/>
  <c r="AA643" i="62"/>
  <c r="AA644" i="62"/>
  <c r="AA645" i="62"/>
  <c r="AA646" i="62"/>
  <c r="AA647" i="62"/>
  <c r="AA648" i="62"/>
  <c r="AA649" i="62"/>
  <c r="AA650" i="62"/>
  <c r="AA593" i="62"/>
  <c r="AA594" i="62"/>
  <c r="AA595" i="62"/>
  <c r="AA596" i="62"/>
  <c r="AA597" i="62"/>
  <c r="AA598" i="62"/>
  <c r="AA599" i="62"/>
  <c r="AA600" i="62"/>
  <c r="AA601" i="62"/>
  <c r="AA602" i="62"/>
  <c r="AA603" i="62"/>
  <c r="AA604" i="62"/>
  <c r="AA605" i="62"/>
  <c r="AA606" i="62"/>
  <c r="AA607" i="62"/>
  <c r="AA608" i="62"/>
  <c r="AA609" i="62"/>
  <c r="AA610" i="62"/>
  <c r="AA611" i="62"/>
  <c r="AA612" i="62"/>
  <c r="AA613" i="62"/>
  <c r="AA614" i="62"/>
  <c r="AA615" i="62"/>
  <c r="AA616" i="62"/>
  <c r="AA617" i="62"/>
  <c r="AA618" i="62"/>
  <c r="AA619" i="62"/>
  <c r="AA620" i="62"/>
  <c r="AA621" i="62"/>
  <c r="AA564" i="62"/>
  <c r="AA565" i="62"/>
  <c r="AA566" i="62"/>
  <c r="AA567" i="62"/>
  <c r="AA568" i="62"/>
  <c r="AA569" i="62"/>
  <c r="AA570" i="62"/>
  <c r="AA571" i="62"/>
  <c r="AA572" i="62"/>
  <c r="AA573" i="62"/>
  <c r="AA574" i="62"/>
  <c r="AA575" i="62"/>
  <c r="AA576" i="62"/>
  <c r="AA577" i="62"/>
  <c r="AA578" i="62"/>
  <c r="AA579" i="62"/>
  <c r="AA580" i="62"/>
  <c r="AA581" i="62"/>
  <c r="AA582" i="62"/>
  <c r="AA583" i="62"/>
  <c r="AA584" i="62"/>
  <c r="AA585" i="62"/>
  <c r="AA586" i="62"/>
  <c r="AA587" i="62"/>
  <c r="AA588" i="62"/>
  <c r="AA589" i="62"/>
  <c r="AA590" i="62"/>
  <c r="AA591" i="62"/>
  <c r="AA592" i="62"/>
  <c r="AA535" i="62"/>
  <c r="AA536" i="62"/>
  <c r="AA537" i="62"/>
  <c r="AA538" i="62"/>
  <c r="AA539" i="62"/>
  <c r="AA540" i="62"/>
  <c r="AA541" i="62"/>
  <c r="AA542" i="62"/>
  <c r="AA543" i="62"/>
  <c r="AA544" i="62"/>
  <c r="AA545" i="62"/>
  <c r="AA546" i="62"/>
  <c r="AA547" i="62"/>
  <c r="AA548" i="62"/>
  <c r="AA549" i="62"/>
  <c r="AA550" i="62"/>
  <c r="AA551" i="62"/>
  <c r="AA552" i="62"/>
  <c r="AA553" i="62"/>
  <c r="AA554" i="62"/>
  <c r="AA555" i="62"/>
  <c r="AA556" i="62"/>
  <c r="AA557" i="62"/>
  <c r="AA558" i="62"/>
  <c r="AA559" i="62"/>
  <c r="AA560" i="62"/>
  <c r="AA561" i="62"/>
  <c r="AA562" i="62"/>
  <c r="AA563" i="62"/>
  <c r="AA506" i="62"/>
  <c r="AA507" i="62"/>
  <c r="AA508" i="62"/>
  <c r="AA509" i="62"/>
  <c r="AA510" i="62"/>
  <c r="AA511" i="62"/>
  <c r="AA512" i="62"/>
  <c r="AA513" i="62"/>
  <c r="AA514" i="62"/>
  <c r="AA515" i="62"/>
  <c r="AA516" i="62"/>
  <c r="AA517" i="62"/>
  <c r="AA518" i="62"/>
  <c r="AA519" i="62"/>
  <c r="AA520" i="62"/>
  <c r="AA521" i="62"/>
  <c r="AA522" i="62"/>
  <c r="AA523" i="62"/>
  <c r="AA524" i="62"/>
  <c r="AA525" i="62"/>
  <c r="AA526" i="62"/>
  <c r="AA527" i="62"/>
  <c r="AA528" i="62"/>
  <c r="AA529" i="62"/>
  <c r="AA530" i="62"/>
  <c r="AA531" i="62"/>
  <c r="AA532" i="62"/>
  <c r="AA533" i="62"/>
  <c r="AA534" i="62"/>
  <c r="AA477" i="62"/>
  <c r="AA478" i="62"/>
  <c r="AA479" i="62"/>
  <c r="AA480" i="62"/>
  <c r="AA481" i="62"/>
  <c r="AA482" i="62"/>
  <c r="AA483" i="62"/>
  <c r="AA484" i="62"/>
  <c r="AA485" i="62"/>
  <c r="AA486" i="62"/>
  <c r="AA487" i="62"/>
  <c r="AA488" i="62"/>
  <c r="AA489" i="62"/>
  <c r="AA490" i="62"/>
  <c r="AA491" i="62"/>
  <c r="AA492" i="62"/>
  <c r="AA493" i="62"/>
  <c r="AA494" i="62"/>
  <c r="AA495" i="62"/>
  <c r="AA496" i="62"/>
  <c r="AA497" i="62"/>
  <c r="AA498" i="62"/>
  <c r="AA499" i="62"/>
  <c r="AA500" i="62"/>
  <c r="AA501" i="62"/>
  <c r="AA502" i="62"/>
  <c r="AA503" i="62"/>
  <c r="AA504" i="62"/>
  <c r="AA505" i="62"/>
  <c r="AA448" i="62"/>
  <c r="AA449" i="62"/>
  <c r="AA450" i="62"/>
  <c r="AA451" i="62"/>
  <c r="AA452" i="62"/>
  <c r="AA453" i="62"/>
  <c r="AA454" i="62"/>
  <c r="AA455" i="62"/>
  <c r="AA456" i="62"/>
  <c r="AA457" i="62"/>
  <c r="AA458" i="62"/>
  <c r="AA459" i="62"/>
  <c r="AA460" i="62"/>
  <c r="AA461" i="62"/>
  <c r="AA462" i="62"/>
  <c r="AA463" i="62"/>
  <c r="AA464" i="62"/>
  <c r="AA465" i="62"/>
  <c r="AA466" i="62"/>
  <c r="AA467" i="62"/>
  <c r="AA468" i="62"/>
  <c r="AA469" i="62"/>
  <c r="AA470" i="62"/>
  <c r="AA471" i="62"/>
  <c r="AA472" i="62"/>
  <c r="AA473" i="62"/>
  <c r="AA474" i="62"/>
  <c r="AA475" i="62"/>
  <c r="AA476" i="62"/>
  <c r="AA419" i="62"/>
  <c r="AA420" i="62"/>
  <c r="AA421" i="62"/>
  <c r="AA422" i="62"/>
  <c r="AA423" i="62"/>
  <c r="AA424" i="62"/>
  <c r="AA425" i="62"/>
  <c r="AA426" i="62"/>
  <c r="AA427" i="62"/>
  <c r="AA428" i="62"/>
  <c r="AA429" i="62"/>
  <c r="AA430" i="62"/>
  <c r="AA431" i="62"/>
  <c r="AA432" i="62"/>
  <c r="AA433" i="62"/>
  <c r="AA434" i="62"/>
  <c r="AA435" i="62"/>
  <c r="AA436" i="62"/>
  <c r="AA437" i="62"/>
  <c r="AA438" i="62"/>
  <c r="AA439" i="62"/>
  <c r="AA440" i="62"/>
  <c r="AA441" i="62"/>
  <c r="AA442" i="62"/>
  <c r="AA443" i="62"/>
  <c r="AA444" i="62"/>
  <c r="AA445" i="62"/>
  <c r="AA446" i="62"/>
  <c r="AA447" i="62"/>
  <c r="AA390" i="62"/>
  <c r="AA391" i="62"/>
  <c r="AA392" i="62"/>
  <c r="AA393" i="62"/>
  <c r="AA394" i="62"/>
  <c r="AA395" i="62"/>
  <c r="AA396" i="62"/>
  <c r="AA397" i="62"/>
  <c r="AA398" i="62"/>
  <c r="AA399" i="62"/>
  <c r="AA400" i="62"/>
  <c r="AA401" i="62"/>
  <c r="AA402" i="62"/>
  <c r="AA403" i="62"/>
  <c r="AA404" i="62"/>
  <c r="AA405" i="62"/>
  <c r="AA406" i="62"/>
  <c r="AA407" i="62"/>
  <c r="AA408" i="62"/>
  <c r="AA409" i="62"/>
  <c r="AA410" i="62"/>
  <c r="AA411" i="62"/>
  <c r="AA412" i="62"/>
  <c r="AA413" i="62"/>
  <c r="AA414" i="62"/>
  <c r="AA415" i="62"/>
  <c r="AA416" i="62"/>
  <c r="AA417" i="62"/>
  <c r="AA418" i="62"/>
  <c r="AA361" i="62"/>
  <c r="AA362" i="62"/>
  <c r="AA363" i="62"/>
  <c r="AA364" i="62"/>
  <c r="AA365" i="62"/>
  <c r="AA366" i="62"/>
  <c r="AA367" i="62"/>
  <c r="AA368" i="62"/>
  <c r="AA369" i="62"/>
  <c r="AA370" i="62"/>
  <c r="AA371" i="62"/>
  <c r="AA372" i="62"/>
  <c r="AA373" i="62"/>
  <c r="AA374" i="62"/>
  <c r="AA375" i="62"/>
  <c r="AA376" i="62"/>
  <c r="AA377" i="62"/>
  <c r="AA378" i="62"/>
  <c r="AA379" i="62"/>
  <c r="AA380" i="62"/>
  <c r="AA381" i="62"/>
  <c r="AA382" i="62"/>
  <c r="AA383" i="62"/>
  <c r="AA384" i="62"/>
  <c r="AA385" i="62"/>
  <c r="AA386" i="62"/>
  <c r="AA387" i="62"/>
  <c r="AA388" i="62"/>
  <c r="AA389" i="62"/>
  <c r="AA332" i="62"/>
  <c r="AA333" i="62"/>
  <c r="AA334" i="62"/>
  <c r="AA335" i="62"/>
  <c r="AA336" i="62"/>
  <c r="AA337" i="62"/>
  <c r="AA338" i="62"/>
  <c r="AA339" i="62"/>
  <c r="AA340" i="62"/>
  <c r="AA341" i="62"/>
  <c r="AA342" i="62"/>
  <c r="AA343" i="62"/>
  <c r="AA344" i="62"/>
  <c r="AA345" i="62"/>
  <c r="AA346" i="62"/>
  <c r="AA347" i="62"/>
  <c r="AA348" i="62"/>
  <c r="AA349" i="62"/>
  <c r="AA350" i="62"/>
  <c r="AA351" i="62"/>
  <c r="AA352" i="62"/>
  <c r="AA353" i="62"/>
  <c r="AA354" i="62"/>
  <c r="AA355" i="62"/>
  <c r="AA356" i="62"/>
  <c r="AA357" i="62"/>
  <c r="AA358" i="62"/>
  <c r="AA359" i="62"/>
  <c r="AA360" i="62"/>
  <c r="AA303" i="62"/>
  <c r="AA304" i="62"/>
  <c r="AA305" i="62"/>
  <c r="AA306" i="62"/>
  <c r="AA307" i="62"/>
  <c r="AA308" i="62"/>
  <c r="AA309" i="62"/>
  <c r="AA310" i="62"/>
  <c r="AA311" i="62"/>
  <c r="AA312" i="62"/>
  <c r="AA313" i="62"/>
  <c r="AA314" i="62"/>
  <c r="AA315" i="62"/>
  <c r="AA316" i="62"/>
  <c r="AA317" i="62"/>
  <c r="AA318" i="62"/>
  <c r="AA319" i="62"/>
  <c r="AA320" i="62"/>
  <c r="AA321" i="62"/>
  <c r="AA322" i="62"/>
  <c r="AA323" i="62"/>
  <c r="AA324" i="62"/>
  <c r="AA325" i="62"/>
  <c r="AA326" i="62"/>
  <c r="AA327" i="62"/>
  <c r="AA328" i="62"/>
  <c r="AA329" i="62"/>
  <c r="AA330" i="62"/>
  <c r="AA331" i="62"/>
  <c r="AA274" i="62"/>
  <c r="AA275" i="62"/>
  <c r="AA276" i="62"/>
  <c r="AA277" i="62"/>
  <c r="AA278" i="62"/>
  <c r="AA279" i="62"/>
  <c r="AA280" i="62"/>
  <c r="AA281" i="62"/>
  <c r="AA282" i="62"/>
  <c r="AA283" i="62"/>
  <c r="AA284" i="62"/>
  <c r="AA285" i="62"/>
  <c r="AA286" i="62"/>
  <c r="AA287" i="62"/>
  <c r="AA288" i="62"/>
  <c r="AA289" i="62"/>
  <c r="AA290" i="62"/>
  <c r="AA291" i="62"/>
  <c r="AA292" i="62"/>
  <c r="AA293" i="62"/>
  <c r="AA294" i="62"/>
  <c r="AA295" i="62"/>
  <c r="AA296" i="62"/>
  <c r="AA297" i="62"/>
  <c r="AA298" i="62"/>
  <c r="AA299" i="62"/>
  <c r="AA300" i="62"/>
  <c r="AA301" i="62"/>
  <c r="AA302" i="62"/>
  <c r="AA245" i="62"/>
  <c r="AA246" i="62"/>
  <c r="AA247" i="62"/>
  <c r="AA248" i="62"/>
  <c r="AA249" i="62"/>
  <c r="AA250" i="62"/>
  <c r="AA251" i="62"/>
  <c r="AA252" i="62"/>
  <c r="AA253" i="62"/>
  <c r="AA254" i="62"/>
  <c r="AA255" i="62"/>
  <c r="AA256" i="62"/>
  <c r="AA257" i="62"/>
  <c r="AA258" i="62"/>
  <c r="AA259" i="62"/>
  <c r="AA260" i="62"/>
  <c r="AA261" i="62"/>
  <c r="AA262" i="62"/>
  <c r="AA263" i="62"/>
  <c r="AA264" i="62"/>
  <c r="AA265" i="62"/>
  <c r="AA266" i="62"/>
  <c r="AA267" i="62"/>
  <c r="AA268" i="62"/>
  <c r="AA269" i="62"/>
  <c r="AA270" i="62"/>
  <c r="AA271" i="62"/>
  <c r="AA272" i="62"/>
  <c r="AA273" i="62"/>
  <c r="AA216" i="62"/>
  <c r="AA217" i="62"/>
  <c r="AA218" i="62"/>
  <c r="AA219" i="62"/>
  <c r="AA220" i="62"/>
  <c r="AA221" i="62"/>
  <c r="AA222" i="62"/>
  <c r="AA223" i="62"/>
  <c r="AA224" i="62"/>
  <c r="AA225" i="62"/>
  <c r="AA226" i="62"/>
  <c r="AA227" i="62"/>
  <c r="AA228" i="62"/>
  <c r="AA229" i="62"/>
  <c r="AA230" i="62"/>
  <c r="AA231" i="62"/>
  <c r="AA232" i="62"/>
  <c r="AA233" i="62"/>
  <c r="AA234" i="62"/>
  <c r="AA235" i="62"/>
  <c r="AA236" i="62"/>
  <c r="AA237" i="62"/>
  <c r="AA238" i="62"/>
  <c r="AA239" i="62"/>
  <c r="AA240" i="62"/>
  <c r="AA241" i="62"/>
  <c r="AA242" i="62"/>
  <c r="AA243" i="62"/>
  <c r="AA244" i="62"/>
  <c r="AA187" i="62"/>
  <c r="AA188" i="62"/>
  <c r="AA189" i="62"/>
  <c r="AA190" i="62"/>
  <c r="AA191" i="62"/>
  <c r="AA192" i="62"/>
  <c r="AA193" i="62"/>
  <c r="AA194" i="62"/>
  <c r="AA195" i="62"/>
  <c r="AA196" i="62"/>
  <c r="AA197" i="62"/>
  <c r="AA198" i="62"/>
  <c r="AA199" i="62"/>
  <c r="AA200" i="62"/>
  <c r="AA201" i="62"/>
  <c r="AA202" i="62"/>
  <c r="AA203" i="62"/>
  <c r="AA204" i="62"/>
  <c r="AA205" i="62"/>
  <c r="AA206" i="62"/>
  <c r="AA207" i="62"/>
  <c r="AA208" i="62"/>
  <c r="AA209" i="62"/>
  <c r="AA210" i="62"/>
  <c r="AA211" i="62"/>
  <c r="AA212" i="62"/>
  <c r="AA213" i="62"/>
  <c r="AA214" i="62"/>
  <c r="AA215" i="62"/>
  <c r="AA158" i="62"/>
  <c r="AA159" i="62"/>
  <c r="AA160" i="62"/>
  <c r="AA161" i="62"/>
  <c r="AA162" i="62"/>
  <c r="AA163" i="62"/>
  <c r="AA164" i="62"/>
  <c r="AA165" i="62"/>
  <c r="AA166" i="62"/>
  <c r="AA167" i="62"/>
  <c r="AA168" i="62"/>
  <c r="AA169" i="62"/>
  <c r="AA170" i="62"/>
  <c r="AA171" i="62"/>
  <c r="AA172" i="62"/>
  <c r="AA173" i="62"/>
  <c r="AA174" i="62"/>
  <c r="AA175" i="62"/>
  <c r="AA176" i="62"/>
  <c r="AA177" i="62"/>
  <c r="AA178" i="62"/>
  <c r="AA179" i="62"/>
  <c r="AA180" i="62"/>
  <c r="AA181" i="62"/>
  <c r="AA182" i="62"/>
  <c r="AA183" i="62"/>
  <c r="AA184" i="62"/>
  <c r="AA185" i="62"/>
  <c r="AA186" i="62"/>
  <c r="AA129" i="62"/>
  <c r="AA130" i="62"/>
  <c r="AA131" i="62"/>
  <c r="AA132" i="62"/>
  <c r="AA133" i="62"/>
  <c r="AA134" i="62"/>
  <c r="AA135" i="62"/>
  <c r="AA136" i="62"/>
  <c r="AA137" i="62"/>
  <c r="AA138" i="62"/>
  <c r="AA139" i="62"/>
  <c r="AA140" i="62"/>
  <c r="AA141" i="62"/>
  <c r="AA142" i="62"/>
  <c r="AA143" i="62"/>
  <c r="AA144" i="62"/>
  <c r="AA145" i="62"/>
  <c r="AA146" i="62"/>
  <c r="AA147" i="62"/>
  <c r="AA148" i="62"/>
  <c r="AA149" i="62"/>
  <c r="AA150" i="62"/>
  <c r="AA151" i="62"/>
  <c r="AA152" i="62"/>
  <c r="AA153" i="62"/>
  <c r="AA154" i="62"/>
  <c r="AA155" i="62"/>
  <c r="AA156" i="62"/>
  <c r="AA157" i="62"/>
  <c r="AA100" i="62"/>
  <c r="AA101" i="62"/>
  <c r="AA102" i="62"/>
  <c r="AA103" i="62"/>
  <c r="AA104" i="62"/>
  <c r="AA105" i="62"/>
  <c r="AA106" i="62"/>
  <c r="AA107" i="62"/>
  <c r="AA108" i="62"/>
  <c r="AA109" i="62"/>
  <c r="AA110" i="62"/>
  <c r="AA111" i="62"/>
  <c r="AA112" i="62"/>
  <c r="AA113" i="62"/>
  <c r="AA114" i="62"/>
  <c r="AA115" i="62"/>
  <c r="AA116" i="62"/>
  <c r="AA117" i="62"/>
  <c r="AA118" i="62"/>
  <c r="AA119" i="62"/>
  <c r="AA120" i="62"/>
  <c r="AA121" i="62"/>
  <c r="AA122" i="62"/>
  <c r="AA123" i="62"/>
  <c r="AA124" i="62"/>
  <c r="AA125" i="62"/>
  <c r="AA126" i="62"/>
  <c r="AA127" i="62"/>
  <c r="AA128" i="62"/>
  <c r="O1204" i="4"/>
  <c r="O1206" i="4"/>
  <c r="O1207" i="4"/>
  <c r="O1208" i="4"/>
  <c r="O1209" i="4"/>
  <c r="O1211" i="4"/>
  <c r="O1214" i="4"/>
  <c r="O1216" i="4"/>
  <c r="O1221" i="4"/>
  <c r="O1224" i="4"/>
  <c r="O1226" i="4"/>
  <c r="O1227" i="4"/>
  <c r="O1228" i="4"/>
  <c r="O1230" i="4"/>
  <c r="O1231" i="4"/>
  <c r="P1208"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O1176" i="4"/>
  <c r="O1178" i="4"/>
  <c r="O1179" i="4"/>
  <c r="O1180" i="4"/>
  <c r="O1181" i="4"/>
  <c r="O1183" i="4"/>
  <c r="O1186" i="4"/>
  <c r="O1188" i="4"/>
  <c r="O1193" i="4"/>
  <c r="O1196" i="4"/>
  <c r="O1198" i="4"/>
  <c r="O1199" i="4"/>
  <c r="O1200" i="4"/>
  <c r="O1202" i="4"/>
  <c r="O1203" i="4"/>
  <c r="P1178" i="4"/>
  <c r="P1189"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O1148" i="4"/>
  <c r="O1150" i="4"/>
  <c r="O1151" i="4"/>
  <c r="O1152" i="4"/>
  <c r="O1153" i="4"/>
  <c r="O1154" i="4"/>
  <c r="O1155" i="4"/>
  <c r="O1158" i="4"/>
  <c r="O1160" i="4"/>
  <c r="O1161" i="4"/>
  <c r="O1162" i="4"/>
  <c r="O1165" i="4"/>
  <c r="O1168" i="4"/>
  <c r="O1170" i="4"/>
  <c r="O1171" i="4"/>
  <c r="O1172" i="4"/>
  <c r="O1174" i="4"/>
  <c r="O1175" i="4"/>
  <c r="P1150" i="4"/>
  <c r="P1175"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O1120" i="4"/>
  <c r="O1121" i="4"/>
  <c r="O1122" i="4"/>
  <c r="O1123" i="4"/>
  <c r="O1124" i="4"/>
  <c r="O1125" i="4"/>
  <c r="O1126" i="4"/>
  <c r="O1127" i="4"/>
  <c r="O1128" i="4"/>
  <c r="O1129" i="4"/>
  <c r="O1130" i="4"/>
  <c r="O1131" i="4"/>
  <c r="O1132" i="4"/>
  <c r="O1137" i="4"/>
  <c r="O1140" i="4"/>
  <c r="O1142" i="4"/>
  <c r="O1143" i="4"/>
  <c r="O1144" i="4"/>
  <c r="O1145" i="4"/>
  <c r="O1146" i="4"/>
  <c r="O1147" i="4"/>
  <c r="P1120" i="4"/>
  <c r="P1121" i="4"/>
  <c r="P112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O1092" i="4"/>
  <c r="O1093" i="4"/>
  <c r="O1094" i="4"/>
  <c r="O1095" i="4"/>
  <c r="O1096" i="4"/>
  <c r="O1097" i="4"/>
  <c r="O1098" i="4"/>
  <c r="O1099" i="4"/>
  <c r="O1100" i="4"/>
  <c r="O1101" i="4"/>
  <c r="O1102" i="4"/>
  <c r="O1104" i="4"/>
  <c r="O1109" i="4"/>
  <c r="O1112" i="4"/>
  <c r="O1114" i="4"/>
  <c r="O1115" i="4"/>
  <c r="O1116" i="4"/>
  <c r="O1117" i="4"/>
  <c r="O1118" i="4"/>
  <c r="O1119" i="4"/>
  <c r="P1096" i="4"/>
  <c r="P1112" i="4"/>
  <c r="P1115"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O1064" i="4"/>
  <c r="O1065" i="4"/>
  <c r="O1066" i="4"/>
  <c r="O1067" i="4"/>
  <c r="O1068" i="4"/>
  <c r="O1069" i="4"/>
  <c r="O1070" i="4"/>
  <c r="O1071" i="4"/>
  <c r="O1072" i="4"/>
  <c r="O1073" i="4"/>
  <c r="O1074" i="4"/>
  <c r="O1076" i="4"/>
  <c r="O1077" i="4"/>
  <c r="O1081" i="4"/>
  <c r="O1084" i="4"/>
  <c r="O1086" i="4"/>
  <c r="O1087" i="4"/>
  <c r="O1088" i="4"/>
  <c r="O1089" i="4"/>
  <c r="O1090" i="4"/>
  <c r="O1091" i="4"/>
  <c r="P1064" i="4"/>
  <c r="P1066" i="4"/>
  <c r="P1073" i="4"/>
  <c r="P1077" i="4"/>
  <c r="P1091"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O1036" i="4"/>
  <c r="O1037" i="4"/>
  <c r="O1038" i="4"/>
  <c r="O1039" i="4"/>
  <c r="O1040" i="4"/>
  <c r="O1041" i="4"/>
  <c r="O1042" i="4"/>
  <c r="O1043" i="4"/>
  <c r="O1044" i="4"/>
  <c r="O1045" i="4"/>
  <c r="O1046" i="4"/>
  <c r="O1047" i="4"/>
  <c r="O1048" i="4"/>
  <c r="O1049" i="4"/>
  <c r="O1050" i="4"/>
  <c r="O1053" i="4"/>
  <c r="O1056" i="4"/>
  <c r="O1058" i="4"/>
  <c r="O1059" i="4"/>
  <c r="O1060" i="4"/>
  <c r="O1061" i="4"/>
  <c r="O1062" i="4"/>
  <c r="O1063" i="4"/>
  <c r="P1036" i="4"/>
  <c r="P1038" i="4"/>
  <c r="P1039" i="4"/>
  <c r="P1040" i="4"/>
  <c r="P1049" i="4"/>
  <c r="P1058" i="4"/>
  <c r="P1063"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O1008" i="4"/>
  <c r="O1009" i="4"/>
  <c r="O1010" i="4"/>
  <c r="O1011" i="4"/>
  <c r="O1012" i="4"/>
  <c r="O1013" i="4"/>
  <c r="O1014" i="4"/>
  <c r="O1015" i="4"/>
  <c r="O1016" i="4"/>
  <c r="O1017" i="4"/>
  <c r="O1018" i="4"/>
  <c r="O1019" i="4"/>
  <c r="O1020" i="4"/>
  <c r="O1021" i="4"/>
  <c r="O1024" i="4"/>
  <c r="O1025" i="4"/>
  <c r="O1028" i="4"/>
  <c r="O1030" i="4"/>
  <c r="O1031" i="4"/>
  <c r="O1032" i="4"/>
  <c r="O1033" i="4"/>
  <c r="O1034" i="4"/>
  <c r="O1035" i="4"/>
  <c r="P1010" i="4"/>
  <c r="P1012" i="4"/>
  <c r="P1013" i="4"/>
  <c r="P1030" i="4"/>
  <c r="P1035"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O1003" i="4"/>
  <c r="O1004" i="4"/>
  <c r="O1005" i="4"/>
  <c r="O1006" i="4"/>
  <c r="O1007" i="4"/>
  <c r="P1007" i="4"/>
  <c r="Q1003" i="4"/>
  <c r="Q1004" i="4"/>
  <c r="Q1005" i="4"/>
  <c r="Q1006" i="4"/>
  <c r="Q1007" i="4"/>
  <c r="T1003" i="4"/>
  <c r="T1004" i="4"/>
  <c r="T1005" i="4"/>
  <c r="T1006" i="4"/>
  <c r="T1007" i="4"/>
  <c r="U1003" i="4"/>
  <c r="U1004" i="4"/>
  <c r="U1005" i="4"/>
  <c r="U1006" i="4"/>
  <c r="U1007" i="4"/>
  <c r="V1003" i="4"/>
  <c r="V1004" i="4"/>
  <c r="V1005" i="4"/>
  <c r="V1006" i="4"/>
  <c r="V1007" i="4"/>
  <c r="O1002" i="4"/>
  <c r="P1002" i="4"/>
  <c r="Q1002" i="4"/>
  <c r="T1002" i="4"/>
  <c r="U1002" i="4"/>
  <c r="V1002" i="4"/>
  <c r="O980" i="4"/>
  <c r="O981" i="4"/>
  <c r="O982" i="4"/>
  <c r="O983" i="4"/>
  <c r="O984" i="4"/>
  <c r="O985" i="4"/>
  <c r="O986" i="4"/>
  <c r="O987" i="4"/>
  <c r="O988" i="4"/>
  <c r="O989" i="4"/>
  <c r="O990" i="4"/>
  <c r="O991" i="4"/>
  <c r="O992" i="4"/>
  <c r="O993" i="4"/>
  <c r="O994" i="4"/>
  <c r="O997" i="4"/>
  <c r="O1000" i="4"/>
  <c r="P980" i="4"/>
  <c r="P982" i="4"/>
  <c r="P983" i="4"/>
  <c r="P984" i="4"/>
  <c r="P985" i="4"/>
  <c r="Q980" i="4"/>
  <c r="Q981" i="4"/>
  <c r="Q982" i="4"/>
  <c r="Q983" i="4"/>
  <c r="Q984" i="4"/>
  <c r="Q985" i="4"/>
  <c r="Q986" i="4"/>
  <c r="Q987" i="4"/>
  <c r="Q988" i="4"/>
  <c r="Q989" i="4"/>
  <c r="Q990" i="4"/>
  <c r="Q991" i="4"/>
  <c r="Q992" i="4"/>
  <c r="Q993" i="4"/>
  <c r="Q994" i="4"/>
  <c r="Q995" i="4"/>
  <c r="Q996" i="4"/>
  <c r="Q997" i="4"/>
  <c r="Q998" i="4"/>
  <c r="Q999" i="4"/>
  <c r="Q1000" i="4"/>
  <c r="Q1001" i="4"/>
  <c r="T980" i="4"/>
  <c r="T981" i="4"/>
  <c r="T982" i="4"/>
  <c r="T983" i="4"/>
  <c r="T984" i="4"/>
  <c r="T985" i="4"/>
  <c r="T986" i="4"/>
  <c r="T987" i="4"/>
  <c r="T988" i="4"/>
  <c r="T989" i="4"/>
  <c r="T990" i="4"/>
  <c r="T991" i="4"/>
  <c r="T992" i="4"/>
  <c r="T993" i="4"/>
  <c r="T994" i="4"/>
  <c r="T995" i="4"/>
  <c r="T996" i="4"/>
  <c r="T997" i="4"/>
  <c r="T998" i="4"/>
  <c r="T999" i="4"/>
  <c r="T1000" i="4"/>
  <c r="T1001" i="4"/>
  <c r="U980" i="4"/>
  <c r="U981" i="4"/>
  <c r="U982" i="4"/>
  <c r="U983" i="4"/>
  <c r="U984" i="4"/>
  <c r="U985" i="4"/>
  <c r="U986" i="4"/>
  <c r="U987" i="4"/>
  <c r="U988" i="4"/>
  <c r="U989" i="4"/>
  <c r="U990" i="4"/>
  <c r="U991" i="4"/>
  <c r="U992" i="4"/>
  <c r="U993" i="4"/>
  <c r="U994" i="4"/>
  <c r="U995" i="4"/>
  <c r="U996" i="4"/>
  <c r="U997" i="4"/>
  <c r="U998" i="4"/>
  <c r="U999" i="4"/>
  <c r="U1000" i="4"/>
  <c r="U1001" i="4"/>
  <c r="V980" i="4"/>
  <c r="V981" i="4"/>
  <c r="V982" i="4"/>
  <c r="V983" i="4"/>
  <c r="V984" i="4"/>
  <c r="V985" i="4"/>
  <c r="V986" i="4"/>
  <c r="V987" i="4"/>
  <c r="V988" i="4"/>
  <c r="V989" i="4"/>
  <c r="V990" i="4"/>
  <c r="V991" i="4"/>
  <c r="V992" i="4"/>
  <c r="V993" i="4"/>
  <c r="V994" i="4"/>
  <c r="V995" i="4"/>
  <c r="V996" i="4"/>
  <c r="V997" i="4"/>
  <c r="V998" i="4"/>
  <c r="V999" i="4"/>
  <c r="V1000" i="4"/>
  <c r="V1001" i="4"/>
  <c r="P1105" i="4" l="1"/>
  <c r="P993" i="4"/>
  <c r="P1161" i="4"/>
  <c r="P1217" i="4"/>
  <c r="P1133" i="4"/>
  <c r="O1159" i="4"/>
  <c r="O1103" i="4"/>
  <c r="O1075" i="4"/>
  <c r="O1187" i="4"/>
  <c r="R1187" i="4" s="1"/>
  <c r="O995" i="4"/>
  <c r="P1134" i="4"/>
  <c r="P1051" i="4"/>
  <c r="O1192" i="4"/>
  <c r="P1050" i="4"/>
  <c r="R1050" i="4" s="1"/>
  <c r="O1163" i="4"/>
  <c r="P1052" i="4"/>
  <c r="P1206" i="4"/>
  <c r="R1206" i="4" s="1"/>
  <c r="P986" i="4"/>
  <c r="R986" i="4" s="1"/>
  <c r="P1213" i="4"/>
  <c r="P1207" i="4"/>
  <c r="S1207" i="4" s="1"/>
  <c r="P1031" i="4"/>
  <c r="P1037" i="4"/>
  <c r="P1017" i="4"/>
  <c r="P981" i="4"/>
  <c r="P1014" i="4"/>
  <c r="P1185" i="4"/>
  <c r="P1059" i="4"/>
  <c r="P1011" i="4"/>
  <c r="R1011" i="4" s="1"/>
  <c r="P1065" i="4"/>
  <c r="R1065" i="4" s="1"/>
  <c r="P989" i="4"/>
  <c r="S989" i="4" s="1"/>
  <c r="P1009" i="4"/>
  <c r="P1157" i="4"/>
  <c r="O1001" i="4"/>
  <c r="O1029" i="4"/>
  <c r="O1205" i="4"/>
  <c r="O1177" i="4"/>
  <c r="R1177" i="4" s="1"/>
  <c r="O1173" i="4"/>
  <c r="O1201" i="4"/>
  <c r="O1169" i="4"/>
  <c r="O1197" i="4"/>
  <c r="S1197" i="4" s="1"/>
  <c r="O1225" i="4"/>
  <c r="O1141" i="4"/>
  <c r="O1113" i="4"/>
  <c r="O1085" i="4"/>
  <c r="O1213" i="4"/>
  <c r="O1185" i="4"/>
  <c r="R1185" i="4" s="1"/>
  <c r="O1212" i="4"/>
  <c r="R1212" i="4" s="1"/>
  <c r="O1184" i="4"/>
  <c r="O1210" i="4"/>
  <c r="R1210" i="4" s="1"/>
  <c r="P1005" i="4"/>
  <c r="R1005" i="4" s="1"/>
  <c r="P1034" i="4"/>
  <c r="P1181" i="4"/>
  <c r="R1181" i="4" s="1"/>
  <c r="P1090" i="4"/>
  <c r="P1004" i="4"/>
  <c r="R1004" i="4" s="1"/>
  <c r="P1089" i="4"/>
  <c r="P1033" i="4"/>
  <c r="S1033" i="4" s="1"/>
  <c r="P1069" i="4"/>
  <c r="S1069" i="4" s="1"/>
  <c r="P1116" i="4"/>
  <c r="P1146" i="4"/>
  <c r="P1071" i="4"/>
  <c r="R1071" i="4" s="1"/>
  <c r="P1061" i="4"/>
  <c r="P1145" i="4"/>
  <c r="S1145" i="4" s="1"/>
  <c r="P1070" i="4"/>
  <c r="S1070" i="4" s="1"/>
  <c r="P1060" i="4"/>
  <c r="S1060" i="4" s="1"/>
  <c r="P1174" i="4"/>
  <c r="P1098" i="4"/>
  <c r="P1173" i="4"/>
  <c r="P1126" i="4"/>
  <c r="R1126" i="4" s="1"/>
  <c r="P1172" i="4"/>
  <c r="S1172" i="4" s="1"/>
  <c r="P1201" i="4"/>
  <c r="R1201" i="4" s="1"/>
  <c r="P1154" i="4"/>
  <c r="P1200" i="4"/>
  <c r="P1043" i="4"/>
  <c r="S1043" i="4" s="1"/>
  <c r="P1042" i="4"/>
  <c r="S1042" i="4" s="1"/>
  <c r="P1117" i="4"/>
  <c r="P1006" i="4"/>
  <c r="R1006" i="4" s="1"/>
  <c r="P1041" i="4"/>
  <c r="R1041" i="4" s="1"/>
  <c r="P1182" i="4"/>
  <c r="R1182" i="4" s="1"/>
  <c r="P1211" i="4"/>
  <c r="S1211" i="4" s="1"/>
  <c r="P1072" i="4"/>
  <c r="S1072" i="4" s="1"/>
  <c r="P992" i="4"/>
  <c r="P1188" i="4"/>
  <c r="R1188" i="4" s="1"/>
  <c r="O996" i="4"/>
  <c r="O1164" i="4"/>
  <c r="O1022" i="4"/>
  <c r="O1190" i="4"/>
  <c r="O1023" i="4"/>
  <c r="O1078" i="4"/>
  <c r="O1189" i="4"/>
  <c r="S1189" i="4" s="1"/>
  <c r="O1218" i="4"/>
  <c r="O1217" i="4"/>
  <c r="O1106" i="4"/>
  <c r="R1106" i="4" s="1"/>
  <c r="O1191" i="4"/>
  <c r="O1105" i="4"/>
  <c r="O1055" i="4"/>
  <c r="O1026" i="4"/>
  <c r="O1051" i="4"/>
  <c r="O1194" i="4"/>
  <c r="O1138" i="4"/>
  <c r="O1136" i="4"/>
  <c r="O1222" i="4"/>
  <c r="O1135" i="4"/>
  <c r="O1223" i="4"/>
  <c r="O1083" i="4"/>
  <c r="O1220" i="4"/>
  <c r="O1082" i="4"/>
  <c r="R1082" i="4" s="1"/>
  <c r="O1219" i="4"/>
  <c r="O1139" i="4"/>
  <c r="O999" i="4"/>
  <c r="O1080" i="4"/>
  <c r="O1167" i="4"/>
  <c r="O998" i="4"/>
  <c r="O1079" i="4"/>
  <c r="O1166" i="4"/>
  <c r="O1110" i="4"/>
  <c r="O1111" i="4"/>
  <c r="O1108" i="4"/>
  <c r="O1027" i="4"/>
  <c r="P1016" i="4"/>
  <c r="R1016" i="4" s="1"/>
  <c r="P1186" i="4"/>
  <c r="S1186" i="4" s="1"/>
  <c r="P1000" i="4"/>
  <c r="P1128" i="4"/>
  <c r="S1128" i="4" s="1"/>
  <c r="P991" i="4"/>
  <c r="S991" i="4" s="1"/>
  <c r="P988" i="4"/>
  <c r="R988" i="4" s="1"/>
  <c r="P1047" i="4"/>
  <c r="P1028" i="4"/>
  <c r="P1044" i="4"/>
  <c r="S1044" i="4" s="1"/>
  <c r="P1056" i="4"/>
  <c r="R1056" i="4" s="1"/>
  <c r="P1102" i="4"/>
  <c r="R1102" i="4" s="1"/>
  <c r="P1104" i="4"/>
  <c r="S1104" i="4" s="1"/>
  <c r="P1084" i="4"/>
  <c r="P1101" i="4"/>
  <c r="P1176" i="4"/>
  <c r="R1176" i="4" s="1"/>
  <c r="P1168" i="4"/>
  <c r="R1168" i="4" s="1"/>
  <c r="P1224" i="4"/>
  <c r="R1224" i="4" s="1"/>
  <c r="P1020" i="4"/>
  <c r="S1020" i="4" s="1"/>
  <c r="P1076" i="4"/>
  <c r="R1076" i="4" s="1"/>
  <c r="P1019" i="4"/>
  <c r="S1019" i="4" s="1"/>
  <c r="P1075" i="4"/>
  <c r="S1075" i="4" s="1"/>
  <c r="P1093" i="4"/>
  <c r="R1093" i="4" s="1"/>
  <c r="P1160" i="4"/>
  <c r="S1160" i="4" s="1"/>
  <c r="P1216" i="4"/>
  <c r="S1216" i="4" s="1"/>
  <c r="P1018" i="4"/>
  <c r="R1018" i="4" s="1"/>
  <c r="P1048" i="4"/>
  <c r="R1048" i="4" s="1"/>
  <c r="P1074" i="4"/>
  <c r="R1074" i="4" s="1"/>
  <c r="P1092" i="4"/>
  <c r="R1092" i="4" s="1"/>
  <c r="P1158" i="4"/>
  <c r="R1158" i="4" s="1"/>
  <c r="P1214" i="4"/>
  <c r="S1214" i="4" s="1"/>
  <c r="P1046" i="4"/>
  <c r="S1046" i="4" s="1"/>
  <c r="P1140" i="4"/>
  <c r="R1140" i="4" s="1"/>
  <c r="P1149" i="4"/>
  <c r="S1149" i="4" s="1"/>
  <c r="P990" i="4"/>
  <c r="P1148" i="4"/>
  <c r="R1148" i="4" s="1"/>
  <c r="P1204" i="4"/>
  <c r="R1204" i="4" s="1"/>
  <c r="P1103" i="4"/>
  <c r="P1191" i="4"/>
  <c r="P1100" i="4"/>
  <c r="R1100" i="4" s="1"/>
  <c r="P1184" i="4"/>
  <c r="P1137" i="4"/>
  <c r="S1137" i="4" s="1"/>
  <c r="P1135" i="4"/>
  <c r="P1156" i="4"/>
  <c r="P1215" i="4"/>
  <c r="R1215" i="4" s="1"/>
  <c r="P1131" i="4"/>
  <c r="S1131" i="4" s="1"/>
  <c r="P1114" i="4"/>
  <c r="R1114" i="4" s="1"/>
  <c r="P1180" i="4"/>
  <c r="S1180" i="4" s="1"/>
  <c r="P1205" i="4"/>
  <c r="P1088" i="4"/>
  <c r="S1088" i="4" s="1"/>
  <c r="P1086" i="4"/>
  <c r="S1086" i="4" s="1"/>
  <c r="P1153" i="4"/>
  <c r="S1153" i="4" s="1"/>
  <c r="P1230" i="4"/>
  <c r="R1230" i="4" s="1"/>
  <c r="P1015" i="4"/>
  <c r="S1015" i="4" s="1"/>
  <c r="P1228" i="4"/>
  <c r="R1228" i="4" s="1"/>
  <c r="P1125" i="4"/>
  <c r="S1125" i="4" s="1"/>
  <c r="P1123" i="4"/>
  <c r="R1123" i="4" s="1"/>
  <c r="P1202" i="4"/>
  <c r="R1202" i="4" s="1"/>
  <c r="P1097" i="4"/>
  <c r="R1097" i="4" s="1"/>
  <c r="R1229" i="4"/>
  <c r="P987" i="4"/>
  <c r="R987" i="4" s="1"/>
  <c r="P1003" i="4"/>
  <c r="S1003" i="4" s="1"/>
  <c r="P1062" i="4"/>
  <c r="P1142" i="4"/>
  <c r="P1171" i="4"/>
  <c r="R1171" i="4" s="1"/>
  <c r="P1032" i="4"/>
  <c r="R1032" i="4" s="1"/>
  <c r="P1170" i="4"/>
  <c r="S1170" i="4" s="1"/>
  <c r="P1099" i="4"/>
  <c r="R1099" i="4" s="1"/>
  <c r="P1169" i="4"/>
  <c r="P1199" i="4"/>
  <c r="R1199" i="4" s="1"/>
  <c r="P1231" i="4"/>
  <c r="R1231" i="4" s="1"/>
  <c r="P1068" i="4"/>
  <c r="S1068" i="4" s="1"/>
  <c r="P1198" i="4"/>
  <c r="R1198" i="4" s="1"/>
  <c r="P1067" i="4"/>
  <c r="R1067" i="4" s="1"/>
  <c r="P1197" i="4"/>
  <c r="P1029" i="4"/>
  <c r="S1029" i="4" s="1"/>
  <c r="P1095" i="4"/>
  <c r="S1095" i="4" s="1"/>
  <c r="P1159" i="4"/>
  <c r="P1227" i="4"/>
  <c r="R1227" i="4" s="1"/>
  <c r="P1057" i="4"/>
  <c r="R1057" i="4" s="1"/>
  <c r="P1094" i="4"/>
  <c r="S1094" i="4" s="1"/>
  <c r="P1190" i="4"/>
  <c r="P1119" i="4"/>
  <c r="R1119" i="4" s="1"/>
  <c r="P1127" i="4"/>
  <c r="R1127" i="4" s="1"/>
  <c r="R1209" i="4"/>
  <c r="P1225" i="4"/>
  <c r="R1225" i="4" s="1"/>
  <c r="R1208" i="4"/>
  <c r="P1087" i="4"/>
  <c r="S1087" i="4" s="1"/>
  <c r="P1147" i="4"/>
  <c r="R1147" i="4" s="1"/>
  <c r="P1155" i="4"/>
  <c r="S1155" i="4" s="1"/>
  <c r="P1124" i="4"/>
  <c r="R1124" i="4" s="1"/>
  <c r="P1085" i="4"/>
  <c r="P1001" i="4"/>
  <c r="S1001" i="4" s="1"/>
  <c r="P1113" i="4"/>
  <c r="S1113" i="4" s="1"/>
  <c r="P1151" i="4"/>
  <c r="R1151" i="4" s="1"/>
  <c r="P1139" i="4"/>
  <c r="P1192" i="4"/>
  <c r="S1192" i="4" s="1"/>
  <c r="R1226" i="4"/>
  <c r="P1081" i="4"/>
  <c r="R1081" i="4" s="1"/>
  <c r="P1221" i="4"/>
  <c r="R1221" i="4" s="1"/>
  <c r="P1080" i="4"/>
  <c r="P1220" i="4"/>
  <c r="P1027" i="4"/>
  <c r="P1079" i="4"/>
  <c r="P1167" i="4"/>
  <c r="P1219" i="4"/>
  <c r="P1223" i="4"/>
  <c r="P1222" i="4"/>
  <c r="P1026" i="4"/>
  <c r="P1078" i="4"/>
  <c r="P1166" i="4"/>
  <c r="P1218" i="4"/>
  <c r="P999" i="4"/>
  <c r="P1025" i="4"/>
  <c r="S1025" i="4" s="1"/>
  <c r="P1165" i="4"/>
  <c r="R1165" i="4" s="1"/>
  <c r="P1138" i="4"/>
  <c r="P998" i="4"/>
  <c r="P1024" i="4"/>
  <c r="R1024" i="4" s="1"/>
  <c r="P1164" i="4"/>
  <c r="P1136" i="4"/>
  <c r="P997" i="4"/>
  <c r="S997" i="4" s="1"/>
  <c r="P1023" i="4"/>
  <c r="P1111" i="4"/>
  <c r="P1163" i="4"/>
  <c r="S1120" i="4"/>
  <c r="P996" i="4"/>
  <c r="R996" i="4" s="1"/>
  <c r="P1110" i="4"/>
  <c r="P995" i="4"/>
  <c r="P1109" i="4"/>
  <c r="R1109" i="4" s="1"/>
  <c r="P1022" i="4"/>
  <c r="P1162" i="4"/>
  <c r="S1162" i="4" s="1"/>
  <c r="P994" i="4"/>
  <c r="R994" i="4" s="1"/>
  <c r="P1083" i="4"/>
  <c r="P1055" i="4"/>
  <c r="P1054" i="4"/>
  <c r="S1054" i="4" s="1"/>
  <c r="P1194" i="4"/>
  <c r="P1053" i="4"/>
  <c r="S1053" i="4" s="1"/>
  <c r="S1129" i="4"/>
  <c r="S1132" i="4"/>
  <c r="R1178" i="4"/>
  <c r="R1196" i="4"/>
  <c r="T179" i="62"/>
  <c r="T178" i="62"/>
  <c r="T204" i="62"/>
  <c r="T188" i="62"/>
  <c r="T230" i="62"/>
  <c r="T228" i="62"/>
  <c r="T266" i="62"/>
  <c r="T293" i="62"/>
  <c r="T286" i="62"/>
  <c r="T284" i="62"/>
  <c r="T310" i="62"/>
  <c r="T333" i="62"/>
  <c r="T387" i="62"/>
  <c r="T386" i="62"/>
  <c r="T404" i="62"/>
  <c r="Q1344" i="62"/>
  <c r="Q1364" i="62"/>
  <c r="Q1329" i="62"/>
  <c r="Q1294" i="62"/>
  <c r="Q1314" i="62"/>
  <c r="Q1276" i="62"/>
  <c r="Q1238" i="62"/>
  <c r="Q1258" i="62"/>
  <c r="Q1220" i="62"/>
  <c r="Q1182" i="62"/>
  <c r="Q1144" i="62"/>
  <c r="Q1164" i="62"/>
  <c r="Q1126" i="62"/>
  <c r="Q1088" i="62"/>
  <c r="Q1108" i="62"/>
  <c r="Q1070" i="62"/>
  <c r="Q1032" i="62"/>
  <c r="Q1052" i="62"/>
  <c r="Q1014" i="62"/>
  <c r="Q976" i="62"/>
  <c r="Q996" i="62"/>
  <c r="Q958" i="62"/>
  <c r="Q920" i="62"/>
  <c r="Q940" i="62"/>
  <c r="Q902" i="62"/>
  <c r="Q864" i="62"/>
  <c r="Q826" i="62"/>
  <c r="Q846" i="62"/>
  <c r="Q808" i="62"/>
  <c r="Q770" i="62"/>
  <c r="Q790" i="62"/>
  <c r="Q752" i="62"/>
  <c r="Q714" i="62"/>
  <c r="Q734" i="62"/>
  <c r="Q696" i="62"/>
  <c r="Q658" i="62"/>
  <c r="Q678" i="62"/>
  <c r="Q640" i="62"/>
  <c r="Q602" i="62"/>
  <c r="Q564" i="62"/>
  <c r="Q584" i="62"/>
  <c r="Q546" i="62"/>
  <c r="Q508" i="62"/>
  <c r="Q528" i="62"/>
  <c r="Q490" i="62"/>
  <c r="Q452" i="62"/>
  <c r="Q472" i="62"/>
  <c r="Q434" i="62"/>
  <c r="Q396" i="62"/>
  <c r="Q416" i="62"/>
  <c r="Q378" i="62"/>
  <c r="Q340" i="62"/>
  <c r="Q360" i="62"/>
  <c r="Q322" i="62"/>
  <c r="Q284" i="62"/>
  <c r="Q246" i="62"/>
  <c r="Q266" i="62"/>
  <c r="Q228" i="62"/>
  <c r="Q190" i="62"/>
  <c r="Q210" i="62"/>
  <c r="Q172" i="62"/>
  <c r="Q134" i="62"/>
  <c r="Q154" i="62"/>
  <c r="Q116" i="62"/>
  <c r="R1351" i="62"/>
  <c r="R1371" i="62"/>
  <c r="R1336" i="62"/>
  <c r="R1301" i="62"/>
  <c r="R1263" i="62"/>
  <c r="Q1345" i="62"/>
  <c r="Q1346" i="62"/>
  <c r="Q1347" i="62"/>
  <c r="Q1348" i="62"/>
  <c r="Q1368" i="62"/>
  <c r="Q1333" i="62"/>
  <c r="Q1298" i="62"/>
  <c r="Q1260" i="62"/>
  <c r="Q1280" i="62"/>
  <c r="Q1242" i="62"/>
  <c r="Q1204" i="62"/>
  <c r="Q1224" i="62"/>
  <c r="Q1186" i="62"/>
  <c r="Q1148" i="62"/>
  <c r="Q1168" i="62"/>
  <c r="Q1130" i="62"/>
  <c r="Q1092" i="62"/>
  <c r="Q1112" i="62"/>
  <c r="Q1074" i="62"/>
  <c r="Q1036" i="62"/>
  <c r="Q1056" i="62"/>
  <c r="Q1018" i="62"/>
  <c r="Q980" i="62"/>
  <c r="Q1349" i="62"/>
  <c r="Q1369" i="62"/>
  <c r="Q1334" i="62"/>
  <c r="Q1299" i="62"/>
  <c r="Q1261" i="62"/>
  <c r="Q1281" i="62"/>
  <c r="Q1243" i="62"/>
  <c r="Q1205" i="62"/>
  <c r="Q1225" i="62"/>
  <c r="Q1187" i="62"/>
  <c r="Q1149" i="62"/>
  <c r="Q1169" i="62"/>
  <c r="Q1131" i="62"/>
  <c r="Q1093" i="62"/>
  <c r="Q1113" i="62"/>
  <c r="Q1075" i="62"/>
  <c r="Q1037" i="62"/>
  <c r="Q999" i="62"/>
  <c r="Q1019" i="62"/>
  <c r="Q1350" i="62"/>
  <c r="Q1370" i="62"/>
  <c r="Q1335" i="62"/>
  <c r="Q1300" i="62"/>
  <c r="Q1262" i="62"/>
  <c r="Q1282" i="62"/>
  <c r="Q1244" i="62"/>
  <c r="Q1206" i="62"/>
  <c r="Q1226" i="62"/>
  <c r="Q1188" i="62"/>
  <c r="Q1150" i="62"/>
  <c r="Q1170" i="62"/>
  <c r="Q1132" i="62"/>
  <c r="Q1094" i="62"/>
  <c r="Q1114" i="62"/>
  <c r="Q1076" i="62"/>
  <c r="Q1038" i="62"/>
  <c r="Q1000" i="62"/>
  <c r="Q1020" i="62"/>
  <c r="Q982" i="62"/>
  <c r="Q944" i="62"/>
  <c r="Q964" i="62"/>
  <c r="Q1351" i="62"/>
  <c r="Q1371" i="62"/>
  <c r="Q1336" i="62"/>
  <c r="Q1301" i="62"/>
  <c r="Q1263" i="62"/>
  <c r="Q1283" i="62"/>
  <c r="Q1245" i="62"/>
  <c r="Q1207" i="62"/>
  <c r="Q1227" i="62"/>
  <c r="Q1189" i="62"/>
  <c r="Q1151" i="62"/>
  <c r="Q1171" i="62"/>
  <c r="Q1133" i="62"/>
  <c r="Q1095" i="62"/>
  <c r="Q1057" i="62"/>
  <c r="Q1077" i="62"/>
  <c r="Q1039" i="62"/>
  <c r="Q1001" i="62"/>
  <c r="Q1021" i="62"/>
  <c r="Q983" i="62"/>
  <c r="Q945" i="62"/>
  <c r="Q965" i="62"/>
  <c r="Q927" i="62"/>
  <c r="Q889" i="62"/>
  <c r="Q1352" i="62"/>
  <c r="Q1372" i="62"/>
  <c r="Q1337" i="62"/>
  <c r="Q1302" i="62"/>
  <c r="Q1264" i="62"/>
  <c r="Q1284" i="62"/>
  <c r="Q1246" i="62"/>
  <c r="Q1208" i="62"/>
  <c r="Q1228" i="62"/>
  <c r="Q1190" i="62"/>
  <c r="Q1152" i="62"/>
  <c r="Q1172" i="62"/>
  <c r="Q1134" i="62"/>
  <c r="Q1096" i="62"/>
  <c r="Q1058" i="62"/>
  <c r="Q1078" i="62"/>
  <c r="Q1040" i="62"/>
  <c r="Q1002" i="62"/>
  <c r="Q1022" i="62"/>
  <c r="Q984" i="62"/>
  <c r="Q1353" i="62"/>
  <c r="Q1318" i="62"/>
  <c r="Q1338" i="62"/>
  <c r="Q1303" i="62"/>
  <c r="Q1265" i="62"/>
  <c r="Q1285" i="62"/>
  <c r="Q1247" i="62"/>
  <c r="Q1209" i="62"/>
  <c r="Q1229" i="62"/>
  <c r="Q1191" i="62"/>
  <c r="Q1153" i="62"/>
  <c r="Q1115" i="62"/>
  <c r="Q1135" i="62"/>
  <c r="Q1097" i="62"/>
  <c r="Q1059" i="62"/>
  <c r="Q1079" i="62"/>
  <c r="Q1041" i="62"/>
  <c r="Q1003" i="62"/>
  <c r="Q1023" i="62"/>
  <c r="Q985" i="62"/>
  <c r="Q947" i="62"/>
  <c r="Q1354" i="62"/>
  <c r="Q1319" i="62"/>
  <c r="Q1339" i="62"/>
  <c r="Q1304" i="62"/>
  <c r="Q1266" i="62"/>
  <c r="Q1286" i="62"/>
  <c r="Q1248" i="62"/>
  <c r="Q1210" i="62"/>
  <c r="Q1230" i="62"/>
  <c r="Q1192" i="62"/>
  <c r="Q1154" i="62"/>
  <c r="Q1116" i="62"/>
  <c r="Q1136" i="62"/>
  <c r="Q1098" i="62"/>
  <c r="Q1060" i="62"/>
  <c r="Q1080" i="62"/>
  <c r="Q1042" i="62"/>
  <c r="Q1004" i="62"/>
  <c r="Q1024" i="62"/>
  <c r="Q986" i="62"/>
  <c r="Q1355" i="62"/>
  <c r="Q1320" i="62"/>
  <c r="Q1340" i="62"/>
  <c r="Q1305" i="62"/>
  <c r="Q1267" i="62"/>
  <c r="Q1287" i="62"/>
  <c r="Q1249" i="62"/>
  <c r="Q1211" i="62"/>
  <c r="Q1173" i="62"/>
  <c r="Q1193" i="62"/>
  <c r="Q1155" i="62"/>
  <c r="Q1117" i="62"/>
  <c r="Q1137" i="62"/>
  <c r="Q1099" i="62"/>
  <c r="Q1061" i="62"/>
  <c r="Q1081" i="62"/>
  <c r="Q1043" i="62"/>
  <c r="Q1005" i="62"/>
  <c r="Q1025" i="62"/>
  <c r="Q987" i="62"/>
  <c r="Q949" i="62"/>
  <c r="Q969" i="62"/>
  <c r="Q931" i="62"/>
  <c r="Q893" i="62"/>
  <c r="Q855" i="62"/>
  <c r="Q875" i="62"/>
  <c r="Q837" i="62"/>
  <c r="Q799" i="62"/>
  <c r="Q819" i="62"/>
  <c r="Q781" i="62"/>
  <c r="Q743" i="62"/>
  <c r="Q763" i="62"/>
  <c r="Q725" i="62"/>
  <c r="Q687" i="62"/>
  <c r="Q707" i="62"/>
  <c r="Q669" i="62"/>
  <c r="Q631" i="62"/>
  <c r="Q593" i="62"/>
  <c r="Q613" i="62"/>
  <c r="Q575" i="62"/>
  <c r="Q537" i="62"/>
  <c r="Q557" i="62"/>
  <c r="Q519" i="62"/>
  <c r="Q481" i="62"/>
  <c r="Q501" i="62"/>
  <c r="Q463" i="62"/>
  <c r="Q425" i="62"/>
  <c r="Q445" i="62"/>
  <c r="Q407" i="62"/>
  <c r="Q369" i="62"/>
  <c r="Q389" i="62"/>
  <c r="Q351" i="62"/>
  <c r="Q313" i="62"/>
  <c r="Q275" i="62"/>
  <c r="Q295" i="62"/>
  <c r="Q257" i="62"/>
  <c r="Q219" i="62"/>
  <c r="Q239" i="62"/>
  <c r="Q201" i="62"/>
  <c r="Q163" i="62"/>
  <c r="Q183" i="62"/>
  <c r="Q145" i="62"/>
  <c r="Q107" i="62"/>
  <c r="Q127" i="62"/>
  <c r="R1362" i="62"/>
  <c r="R1327" i="62"/>
  <c r="R1292" i="62"/>
  <c r="R1312" i="62"/>
  <c r="R1274" i="62"/>
  <c r="R1236" i="62"/>
  <c r="R1256" i="62"/>
  <c r="R1218" i="62"/>
  <c r="R1180" i="62"/>
  <c r="R1200" i="62"/>
  <c r="R1162" i="62"/>
  <c r="Q1356" i="62"/>
  <c r="Q1321" i="62"/>
  <c r="Q1341" i="62"/>
  <c r="Q1306" i="62"/>
  <c r="Q1268" i="62"/>
  <c r="Q1288" i="62"/>
  <c r="Q1250" i="62"/>
  <c r="Q1212" i="62"/>
  <c r="Q1174" i="62"/>
  <c r="Q1194" i="62"/>
  <c r="Q1156" i="62"/>
  <c r="Q1118" i="62"/>
  <c r="Q1138" i="62"/>
  <c r="Q1100" i="62"/>
  <c r="Q1062" i="62"/>
  <c r="Q1082" i="62"/>
  <c r="Q1044" i="62"/>
  <c r="Q1006" i="62"/>
  <c r="Q1026" i="62"/>
  <c r="Q988" i="62"/>
  <c r="Q950" i="62"/>
  <c r="Q912" i="62"/>
  <c r="Q932" i="62"/>
  <c r="Q894" i="62"/>
  <c r="Q856" i="62"/>
  <c r="Q876" i="62"/>
  <c r="Q838" i="62"/>
  <c r="Q800" i="62"/>
  <c r="Q820" i="62"/>
  <c r="Q782" i="62"/>
  <c r="Q744" i="62"/>
  <c r="Q764" i="62"/>
  <c r="Q726" i="62"/>
  <c r="Q688" i="62"/>
  <c r="Q708" i="62"/>
  <c r="Q670" i="62"/>
  <c r="Q632" i="62"/>
  <c r="Q594" i="62"/>
  <c r="Q614" i="62"/>
  <c r="Q576" i="62"/>
  <c r="Q538" i="62"/>
  <c r="Q558" i="62"/>
  <c r="Q520" i="62"/>
  <c r="Q482" i="62"/>
  <c r="Q502" i="62"/>
  <c r="Q464" i="62"/>
  <c r="Q426" i="62"/>
  <c r="Q446" i="62"/>
  <c r="Q408" i="62"/>
  <c r="Q370" i="62"/>
  <c r="Q332" i="62"/>
  <c r="Q352" i="62"/>
  <c r="Q314" i="62"/>
  <c r="Q276" i="62"/>
  <c r="Q296" i="62"/>
  <c r="Q258" i="62"/>
  <c r="Q220" i="62"/>
  <c r="Q240" i="62"/>
  <c r="Q202" i="62"/>
  <c r="Q164" i="62"/>
  <c r="Q184" i="62"/>
  <c r="Q146" i="62"/>
  <c r="Q108" i="62"/>
  <c r="Q128" i="62"/>
  <c r="R1363" i="62"/>
  <c r="R1328" i="62"/>
  <c r="R1293" i="62"/>
  <c r="R1313" i="62"/>
  <c r="R1275" i="62"/>
  <c r="R1237" i="62"/>
  <c r="R1257" i="62"/>
  <c r="R1219" i="62"/>
  <c r="R1181" i="62"/>
  <c r="R1201" i="62"/>
  <c r="R1163" i="62"/>
  <c r="R1125" i="62"/>
  <c r="Q1357" i="62"/>
  <c r="Q1322" i="62"/>
  <c r="Q1342" i="62"/>
  <c r="Q1307" i="62"/>
  <c r="Q1269" i="62"/>
  <c r="Q1231" i="62"/>
  <c r="Q1251" i="62"/>
  <c r="Q1213" i="62"/>
  <c r="Q1175" i="62"/>
  <c r="Q1195" i="62"/>
  <c r="Q1157" i="62"/>
  <c r="Q1119" i="62"/>
  <c r="Q1139" i="62"/>
  <c r="Q1101" i="62"/>
  <c r="Q1063" i="62"/>
  <c r="Q1083" i="62"/>
  <c r="Q1045" i="62"/>
  <c r="Q1007" i="62"/>
  <c r="Q1027" i="62"/>
  <c r="Q989" i="62"/>
  <c r="Q951" i="62"/>
  <c r="Q913" i="62"/>
  <c r="Q933" i="62"/>
  <c r="Q895" i="62"/>
  <c r="Q857" i="62"/>
  <c r="Q877" i="62"/>
  <c r="Q839" i="62"/>
  <c r="Q801" i="62"/>
  <c r="Q821" i="62"/>
  <c r="Q783" i="62"/>
  <c r="Q745" i="62"/>
  <c r="Q765" i="62"/>
  <c r="Q727" i="62"/>
  <c r="Q689" i="62"/>
  <c r="Q651" i="62"/>
  <c r="Q671" i="62"/>
  <c r="Q633" i="62"/>
  <c r="Q595" i="62"/>
  <c r="Q615" i="62"/>
  <c r="Q577" i="62"/>
  <c r="Q539" i="62"/>
  <c r="Q559" i="62"/>
  <c r="Q521" i="62"/>
  <c r="Q483" i="62"/>
  <c r="Q503" i="62"/>
  <c r="Q465" i="62"/>
  <c r="Q427" i="62"/>
  <c r="Q447" i="62"/>
  <c r="Q409" i="62"/>
  <c r="Q371" i="62"/>
  <c r="Q333" i="62"/>
  <c r="Q353" i="62"/>
  <c r="Q315" i="62"/>
  <c r="Q277" i="62"/>
  <c r="Q297" i="62"/>
  <c r="Q259" i="62"/>
  <c r="Q221" i="62"/>
  <c r="Q241" i="62"/>
  <c r="Q203" i="62"/>
  <c r="Q165" i="62"/>
  <c r="Q185" i="62"/>
  <c r="Q147" i="62"/>
  <c r="Q109" i="62"/>
  <c r="R1344" i="62"/>
  <c r="R1364" i="62"/>
  <c r="R1329" i="62"/>
  <c r="R1294" i="62"/>
  <c r="R1314" i="62"/>
  <c r="R1276" i="62"/>
  <c r="R1238" i="62"/>
  <c r="R1258" i="62"/>
  <c r="R1220" i="62"/>
  <c r="R1182" i="62"/>
  <c r="R1144" i="62"/>
  <c r="R1164" i="62"/>
  <c r="R1126" i="62"/>
  <c r="R1088" i="62"/>
  <c r="R1108" i="62"/>
  <c r="R1070" i="62"/>
  <c r="R1032" i="62"/>
  <c r="R1052" i="62"/>
  <c r="R1014" i="62"/>
  <c r="R976" i="62"/>
  <c r="R996" i="62"/>
  <c r="R958" i="62"/>
  <c r="Q1358" i="62"/>
  <c r="Q1359" i="62"/>
  <c r="Q1360" i="62"/>
  <c r="Q1361" i="62"/>
  <c r="Q1326" i="62"/>
  <c r="Q1291" i="62"/>
  <c r="Q1311" i="62"/>
  <c r="Q1273" i="62"/>
  <c r="Q1235" i="62"/>
  <c r="Q1255" i="62"/>
  <c r="Q1217" i="62"/>
  <c r="Q1179" i="62"/>
  <c r="Q1199" i="62"/>
  <c r="Q1161" i="62"/>
  <c r="Q1123" i="62"/>
  <c r="Q1143" i="62"/>
  <c r="Q1105" i="62"/>
  <c r="Q1067" i="62"/>
  <c r="Q1029" i="62"/>
  <c r="Q1049" i="62"/>
  <c r="Q1011" i="62"/>
  <c r="Q973" i="62"/>
  <c r="Q993" i="62"/>
  <c r="Q955" i="62"/>
  <c r="Q917" i="62"/>
  <c r="Q937" i="62"/>
  <c r="Q899" i="62"/>
  <c r="Q861" i="62"/>
  <c r="Q881" i="62"/>
  <c r="Q843" i="62"/>
  <c r="Q805" i="62"/>
  <c r="Q767" i="62"/>
  <c r="Q787" i="62"/>
  <c r="Q749" i="62"/>
  <c r="Q711" i="62"/>
  <c r="Q731" i="62"/>
  <c r="Q693" i="62"/>
  <c r="Q655" i="62"/>
  <c r="Q675" i="62"/>
  <c r="Q1362" i="62"/>
  <c r="Q1327" i="62"/>
  <c r="Q1292" i="62"/>
  <c r="Q1312" i="62"/>
  <c r="Q1274" i="62"/>
  <c r="Q1236" i="62"/>
  <c r="Q1256" i="62"/>
  <c r="Q1218" i="62"/>
  <c r="Q1180" i="62"/>
  <c r="Q1200" i="62"/>
  <c r="Q1162" i="62"/>
  <c r="Q1124" i="62"/>
  <c r="Q1086" i="62"/>
  <c r="Q1106" i="62"/>
  <c r="Q1068" i="62"/>
  <c r="Q1030" i="62"/>
  <c r="Q1050" i="62"/>
  <c r="Q1012" i="62"/>
  <c r="Q974" i="62"/>
  <c r="Q994" i="62"/>
  <c r="Q956" i="62"/>
  <c r="Q918" i="62"/>
  <c r="Q938" i="62"/>
  <c r="Q900" i="62"/>
  <c r="Q862" i="62"/>
  <c r="Q882" i="62"/>
  <c r="Q844" i="62"/>
  <c r="Q806" i="62"/>
  <c r="Q768" i="62"/>
  <c r="Q788" i="62"/>
  <c r="Q750" i="62"/>
  <c r="Q712" i="62"/>
  <c r="Q732" i="62"/>
  <c r="Q694" i="62"/>
  <c r="Q656" i="62"/>
  <c r="Q676" i="62"/>
  <c r="Q638" i="62"/>
  <c r="Q600" i="62"/>
  <c r="Q620" i="62"/>
  <c r="Q582" i="62"/>
  <c r="Q544" i="62"/>
  <c r="Q506" i="62"/>
  <c r="Q526" i="62"/>
  <c r="Q488" i="62"/>
  <c r="Q450" i="62"/>
  <c r="Q470" i="62"/>
  <c r="Q432" i="62"/>
  <c r="Q394" i="62"/>
  <c r="Q414" i="62"/>
  <c r="Q376" i="62"/>
  <c r="Q338" i="62"/>
  <c r="Q358" i="62"/>
  <c r="Q320" i="62"/>
  <c r="Q282" i="62"/>
  <c r="Q302" i="62"/>
  <c r="Q264" i="62"/>
  <c r="Q226" i="62"/>
  <c r="Q188" i="62"/>
  <c r="Q208" i="62"/>
  <c r="Q170" i="62"/>
  <c r="Q132" i="62"/>
  <c r="Q152" i="62"/>
  <c r="Q114" i="62"/>
  <c r="R1349" i="62"/>
  <c r="R1369" i="62"/>
  <c r="R1334" i="62"/>
  <c r="R1299" i="62"/>
  <c r="R1261" i="62"/>
  <c r="R1281" i="62"/>
  <c r="R1243" i="62"/>
  <c r="R1205" i="62"/>
  <c r="R1225" i="62"/>
  <c r="R1187" i="62"/>
  <c r="R1149" i="62"/>
  <c r="R1169" i="62"/>
  <c r="R1131" i="62"/>
  <c r="Q1363" i="62"/>
  <c r="Q1365" i="62"/>
  <c r="Q1313" i="62"/>
  <c r="Q1254" i="62"/>
  <c r="Q1197" i="62"/>
  <c r="Q1140" i="62"/>
  <c r="Q1073" i="62"/>
  <c r="Q1016" i="62"/>
  <c r="Q948" i="62"/>
  <c r="Q924" i="62"/>
  <c r="Q897" i="62"/>
  <c r="Q868" i="62"/>
  <c r="Q836" i="62"/>
  <c r="Q810" i="62"/>
  <c r="Q778" i="62"/>
  <c r="Q751" i="62"/>
  <c r="Q720" i="62"/>
  <c r="Q691" i="62"/>
  <c r="Q662" i="62"/>
  <c r="Q630" i="62"/>
  <c r="Q601" i="62"/>
  <c r="Q569" i="62"/>
  <c r="Q536" i="62"/>
  <c r="Q507" i="62"/>
  <c r="Q533" i="62"/>
  <c r="Q500" i="62"/>
  <c r="Q471" i="62"/>
  <c r="Q439" i="62"/>
  <c r="Q406" i="62"/>
  <c r="Q377" i="62"/>
  <c r="Q345" i="62"/>
  <c r="Q312" i="62"/>
  <c r="Q283" i="62"/>
  <c r="Q251" i="62"/>
  <c r="Q218" i="62"/>
  <c r="Q189" i="62"/>
  <c r="Q215" i="62"/>
  <c r="Q182" i="62"/>
  <c r="Q153" i="62"/>
  <c r="Q121" i="62"/>
  <c r="R1361" i="62"/>
  <c r="R1335" i="62"/>
  <c r="R1306" i="62"/>
  <c r="R1273" i="62"/>
  <c r="R1242" i="62"/>
  <c r="R1209" i="62"/>
  <c r="R1175" i="62"/>
  <c r="R1199" i="62"/>
  <c r="R1168" i="62"/>
  <c r="R1134" i="62"/>
  <c r="R1097" i="62"/>
  <c r="R1060" i="62"/>
  <c r="R1081" i="62"/>
  <c r="R1044" i="62"/>
  <c r="R1007" i="62"/>
  <c r="R970" i="62"/>
  <c r="R991" i="62"/>
  <c r="R954" i="62"/>
  <c r="R917" i="62"/>
  <c r="R937" i="62"/>
  <c r="R899" i="62"/>
  <c r="R861" i="62"/>
  <c r="R881" i="62"/>
  <c r="R843" i="62"/>
  <c r="R805" i="62"/>
  <c r="R767" i="62"/>
  <c r="R787" i="62"/>
  <c r="R749" i="62"/>
  <c r="R711" i="62"/>
  <c r="R731" i="62"/>
  <c r="R693" i="62"/>
  <c r="R655" i="62"/>
  <c r="R675" i="62"/>
  <c r="R637" i="62"/>
  <c r="R599" i="62"/>
  <c r="R619" i="62"/>
  <c r="R581" i="62"/>
  <c r="R543" i="62"/>
  <c r="R563" i="62"/>
  <c r="R525" i="62"/>
  <c r="R487" i="62"/>
  <c r="R449" i="62"/>
  <c r="R469" i="62"/>
  <c r="R431" i="62"/>
  <c r="R393" i="62"/>
  <c r="R413" i="62"/>
  <c r="Q1366" i="62"/>
  <c r="Q1315" i="62"/>
  <c r="Q1257" i="62"/>
  <c r="Q1198" i="62"/>
  <c r="Q1141" i="62"/>
  <c r="Q1084" i="62"/>
  <c r="Q1017" i="62"/>
  <c r="Q952" i="62"/>
  <c r="Q925" i="62"/>
  <c r="Q898" i="62"/>
  <c r="Q869" i="62"/>
  <c r="Q840" i="62"/>
  <c r="Q811" i="62"/>
  <c r="Q779" i="62"/>
  <c r="Q753" i="62"/>
  <c r="Q721" i="62"/>
  <c r="Q692" i="62"/>
  <c r="Q663" i="62"/>
  <c r="Q634" i="62"/>
  <c r="Q1367" i="62"/>
  <c r="Q1316" i="62"/>
  <c r="Q1259" i="62"/>
  <c r="Q1201" i="62"/>
  <c r="Q1142" i="62"/>
  <c r="Q1085" i="62"/>
  <c r="Q970" i="62"/>
  <c r="Q953" i="62"/>
  <c r="Q926" i="62"/>
  <c r="Q901" i="62"/>
  <c r="Q870" i="62"/>
  <c r="Q841" i="62"/>
  <c r="Q812" i="62"/>
  <c r="Q780" i="62"/>
  <c r="Q754" i="62"/>
  <c r="Q722" i="62"/>
  <c r="Q695" i="62"/>
  <c r="Q664" i="62"/>
  <c r="Q635" i="62"/>
  <c r="Q1323" i="62"/>
  <c r="Q1317" i="62"/>
  <c r="Q1202" i="62"/>
  <c r="Q1145" i="62"/>
  <c r="Q1087" i="62"/>
  <c r="Q1028" i="62"/>
  <c r="Q971" i="62"/>
  <c r="Q954" i="62"/>
  <c r="Q928" i="62"/>
  <c r="Q903" i="62"/>
  <c r="Q871" i="62"/>
  <c r="Q842" i="62"/>
  <c r="Q813" i="62"/>
  <c r="Q784" i="62"/>
  <c r="Q755" i="62"/>
  <c r="Q723" i="62"/>
  <c r="Q697" i="62"/>
  <c r="Q665" i="62"/>
  <c r="Q636" i="62"/>
  <c r="Q1324" i="62"/>
  <c r="Q1270" i="62"/>
  <c r="Q1203" i="62"/>
  <c r="Q1146" i="62"/>
  <c r="Q1089" i="62"/>
  <c r="Q1031" i="62"/>
  <c r="Q972" i="62"/>
  <c r="Q957" i="62"/>
  <c r="Q929" i="62"/>
  <c r="Q904" i="62"/>
  <c r="Q872" i="62"/>
  <c r="Q845" i="62"/>
  <c r="Q814" i="62"/>
  <c r="Q785" i="62"/>
  <c r="Q756" i="62"/>
  <c r="Q724" i="62"/>
  <c r="Q698" i="62"/>
  <c r="Q666" i="62"/>
  <c r="Q637" i="62"/>
  <c r="Q1325" i="62"/>
  <c r="Q1271" i="62"/>
  <c r="Q1214" i="62"/>
  <c r="Q1147" i="62"/>
  <c r="Q1090" i="62"/>
  <c r="Q1033" i="62"/>
  <c r="Q975" i="62"/>
  <c r="Q959" i="62"/>
  <c r="Q930" i="62"/>
  <c r="Q905" i="62"/>
  <c r="Q873" i="62"/>
  <c r="Q847" i="62"/>
  <c r="Q815" i="62"/>
  <c r="Q786" i="62"/>
  <c r="Q757" i="62"/>
  <c r="Q728" i="62"/>
  <c r="Q699" i="62"/>
  <c r="Q667" i="62"/>
  <c r="Q639" i="62"/>
  <c r="Q607" i="62"/>
  <c r="Q574" i="62"/>
  <c r="Q545" i="62"/>
  <c r="Q513" i="62"/>
  <c r="Q480" i="62"/>
  <c r="Q451" i="62"/>
  <c r="Q419" i="62"/>
  <c r="Q444" i="62"/>
  <c r="Q415" i="62"/>
  <c r="Q383" i="62"/>
  <c r="Q350" i="62"/>
  <c r="Q321" i="62"/>
  <c r="Q289" i="62"/>
  <c r="Q256" i="62"/>
  <c r="Q227" i="62"/>
  <c r="Q195" i="62"/>
  <c r="Q162" i="62"/>
  <c r="Q1328" i="62"/>
  <c r="Q1272" i="62"/>
  <c r="Q1215" i="62"/>
  <c r="Q1158" i="62"/>
  <c r="Q1091" i="62"/>
  <c r="Q1034" i="62"/>
  <c r="Q977" i="62"/>
  <c r="Q960" i="62"/>
  <c r="Q934" i="62"/>
  <c r="Q906" i="62"/>
  <c r="Q874" i="62"/>
  <c r="Q848" i="62"/>
  <c r="Q816" i="62"/>
  <c r="Q789" i="62"/>
  <c r="Q758" i="62"/>
  <c r="Q729" i="62"/>
  <c r="Q700" i="62"/>
  <c r="Q668" i="62"/>
  <c r="Q641" i="62"/>
  <c r="Q608" i="62"/>
  <c r="Q578" i="62"/>
  <c r="Q547" i="62"/>
  <c r="Q514" i="62"/>
  <c r="Q484" i="62"/>
  <c r="Q453" i="62"/>
  <c r="Q420" i="62"/>
  <c r="Q390" i="62"/>
  <c r="Q417" i="62"/>
  <c r="Q384" i="62"/>
  <c r="Q354" i="62"/>
  <c r="Q323" i="62"/>
  <c r="Q290" i="62"/>
  <c r="Q260" i="62"/>
  <c r="Q229" i="62"/>
  <c r="Q196" i="62"/>
  <c r="Q166" i="62"/>
  <c r="Q1330" i="62"/>
  <c r="Q1275" i="62"/>
  <c r="Q1216" i="62"/>
  <c r="Q1159" i="62"/>
  <c r="Q1102" i="62"/>
  <c r="Q1035" i="62"/>
  <c r="Q978" i="62"/>
  <c r="Q961" i="62"/>
  <c r="Q935" i="62"/>
  <c r="Q907" i="62"/>
  <c r="Q878" i="62"/>
  <c r="Q849" i="62"/>
  <c r="Q817" i="62"/>
  <c r="Q791" i="62"/>
  <c r="Q1331" i="62"/>
  <c r="Q1277" i="62"/>
  <c r="Q1219" i="62"/>
  <c r="Q1160" i="62"/>
  <c r="Q1103" i="62"/>
  <c r="Q1046" i="62"/>
  <c r="Q979" i="62"/>
  <c r="Q962" i="62"/>
  <c r="Q936" i="62"/>
  <c r="Q908" i="62"/>
  <c r="Q879" i="62"/>
  <c r="Q850" i="62"/>
  <c r="Q818" i="62"/>
  <c r="Q792" i="62"/>
  <c r="Q760" i="62"/>
  <c r="Q1332" i="62"/>
  <c r="Q1278" i="62"/>
  <c r="Q1221" i="62"/>
  <c r="Q1163" i="62"/>
  <c r="Q1104" i="62"/>
  <c r="Q1047" i="62"/>
  <c r="Q981" i="62"/>
  <c r="Q963" i="62"/>
  <c r="Q939" i="62"/>
  <c r="Q909" i="62"/>
  <c r="Q880" i="62"/>
  <c r="Q851" i="62"/>
  <c r="Q822" i="62"/>
  <c r="Q793" i="62"/>
  <c r="Q761" i="62"/>
  <c r="Q735" i="62"/>
  <c r="Q703" i="62"/>
  <c r="Q674" i="62"/>
  <c r="Q644" i="62"/>
  <c r="Q611" i="62"/>
  <c r="Q581" i="62"/>
  <c r="Q550" i="62"/>
  <c r="Q517" i="62"/>
  <c r="Q487" i="62"/>
  <c r="Q456" i="62"/>
  <c r="Q423" i="62"/>
  <c r="Q393" i="62"/>
  <c r="Q362" i="62"/>
  <c r="Q387" i="62"/>
  <c r="Q357" i="62"/>
  <c r="Q326" i="62"/>
  <c r="Q293" i="62"/>
  <c r="Q263" i="62"/>
  <c r="Q232" i="62"/>
  <c r="Q199" i="62"/>
  <c r="Q169" i="62"/>
  <c r="Q138" i="62"/>
  <c r="Q1343" i="62"/>
  <c r="Q1279" i="62"/>
  <c r="Q1222" i="62"/>
  <c r="Q1165" i="62"/>
  <c r="Q1107" i="62"/>
  <c r="Q1048" i="62"/>
  <c r="Q990" i="62"/>
  <c r="Q966" i="62"/>
  <c r="Q883" i="62"/>
  <c r="Q910" i="62"/>
  <c r="Q825" i="62"/>
  <c r="Q852" i="62"/>
  <c r="Q823" i="62"/>
  <c r="Q794" i="62"/>
  <c r="Q762" i="62"/>
  <c r="Q1289" i="62"/>
  <c r="Q1232" i="62"/>
  <c r="Q1223" i="62"/>
  <c r="Q1166" i="62"/>
  <c r="Q1109" i="62"/>
  <c r="Q1051" i="62"/>
  <c r="Q991" i="62"/>
  <c r="Q967" i="62"/>
  <c r="Q884" i="62"/>
  <c r="Q911" i="62"/>
  <c r="Q827" i="62"/>
  <c r="Q853" i="62"/>
  <c r="Q824" i="62"/>
  <c r="Q795" i="62"/>
  <c r="Q766" i="62"/>
  <c r="Q737" i="62"/>
  <c r="Q705" i="62"/>
  <c r="Q679" i="62"/>
  <c r="Q646" i="62"/>
  <c r="Q616" i="62"/>
  <c r="Q585" i="62"/>
  <c r="Q552" i="62"/>
  <c r="Q522" i="62"/>
  <c r="Q491" i="62"/>
  <c r="Q458" i="62"/>
  <c r="Q428" i="62"/>
  <c r="Q397" i="62"/>
  <c r="Q364" i="62"/>
  <c r="Q334" i="62"/>
  <c r="Q303" i="62"/>
  <c r="Q328" i="62"/>
  <c r="Q298" i="62"/>
  <c r="Q267" i="62"/>
  <c r="Q234" i="62"/>
  <c r="Q204" i="62"/>
  <c r="Q173" i="62"/>
  <c r="Q140" i="62"/>
  <c r="Q110" i="62"/>
  <c r="R1352" i="62"/>
  <c r="Q1290" i="62"/>
  <c r="Q1233" i="62"/>
  <c r="Q1176" i="62"/>
  <c r="Q1167" i="62"/>
  <c r="Q1110" i="62"/>
  <c r="Q1053" i="62"/>
  <c r="Q992" i="62"/>
  <c r="Q968" i="62"/>
  <c r="Q885" i="62"/>
  <c r="Q854" i="62"/>
  <c r="Q828" i="62"/>
  <c r="Q796" i="62"/>
  <c r="Q769" i="62"/>
  <c r="Q738" i="62"/>
  <c r="Q709" i="62"/>
  <c r="Q680" i="62"/>
  <c r="Q706" i="62"/>
  <c r="Q622" i="62"/>
  <c r="Q647" i="62"/>
  <c r="Q617" i="62"/>
  <c r="Q586" i="62"/>
  <c r="Q553" i="62"/>
  <c r="Q523" i="62"/>
  <c r="Q492" i="62"/>
  <c r="Q459" i="62"/>
  <c r="Q429" i="62"/>
  <c r="Q398" i="62"/>
  <c r="Q365" i="62"/>
  <c r="Q335" i="62"/>
  <c r="Q304" i="62"/>
  <c r="Q329" i="62"/>
  <c r="Q299" i="62"/>
  <c r="Q268" i="62"/>
  <c r="Q235" i="62"/>
  <c r="Q205" i="62"/>
  <c r="Q174" i="62"/>
  <c r="Q141" i="62"/>
  <c r="Q111" i="62"/>
  <c r="R1353" i="62"/>
  <c r="R1323" i="62"/>
  <c r="R1296" i="62"/>
  <c r="R1265" i="62"/>
  <c r="R1231" i="62"/>
  <c r="R1255" i="62"/>
  <c r="R1224" i="62"/>
  <c r="R1191" i="62"/>
  <c r="R1157" i="62"/>
  <c r="R1123" i="62"/>
  <c r="R1089" i="62"/>
  <c r="R1110" i="62"/>
  <c r="R1073" i="62"/>
  <c r="R1036" i="62"/>
  <c r="R999" i="62"/>
  <c r="R1020" i="62"/>
  <c r="R983" i="62"/>
  <c r="R946" i="62"/>
  <c r="R967" i="62"/>
  <c r="R929" i="62"/>
  <c r="R891" i="62"/>
  <c r="R911" i="62"/>
  <c r="R873" i="62"/>
  <c r="R835" i="62"/>
  <c r="R797" i="62"/>
  <c r="R817" i="62"/>
  <c r="R779" i="62"/>
  <c r="R741" i="62"/>
  <c r="R761" i="62"/>
  <c r="R723" i="62"/>
  <c r="R685" i="62"/>
  <c r="R705" i="62"/>
  <c r="R667" i="62"/>
  <c r="R629" i="62"/>
  <c r="R649" i="62"/>
  <c r="R611" i="62"/>
  <c r="R573" i="62"/>
  <c r="R535" i="62"/>
  <c r="R555" i="62"/>
  <c r="R517" i="62"/>
  <c r="Q1293" i="62"/>
  <c r="Q1234" i="62"/>
  <c r="Q1177" i="62"/>
  <c r="Q1120" i="62"/>
  <c r="Q1111" i="62"/>
  <c r="Q1054" i="62"/>
  <c r="Q995" i="62"/>
  <c r="Q914" i="62"/>
  <c r="Q886" i="62"/>
  <c r="Q858" i="62"/>
  <c r="Q829" i="62"/>
  <c r="Q797" i="62"/>
  <c r="Q771" i="62"/>
  <c r="Q739" i="62"/>
  <c r="Q710" i="62"/>
  <c r="Q681" i="62"/>
  <c r="Q652" i="62"/>
  <c r="Q623" i="62"/>
  <c r="Q648" i="62"/>
  <c r="Q618" i="62"/>
  <c r="Q587" i="62"/>
  <c r="Q554" i="62"/>
  <c r="Q524" i="62"/>
  <c r="Q493" i="62"/>
  <c r="Q460" i="62"/>
  <c r="Q430" i="62"/>
  <c r="Q399" i="62"/>
  <c r="Q366" i="62"/>
  <c r="Q336" i="62"/>
  <c r="Q305" i="62"/>
  <c r="Q330" i="62"/>
  <c r="Q300" i="62"/>
  <c r="Q269" i="62"/>
  <c r="Q236" i="62"/>
  <c r="Q206" i="62"/>
  <c r="Q175" i="62"/>
  <c r="Q142" i="62"/>
  <c r="Q112" i="62"/>
  <c r="R1354" i="62"/>
  <c r="R1324" i="62"/>
  <c r="R1297" i="62"/>
  <c r="R1266" i="62"/>
  <c r="R1232" i="62"/>
  <c r="R1259" i="62"/>
  <c r="R1226" i="62"/>
  <c r="R1192" i="62"/>
  <c r="R1158" i="62"/>
  <c r="R1124" i="62"/>
  <c r="R1090" i="62"/>
  <c r="R1111" i="62"/>
  <c r="R1074" i="62"/>
  <c r="R1037" i="62"/>
  <c r="R1000" i="62"/>
  <c r="R1021" i="62"/>
  <c r="R984" i="62"/>
  <c r="R947" i="62"/>
  <c r="R968" i="62"/>
  <c r="R930" i="62"/>
  <c r="R892" i="62"/>
  <c r="R854" i="62"/>
  <c r="R874" i="62"/>
  <c r="R836" i="62"/>
  <c r="R798" i="62"/>
  <c r="R818" i="62"/>
  <c r="R780" i="62"/>
  <c r="R742" i="62"/>
  <c r="R762" i="62"/>
  <c r="R724" i="62"/>
  <c r="R686" i="62"/>
  <c r="R706" i="62"/>
  <c r="R668" i="62"/>
  <c r="R630" i="62"/>
  <c r="R650" i="62"/>
  <c r="R612" i="62"/>
  <c r="R574" i="62"/>
  <c r="R536" i="62"/>
  <c r="R556" i="62"/>
  <c r="R518" i="62"/>
  <c r="R480" i="62"/>
  <c r="R500" i="62"/>
  <c r="R462" i="62"/>
  <c r="R424" i="62"/>
  <c r="Q1295" i="62"/>
  <c r="Q1237" i="62"/>
  <c r="Q1178" i="62"/>
  <c r="Q1121" i="62"/>
  <c r="Q1064" i="62"/>
  <c r="Q1055" i="62"/>
  <c r="Q997" i="62"/>
  <c r="Q915" i="62"/>
  <c r="Q887" i="62"/>
  <c r="Q859" i="62"/>
  <c r="Q830" i="62"/>
  <c r="Q798" i="62"/>
  <c r="Q772" i="62"/>
  <c r="Q740" i="62"/>
  <c r="Q713" i="62"/>
  <c r="Q682" i="62"/>
  <c r="Q1296" i="62"/>
  <c r="Q1239" i="62"/>
  <c r="Q1181" i="62"/>
  <c r="Q1122" i="62"/>
  <c r="Q1065" i="62"/>
  <c r="Q1008" i="62"/>
  <c r="Q998" i="62"/>
  <c r="Q916" i="62"/>
  <c r="Q888" i="62"/>
  <c r="Q860" i="62"/>
  <c r="Q831" i="62"/>
  <c r="Q802" i="62"/>
  <c r="Q773" i="62"/>
  <c r="Q741" i="62"/>
  <c r="Q715" i="62"/>
  <c r="Q683" i="62"/>
  <c r="Q654" i="62"/>
  <c r="Q625" i="62"/>
  <c r="Q1297" i="62"/>
  <c r="Q1240" i="62"/>
  <c r="Q1183" i="62"/>
  <c r="Q1125" i="62"/>
  <c r="Q1066" i="62"/>
  <c r="Q1009" i="62"/>
  <c r="Q941" i="62"/>
  <c r="Q919" i="62"/>
  <c r="Q890" i="62"/>
  <c r="Q863" i="62"/>
  <c r="Q832" i="62"/>
  <c r="Q803" i="62"/>
  <c r="Q774" i="62"/>
  <c r="Q742" i="62"/>
  <c r="Q716" i="62"/>
  <c r="Q684" i="62"/>
  <c r="Q657" i="62"/>
  <c r="Q626" i="62"/>
  <c r="Q1308" i="62"/>
  <c r="Q1241" i="62"/>
  <c r="Q1184" i="62"/>
  <c r="Q1127" i="62"/>
  <c r="Q1069" i="62"/>
  <c r="Q1010" i="62"/>
  <c r="Q942" i="62"/>
  <c r="Q921" i="62"/>
  <c r="Q891" i="62"/>
  <c r="Q865" i="62"/>
  <c r="Q833" i="62"/>
  <c r="Q804" i="62"/>
  <c r="Q775" i="62"/>
  <c r="Q746" i="62"/>
  <c r="Q717" i="62"/>
  <c r="Q685" i="62"/>
  <c r="Q659" i="62"/>
  <c r="Q627" i="62"/>
  <c r="Q1309" i="62"/>
  <c r="Q1252" i="62"/>
  <c r="Q1185" i="62"/>
  <c r="Q1128" i="62"/>
  <c r="Q1071" i="62"/>
  <c r="Q1013" i="62"/>
  <c r="Q943" i="62"/>
  <c r="Q922" i="62"/>
  <c r="Q892" i="62"/>
  <c r="Q866" i="62"/>
  <c r="Q834" i="62"/>
  <c r="Q807" i="62"/>
  <c r="Q776" i="62"/>
  <c r="Q747" i="62"/>
  <c r="Q718" i="62"/>
  <c r="Q686" i="62"/>
  <c r="Q660" i="62"/>
  <c r="Q628" i="62"/>
  <c r="Q598" i="62"/>
  <c r="Q567" i="62"/>
  <c r="Q592" i="62"/>
  <c r="Q562" i="62"/>
  <c r="Q531" i="62"/>
  <c r="Q498" i="62"/>
  <c r="Q468" i="62"/>
  <c r="Q437" i="62"/>
  <c r="Q404" i="62"/>
  <c r="Q374" i="62"/>
  <c r="Q343" i="62"/>
  <c r="Q310" i="62"/>
  <c r="Q280" i="62"/>
  <c r="Q249" i="62"/>
  <c r="Q216" i="62"/>
  <c r="Q244" i="62"/>
  <c r="Q213" i="62"/>
  <c r="Q180" i="62"/>
  <c r="Q150" i="62"/>
  <c r="Q119" i="62"/>
  <c r="R1359" i="62"/>
  <c r="R1332" i="62"/>
  <c r="R1304" i="62"/>
  <c r="R1271" i="62"/>
  <c r="R1240" i="62"/>
  <c r="R1207" i="62"/>
  <c r="R1173" i="62"/>
  <c r="R1197" i="62"/>
  <c r="R1166" i="62"/>
  <c r="R1132" i="62"/>
  <c r="R1095" i="62"/>
  <c r="R1058" i="62"/>
  <c r="R1079" i="62"/>
  <c r="R1042" i="62"/>
  <c r="R1005" i="62"/>
  <c r="R1026" i="62"/>
  <c r="R989" i="62"/>
  <c r="R952" i="62"/>
  <c r="R915" i="62"/>
  <c r="R935" i="62"/>
  <c r="R897" i="62"/>
  <c r="R859" i="62"/>
  <c r="R879" i="62"/>
  <c r="R841" i="62"/>
  <c r="R803" i="62"/>
  <c r="R823" i="62"/>
  <c r="R785" i="62"/>
  <c r="R747" i="62"/>
  <c r="R709" i="62"/>
  <c r="R729" i="62"/>
  <c r="R691" i="62"/>
  <c r="R653" i="62"/>
  <c r="R673" i="62"/>
  <c r="R635" i="62"/>
  <c r="R597" i="62"/>
  <c r="R617" i="62"/>
  <c r="R579" i="62"/>
  <c r="R541" i="62"/>
  <c r="R561" i="62"/>
  <c r="R523" i="62"/>
  <c r="R485" i="62"/>
  <c r="Q1310" i="62"/>
  <c r="Q701" i="62"/>
  <c r="Q605" i="62"/>
  <c r="Q591" i="62"/>
  <c r="Q518" i="62"/>
  <c r="Q448" i="62"/>
  <c r="Q436" i="62"/>
  <c r="Q363" i="62"/>
  <c r="Q348" i="62"/>
  <c r="Q279" i="62"/>
  <c r="Q265" i="62"/>
  <c r="Q193" i="62"/>
  <c r="Q179" i="62"/>
  <c r="Q101" i="62"/>
  <c r="R1350" i="62"/>
  <c r="R1331" i="62"/>
  <c r="R1309" i="62"/>
  <c r="R1284" i="62"/>
  <c r="R1254" i="62"/>
  <c r="R1230" i="62"/>
  <c r="R1147" i="62"/>
  <c r="R1118" i="62"/>
  <c r="R1087" i="62"/>
  <c r="R1057" i="62"/>
  <c r="R1084" i="62"/>
  <c r="R1051" i="62"/>
  <c r="R1019" i="62"/>
  <c r="R988" i="62"/>
  <c r="R957" i="62"/>
  <c r="R924" i="62"/>
  <c r="R890" i="62"/>
  <c r="R858" i="62"/>
  <c r="R826" i="62"/>
  <c r="R850" i="62"/>
  <c r="R816" i="62"/>
  <c r="R784" i="62"/>
  <c r="R752" i="62"/>
  <c r="R718" i="62"/>
  <c r="R684" i="62"/>
  <c r="R652" i="62"/>
  <c r="R678" i="62"/>
  <c r="R644" i="62"/>
  <c r="R610" i="62"/>
  <c r="R578" i="62"/>
  <c r="R546" i="62"/>
  <c r="R512" i="62"/>
  <c r="R478" i="62"/>
  <c r="R502" i="62"/>
  <c r="R466" i="62"/>
  <c r="R430" i="62"/>
  <c r="R394" i="62"/>
  <c r="R415" i="62"/>
  <c r="R377" i="62"/>
  <c r="R339" i="62"/>
  <c r="R359" i="62"/>
  <c r="R321" i="62"/>
  <c r="R283" i="62"/>
  <c r="R245" i="62"/>
  <c r="R265" i="62"/>
  <c r="R227" i="62"/>
  <c r="R189" i="62"/>
  <c r="R209" i="62"/>
  <c r="R171" i="62"/>
  <c r="R133" i="62"/>
  <c r="R153" i="62"/>
  <c r="R115" i="62"/>
  <c r="S1350" i="62"/>
  <c r="S1370" i="62"/>
  <c r="S1335" i="62"/>
  <c r="S1300" i="62"/>
  <c r="S1262" i="62"/>
  <c r="S1282" i="62"/>
  <c r="S1244" i="62"/>
  <c r="S1206" i="62"/>
  <c r="S1226" i="62"/>
  <c r="S1188" i="62"/>
  <c r="S1150" i="62"/>
  <c r="S1170" i="62"/>
  <c r="S1132" i="62"/>
  <c r="S1094" i="62"/>
  <c r="S1114" i="62"/>
  <c r="S1076" i="62"/>
  <c r="S1038" i="62"/>
  <c r="S1000" i="62"/>
  <c r="S1020" i="62"/>
  <c r="S982" i="62"/>
  <c r="S944" i="62"/>
  <c r="Q1253" i="62"/>
  <c r="Q702" i="62"/>
  <c r="Q606" i="62"/>
  <c r="Q1196" i="62"/>
  <c r="Q704" i="62"/>
  <c r="Q609" i="62"/>
  <c r="Q540" i="62"/>
  <c r="Q527" i="62"/>
  <c r="Q454" i="62"/>
  <c r="Q440" i="62"/>
  <c r="Q368" i="62"/>
  <c r="Q355" i="62"/>
  <c r="Q285" i="62"/>
  <c r="Q271" i="62"/>
  <c r="Q197" i="62"/>
  <c r="Q186" i="62"/>
  <c r="Q103" i="62"/>
  <c r="R1356" i="62"/>
  <c r="R1337" i="62"/>
  <c r="R1311" i="62"/>
  <c r="R1286" i="62"/>
  <c r="R1203" i="62"/>
  <c r="R1176" i="62"/>
  <c r="R1150" i="62"/>
  <c r="R1120" i="62"/>
  <c r="Q1129" i="62"/>
  <c r="Q653" i="62"/>
  <c r="Q610" i="62"/>
  <c r="Q541" i="62"/>
  <c r="Q1072" i="62"/>
  <c r="Q661" i="62"/>
  <c r="Q612" i="62"/>
  <c r="Q542" i="62"/>
  <c r="Q530" i="62"/>
  <c r="Q457" i="62"/>
  <c r="Q442" i="62"/>
  <c r="Q373" i="62"/>
  <c r="Q359" i="62"/>
  <c r="Q287" i="62"/>
  <c r="Q273" i="62"/>
  <c r="Q200" i="62"/>
  <c r="Q130" i="62"/>
  <c r="Q105" i="62"/>
  <c r="R1358" i="62"/>
  <c r="R1339" i="62"/>
  <c r="R1316" i="62"/>
  <c r="R1288" i="62"/>
  <c r="R1206" i="62"/>
  <c r="R1178" i="62"/>
  <c r="R1152" i="62"/>
  <c r="R1122" i="62"/>
  <c r="Q1015" i="62"/>
  <c r="Q672" i="62"/>
  <c r="Q619" i="62"/>
  <c r="Q543" i="62"/>
  <c r="Q532" i="62"/>
  <c r="Q461" i="62"/>
  <c r="Q443" i="62"/>
  <c r="Q375" i="62"/>
  <c r="Q306" i="62"/>
  <c r="Q288" i="62"/>
  <c r="Q217" i="62"/>
  <c r="Q207" i="62"/>
  <c r="Q131" i="62"/>
  <c r="Q106" i="62"/>
  <c r="R1360" i="62"/>
  <c r="R1340" i="62"/>
  <c r="R1317" i="62"/>
  <c r="R1233" i="62"/>
  <c r="Q946" i="62"/>
  <c r="Q673" i="62"/>
  <c r="Q621" i="62"/>
  <c r="Q548" i="62"/>
  <c r="Q534" i="62"/>
  <c r="Q462" i="62"/>
  <c r="Q391" i="62"/>
  <c r="Q379" i="62"/>
  <c r="Q307" i="62"/>
  <c r="Q291" i="62"/>
  <c r="Q222" i="62"/>
  <c r="Q209" i="62"/>
  <c r="Q133" i="62"/>
  <c r="Q113" i="62"/>
  <c r="R1365" i="62"/>
  <c r="R1341" i="62"/>
  <c r="R1260" i="62"/>
  <c r="R1234" i="62"/>
  <c r="Q923" i="62"/>
  <c r="Q896" i="62"/>
  <c r="Q624" i="62"/>
  <c r="Q867" i="62"/>
  <c r="Q629" i="62"/>
  <c r="Q568" i="62"/>
  <c r="Q555" i="62"/>
  <c r="Q479" i="62"/>
  <c r="Q469" i="62"/>
  <c r="Q400" i="62"/>
  <c r="Q382" i="62"/>
  <c r="Q311" i="62"/>
  <c r="Q301" i="62"/>
  <c r="Q225" i="62"/>
  <c r="Q214" i="62"/>
  <c r="Q137" i="62"/>
  <c r="Q118" i="62"/>
  <c r="R1368" i="62"/>
  <c r="R1289" i="62"/>
  <c r="R1267" i="62"/>
  <c r="R1241" i="62"/>
  <c r="R1213" i="62"/>
  <c r="Q835" i="62"/>
  <c r="Q642" i="62"/>
  <c r="Q809" i="62"/>
  <c r="Q643" i="62"/>
  <c r="Q571" i="62"/>
  <c r="Q560" i="62"/>
  <c r="Q486" i="62"/>
  <c r="Q474" i="62"/>
  <c r="Q402" i="62"/>
  <c r="Q386" i="62"/>
  <c r="Q317" i="62"/>
  <c r="Q247" i="62"/>
  <c r="Q231" i="62"/>
  <c r="Q159" i="62"/>
  <c r="Q143" i="62"/>
  <c r="Q122" i="62"/>
  <c r="R1372" i="62"/>
  <c r="R1291" i="62"/>
  <c r="R1269" i="62"/>
  <c r="R1245" i="62"/>
  <c r="R1215" i="62"/>
  <c r="R1189" i="62"/>
  <c r="R1161" i="62"/>
  <c r="Q777" i="62"/>
  <c r="Q645" i="62"/>
  <c r="Q572" i="62"/>
  <c r="Q561" i="62"/>
  <c r="Q489" i="62"/>
  <c r="Q475" i="62"/>
  <c r="Q403" i="62"/>
  <c r="Q388" i="62"/>
  <c r="Q318" i="62"/>
  <c r="Q248" i="62"/>
  <c r="Q233" i="62"/>
  <c r="Q160" i="62"/>
  <c r="Q144" i="62"/>
  <c r="Q123" i="62"/>
  <c r="R1318" i="62"/>
  <c r="R1295" i="62"/>
  <c r="R1270" i="62"/>
  <c r="R1246" i="62"/>
  <c r="R1216" i="62"/>
  <c r="R1190" i="62"/>
  <c r="R1165" i="62"/>
  <c r="R1137" i="62"/>
  <c r="R1104" i="62"/>
  <c r="R1072" i="62"/>
  <c r="R1041" i="62"/>
  <c r="R1010" i="62"/>
  <c r="R978" i="62"/>
  <c r="R945" i="62"/>
  <c r="R914" i="62"/>
  <c r="R940" i="62"/>
  <c r="R906" i="62"/>
  <c r="R872" i="62"/>
  <c r="R840" i="62"/>
  <c r="R808" i="62"/>
  <c r="R774" i="62"/>
  <c r="R740" i="62"/>
  <c r="R766" i="62"/>
  <c r="R734" i="62"/>
  <c r="R700" i="62"/>
  <c r="R666" i="62"/>
  <c r="R634" i="62"/>
  <c r="R602" i="62"/>
  <c r="R568" i="62"/>
  <c r="R592" i="62"/>
  <c r="R560" i="62"/>
  <c r="R528" i="62"/>
  <c r="R493" i="62"/>
  <c r="R457" i="62"/>
  <c r="R421" i="62"/>
  <c r="R443" i="62"/>
  <c r="R406" i="62"/>
  <c r="R369" i="62"/>
  <c r="R389" i="62"/>
  <c r="R351" i="62"/>
  <c r="R313" i="62"/>
  <c r="R275" i="62"/>
  <c r="R295" i="62"/>
  <c r="R257" i="62"/>
  <c r="R219" i="62"/>
  <c r="R239" i="62"/>
  <c r="R201" i="62"/>
  <c r="R163" i="62"/>
  <c r="R183" i="62"/>
  <c r="R145" i="62"/>
  <c r="R107" i="62"/>
  <c r="R127" i="62"/>
  <c r="S1362" i="62"/>
  <c r="S1327" i="62"/>
  <c r="S1292" i="62"/>
  <c r="S1312" i="62"/>
  <c r="S1274" i="62"/>
  <c r="S1236" i="62"/>
  <c r="S1256" i="62"/>
  <c r="S1218" i="62"/>
  <c r="S1180" i="62"/>
  <c r="S1200" i="62"/>
  <c r="S1162" i="62"/>
  <c r="S1124" i="62"/>
  <c r="S1086" i="62"/>
  <c r="S1106" i="62"/>
  <c r="S1068" i="62"/>
  <c r="S1030" i="62"/>
  <c r="S1050" i="62"/>
  <c r="S1012" i="62"/>
  <c r="S974" i="62"/>
  <c r="Q748" i="62"/>
  <c r="Q649" i="62"/>
  <c r="Q573" i="62"/>
  <c r="Q563" i="62"/>
  <c r="Q494" i="62"/>
  <c r="Q476" i="62"/>
  <c r="Q405" i="62"/>
  <c r="Q337" i="62"/>
  <c r="Q319" i="62"/>
  <c r="Q250" i="62"/>
  <c r="Q237" i="62"/>
  <c r="Q161" i="62"/>
  <c r="Q148" i="62"/>
  <c r="Q124" i="62"/>
  <c r="R1319" i="62"/>
  <c r="R1298" i="62"/>
  <c r="R1272" i="62"/>
  <c r="R1247" i="62"/>
  <c r="R1217" i="62"/>
  <c r="R1193" i="62"/>
  <c r="R1167" i="62"/>
  <c r="R1138" i="62"/>
  <c r="R1105" i="62"/>
  <c r="R1075" i="62"/>
  <c r="R1043" i="62"/>
  <c r="R1011" i="62"/>
  <c r="R979" i="62"/>
  <c r="R948" i="62"/>
  <c r="R916" i="62"/>
  <c r="R883" i="62"/>
  <c r="R907" i="62"/>
  <c r="R875" i="62"/>
  <c r="R842" i="62"/>
  <c r="R809" i="62"/>
  <c r="R775" i="62"/>
  <c r="R743" i="62"/>
  <c r="R710" i="62"/>
  <c r="R735" i="62"/>
  <c r="R701" i="62"/>
  <c r="R669" i="62"/>
  <c r="R636" i="62"/>
  <c r="R603" i="62"/>
  <c r="R569" i="62"/>
  <c r="R537" i="62"/>
  <c r="R562" i="62"/>
  <c r="R529" i="62"/>
  <c r="R494" i="62"/>
  <c r="R458" i="62"/>
  <c r="R422" i="62"/>
  <c r="R444" i="62"/>
  <c r="R407" i="62"/>
  <c r="R370" i="62"/>
  <c r="R332" i="62"/>
  <c r="R352" i="62"/>
  <c r="R314" i="62"/>
  <c r="R276" i="62"/>
  <c r="R296" i="62"/>
  <c r="R258" i="62"/>
  <c r="R220" i="62"/>
  <c r="R240" i="62"/>
  <c r="R202" i="62"/>
  <c r="R164" i="62"/>
  <c r="R184" i="62"/>
  <c r="R146" i="62"/>
  <c r="R108" i="62"/>
  <c r="R128" i="62"/>
  <c r="S1363" i="62"/>
  <c r="S1328" i="62"/>
  <c r="S1293" i="62"/>
  <c r="S1313" i="62"/>
  <c r="S1275" i="62"/>
  <c r="S1237" i="62"/>
  <c r="S1257" i="62"/>
  <c r="S1219" i="62"/>
  <c r="S1181" i="62"/>
  <c r="S1201" i="62"/>
  <c r="S1163" i="62"/>
  <c r="S1125" i="62"/>
  <c r="S1087" i="62"/>
  <c r="S1107" i="62"/>
  <c r="S1069" i="62"/>
  <c r="S1031" i="62"/>
  <c r="S1051" i="62"/>
  <c r="S1013" i="62"/>
  <c r="S975" i="62"/>
  <c r="S995" i="62"/>
  <c r="S957" i="62"/>
  <c r="Q759" i="62"/>
  <c r="Q650" i="62"/>
  <c r="Q579" i="62"/>
  <c r="Q509" i="62"/>
  <c r="Q495" i="62"/>
  <c r="Q421" i="62"/>
  <c r="Q410" i="62"/>
  <c r="Q339" i="62"/>
  <c r="Q324" i="62"/>
  <c r="Q252" i="62"/>
  <c r="Q238" i="62"/>
  <c r="Q167" i="62"/>
  <c r="Q149" i="62"/>
  <c r="Q125" i="62"/>
  <c r="R1320" i="62"/>
  <c r="R1300" i="62"/>
  <c r="R1277" i="62"/>
  <c r="R1248" i="62"/>
  <c r="R1221" i="62"/>
  <c r="R1194" i="62"/>
  <c r="R1170" i="62"/>
  <c r="R1139" i="62"/>
  <c r="R1106" i="62"/>
  <c r="Q719" i="62"/>
  <c r="Q596" i="62"/>
  <c r="Q580" i="62"/>
  <c r="Q510" i="62"/>
  <c r="Q730" i="62"/>
  <c r="Q597" i="62"/>
  <c r="Q583" i="62"/>
  <c r="Q733" i="62"/>
  <c r="Q599" i="62"/>
  <c r="Q588" i="62"/>
  <c r="Q512" i="62"/>
  <c r="Q499" i="62"/>
  <c r="Q431" i="62"/>
  <c r="Q413" i="62"/>
  <c r="Q344" i="62"/>
  <c r="Q331" i="62"/>
  <c r="Q255" i="62"/>
  <c r="Q187" i="62"/>
  <c r="Q176" i="62"/>
  <c r="Q156" i="62"/>
  <c r="R1346" i="62"/>
  <c r="R1325" i="62"/>
  <c r="R1305" i="62"/>
  <c r="R1280" i="62"/>
  <c r="R1251" i="62"/>
  <c r="R1227" i="62"/>
  <c r="R1198" i="62"/>
  <c r="R1115" i="62"/>
  <c r="R1142" i="62"/>
  <c r="Q736" i="62"/>
  <c r="Q603" i="62"/>
  <c r="Q589" i="62"/>
  <c r="Q515" i="62"/>
  <c r="Q504" i="62"/>
  <c r="Q433" i="62"/>
  <c r="Q418" i="62"/>
  <c r="Q346" i="62"/>
  <c r="Q274" i="62"/>
  <c r="Q261" i="62"/>
  <c r="Q191" i="62"/>
  <c r="Q177" i="62"/>
  <c r="Q157" i="62"/>
  <c r="R1347" i="62"/>
  <c r="R1326" i="62"/>
  <c r="R1307" i="62"/>
  <c r="R1282" i="62"/>
  <c r="R1252" i="62"/>
  <c r="R1228" i="62"/>
  <c r="R1145" i="62"/>
  <c r="R1116" i="62"/>
  <c r="R1143" i="62"/>
  <c r="R1113" i="62"/>
  <c r="R1082" i="62"/>
  <c r="R1049" i="62"/>
  <c r="R1017" i="62"/>
  <c r="R986" i="62"/>
  <c r="R955" i="62"/>
  <c r="R922" i="62"/>
  <c r="R888" i="62"/>
  <c r="R856" i="62"/>
  <c r="R882" i="62"/>
  <c r="R848" i="62"/>
  <c r="R814" i="62"/>
  <c r="R782" i="62"/>
  <c r="R750" i="62"/>
  <c r="R716" i="62"/>
  <c r="R682" i="62"/>
  <c r="R708" i="62"/>
  <c r="R676" i="62"/>
  <c r="R642" i="62"/>
  <c r="R608" i="62"/>
  <c r="R576" i="62"/>
  <c r="R544" i="62"/>
  <c r="R510" i="62"/>
  <c r="R534" i="62"/>
  <c r="R499" i="62"/>
  <c r="R464" i="62"/>
  <c r="R428" i="62"/>
  <c r="R391" i="62"/>
  <c r="R412" i="62"/>
  <c r="R375" i="62"/>
  <c r="R337" i="62"/>
  <c r="R357" i="62"/>
  <c r="R319" i="62"/>
  <c r="R281" i="62"/>
  <c r="R301" i="62"/>
  <c r="R263" i="62"/>
  <c r="R225" i="62"/>
  <c r="R187" i="62"/>
  <c r="R207" i="62"/>
  <c r="R169" i="62"/>
  <c r="R131" i="62"/>
  <c r="R151" i="62"/>
  <c r="R113" i="62"/>
  <c r="S1348" i="62"/>
  <c r="S1368" i="62"/>
  <c r="S1333" i="62"/>
  <c r="S1298" i="62"/>
  <c r="S1260" i="62"/>
  <c r="S1280" i="62"/>
  <c r="S1242" i="62"/>
  <c r="S1204" i="62"/>
  <c r="S1224" i="62"/>
  <c r="S1186" i="62"/>
  <c r="S1148" i="62"/>
  <c r="S1168" i="62"/>
  <c r="S1130" i="62"/>
  <c r="S1092" i="62"/>
  <c r="S1112" i="62"/>
  <c r="S1074" i="62"/>
  <c r="S1036" i="62"/>
  <c r="S1056" i="62"/>
  <c r="S1018" i="62"/>
  <c r="S980" i="62"/>
  <c r="Q690" i="62"/>
  <c r="Q505" i="62"/>
  <c r="Q381" i="62"/>
  <c r="Q262" i="62"/>
  <c r="Q136" i="62"/>
  <c r="R1330" i="62"/>
  <c r="R1239" i="62"/>
  <c r="R1185" i="62"/>
  <c r="R1128" i="62"/>
  <c r="R1107" i="62"/>
  <c r="R1085" i="62"/>
  <c r="R1001" i="62"/>
  <c r="R974" i="62"/>
  <c r="R950" i="62"/>
  <c r="R925" i="62"/>
  <c r="R898" i="62"/>
  <c r="R869" i="62"/>
  <c r="R845" i="62"/>
  <c r="R819" i="62"/>
  <c r="R791" i="62"/>
  <c r="R763" i="62"/>
  <c r="R737" i="62"/>
  <c r="R654" i="62"/>
  <c r="R625" i="62"/>
  <c r="R598" i="62"/>
  <c r="R571" i="62"/>
  <c r="R547" i="62"/>
  <c r="R519" i="62"/>
  <c r="R490" i="62"/>
  <c r="R460" i="62"/>
  <c r="R432" i="62"/>
  <c r="R399" i="62"/>
  <c r="R366" i="62"/>
  <c r="R334" i="62"/>
  <c r="R360" i="62"/>
  <c r="R326" i="62"/>
  <c r="R292" i="62"/>
  <c r="R260" i="62"/>
  <c r="R228" i="62"/>
  <c r="R194" i="62"/>
  <c r="R160" i="62"/>
  <c r="R186" i="62"/>
  <c r="R154" i="62"/>
  <c r="R120" i="62"/>
  <c r="S1359" i="62"/>
  <c r="S1330" i="62"/>
  <c r="S1301" i="62"/>
  <c r="S1267" i="62"/>
  <c r="S1233" i="62"/>
  <c r="S1259" i="62"/>
  <c r="S1227" i="62"/>
  <c r="S1193" i="62"/>
  <c r="S1159" i="62"/>
  <c r="S1127" i="62"/>
  <c r="S1095" i="62"/>
  <c r="S1061" i="62"/>
  <c r="S1085" i="62"/>
  <c r="S1053" i="62"/>
  <c r="S1021" i="62"/>
  <c r="S987" i="62"/>
  <c r="S951" i="62"/>
  <c r="S914" i="62"/>
  <c r="S934" i="62"/>
  <c r="S896" i="62"/>
  <c r="S858" i="62"/>
  <c r="S878" i="62"/>
  <c r="S840" i="62"/>
  <c r="S802" i="62"/>
  <c r="S822" i="62"/>
  <c r="S784" i="62"/>
  <c r="S746" i="62"/>
  <c r="S766" i="62"/>
  <c r="S728" i="62"/>
  <c r="S690" i="62"/>
  <c r="S652" i="62"/>
  <c r="S672" i="62"/>
  <c r="S634" i="62"/>
  <c r="S596" i="62"/>
  <c r="S616" i="62"/>
  <c r="S578" i="62"/>
  <c r="S540" i="62"/>
  <c r="S560" i="62"/>
  <c r="S522" i="62"/>
  <c r="S484" i="62"/>
  <c r="S504" i="62"/>
  <c r="S466" i="62"/>
  <c r="S428" i="62"/>
  <c r="S390" i="62"/>
  <c r="S410" i="62"/>
  <c r="S372" i="62"/>
  <c r="S334" i="62"/>
  <c r="S354" i="62"/>
  <c r="Q677" i="62"/>
  <c r="Q449" i="62"/>
  <c r="Q385" i="62"/>
  <c r="Q270" i="62"/>
  <c r="Q139" i="62"/>
  <c r="R1333" i="62"/>
  <c r="R1244" i="62"/>
  <c r="R1186" i="62"/>
  <c r="R1129" i="62"/>
  <c r="R1109" i="62"/>
  <c r="R1028" i="62"/>
  <c r="R1002" i="62"/>
  <c r="R975" i="62"/>
  <c r="R951" i="62"/>
  <c r="R926" i="62"/>
  <c r="R900" i="62"/>
  <c r="R870" i="62"/>
  <c r="R846" i="62"/>
  <c r="R820" i="62"/>
  <c r="R792" i="62"/>
  <c r="R764" i="62"/>
  <c r="R680" i="62"/>
  <c r="R656" i="62"/>
  <c r="R626" i="62"/>
  <c r="R600" i="62"/>
  <c r="R572" i="62"/>
  <c r="R548" i="62"/>
  <c r="R520" i="62"/>
  <c r="R491" i="62"/>
  <c r="R461" i="62"/>
  <c r="R433" i="62"/>
  <c r="R400" i="62"/>
  <c r="R367" i="62"/>
  <c r="R335" i="62"/>
  <c r="Q604" i="62"/>
  <c r="Q455" i="62"/>
  <c r="Q341" i="62"/>
  <c r="Q272" i="62"/>
  <c r="Q151" i="62"/>
  <c r="R1338" i="62"/>
  <c r="R1249" i="62"/>
  <c r="R1188" i="62"/>
  <c r="R1130" i="62"/>
  <c r="R1112" i="62"/>
  <c r="R1029" i="62"/>
  <c r="R1003" i="62"/>
  <c r="R977" i="62"/>
  <c r="R953" i="62"/>
  <c r="R927" i="62"/>
  <c r="R901" i="62"/>
  <c r="R871" i="62"/>
  <c r="R847" i="62"/>
  <c r="R821" i="62"/>
  <c r="R793" i="62"/>
  <c r="R765" i="62"/>
  <c r="R681" i="62"/>
  <c r="R657" i="62"/>
  <c r="R627" i="62"/>
  <c r="R601" i="62"/>
  <c r="R575" i="62"/>
  <c r="R549" i="62"/>
  <c r="R521" i="62"/>
  <c r="R492" i="62"/>
  <c r="R463" i="62"/>
  <c r="R434" i="62"/>
  <c r="R401" i="62"/>
  <c r="R368" i="62"/>
  <c r="R336" i="62"/>
  <c r="R304" i="62"/>
  <c r="Q565" i="62"/>
  <c r="Q466" i="62"/>
  <c r="Q342" i="62"/>
  <c r="Q223" i="62"/>
  <c r="Q155" i="62"/>
  <c r="R1342" i="62"/>
  <c r="R1250" i="62"/>
  <c r="R1195" i="62"/>
  <c r="R1133" i="62"/>
  <c r="R1114" i="62"/>
  <c r="R1030" i="62"/>
  <c r="R1004" i="62"/>
  <c r="R980" i="62"/>
  <c r="R956" i="62"/>
  <c r="R928" i="62"/>
  <c r="R902" i="62"/>
  <c r="R876" i="62"/>
  <c r="R849" i="62"/>
  <c r="R822" i="62"/>
  <c r="R794" i="62"/>
  <c r="R712" i="62"/>
  <c r="R683" i="62"/>
  <c r="R658" i="62"/>
  <c r="R628" i="62"/>
  <c r="R604" i="62"/>
  <c r="R577" i="62"/>
  <c r="R550" i="62"/>
  <c r="R522" i="62"/>
  <c r="R495" i="62"/>
  <c r="R465" i="62"/>
  <c r="R435" i="62"/>
  <c r="R402" i="62"/>
  <c r="R371" i="62"/>
  <c r="R338" i="62"/>
  <c r="Q566" i="62"/>
  <c r="Q467" i="62"/>
  <c r="Q347" i="62"/>
  <c r="Q224" i="62"/>
  <c r="Q100" i="62"/>
  <c r="R1343" i="62"/>
  <c r="R1253" i="62"/>
  <c r="R1196" i="62"/>
  <c r="R1135" i="62"/>
  <c r="R1059" i="62"/>
  <c r="R1031" i="62"/>
  <c r="R1006" i="62"/>
  <c r="R981" i="62"/>
  <c r="R959" i="62"/>
  <c r="R931" i="62"/>
  <c r="R903" i="62"/>
  <c r="R877" i="62"/>
  <c r="R851" i="62"/>
  <c r="R824" i="62"/>
  <c r="R795" i="62"/>
  <c r="R713" i="62"/>
  <c r="R687" i="62"/>
  <c r="R659" i="62"/>
  <c r="R631" i="62"/>
  <c r="R605" i="62"/>
  <c r="R580" i="62"/>
  <c r="R551" i="62"/>
  <c r="R524" i="62"/>
  <c r="R496" i="62"/>
  <c r="R467" i="62"/>
  <c r="R436" i="62"/>
  <c r="R403" i="62"/>
  <c r="R372" i="62"/>
  <c r="R340" i="62"/>
  <c r="Q570" i="62"/>
  <c r="Q473" i="62"/>
  <c r="Q349" i="62"/>
  <c r="Q230" i="62"/>
  <c r="Q102" i="62"/>
  <c r="R1290" i="62"/>
  <c r="R1202" i="62"/>
  <c r="R1146" i="62"/>
  <c r="R1136" i="62"/>
  <c r="R1061" i="62"/>
  <c r="R1033" i="62"/>
  <c r="R1008" i="62"/>
  <c r="R982" i="62"/>
  <c r="R960" i="62"/>
  <c r="R932" i="62"/>
  <c r="R904" i="62"/>
  <c r="R878" i="62"/>
  <c r="R852" i="62"/>
  <c r="R768" i="62"/>
  <c r="R738" i="62"/>
  <c r="R714" i="62"/>
  <c r="R688" i="62"/>
  <c r="R660" i="62"/>
  <c r="R632" i="62"/>
  <c r="R606" i="62"/>
  <c r="R582" i="62"/>
  <c r="R552" i="62"/>
  <c r="R526" i="62"/>
  <c r="R497" i="62"/>
  <c r="R468" i="62"/>
  <c r="Q590" i="62"/>
  <c r="Q422" i="62"/>
  <c r="Q356" i="62"/>
  <c r="Q242" i="62"/>
  <c r="Q104" i="62"/>
  <c r="R1302" i="62"/>
  <c r="R1204" i="62"/>
  <c r="R1148" i="62"/>
  <c r="R1140" i="62"/>
  <c r="R1062" i="62"/>
  <c r="R1034" i="62"/>
  <c r="R1009" i="62"/>
  <c r="R985" i="62"/>
  <c r="R961" i="62"/>
  <c r="R933" i="62"/>
  <c r="R905" i="62"/>
  <c r="R880" i="62"/>
  <c r="R853" i="62"/>
  <c r="R769" i="62"/>
  <c r="R739" i="62"/>
  <c r="R715" i="62"/>
  <c r="R689" i="62"/>
  <c r="R661" i="62"/>
  <c r="R633" i="62"/>
  <c r="R607" i="62"/>
  <c r="R583" i="62"/>
  <c r="R553" i="62"/>
  <c r="R527" i="62"/>
  <c r="R498" i="62"/>
  <c r="Q535" i="62"/>
  <c r="Q424" i="62"/>
  <c r="Q308" i="62"/>
  <c r="Q243" i="62"/>
  <c r="Q115" i="62"/>
  <c r="R1303" i="62"/>
  <c r="R1208" i="62"/>
  <c r="R1151" i="62"/>
  <c r="R1141" i="62"/>
  <c r="R1063" i="62"/>
  <c r="R1035" i="62"/>
  <c r="Q549" i="62"/>
  <c r="Q435" i="62"/>
  <c r="Q309" i="62"/>
  <c r="Q192" i="62"/>
  <c r="Q117" i="62"/>
  <c r="R1308" i="62"/>
  <c r="R1210" i="62"/>
  <c r="R1153" i="62"/>
  <c r="R1086" i="62"/>
  <c r="R1064" i="62"/>
  <c r="Q551" i="62"/>
  <c r="Q438" i="62"/>
  <c r="Q316" i="62"/>
  <c r="Q194" i="62"/>
  <c r="Q120" i="62"/>
  <c r="R1310" i="62"/>
  <c r="R1211" i="62"/>
  <c r="R1154" i="62"/>
  <c r="R1091" i="62"/>
  <c r="R1065" i="62"/>
  <c r="R1039" i="62"/>
  <c r="R1015" i="62"/>
  <c r="R992" i="62"/>
  <c r="R964" i="62"/>
  <c r="R938" i="62"/>
  <c r="R910" i="62"/>
  <c r="R828" i="62"/>
  <c r="R800" i="62"/>
  <c r="R772" i="62"/>
  <c r="R746" i="62"/>
  <c r="R720" i="62"/>
  <c r="R694" i="62"/>
  <c r="R664" i="62"/>
  <c r="R640" i="62"/>
  <c r="R614" i="62"/>
  <c r="R586" i="62"/>
  <c r="R558" i="62"/>
  <c r="R532" i="62"/>
  <c r="R504" i="62"/>
  <c r="R473" i="62"/>
  <c r="R441" i="62"/>
  <c r="Q556" i="62"/>
  <c r="Q441" i="62"/>
  <c r="Q325" i="62"/>
  <c r="Q198" i="62"/>
  <c r="Q126" i="62"/>
  <c r="R1315" i="62"/>
  <c r="R1212" i="62"/>
  <c r="R1155" i="62"/>
  <c r="R1092" i="62"/>
  <c r="R1066" i="62"/>
  <c r="R1040" i="62"/>
  <c r="R1016" i="62"/>
  <c r="Q511" i="62"/>
  <c r="Q392" i="62"/>
  <c r="Q327" i="62"/>
  <c r="Q211" i="62"/>
  <c r="R1345" i="62"/>
  <c r="R1262" i="62"/>
  <c r="R1214" i="62"/>
  <c r="R1156" i="62"/>
  <c r="R1093" i="62"/>
  <c r="R1067" i="62"/>
  <c r="R1045" i="62"/>
  <c r="R1018" i="62"/>
  <c r="R994" i="62"/>
  <c r="R966" i="62"/>
  <c r="R884" i="62"/>
  <c r="R857" i="62"/>
  <c r="R830" i="62"/>
  <c r="R802" i="62"/>
  <c r="R776" i="62"/>
  <c r="R751" i="62"/>
  <c r="R722" i="62"/>
  <c r="R696" i="62"/>
  <c r="R670" i="62"/>
  <c r="R643" i="62"/>
  <c r="R616" i="62"/>
  <c r="R588" i="62"/>
  <c r="R506" i="62"/>
  <c r="R477" i="62"/>
  <c r="R448" i="62"/>
  <c r="R475" i="62"/>
  <c r="R445" i="62"/>
  <c r="R414" i="62"/>
  <c r="Q516" i="62"/>
  <c r="Q395" i="62"/>
  <c r="Q278" i="62"/>
  <c r="Q212" i="62"/>
  <c r="R1348" i="62"/>
  <c r="R1264" i="62"/>
  <c r="R1222" i="62"/>
  <c r="R1159" i="62"/>
  <c r="R1094" i="62"/>
  <c r="R1068" i="62"/>
  <c r="R1046" i="62"/>
  <c r="R1022" i="62"/>
  <c r="R995" i="62"/>
  <c r="R969" i="62"/>
  <c r="R885" i="62"/>
  <c r="R860" i="62"/>
  <c r="R831" i="62"/>
  <c r="R804" i="62"/>
  <c r="R777" i="62"/>
  <c r="R753" i="62"/>
  <c r="R725" i="62"/>
  <c r="R697" i="62"/>
  <c r="R671" i="62"/>
  <c r="R645" i="62"/>
  <c r="R618" i="62"/>
  <c r="R589" i="62"/>
  <c r="R507" i="62"/>
  <c r="R479" i="62"/>
  <c r="R450" i="62"/>
  <c r="R476" i="62"/>
  <c r="R446" i="62"/>
  <c r="R416" i="62"/>
  <c r="R382" i="62"/>
  <c r="R348" i="62"/>
  <c r="R316" i="62"/>
  <c r="R284" i="62"/>
  <c r="R250" i="62"/>
  <c r="R216" i="62"/>
  <c r="R242" i="62"/>
  <c r="R210" i="62"/>
  <c r="R176" i="62"/>
  <c r="R142" i="62"/>
  <c r="R110" i="62"/>
  <c r="S1351" i="62"/>
  <c r="S1320" i="62"/>
  <c r="S1289" i="62"/>
  <c r="S1315" i="62"/>
  <c r="S1283" i="62"/>
  <c r="S1249" i="62"/>
  <c r="S1215" i="62"/>
  <c r="S1183" i="62"/>
  <c r="S1151" i="62"/>
  <c r="S1117" i="62"/>
  <c r="S1141" i="62"/>
  <c r="S1109" i="62"/>
  <c r="S1077" i="62"/>
  <c r="S1043" i="62"/>
  <c r="S1009" i="62"/>
  <c r="S977" i="62"/>
  <c r="S942" i="62"/>
  <c r="S964" i="62"/>
  <c r="S926" i="62"/>
  <c r="S888" i="62"/>
  <c r="S908" i="62"/>
  <c r="S870" i="62"/>
  <c r="S832" i="62"/>
  <c r="S852" i="62"/>
  <c r="S814" i="62"/>
  <c r="S776" i="62"/>
  <c r="S738" i="62"/>
  <c r="S758" i="62"/>
  <c r="S720" i="62"/>
  <c r="S682" i="62"/>
  <c r="S702" i="62"/>
  <c r="S664" i="62"/>
  <c r="S626" i="62"/>
  <c r="S646" i="62"/>
  <c r="S608" i="62"/>
  <c r="S570" i="62"/>
  <c r="S590" i="62"/>
  <c r="S552" i="62"/>
  <c r="S514" i="62"/>
  <c r="S534" i="62"/>
  <c r="S496" i="62"/>
  <c r="S458" i="62"/>
  <c r="Q525" i="62"/>
  <c r="Q401" i="62"/>
  <c r="Q281" i="62"/>
  <c r="Q158" i="62"/>
  <c r="R1355" i="62"/>
  <c r="R1268" i="62"/>
  <c r="R1223" i="62"/>
  <c r="R1160" i="62"/>
  <c r="R1096" i="62"/>
  <c r="R1069" i="62"/>
  <c r="R1047" i="62"/>
  <c r="R1023" i="62"/>
  <c r="R997" i="62"/>
  <c r="R912" i="62"/>
  <c r="R886" i="62"/>
  <c r="R862" i="62"/>
  <c r="R832" i="62"/>
  <c r="R806" i="62"/>
  <c r="R778" i="62"/>
  <c r="R754" i="62"/>
  <c r="R726" i="62"/>
  <c r="R698" i="62"/>
  <c r="R672" i="62"/>
  <c r="R646" i="62"/>
  <c r="R620" i="62"/>
  <c r="R590" i="62"/>
  <c r="R508" i="62"/>
  <c r="R481" i="62"/>
  <c r="R451" i="62"/>
  <c r="R419" i="62"/>
  <c r="R447" i="62"/>
  <c r="R417" i="62"/>
  <c r="R383" i="62"/>
  <c r="R349" i="62"/>
  <c r="R317" i="62"/>
  <c r="R285" i="62"/>
  <c r="R251" i="62"/>
  <c r="R217" i="62"/>
  <c r="R243" i="62"/>
  <c r="R211" i="62"/>
  <c r="R177" i="62"/>
  <c r="R143" i="62"/>
  <c r="R111" i="62"/>
  <c r="S1352" i="62"/>
  <c r="S1321" i="62"/>
  <c r="S1290" i="62"/>
  <c r="S1316" i="62"/>
  <c r="S1284" i="62"/>
  <c r="S1250" i="62"/>
  <c r="S1216" i="62"/>
  <c r="S1184" i="62"/>
  <c r="S1152" i="62"/>
  <c r="S1118" i="62"/>
  <c r="S1142" i="62"/>
  <c r="S1110" i="62"/>
  <c r="S1078" i="62"/>
  <c r="S1044" i="62"/>
  <c r="S1010" i="62"/>
  <c r="S978" i="62"/>
  <c r="S943" i="62"/>
  <c r="S965" i="62"/>
  <c r="S927" i="62"/>
  <c r="S889" i="62"/>
  <c r="S909" i="62"/>
  <c r="S871" i="62"/>
  <c r="S833" i="62"/>
  <c r="S853" i="62"/>
  <c r="S815" i="62"/>
  <c r="S777" i="62"/>
  <c r="S739" i="62"/>
  <c r="S759" i="62"/>
  <c r="S721" i="62"/>
  <c r="S683" i="62"/>
  <c r="S703" i="62"/>
  <c r="S665" i="62"/>
  <c r="S627" i="62"/>
  <c r="S647" i="62"/>
  <c r="S609" i="62"/>
  <c r="S571" i="62"/>
  <c r="S591" i="62"/>
  <c r="S553" i="62"/>
  <c r="S515" i="62"/>
  <c r="S477" i="62"/>
  <c r="S497" i="62"/>
  <c r="S459" i="62"/>
  <c r="S421" i="62"/>
  <c r="S441" i="62"/>
  <c r="S403" i="62"/>
  <c r="S365" i="62"/>
  <c r="S385" i="62"/>
  <c r="Q529" i="62"/>
  <c r="Q411" i="62"/>
  <c r="Q286" i="62"/>
  <c r="Q168" i="62"/>
  <c r="R1357" i="62"/>
  <c r="R1278" i="62"/>
  <c r="R1229" i="62"/>
  <c r="R1171" i="62"/>
  <c r="R1098" i="62"/>
  <c r="R1071" i="62"/>
  <c r="R1048" i="62"/>
  <c r="R1024" i="62"/>
  <c r="R998" i="62"/>
  <c r="R913" i="62"/>
  <c r="R887" i="62"/>
  <c r="R863" i="62"/>
  <c r="R833" i="62"/>
  <c r="R807" i="62"/>
  <c r="R781" i="62"/>
  <c r="R755" i="62"/>
  <c r="R727" i="62"/>
  <c r="R699" i="62"/>
  <c r="R674" i="62"/>
  <c r="R647" i="62"/>
  <c r="R621" i="62"/>
  <c r="R591" i="62"/>
  <c r="R509" i="62"/>
  <c r="R482" i="62"/>
  <c r="R452" i="62"/>
  <c r="R420" i="62"/>
  <c r="R390" i="62"/>
  <c r="R418" i="62"/>
  <c r="R384" i="62"/>
  <c r="R350" i="62"/>
  <c r="Q477" i="62"/>
  <c r="Q412" i="62"/>
  <c r="Q292" i="62"/>
  <c r="Q171" i="62"/>
  <c r="R1366" i="62"/>
  <c r="R1279" i="62"/>
  <c r="R1174" i="62"/>
  <c r="R1172" i="62"/>
  <c r="R1099" i="62"/>
  <c r="R1076" i="62"/>
  <c r="R1050" i="62"/>
  <c r="R1025" i="62"/>
  <c r="R941" i="62"/>
  <c r="R918" i="62"/>
  <c r="R889" i="62"/>
  <c r="R864" i="62"/>
  <c r="R834" i="62"/>
  <c r="R810" i="62"/>
  <c r="R783" i="62"/>
  <c r="R756" i="62"/>
  <c r="R728" i="62"/>
  <c r="R702" i="62"/>
  <c r="R677" i="62"/>
  <c r="R648" i="62"/>
  <c r="R564" i="62"/>
  <c r="R538" i="62"/>
  <c r="R511" i="62"/>
  <c r="R483" i="62"/>
  <c r="R453" i="62"/>
  <c r="R423" i="62"/>
  <c r="R392" i="62"/>
  <c r="R361" i="62"/>
  <c r="R385" i="62"/>
  <c r="R353" i="62"/>
  <c r="Q478" i="62"/>
  <c r="Q361" i="62"/>
  <c r="Q294" i="62"/>
  <c r="Q178" i="62"/>
  <c r="R1367" i="62"/>
  <c r="R1283" i="62"/>
  <c r="R1177" i="62"/>
  <c r="R1117" i="62"/>
  <c r="R1100" i="62"/>
  <c r="R1077" i="62"/>
  <c r="R1053" i="62"/>
  <c r="R1027" i="62"/>
  <c r="R942" i="62"/>
  <c r="R919" i="62"/>
  <c r="R893" i="62"/>
  <c r="R865" i="62"/>
  <c r="R837" i="62"/>
  <c r="R811" i="62"/>
  <c r="R786" i="62"/>
  <c r="R757" i="62"/>
  <c r="R730" i="62"/>
  <c r="R703" i="62"/>
  <c r="R679" i="62"/>
  <c r="R593" i="62"/>
  <c r="R565" i="62"/>
  <c r="R539" i="62"/>
  <c r="R513" i="62"/>
  <c r="R484" i="62"/>
  <c r="R454" i="62"/>
  <c r="R425" i="62"/>
  <c r="R395" i="62"/>
  <c r="R362" i="62"/>
  <c r="R386" i="62"/>
  <c r="R354" i="62"/>
  <c r="Q485" i="62"/>
  <c r="Q367" i="62"/>
  <c r="Q245" i="62"/>
  <c r="Q181" i="62"/>
  <c r="R1370" i="62"/>
  <c r="R1285" i="62"/>
  <c r="R1179" i="62"/>
  <c r="R1119" i="62"/>
  <c r="R1101" i="62"/>
  <c r="R1078" i="62"/>
  <c r="R1054" i="62"/>
  <c r="R971" i="62"/>
  <c r="R943" i="62"/>
  <c r="R920" i="62"/>
  <c r="R894" i="62"/>
  <c r="R866" i="62"/>
  <c r="R838" i="62"/>
  <c r="R812" i="62"/>
  <c r="R788" i="62"/>
  <c r="R758" i="62"/>
  <c r="R732" i="62"/>
  <c r="R704" i="62"/>
  <c r="R622" i="62"/>
  <c r="R594" i="62"/>
  <c r="R566" i="62"/>
  <c r="R540" i="62"/>
  <c r="R514" i="62"/>
  <c r="R486" i="62"/>
  <c r="R455" i="62"/>
  <c r="R426" i="62"/>
  <c r="R396" i="62"/>
  <c r="R363" i="62"/>
  <c r="R387" i="62"/>
  <c r="R355" i="62"/>
  <c r="Q496" i="62"/>
  <c r="Q372" i="62"/>
  <c r="Q253" i="62"/>
  <c r="Q129" i="62"/>
  <c r="R1321" i="62"/>
  <c r="R1287" i="62"/>
  <c r="R1183" i="62"/>
  <c r="R1121" i="62"/>
  <c r="R1102" i="62"/>
  <c r="R1080" i="62"/>
  <c r="R1055" i="62"/>
  <c r="R972" i="62"/>
  <c r="R944" i="62"/>
  <c r="R921" i="62"/>
  <c r="R895" i="62"/>
  <c r="R867" i="62"/>
  <c r="R839" i="62"/>
  <c r="R813" i="62"/>
  <c r="R789" i="62"/>
  <c r="R759" i="62"/>
  <c r="R733" i="62"/>
  <c r="R707" i="62"/>
  <c r="R623" i="62"/>
  <c r="R595" i="62"/>
  <c r="R567" i="62"/>
  <c r="R542" i="62"/>
  <c r="R515" i="62"/>
  <c r="R488" i="62"/>
  <c r="R456" i="62"/>
  <c r="R427" i="62"/>
  <c r="R397" i="62"/>
  <c r="R364" i="62"/>
  <c r="R388" i="62"/>
  <c r="R356" i="62"/>
  <c r="R324" i="62"/>
  <c r="R290" i="62"/>
  <c r="R256" i="62"/>
  <c r="R224" i="62"/>
  <c r="R192" i="62"/>
  <c r="R158" i="62"/>
  <c r="R182" i="62"/>
  <c r="R150" i="62"/>
  <c r="R118" i="62"/>
  <c r="S1357" i="62"/>
  <c r="S1326" i="62"/>
  <c r="S1297" i="62"/>
  <c r="S1265" i="62"/>
  <c r="S1231" i="62"/>
  <c r="S1255" i="62"/>
  <c r="S1223" i="62"/>
  <c r="S1191" i="62"/>
  <c r="S1157" i="62"/>
  <c r="S1123" i="62"/>
  <c r="S1091" i="62"/>
  <c r="S1059" i="62"/>
  <c r="S1083" i="62"/>
  <c r="S1049" i="62"/>
  <c r="S1017" i="62"/>
  <c r="S985" i="62"/>
  <c r="S949" i="62"/>
  <c r="S912" i="62"/>
  <c r="S932" i="62"/>
  <c r="S894" i="62"/>
  <c r="S856" i="62"/>
  <c r="S876" i="62"/>
  <c r="S838" i="62"/>
  <c r="S800" i="62"/>
  <c r="S820" i="62"/>
  <c r="S782" i="62"/>
  <c r="S744" i="62"/>
  <c r="S764" i="62"/>
  <c r="S726" i="62"/>
  <c r="S688" i="62"/>
  <c r="S708" i="62"/>
  <c r="S670" i="62"/>
  <c r="S632" i="62"/>
  <c r="S594" i="62"/>
  <c r="S614" i="62"/>
  <c r="S576" i="62"/>
  <c r="S538" i="62"/>
  <c r="S558" i="62"/>
  <c r="S520" i="62"/>
  <c r="S482" i="62"/>
  <c r="S502" i="62"/>
  <c r="S464" i="62"/>
  <c r="S426" i="62"/>
  <c r="S446" i="62"/>
  <c r="Q497" i="62"/>
  <c r="R963" i="62"/>
  <c r="R771" i="62"/>
  <c r="R639" i="62"/>
  <c r="R503" i="62"/>
  <c r="R365" i="62"/>
  <c r="R307" i="62"/>
  <c r="R279" i="62"/>
  <c r="R253" i="62"/>
  <c r="R229" i="62"/>
  <c r="R199" i="62"/>
  <c r="R173" i="62"/>
  <c r="R147" i="62"/>
  <c r="R121" i="62"/>
  <c r="S1366" i="62"/>
  <c r="S1341" i="62"/>
  <c r="S1261" i="62"/>
  <c r="S1234" i="62"/>
  <c r="S1208" i="62"/>
  <c r="S1178" i="62"/>
  <c r="S1154" i="62"/>
  <c r="S1128" i="62"/>
  <c r="S1100" i="62"/>
  <c r="S1072" i="62"/>
  <c r="S1046" i="62"/>
  <c r="S1022" i="62"/>
  <c r="S992" i="62"/>
  <c r="S961" i="62"/>
  <c r="S929" i="62"/>
  <c r="S897" i="62"/>
  <c r="S863" i="62"/>
  <c r="S829" i="62"/>
  <c r="S797" i="62"/>
  <c r="S823" i="62"/>
  <c r="S789" i="62"/>
  <c r="S755" i="62"/>
  <c r="S723" i="62"/>
  <c r="S691" i="62"/>
  <c r="S657" i="62"/>
  <c r="S623" i="62"/>
  <c r="S649" i="62"/>
  <c r="S617" i="62"/>
  <c r="S583" i="62"/>
  <c r="S549" i="62"/>
  <c r="S517" i="62"/>
  <c r="S485" i="62"/>
  <c r="S451" i="62"/>
  <c r="S475" i="62"/>
  <c r="S440" i="62"/>
  <c r="S406" i="62"/>
  <c r="S370" i="62"/>
  <c r="S335" i="62"/>
  <c r="S356" i="62"/>
  <c r="S318" i="62"/>
  <c r="S280" i="62"/>
  <c r="S300" i="62"/>
  <c r="S262" i="62"/>
  <c r="S224" i="62"/>
  <c r="S244" i="62"/>
  <c r="S206" i="62"/>
  <c r="S168" i="62"/>
  <c r="S130" i="62"/>
  <c r="S150" i="62"/>
  <c r="S112" i="62"/>
  <c r="T1347" i="62"/>
  <c r="T1367" i="62"/>
  <c r="T1332" i="62"/>
  <c r="T1297" i="62"/>
  <c r="T1317" i="62"/>
  <c r="T1279" i="62"/>
  <c r="T1241" i="62"/>
  <c r="T1203" i="62"/>
  <c r="T1223" i="62"/>
  <c r="T1185" i="62"/>
  <c r="T1147" i="62"/>
  <c r="T1167" i="62"/>
  <c r="T1129" i="62"/>
  <c r="T1091" i="62"/>
  <c r="T1111" i="62"/>
  <c r="T1073" i="62"/>
  <c r="T1035" i="62"/>
  <c r="T1055" i="62"/>
  <c r="T1017" i="62"/>
  <c r="T979" i="62"/>
  <c r="T941" i="62"/>
  <c r="T961" i="62"/>
  <c r="T923" i="62"/>
  <c r="T885" i="62"/>
  <c r="T905" i="62"/>
  <c r="T867" i="62"/>
  <c r="T829" i="62"/>
  <c r="T849" i="62"/>
  <c r="T811" i="62"/>
  <c r="T773" i="62"/>
  <c r="T793" i="62"/>
  <c r="T755" i="62"/>
  <c r="T717" i="62"/>
  <c r="T737" i="62"/>
  <c r="T699" i="62"/>
  <c r="T661" i="62"/>
  <c r="T623" i="62"/>
  <c r="T643" i="62"/>
  <c r="T605" i="62"/>
  <c r="T567" i="62"/>
  <c r="T587" i="62"/>
  <c r="T549" i="62"/>
  <c r="T511" i="62"/>
  <c r="T531" i="62"/>
  <c r="T493" i="62"/>
  <c r="T455" i="62"/>
  <c r="T475" i="62"/>
  <c r="T437" i="62"/>
  <c r="T399" i="62"/>
  <c r="T361" i="62"/>
  <c r="T381" i="62"/>
  <c r="T343" i="62"/>
  <c r="T305" i="62"/>
  <c r="T325" i="62"/>
  <c r="T287" i="62"/>
  <c r="T249" i="62"/>
  <c r="T269" i="62"/>
  <c r="T231" i="62"/>
  <c r="T193" i="62"/>
  <c r="T213" i="62"/>
  <c r="T175" i="62"/>
  <c r="T137" i="62"/>
  <c r="T157" i="62"/>
  <c r="T119" i="62"/>
  <c r="Q380" i="62"/>
  <c r="R965" i="62"/>
  <c r="R773" i="62"/>
  <c r="R641" i="62"/>
  <c r="R505" i="62"/>
  <c r="R373" i="62"/>
  <c r="R308" i="62"/>
  <c r="R280" i="62"/>
  <c r="R254" i="62"/>
  <c r="R230" i="62"/>
  <c r="R200" i="62"/>
  <c r="R174" i="62"/>
  <c r="R148" i="62"/>
  <c r="R122" i="62"/>
  <c r="S1367" i="62"/>
  <c r="S1342" i="62"/>
  <c r="S1263" i="62"/>
  <c r="S1235" i="62"/>
  <c r="S1209" i="62"/>
  <c r="S1179" i="62"/>
  <c r="S1155" i="62"/>
  <c r="S1129" i="62"/>
  <c r="S1101" i="62"/>
  <c r="S1073" i="62"/>
  <c r="S1047" i="62"/>
  <c r="S1023" i="62"/>
  <c r="S993" i="62"/>
  <c r="S962" i="62"/>
  <c r="S930" i="62"/>
  <c r="S898" i="62"/>
  <c r="S864" i="62"/>
  <c r="S830" i="62"/>
  <c r="S798" i="62"/>
  <c r="S824" i="62"/>
  <c r="S790" i="62"/>
  <c r="S756" i="62"/>
  <c r="S724" i="62"/>
  <c r="S692" i="62"/>
  <c r="S658" i="62"/>
  <c r="S624" i="62"/>
  <c r="S650" i="62"/>
  <c r="S618" i="62"/>
  <c r="S584" i="62"/>
  <c r="S550" i="62"/>
  <c r="S518" i="62"/>
  <c r="S486" i="62"/>
  <c r="S452" i="62"/>
  <c r="S476" i="62"/>
  <c r="S442" i="62"/>
  <c r="S407" i="62"/>
  <c r="S371" i="62"/>
  <c r="S336" i="62"/>
  <c r="S357" i="62"/>
  <c r="S319" i="62"/>
  <c r="S281" i="62"/>
  <c r="S301" i="62"/>
  <c r="S263" i="62"/>
  <c r="S225" i="62"/>
  <c r="S187" i="62"/>
  <c r="S207" i="62"/>
  <c r="S169" i="62"/>
  <c r="Q254" i="62"/>
  <c r="R923" i="62"/>
  <c r="R790" i="62"/>
  <c r="R596" i="62"/>
  <c r="R459" i="62"/>
  <c r="R374" i="62"/>
  <c r="R309" i="62"/>
  <c r="R282" i="62"/>
  <c r="R255" i="62"/>
  <c r="R231" i="62"/>
  <c r="R203" i="62"/>
  <c r="R175" i="62"/>
  <c r="R149" i="62"/>
  <c r="R123" i="62"/>
  <c r="S1369" i="62"/>
  <c r="S1343" i="62"/>
  <c r="S1264" i="62"/>
  <c r="S1238" i="62"/>
  <c r="S1210" i="62"/>
  <c r="S1182" i="62"/>
  <c r="S1156" i="62"/>
  <c r="S1131" i="62"/>
  <c r="S1102" i="62"/>
  <c r="S1075" i="62"/>
  <c r="S1048" i="62"/>
  <c r="S1024" i="62"/>
  <c r="S994" i="62"/>
  <c r="S963" i="62"/>
  <c r="S931" i="62"/>
  <c r="S899" i="62"/>
  <c r="S865" i="62"/>
  <c r="S831" i="62"/>
  <c r="S799" i="62"/>
  <c r="S767" i="62"/>
  <c r="S791" i="62"/>
  <c r="S757" i="62"/>
  <c r="S725" i="62"/>
  <c r="S693" i="62"/>
  <c r="S659" i="62"/>
  <c r="S625" i="62"/>
  <c r="S593" i="62"/>
  <c r="S619" i="62"/>
  <c r="S585" i="62"/>
  <c r="S551" i="62"/>
  <c r="S519" i="62"/>
  <c r="S487" i="62"/>
  <c r="S453" i="62"/>
  <c r="S419" i="62"/>
  <c r="S443" i="62"/>
  <c r="S408" i="62"/>
  <c r="S373" i="62"/>
  <c r="S337" i="62"/>
  <c r="S358" i="62"/>
  <c r="S320" i="62"/>
  <c r="S282" i="62"/>
  <c r="S302" i="62"/>
  <c r="S264" i="62"/>
  <c r="S226" i="62"/>
  <c r="S188" i="62"/>
  <c r="S208" i="62"/>
  <c r="S170" i="62"/>
  <c r="Q135" i="62"/>
  <c r="R934" i="62"/>
  <c r="R744" i="62"/>
  <c r="R609" i="62"/>
  <c r="R470" i="62"/>
  <c r="R376" i="62"/>
  <c r="R310" i="62"/>
  <c r="R286" i="62"/>
  <c r="R259" i="62"/>
  <c r="R232" i="62"/>
  <c r="R204" i="62"/>
  <c r="R178" i="62"/>
  <c r="R152" i="62"/>
  <c r="R124" i="62"/>
  <c r="S1371" i="62"/>
  <c r="S1291" i="62"/>
  <c r="S1266" i="62"/>
  <c r="S1239" i="62"/>
  <c r="S1211" i="62"/>
  <c r="S1185" i="62"/>
  <c r="S1158" i="62"/>
  <c r="S1133" i="62"/>
  <c r="S1103" i="62"/>
  <c r="S1079" i="62"/>
  <c r="S1052" i="62"/>
  <c r="S1025" i="62"/>
  <c r="S996" i="62"/>
  <c r="S966" i="62"/>
  <c r="S933" i="62"/>
  <c r="S900" i="62"/>
  <c r="S866" i="62"/>
  <c r="S834" i="62"/>
  <c r="S801" i="62"/>
  <c r="S768" i="62"/>
  <c r="S792" i="62"/>
  <c r="S760" i="62"/>
  <c r="S727" i="62"/>
  <c r="S694" i="62"/>
  <c r="S660" i="62"/>
  <c r="S628" i="62"/>
  <c r="S595" i="62"/>
  <c r="S620" i="62"/>
  <c r="S586" i="62"/>
  <c r="S554" i="62"/>
  <c r="S521" i="62"/>
  <c r="S488" i="62"/>
  <c r="S454" i="62"/>
  <c r="S420" i="62"/>
  <c r="S444" i="62"/>
  <c r="S409" i="62"/>
  <c r="S374" i="62"/>
  <c r="S338" i="62"/>
  <c r="S359" i="62"/>
  <c r="S321" i="62"/>
  <c r="S283" i="62"/>
  <c r="S245" i="62"/>
  <c r="S265" i="62"/>
  <c r="S227" i="62"/>
  <c r="S189" i="62"/>
  <c r="S209" i="62"/>
  <c r="S171" i="62"/>
  <c r="S133" i="62"/>
  <c r="S153" i="62"/>
  <c r="R1322" i="62"/>
  <c r="R936" i="62"/>
  <c r="R745" i="62"/>
  <c r="R613" i="62"/>
  <c r="R471" i="62"/>
  <c r="R378" i="62"/>
  <c r="R311" i="62"/>
  <c r="R287" i="62"/>
  <c r="R261" i="62"/>
  <c r="R233" i="62"/>
  <c r="R205" i="62"/>
  <c r="R179" i="62"/>
  <c r="R155" i="62"/>
  <c r="R125" i="62"/>
  <c r="S1372" i="62"/>
  <c r="S1294" i="62"/>
  <c r="S1268" i="62"/>
  <c r="S1240" i="62"/>
  <c r="S1212" i="62"/>
  <c r="S1187" i="62"/>
  <c r="S1160" i="62"/>
  <c r="S1134" i="62"/>
  <c r="S1104" i="62"/>
  <c r="S1080" i="62"/>
  <c r="S1054" i="62"/>
  <c r="S1026" i="62"/>
  <c r="S997" i="62"/>
  <c r="S967" i="62"/>
  <c r="S935" i="62"/>
  <c r="S901" i="62"/>
  <c r="S867" i="62"/>
  <c r="S835" i="62"/>
  <c r="S803" i="62"/>
  <c r="S769" i="62"/>
  <c r="S793" i="62"/>
  <c r="S761" i="62"/>
  <c r="S729" i="62"/>
  <c r="S695" i="62"/>
  <c r="S661" i="62"/>
  <c r="S629" i="62"/>
  <c r="S597" i="62"/>
  <c r="S621" i="62"/>
  <c r="S587" i="62"/>
  <c r="S555" i="62"/>
  <c r="S523" i="62"/>
  <c r="S489" i="62"/>
  <c r="S455" i="62"/>
  <c r="S422" i="62"/>
  <c r="S445" i="62"/>
  <c r="S411" i="62"/>
  <c r="S375" i="62"/>
  <c r="S339" i="62"/>
  <c r="S360" i="62"/>
  <c r="S322" i="62"/>
  <c r="S284" i="62"/>
  <c r="S246" i="62"/>
  <c r="S266" i="62"/>
  <c r="S228" i="62"/>
  <c r="S190" i="62"/>
  <c r="S210" i="62"/>
  <c r="S172" i="62"/>
  <c r="S134" i="62"/>
  <c r="R1235" i="62"/>
  <c r="R939" i="62"/>
  <c r="R748" i="62"/>
  <c r="R615" i="62"/>
  <c r="R472" i="62"/>
  <c r="R379" i="62"/>
  <c r="R312" i="62"/>
  <c r="R288" i="62"/>
  <c r="R262" i="62"/>
  <c r="R234" i="62"/>
  <c r="R206" i="62"/>
  <c r="R180" i="62"/>
  <c r="R156" i="62"/>
  <c r="R126" i="62"/>
  <c r="S1318" i="62"/>
  <c r="S1295" i="62"/>
  <c r="S1269" i="62"/>
  <c r="S1241" i="62"/>
  <c r="S1213" i="62"/>
  <c r="S1189" i="62"/>
  <c r="S1161" i="62"/>
  <c r="S1135" i="62"/>
  <c r="S1105" i="62"/>
  <c r="S1081" i="62"/>
  <c r="S1055" i="62"/>
  <c r="S1027" i="62"/>
  <c r="S998" i="62"/>
  <c r="S968" i="62"/>
  <c r="S936" i="62"/>
  <c r="S902" i="62"/>
  <c r="S868" i="62"/>
  <c r="S836" i="62"/>
  <c r="S804" i="62"/>
  <c r="S770" i="62"/>
  <c r="S794" i="62"/>
  <c r="S762" i="62"/>
  <c r="S730" i="62"/>
  <c r="S696" i="62"/>
  <c r="S662" i="62"/>
  <c r="S630" i="62"/>
  <c r="S598" i="62"/>
  <c r="S564" i="62"/>
  <c r="S588" i="62"/>
  <c r="S556" i="62"/>
  <c r="S524" i="62"/>
  <c r="S490" i="62"/>
  <c r="S456" i="62"/>
  <c r="S423" i="62"/>
  <c r="S447" i="62"/>
  <c r="S412" i="62"/>
  <c r="S376" i="62"/>
  <c r="S340" i="62"/>
  <c r="S303" i="62"/>
  <c r="S323" i="62"/>
  <c r="S285" i="62"/>
  <c r="S247" i="62"/>
  <c r="R1184" i="62"/>
  <c r="R896" i="62"/>
  <c r="R760" i="62"/>
  <c r="R570" i="62"/>
  <c r="R474" i="62"/>
  <c r="R380" i="62"/>
  <c r="R315" i="62"/>
  <c r="R289" i="62"/>
  <c r="R264" i="62"/>
  <c r="R235" i="62"/>
  <c r="R208" i="62"/>
  <c r="R181" i="62"/>
  <c r="R157" i="62"/>
  <c r="S1344" i="62"/>
  <c r="S1319" i="62"/>
  <c r="S1296" i="62"/>
  <c r="S1270" i="62"/>
  <c r="S1243" i="62"/>
  <c r="S1214" i="62"/>
  <c r="S1190" i="62"/>
  <c r="S1164" i="62"/>
  <c r="S1136" i="62"/>
  <c r="S1108" i="62"/>
  <c r="S1082" i="62"/>
  <c r="S999" i="62"/>
  <c r="S970" i="62"/>
  <c r="S941" i="62"/>
  <c r="S969" i="62"/>
  <c r="S937" i="62"/>
  <c r="S903" i="62"/>
  <c r="S869" i="62"/>
  <c r="S837" i="62"/>
  <c r="S805" i="62"/>
  <c r="S771" i="62"/>
  <c r="S795" i="62"/>
  <c r="S763" i="62"/>
  <c r="S731" i="62"/>
  <c r="S697" i="62"/>
  <c r="S663" i="62"/>
  <c r="S631" i="62"/>
  <c r="S599" i="62"/>
  <c r="S565" i="62"/>
  <c r="S589" i="62"/>
  <c r="S557" i="62"/>
  <c r="S525" i="62"/>
  <c r="S491" i="62"/>
  <c r="S457" i="62"/>
  <c r="S424" i="62"/>
  <c r="S391" i="62"/>
  <c r="S413" i="62"/>
  <c r="S377" i="62"/>
  <c r="S341" i="62"/>
  <c r="S304" i="62"/>
  <c r="S324" i="62"/>
  <c r="S286" i="62"/>
  <c r="S248" i="62"/>
  <c r="R1127" i="62"/>
  <c r="R908" i="62"/>
  <c r="R717" i="62"/>
  <c r="R584" i="62"/>
  <c r="R429" i="62"/>
  <c r="R381" i="62"/>
  <c r="R318" i="62"/>
  <c r="R291" i="62"/>
  <c r="R266" i="62"/>
  <c r="R236" i="62"/>
  <c r="R212" i="62"/>
  <c r="R185" i="62"/>
  <c r="R100" i="62"/>
  <c r="S1345" i="62"/>
  <c r="S1322" i="62"/>
  <c r="S1299" i="62"/>
  <c r="S1271" i="62"/>
  <c r="S1245" i="62"/>
  <c r="S1217" i="62"/>
  <c r="S1192" i="62"/>
  <c r="S1165" i="62"/>
  <c r="S1137" i="62"/>
  <c r="S1111" i="62"/>
  <c r="S1084" i="62"/>
  <c r="S1001" i="62"/>
  <c r="S971" i="62"/>
  <c r="S945" i="62"/>
  <c r="S913" i="62"/>
  <c r="S938" i="62"/>
  <c r="S904" i="62"/>
  <c r="S872" i="62"/>
  <c r="S839" i="62"/>
  <c r="S806" i="62"/>
  <c r="S772" i="62"/>
  <c r="S740" i="62"/>
  <c r="S765" i="62"/>
  <c r="S732" i="62"/>
  <c r="S698" i="62"/>
  <c r="S666" i="62"/>
  <c r="S633" i="62"/>
  <c r="S600" i="62"/>
  <c r="S566" i="62"/>
  <c r="S592" i="62"/>
  <c r="S559" i="62"/>
  <c r="S526" i="62"/>
  <c r="S492" i="62"/>
  <c r="S460" i="62"/>
  <c r="S425" i="62"/>
  <c r="S392" i="62"/>
  <c r="S414" i="62"/>
  <c r="S378" i="62"/>
  <c r="S342" i="62"/>
  <c r="S305" i="62"/>
  <c r="R1103" i="62"/>
  <c r="R909" i="62"/>
  <c r="R719" i="62"/>
  <c r="R585" i="62"/>
  <c r="R437" i="62"/>
  <c r="R333" i="62"/>
  <c r="R320" i="62"/>
  <c r="R293" i="62"/>
  <c r="R267" i="62"/>
  <c r="R237" i="62"/>
  <c r="R213" i="62"/>
  <c r="R129" i="62"/>
  <c r="R101" i="62"/>
  <c r="S1346" i="62"/>
  <c r="S1323" i="62"/>
  <c r="S1302" i="62"/>
  <c r="S1272" i="62"/>
  <c r="S1246" i="62"/>
  <c r="S1220" i="62"/>
  <c r="S1194" i="62"/>
  <c r="S1166" i="62"/>
  <c r="S1138" i="62"/>
  <c r="S1113" i="62"/>
  <c r="S1028" i="62"/>
  <c r="S1002" i="62"/>
  <c r="S972" i="62"/>
  <c r="S946" i="62"/>
  <c r="S915" i="62"/>
  <c r="S939" i="62"/>
  <c r="S905" i="62"/>
  <c r="S873" i="62"/>
  <c r="S841" i="62"/>
  <c r="S807" i="62"/>
  <c r="S773" i="62"/>
  <c r="S741" i="62"/>
  <c r="S709" i="62"/>
  <c r="S733" i="62"/>
  <c r="S699" i="62"/>
  <c r="S667" i="62"/>
  <c r="S635" i="62"/>
  <c r="S601" i="62"/>
  <c r="S567" i="62"/>
  <c r="S535" i="62"/>
  <c r="S561" i="62"/>
  <c r="S527" i="62"/>
  <c r="S493" i="62"/>
  <c r="S461" i="62"/>
  <c r="S427" i="62"/>
  <c r="S393" i="62"/>
  <c r="S415" i="62"/>
  <c r="S379" i="62"/>
  <c r="S343" i="62"/>
  <c r="S306" i="62"/>
  <c r="S326" i="62"/>
  <c r="S288" i="62"/>
  <c r="S250" i="62"/>
  <c r="R1083" i="62"/>
  <c r="R855" i="62"/>
  <c r="R721" i="62"/>
  <c r="R587" i="62"/>
  <c r="R438" i="62"/>
  <c r="R341" i="62"/>
  <c r="R322" i="62"/>
  <c r="R294" i="62"/>
  <c r="R268" i="62"/>
  <c r="R238" i="62"/>
  <c r="R214" i="62"/>
  <c r="R130" i="62"/>
  <c r="R102" i="62"/>
  <c r="S1347" i="62"/>
  <c r="S1324" i="62"/>
  <c r="S1303" i="62"/>
  <c r="S1273" i="62"/>
  <c r="S1247" i="62"/>
  <c r="S1221" i="62"/>
  <c r="S1195" i="62"/>
  <c r="S1167" i="62"/>
  <c r="S1139" i="62"/>
  <c r="S1057" i="62"/>
  <c r="S1029" i="62"/>
  <c r="S1003" i="62"/>
  <c r="S973" i="62"/>
  <c r="S947" i="62"/>
  <c r="S916" i="62"/>
  <c r="S940" i="62"/>
  <c r="S906" i="62"/>
  <c r="S874" i="62"/>
  <c r="S842" i="62"/>
  <c r="S808" i="62"/>
  <c r="S774" i="62"/>
  <c r="S742" i="62"/>
  <c r="S710" i="62"/>
  <c r="S734" i="62"/>
  <c r="S700" i="62"/>
  <c r="S668" i="62"/>
  <c r="S636" i="62"/>
  <c r="S602" i="62"/>
  <c r="S568" i="62"/>
  <c r="S536" i="62"/>
  <c r="S562" i="62"/>
  <c r="S528" i="62"/>
  <c r="S494" i="62"/>
  <c r="S462" i="62"/>
  <c r="S429" i="62"/>
  <c r="S394" i="62"/>
  <c r="S416" i="62"/>
  <c r="S380" i="62"/>
  <c r="S344" i="62"/>
  <c r="S307" i="62"/>
  <c r="S327" i="62"/>
  <c r="S289" i="62"/>
  <c r="S251" i="62"/>
  <c r="S271" i="62"/>
  <c r="S233" i="62"/>
  <c r="S195" i="62"/>
  <c r="S215" i="62"/>
  <c r="S177" i="62"/>
  <c r="S139" i="62"/>
  <c r="S101" i="62"/>
  <c r="S121" i="62"/>
  <c r="T1356" i="62"/>
  <c r="T1321" i="62"/>
  <c r="T1341" i="62"/>
  <c r="T1306" i="62"/>
  <c r="T1268" i="62"/>
  <c r="T1288" i="62"/>
  <c r="T1250" i="62"/>
  <c r="T1212" i="62"/>
  <c r="T1174" i="62"/>
  <c r="T1194" i="62"/>
  <c r="T1156" i="62"/>
  <c r="T1118" i="62"/>
  <c r="T1138" i="62"/>
  <c r="T1100" i="62"/>
  <c r="R1038" i="62"/>
  <c r="R868" i="62"/>
  <c r="R736" i="62"/>
  <c r="R545" i="62"/>
  <c r="R439" i="62"/>
  <c r="R342" i="62"/>
  <c r="R323" i="62"/>
  <c r="R297" i="62"/>
  <c r="R269" i="62"/>
  <c r="R241" i="62"/>
  <c r="R215" i="62"/>
  <c r="R132" i="62"/>
  <c r="R103" i="62"/>
  <c r="S1349" i="62"/>
  <c r="S1325" i="62"/>
  <c r="S1304" i="62"/>
  <c r="S1276" i="62"/>
  <c r="S1248" i="62"/>
  <c r="S1222" i="62"/>
  <c r="S1196" i="62"/>
  <c r="S1169" i="62"/>
  <c r="S1140" i="62"/>
  <c r="S1058" i="62"/>
  <c r="S1032" i="62"/>
  <c r="S1004" i="62"/>
  <c r="S976" i="62"/>
  <c r="S948" i="62"/>
  <c r="S917" i="62"/>
  <c r="S883" i="62"/>
  <c r="S907" i="62"/>
  <c r="S875" i="62"/>
  <c r="S843" i="62"/>
  <c r="S809" i="62"/>
  <c r="S775" i="62"/>
  <c r="S743" i="62"/>
  <c r="S711" i="62"/>
  <c r="S735" i="62"/>
  <c r="S701" i="62"/>
  <c r="S669" i="62"/>
  <c r="S637" i="62"/>
  <c r="S603" i="62"/>
  <c r="S569" i="62"/>
  <c r="S537" i="62"/>
  <c r="S563" i="62"/>
  <c r="S529" i="62"/>
  <c r="S495" i="62"/>
  <c r="S463" i="62"/>
  <c r="S430" i="62"/>
  <c r="S395" i="62"/>
  <c r="S417" i="62"/>
  <c r="S381" i="62"/>
  <c r="S345" i="62"/>
  <c r="S308" i="62"/>
  <c r="S328" i="62"/>
  <c r="R1056" i="62"/>
  <c r="R825" i="62"/>
  <c r="R690" i="62"/>
  <c r="R554" i="62"/>
  <c r="R440" i="62"/>
  <c r="R343" i="62"/>
  <c r="R325" i="62"/>
  <c r="R298" i="62"/>
  <c r="R270" i="62"/>
  <c r="R244" i="62"/>
  <c r="R159" i="62"/>
  <c r="R134" i="62"/>
  <c r="R104" i="62"/>
  <c r="S1353" i="62"/>
  <c r="S1329" i="62"/>
  <c r="S1305" i="62"/>
  <c r="S1277" i="62"/>
  <c r="S1251" i="62"/>
  <c r="S1225" i="62"/>
  <c r="S1197" i="62"/>
  <c r="S1171" i="62"/>
  <c r="S1143" i="62"/>
  <c r="S1060" i="62"/>
  <c r="S1033" i="62"/>
  <c r="S1005" i="62"/>
  <c r="S979" i="62"/>
  <c r="S950" i="62"/>
  <c r="S918" i="62"/>
  <c r="S884" i="62"/>
  <c r="S910" i="62"/>
  <c r="S877" i="62"/>
  <c r="S844" i="62"/>
  <c r="S810" i="62"/>
  <c r="S778" i="62"/>
  <c r="S745" i="62"/>
  <c r="S712" i="62"/>
  <c r="S736" i="62"/>
  <c r="S704" i="62"/>
  <c r="S671" i="62"/>
  <c r="S638" i="62"/>
  <c r="S604" i="62"/>
  <c r="S572" i="62"/>
  <c r="S539" i="62"/>
  <c r="S506" i="62"/>
  <c r="S530" i="62"/>
  <c r="S498" i="62"/>
  <c r="S465" i="62"/>
  <c r="S431" i="62"/>
  <c r="S396" i="62"/>
  <c r="S418" i="62"/>
  <c r="S382" i="62"/>
  <c r="S346" i="62"/>
  <c r="S309" i="62"/>
  <c r="S329" i="62"/>
  <c r="S291" i="62"/>
  <c r="S253" i="62"/>
  <c r="S273" i="62"/>
  <c r="S235" i="62"/>
  <c r="S197" i="62"/>
  <c r="S159" i="62"/>
  <c r="S179" i="62"/>
  <c r="S141" i="62"/>
  <c r="S103" i="62"/>
  <c r="S123" i="62"/>
  <c r="T1358" i="62"/>
  <c r="T1323" i="62"/>
  <c r="T1343" i="62"/>
  <c r="T1308" i="62"/>
  <c r="T1270" i="62"/>
  <c r="T1232" i="62"/>
  <c r="T1252" i="62"/>
  <c r="T1214" i="62"/>
  <c r="T1176" i="62"/>
  <c r="T1196" i="62"/>
  <c r="T1158" i="62"/>
  <c r="T1120" i="62"/>
  <c r="T1140" i="62"/>
  <c r="T1102" i="62"/>
  <c r="T1064" i="62"/>
  <c r="T1084" i="62"/>
  <c r="R1012" i="62"/>
  <c r="R827" i="62"/>
  <c r="R692" i="62"/>
  <c r="R557" i="62"/>
  <c r="R442" i="62"/>
  <c r="R344" i="62"/>
  <c r="R327" i="62"/>
  <c r="R299" i="62"/>
  <c r="R271" i="62"/>
  <c r="R188" i="62"/>
  <c r="R161" i="62"/>
  <c r="R135" i="62"/>
  <c r="R105" i="62"/>
  <c r="S1354" i="62"/>
  <c r="S1331" i="62"/>
  <c r="S1306" i="62"/>
  <c r="S1278" i="62"/>
  <c r="S1252" i="62"/>
  <c r="S1228" i="62"/>
  <c r="S1198" i="62"/>
  <c r="S1172" i="62"/>
  <c r="S1088" i="62"/>
  <c r="S1062" i="62"/>
  <c r="S1034" i="62"/>
  <c r="S1006" i="62"/>
  <c r="S981" i="62"/>
  <c r="S952" i="62"/>
  <c r="S919" i="62"/>
  <c r="S885" i="62"/>
  <c r="S911" i="62"/>
  <c r="S879" i="62"/>
  <c r="S845" i="62"/>
  <c r="S811" i="62"/>
  <c r="S779" i="62"/>
  <c r="S747" i="62"/>
  <c r="S713" i="62"/>
  <c r="S737" i="62"/>
  <c r="S705" i="62"/>
  <c r="S673" i="62"/>
  <c r="S639" i="62"/>
  <c r="S605" i="62"/>
  <c r="S573" i="62"/>
  <c r="S541" i="62"/>
  <c r="S507" i="62"/>
  <c r="S531" i="62"/>
  <c r="S499" i="62"/>
  <c r="S467" i="62"/>
  <c r="S432" i="62"/>
  <c r="S397" i="62"/>
  <c r="S361" i="62"/>
  <c r="S383" i="62"/>
  <c r="S347" i="62"/>
  <c r="S310" i="62"/>
  <c r="S330" i="62"/>
  <c r="S292" i="62"/>
  <c r="S254" i="62"/>
  <c r="S216" i="62"/>
  <c r="S236" i="62"/>
  <c r="S198" i="62"/>
  <c r="S160" i="62"/>
  <c r="S180" i="62"/>
  <c r="S142" i="62"/>
  <c r="S104" i="62"/>
  <c r="S124" i="62"/>
  <c r="T1359" i="62"/>
  <c r="T1324" i="62"/>
  <c r="T1289" i="62"/>
  <c r="T1309" i="62"/>
  <c r="T1271" i="62"/>
  <c r="T1233" i="62"/>
  <c r="T1253" i="62"/>
  <c r="T1215" i="62"/>
  <c r="T1177" i="62"/>
  <c r="T1197" i="62"/>
  <c r="T1159" i="62"/>
  <c r="T1121" i="62"/>
  <c r="T1141" i="62"/>
  <c r="T1103" i="62"/>
  <c r="T1065" i="62"/>
  <c r="T1085" i="62"/>
  <c r="T1047" i="62"/>
  <c r="T1009" i="62"/>
  <c r="T971" i="62"/>
  <c r="T991" i="62"/>
  <c r="T953" i="62"/>
  <c r="T915" i="62"/>
  <c r="T935" i="62"/>
  <c r="T897" i="62"/>
  <c r="T859" i="62"/>
  <c r="T879" i="62"/>
  <c r="T841" i="62"/>
  <c r="T803" i="62"/>
  <c r="T823" i="62"/>
  <c r="T785" i="62"/>
  <c r="T747" i="62"/>
  <c r="T709" i="62"/>
  <c r="T729" i="62"/>
  <c r="T691" i="62"/>
  <c r="T653" i="62"/>
  <c r="T673" i="62"/>
  <c r="T635" i="62"/>
  <c r="T597" i="62"/>
  <c r="T617" i="62"/>
  <c r="T579" i="62"/>
  <c r="T541" i="62"/>
  <c r="T561" i="62"/>
  <c r="T523" i="62"/>
  <c r="T485" i="62"/>
  <c r="T505" i="62"/>
  <c r="T467" i="62"/>
  <c r="T429" i="62"/>
  <c r="T391" i="62"/>
  <c r="T411" i="62"/>
  <c r="T373" i="62"/>
  <c r="T335" i="62"/>
  <c r="T355" i="62"/>
  <c r="T317" i="62"/>
  <c r="T279" i="62"/>
  <c r="T299" i="62"/>
  <c r="T261" i="62"/>
  <c r="T223" i="62"/>
  <c r="T243" i="62"/>
  <c r="T205" i="62"/>
  <c r="T167" i="62"/>
  <c r="T129" i="62"/>
  <c r="T149" i="62"/>
  <c r="T111" i="62"/>
  <c r="R1013" i="62"/>
  <c r="R829" i="62"/>
  <c r="R695" i="62"/>
  <c r="R559" i="62"/>
  <c r="R398" i="62"/>
  <c r="R345" i="62"/>
  <c r="R328" i="62"/>
  <c r="R300" i="62"/>
  <c r="R272" i="62"/>
  <c r="R190" i="62"/>
  <c r="R162" i="62"/>
  <c r="R136" i="62"/>
  <c r="R106" i="62"/>
  <c r="S1355" i="62"/>
  <c r="S1332" i="62"/>
  <c r="S1307" i="62"/>
  <c r="S1279" i="62"/>
  <c r="S1253" i="62"/>
  <c r="S1229" i="62"/>
  <c r="S1199" i="62"/>
  <c r="S1115" i="62"/>
  <c r="S1089" i="62"/>
  <c r="S1063" i="62"/>
  <c r="S1035" i="62"/>
  <c r="S1007" i="62"/>
  <c r="S983" i="62"/>
  <c r="S953" i="62"/>
  <c r="S920" i="62"/>
  <c r="S886" i="62"/>
  <c r="S854" i="62"/>
  <c r="S880" i="62"/>
  <c r="S846" i="62"/>
  <c r="S812" i="62"/>
  <c r="S780" i="62"/>
  <c r="S748" i="62"/>
  <c r="S714" i="62"/>
  <c r="S680" i="62"/>
  <c r="S706" i="62"/>
  <c r="S674" i="62"/>
  <c r="S640" i="62"/>
  <c r="S606" i="62"/>
  <c r="S574" i="62"/>
  <c r="S542" i="62"/>
  <c r="S508" i="62"/>
  <c r="S532" i="62"/>
  <c r="S500" i="62"/>
  <c r="S468" i="62"/>
  <c r="S433" i="62"/>
  <c r="S398" i="62"/>
  <c r="S362" i="62"/>
  <c r="S384" i="62"/>
  <c r="S348" i="62"/>
  <c r="S311" i="62"/>
  <c r="S331" i="62"/>
  <c r="S293" i="62"/>
  <c r="S255" i="62"/>
  <c r="S217" i="62"/>
  <c r="S237" i="62"/>
  <c r="S199" i="62"/>
  <c r="S161" i="62"/>
  <c r="S181" i="62"/>
  <c r="S143" i="62"/>
  <c r="S105" i="62"/>
  <c r="S125" i="62"/>
  <c r="T1360" i="62"/>
  <c r="T1325" i="62"/>
  <c r="T1290" i="62"/>
  <c r="T1310" i="62"/>
  <c r="T1272" i="62"/>
  <c r="T1234" i="62"/>
  <c r="T1254" i="62"/>
  <c r="T1216" i="62"/>
  <c r="T1178" i="62"/>
  <c r="T1198" i="62"/>
  <c r="T1160" i="62"/>
  <c r="T1122" i="62"/>
  <c r="T1142" i="62"/>
  <c r="T1104" i="62"/>
  <c r="T1066" i="62"/>
  <c r="T1028" i="62"/>
  <c r="T1048" i="62"/>
  <c r="T1010" i="62"/>
  <c r="T972" i="62"/>
  <c r="T992" i="62"/>
  <c r="T954" i="62"/>
  <c r="T916" i="62"/>
  <c r="T936" i="62"/>
  <c r="T898" i="62"/>
  <c r="T860" i="62"/>
  <c r="T880" i="62"/>
  <c r="T842" i="62"/>
  <c r="T804" i="62"/>
  <c r="T824" i="62"/>
  <c r="T786" i="62"/>
  <c r="T748" i="62"/>
  <c r="T710" i="62"/>
  <c r="T730" i="62"/>
  <c r="T692" i="62"/>
  <c r="T654" i="62"/>
  <c r="T674" i="62"/>
  <c r="T636" i="62"/>
  <c r="T598" i="62"/>
  <c r="T618" i="62"/>
  <c r="T580" i="62"/>
  <c r="T542" i="62"/>
  <c r="T562" i="62"/>
  <c r="T524" i="62"/>
  <c r="T486" i="62"/>
  <c r="T448" i="62"/>
  <c r="T468" i="62"/>
  <c r="T430" i="62"/>
  <c r="T392" i="62"/>
  <c r="T412" i="62"/>
  <c r="T374" i="62"/>
  <c r="T336" i="62"/>
  <c r="T356" i="62"/>
  <c r="T318" i="62"/>
  <c r="T280" i="62"/>
  <c r="T300" i="62"/>
  <c r="T262" i="62"/>
  <c r="T224" i="62"/>
  <c r="T244" i="62"/>
  <c r="T206" i="62"/>
  <c r="T168" i="62"/>
  <c r="T130" i="62"/>
  <c r="T150" i="62"/>
  <c r="T112" i="62"/>
  <c r="R973" i="62"/>
  <c r="R844" i="62"/>
  <c r="R651" i="62"/>
  <c r="R516" i="62"/>
  <c r="R404" i="62"/>
  <c r="R346" i="62"/>
  <c r="R329" i="62"/>
  <c r="R302" i="62"/>
  <c r="R273" i="62"/>
  <c r="R191" i="62"/>
  <c r="R165" i="62"/>
  <c r="R137" i="62"/>
  <c r="R109" i="62"/>
  <c r="S1356" i="62"/>
  <c r="S1334" i="62"/>
  <c r="S1308" i="62"/>
  <c r="S1281" i="62"/>
  <c r="S1254" i="62"/>
  <c r="S1230" i="62"/>
  <c r="S1144" i="62"/>
  <c r="S1116" i="62"/>
  <c r="S1090" i="62"/>
  <c r="S1064" i="62"/>
  <c r="S1037" i="62"/>
  <c r="S1008" i="62"/>
  <c r="S984" i="62"/>
  <c r="S954" i="62"/>
  <c r="S921" i="62"/>
  <c r="S887" i="62"/>
  <c r="S855" i="62"/>
  <c r="S881" i="62"/>
  <c r="S847" i="62"/>
  <c r="S813" i="62"/>
  <c r="S781" i="62"/>
  <c r="S749" i="62"/>
  <c r="S715" i="62"/>
  <c r="S681" i="62"/>
  <c r="S707" i="62"/>
  <c r="S675" i="62"/>
  <c r="S641" i="62"/>
  <c r="S607" i="62"/>
  <c r="S575" i="62"/>
  <c r="S543" i="62"/>
  <c r="S509" i="62"/>
  <c r="S533" i="62"/>
  <c r="S501" i="62"/>
  <c r="S469" i="62"/>
  <c r="S434" i="62"/>
  <c r="S399" i="62"/>
  <c r="S363" i="62"/>
  <c r="S386" i="62"/>
  <c r="S349" i="62"/>
  <c r="S312" i="62"/>
  <c r="S274" i="62"/>
  <c r="S294" i="62"/>
  <c r="S256" i="62"/>
  <c r="S218" i="62"/>
  <c r="S238" i="62"/>
  <c r="S200" i="62"/>
  <c r="S162" i="62"/>
  <c r="S182" i="62"/>
  <c r="S144" i="62"/>
  <c r="R987" i="62"/>
  <c r="R796" i="62"/>
  <c r="R662" i="62"/>
  <c r="R530" i="62"/>
  <c r="R405" i="62"/>
  <c r="R347" i="62"/>
  <c r="R330" i="62"/>
  <c r="R246" i="62"/>
  <c r="R218" i="62"/>
  <c r="R193" i="62"/>
  <c r="R166" i="62"/>
  <c r="R138" i="62"/>
  <c r="R112" i="62"/>
  <c r="S1358" i="62"/>
  <c r="S1336" i="62"/>
  <c r="S1309" i="62"/>
  <c r="S1285" i="62"/>
  <c r="S1258" i="62"/>
  <c r="S1173" i="62"/>
  <c r="S1145" i="62"/>
  <c r="S1119" i="62"/>
  <c r="S1093" i="62"/>
  <c r="S1065" i="62"/>
  <c r="S1039" i="62"/>
  <c r="S1011" i="62"/>
  <c r="S986" i="62"/>
  <c r="S955" i="62"/>
  <c r="S922" i="62"/>
  <c r="S890" i="62"/>
  <c r="S857" i="62"/>
  <c r="S882" i="62"/>
  <c r="S848" i="62"/>
  <c r="S816" i="62"/>
  <c r="S783" i="62"/>
  <c r="S750" i="62"/>
  <c r="S716" i="62"/>
  <c r="S684" i="62"/>
  <c r="S651" i="62"/>
  <c r="S676" i="62"/>
  <c r="S642" i="62"/>
  <c r="S610" i="62"/>
  <c r="S577" i="62"/>
  <c r="S544" i="62"/>
  <c r="S510" i="62"/>
  <c r="S478" i="62"/>
  <c r="S503" i="62"/>
  <c r="S470" i="62"/>
  <c r="S435" i="62"/>
  <c r="S400" i="62"/>
  <c r="S364" i="62"/>
  <c r="S387" i="62"/>
  <c r="S350" i="62"/>
  <c r="S313" i="62"/>
  <c r="S275" i="62"/>
  <c r="S295" i="62"/>
  <c r="S257" i="62"/>
  <c r="S219" i="62"/>
  <c r="S239" i="62"/>
  <c r="S201" i="62"/>
  <c r="S163" i="62"/>
  <c r="S183" i="62"/>
  <c r="S145" i="62"/>
  <c r="R990" i="62"/>
  <c r="R799" i="62"/>
  <c r="R663" i="62"/>
  <c r="R531" i="62"/>
  <c r="R408" i="62"/>
  <c r="R358" i="62"/>
  <c r="R331" i="62"/>
  <c r="R247" i="62"/>
  <c r="R221" i="62"/>
  <c r="R195" i="62"/>
  <c r="R167" i="62"/>
  <c r="R139" i="62"/>
  <c r="R114" i="62"/>
  <c r="S1360" i="62"/>
  <c r="S1337" i="62"/>
  <c r="S1310" i="62"/>
  <c r="S1286" i="62"/>
  <c r="S1202" i="62"/>
  <c r="S1174" i="62"/>
  <c r="S1146" i="62"/>
  <c r="S1120" i="62"/>
  <c r="S1096" i="62"/>
  <c r="S1066" i="62"/>
  <c r="S1040" i="62"/>
  <c r="S1014" i="62"/>
  <c r="S988" i="62"/>
  <c r="S956" i="62"/>
  <c r="S923" i="62"/>
  <c r="S891" i="62"/>
  <c r="S859" i="62"/>
  <c r="S825" i="62"/>
  <c r="S849" i="62"/>
  <c r="S817" i="62"/>
  <c r="S785" i="62"/>
  <c r="S751" i="62"/>
  <c r="S717" i="62"/>
  <c r="S685" i="62"/>
  <c r="S653" i="62"/>
  <c r="S677" i="62"/>
  <c r="S643" i="62"/>
  <c r="S611" i="62"/>
  <c r="S579" i="62"/>
  <c r="S545" i="62"/>
  <c r="S511" i="62"/>
  <c r="S479" i="62"/>
  <c r="S505" i="62"/>
  <c r="S471" i="62"/>
  <c r="S436" i="62"/>
  <c r="S401" i="62"/>
  <c r="S366" i="62"/>
  <c r="S388" i="62"/>
  <c r="S351" i="62"/>
  <c r="S314" i="62"/>
  <c r="S276" i="62"/>
  <c r="S296" i="62"/>
  <c r="S258" i="62"/>
  <c r="S220" i="62"/>
  <c r="S240" i="62"/>
  <c r="S202" i="62"/>
  <c r="S164" i="62"/>
  <c r="S184" i="62"/>
  <c r="S146" i="62"/>
  <c r="S108" i="62"/>
  <c r="S128" i="62"/>
  <c r="T1363" i="62"/>
  <c r="T1328" i="62"/>
  <c r="T1293" i="62"/>
  <c r="T1313" i="62"/>
  <c r="R993" i="62"/>
  <c r="R801" i="62"/>
  <c r="R665" i="62"/>
  <c r="R533" i="62"/>
  <c r="R409" i="62"/>
  <c r="R303" i="62"/>
  <c r="R274" i="62"/>
  <c r="R248" i="62"/>
  <c r="R222" i="62"/>
  <c r="R196" i="62"/>
  <c r="R168" i="62"/>
  <c r="R140" i="62"/>
  <c r="R116" i="62"/>
  <c r="S1361" i="62"/>
  <c r="S1338" i="62"/>
  <c r="S1311" i="62"/>
  <c r="S1287" i="62"/>
  <c r="S1203" i="62"/>
  <c r="S1175" i="62"/>
  <c r="S1147" i="62"/>
  <c r="S1121" i="62"/>
  <c r="S1097" i="62"/>
  <c r="S1067" i="62"/>
  <c r="S1041" i="62"/>
  <c r="S1015" i="62"/>
  <c r="S989" i="62"/>
  <c r="S958" i="62"/>
  <c r="S924" i="62"/>
  <c r="S892" i="62"/>
  <c r="S860" i="62"/>
  <c r="S826" i="62"/>
  <c r="S850" i="62"/>
  <c r="S818" i="62"/>
  <c r="S786" i="62"/>
  <c r="S752" i="62"/>
  <c r="S718" i="62"/>
  <c r="S686" i="62"/>
  <c r="S654" i="62"/>
  <c r="S678" i="62"/>
  <c r="S644" i="62"/>
  <c r="S612" i="62"/>
  <c r="S580" i="62"/>
  <c r="S546" i="62"/>
  <c r="S512" i="62"/>
  <c r="S480" i="62"/>
  <c r="S448" i="62"/>
  <c r="S472" i="62"/>
  <c r="S437" i="62"/>
  <c r="S402" i="62"/>
  <c r="S367" i="62"/>
  <c r="S389" i="62"/>
  <c r="S352" i="62"/>
  <c r="S315" i="62"/>
  <c r="S277" i="62"/>
  <c r="S297" i="62"/>
  <c r="S259" i="62"/>
  <c r="S221" i="62"/>
  <c r="S241" i="62"/>
  <c r="S203" i="62"/>
  <c r="S165" i="62"/>
  <c r="R949" i="62"/>
  <c r="R815" i="62"/>
  <c r="R624" i="62"/>
  <c r="R489" i="62"/>
  <c r="R410" i="62"/>
  <c r="R305" i="62"/>
  <c r="R277" i="62"/>
  <c r="R249" i="62"/>
  <c r="R223" i="62"/>
  <c r="R197" i="62"/>
  <c r="R170" i="62"/>
  <c r="R141" i="62"/>
  <c r="R117" i="62"/>
  <c r="S1364" i="62"/>
  <c r="S1339" i="62"/>
  <c r="S1314" i="62"/>
  <c r="S1288" i="62"/>
  <c r="S1205" i="62"/>
  <c r="S1176" i="62"/>
  <c r="S1149" i="62"/>
  <c r="S1122" i="62"/>
  <c r="S1098" i="62"/>
  <c r="S1070" i="62"/>
  <c r="S1042" i="62"/>
  <c r="S1016" i="62"/>
  <c r="S990" i="62"/>
  <c r="S959" i="62"/>
  <c r="S925" i="62"/>
  <c r="S893" i="62"/>
  <c r="S861" i="62"/>
  <c r="S827" i="62"/>
  <c r="S851" i="62"/>
  <c r="S819" i="62"/>
  <c r="S787" i="62"/>
  <c r="S753" i="62"/>
  <c r="S719" i="62"/>
  <c r="S687" i="62"/>
  <c r="S655" i="62"/>
  <c r="S679" i="62"/>
  <c r="S645" i="62"/>
  <c r="S613" i="62"/>
  <c r="S581" i="62"/>
  <c r="S547" i="62"/>
  <c r="S513" i="62"/>
  <c r="S481" i="62"/>
  <c r="S449" i="62"/>
  <c r="S473" i="62"/>
  <c r="S438" i="62"/>
  <c r="S404" i="62"/>
  <c r="S368" i="62"/>
  <c r="S332" i="62"/>
  <c r="S353" i="62"/>
  <c r="S316" i="62"/>
  <c r="S278" i="62"/>
  <c r="S298" i="62"/>
  <c r="S260" i="62"/>
  <c r="S222" i="62"/>
  <c r="S242" i="62"/>
  <c r="S204" i="62"/>
  <c r="S166" i="62"/>
  <c r="S186" i="62"/>
  <c r="S148" i="62"/>
  <c r="S110" i="62"/>
  <c r="T1345" i="62"/>
  <c r="T1365" i="62"/>
  <c r="T1330" i="62"/>
  <c r="T1295" i="62"/>
  <c r="T1315" i="62"/>
  <c r="T1277" i="62"/>
  <c r="T1239" i="62"/>
  <c r="T1259" i="62"/>
  <c r="T1221" i="62"/>
  <c r="T1183" i="62"/>
  <c r="T1145" i="62"/>
  <c r="T1165" i="62"/>
  <c r="T1127" i="62"/>
  <c r="T1089" i="62"/>
  <c r="T1109" i="62"/>
  <c r="T1071" i="62"/>
  <c r="T1033" i="62"/>
  <c r="T1053" i="62"/>
  <c r="T1015" i="62"/>
  <c r="T977" i="62"/>
  <c r="T997" i="62"/>
  <c r="T959" i="62"/>
  <c r="T921" i="62"/>
  <c r="T883" i="62"/>
  <c r="T903" i="62"/>
  <c r="T865" i="62"/>
  <c r="T827" i="62"/>
  <c r="T847" i="62"/>
  <c r="T809" i="62"/>
  <c r="T771" i="62"/>
  <c r="T791" i="62"/>
  <c r="T753" i="62"/>
  <c r="T715" i="62"/>
  <c r="T735" i="62"/>
  <c r="T697" i="62"/>
  <c r="T659" i="62"/>
  <c r="T679" i="62"/>
  <c r="T641" i="62"/>
  <c r="T603" i="62"/>
  <c r="T565" i="62"/>
  <c r="T585" i="62"/>
  <c r="T547" i="62"/>
  <c r="T509" i="62"/>
  <c r="T529" i="62"/>
  <c r="T491" i="62"/>
  <c r="T453" i="62"/>
  <c r="T473" i="62"/>
  <c r="T435" i="62"/>
  <c r="T397" i="62"/>
  <c r="T417" i="62"/>
  <c r="T379" i="62"/>
  <c r="T341" i="62"/>
  <c r="T303" i="62"/>
  <c r="T323" i="62"/>
  <c r="T285" i="62"/>
  <c r="T247" i="62"/>
  <c r="T267" i="62"/>
  <c r="T229" i="62"/>
  <c r="T191" i="62"/>
  <c r="T211" i="62"/>
  <c r="T173" i="62"/>
  <c r="T135" i="62"/>
  <c r="T155" i="62"/>
  <c r="T117" i="62"/>
  <c r="R962" i="62"/>
  <c r="S1126" i="62"/>
  <c r="S615" i="62"/>
  <c r="S261" i="62"/>
  <c r="S212" i="62"/>
  <c r="S149" i="62"/>
  <c r="S120" i="62"/>
  <c r="T1369" i="62"/>
  <c r="T1342" i="62"/>
  <c r="T1262" i="62"/>
  <c r="T1231" i="62"/>
  <c r="T1204" i="62"/>
  <c r="T1230" i="62"/>
  <c r="T1144" i="62"/>
  <c r="T1172" i="62"/>
  <c r="T1086" i="62"/>
  <c r="T1114" i="62"/>
  <c r="T1081" i="62"/>
  <c r="T1050" i="62"/>
  <c r="T1018" i="62"/>
  <c r="T984" i="62"/>
  <c r="T950" i="62"/>
  <c r="T918" i="62"/>
  <c r="T886" i="62"/>
  <c r="T910" i="62"/>
  <c r="T876" i="62"/>
  <c r="T844" i="62"/>
  <c r="T812" i="62"/>
  <c r="T778" i="62"/>
  <c r="T744" i="62"/>
  <c r="T712" i="62"/>
  <c r="T680" i="62"/>
  <c r="T704" i="62"/>
  <c r="T670" i="62"/>
  <c r="T638" i="62"/>
  <c r="T606" i="62"/>
  <c r="T572" i="62"/>
  <c r="T538" i="62"/>
  <c r="T506" i="62"/>
  <c r="T532" i="62"/>
  <c r="T498" i="62"/>
  <c r="T464" i="62"/>
  <c r="T432" i="62"/>
  <c r="T400" i="62"/>
  <c r="T366" i="62"/>
  <c r="T332" i="62"/>
  <c r="T358" i="62"/>
  <c r="T326" i="62"/>
  <c r="T292" i="62"/>
  <c r="T258" i="62"/>
  <c r="T226" i="62"/>
  <c r="T194" i="62"/>
  <c r="T160" i="62"/>
  <c r="T184" i="62"/>
  <c r="T152" i="62"/>
  <c r="T120" i="62"/>
  <c r="R770" i="62"/>
  <c r="S1099" i="62"/>
  <c r="S582" i="62"/>
  <c r="S267" i="62"/>
  <c r="S213" i="62"/>
  <c r="S151" i="62"/>
  <c r="S122" i="62"/>
  <c r="T1370" i="62"/>
  <c r="T1291" i="62"/>
  <c r="T1263" i="62"/>
  <c r="T1235" i="62"/>
  <c r="T1205" i="62"/>
  <c r="T1173" i="62"/>
  <c r="T1146" i="62"/>
  <c r="T1115" i="62"/>
  <c r="T1087" i="62"/>
  <c r="T1057" i="62"/>
  <c r="T1082" i="62"/>
  <c r="T1051" i="62"/>
  <c r="R638" i="62"/>
  <c r="S1071" i="62"/>
  <c r="S548" i="62"/>
  <c r="S268" i="62"/>
  <c r="S214" i="62"/>
  <c r="S152" i="62"/>
  <c r="S126" i="62"/>
  <c r="T1371" i="62"/>
  <c r="T1292" i="62"/>
  <c r="T1264" i="62"/>
  <c r="T1236" i="62"/>
  <c r="T1206" i="62"/>
  <c r="T1175" i="62"/>
  <c r="T1148" i="62"/>
  <c r="T1116" i="62"/>
  <c r="T1088" i="62"/>
  <c r="T1058" i="62"/>
  <c r="T1083" i="62"/>
  <c r="T1052" i="62"/>
  <c r="R501" i="62"/>
  <c r="S1045" i="62"/>
  <c r="S516" i="62"/>
  <c r="S269" i="62"/>
  <c r="S158" i="62"/>
  <c r="S154" i="62"/>
  <c r="R411" i="62"/>
  <c r="S1019" i="62"/>
  <c r="S483" i="62"/>
  <c r="S270" i="62"/>
  <c r="S167" i="62"/>
  <c r="S155" i="62"/>
  <c r="T1344" i="62"/>
  <c r="T1318" i="62"/>
  <c r="T1296" i="62"/>
  <c r="T1266" i="62"/>
  <c r="T1238" i="62"/>
  <c r="T1208" i="62"/>
  <c r="T1180" i="62"/>
  <c r="T1150" i="62"/>
  <c r="T1119" i="62"/>
  <c r="T1092" i="62"/>
  <c r="T1060" i="62"/>
  <c r="T1030" i="62"/>
  <c r="T1056" i="62"/>
  <c r="R306" i="62"/>
  <c r="S991" i="62"/>
  <c r="S450" i="62"/>
  <c r="S272" i="62"/>
  <c r="S173" i="62"/>
  <c r="S156" i="62"/>
  <c r="T1346" i="62"/>
  <c r="T1319" i="62"/>
  <c r="T1298" i="62"/>
  <c r="T1267" i="62"/>
  <c r="T1240" i="62"/>
  <c r="T1209" i="62"/>
  <c r="T1181" i="62"/>
  <c r="T1151" i="62"/>
  <c r="T1123" i="62"/>
  <c r="T1093" i="62"/>
  <c r="R278" i="62"/>
  <c r="S960" i="62"/>
  <c r="S474" i="62"/>
  <c r="S223" i="62"/>
  <c r="S174" i="62"/>
  <c r="S157" i="62"/>
  <c r="T1348" i="62"/>
  <c r="T1320" i="62"/>
  <c r="T1299" i="62"/>
  <c r="T1269" i="62"/>
  <c r="T1242" i="62"/>
  <c r="T1210" i="62"/>
  <c r="T1182" i="62"/>
  <c r="T1152" i="62"/>
  <c r="T1124" i="62"/>
  <c r="T1094" i="62"/>
  <c r="R252" i="62"/>
  <c r="R226" i="62"/>
  <c r="R198" i="62"/>
  <c r="S862" i="62"/>
  <c r="S369" i="62"/>
  <c r="S231" i="62"/>
  <c r="S178" i="62"/>
  <c r="S106" i="62"/>
  <c r="T1351" i="62"/>
  <c r="T1327" i="62"/>
  <c r="T1302" i="62"/>
  <c r="T1275" i="62"/>
  <c r="T1245" i="62"/>
  <c r="T1217" i="62"/>
  <c r="T1187" i="62"/>
  <c r="T1155" i="62"/>
  <c r="T1128" i="62"/>
  <c r="T1097" i="62"/>
  <c r="T1068" i="62"/>
  <c r="R172" i="62"/>
  <c r="R144" i="62"/>
  <c r="S796" i="62"/>
  <c r="S355" i="62"/>
  <c r="S234" i="62"/>
  <c r="S129" i="62"/>
  <c r="S109" i="62"/>
  <c r="T1353" i="62"/>
  <c r="T1331" i="62"/>
  <c r="T1304" i="62"/>
  <c r="T1278" i="62"/>
  <c r="T1247" i="62"/>
  <c r="T1219" i="62"/>
  <c r="T1189" i="62"/>
  <c r="T1161" i="62"/>
  <c r="T1131" i="62"/>
  <c r="T1099" i="62"/>
  <c r="T1070" i="62"/>
  <c r="T1039" i="62"/>
  <c r="R119" i="62"/>
  <c r="S821" i="62"/>
  <c r="S317" i="62"/>
  <c r="S243" i="62"/>
  <c r="S131" i="62"/>
  <c r="S111" i="62"/>
  <c r="T1354" i="62"/>
  <c r="T1333" i="62"/>
  <c r="T1305" i="62"/>
  <c r="T1280" i="62"/>
  <c r="T1248" i="62"/>
  <c r="T1220" i="62"/>
  <c r="T1190" i="62"/>
  <c r="T1162" i="62"/>
  <c r="T1132" i="62"/>
  <c r="T1101" i="62"/>
  <c r="T1072" i="62"/>
  <c r="T1040" i="62"/>
  <c r="T1006" i="62"/>
  <c r="T974" i="62"/>
  <c r="T942" i="62"/>
  <c r="T966" i="62"/>
  <c r="T932" i="62"/>
  <c r="T900" i="62"/>
  <c r="T868" i="62"/>
  <c r="T834" i="62"/>
  <c r="T800" i="62"/>
  <c r="T768" i="62"/>
  <c r="T794" i="62"/>
  <c r="T760" i="62"/>
  <c r="T726" i="62"/>
  <c r="T694" i="62"/>
  <c r="T662" i="62"/>
  <c r="T628" i="62"/>
  <c r="T594" i="62"/>
  <c r="T620" i="62"/>
  <c r="T588" i="62"/>
  <c r="T554" i="62"/>
  <c r="T520" i="62"/>
  <c r="T488" i="62"/>
  <c r="T456" i="62"/>
  <c r="T422" i="62"/>
  <c r="T446" i="62"/>
  <c r="T414" i="62"/>
  <c r="T382" i="62"/>
  <c r="T348" i="62"/>
  <c r="T314" i="62"/>
  <c r="T282" i="62"/>
  <c r="T250" i="62"/>
  <c r="T216" i="62"/>
  <c r="T240" i="62"/>
  <c r="T208" i="62"/>
  <c r="T176" i="62"/>
  <c r="T142" i="62"/>
  <c r="T108" i="62"/>
  <c r="S1365" i="62"/>
  <c r="S788" i="62"/>
  <c r="S325" i="62"/>
  <c r="S191" i="62"/>
  <c r="S132" i="62"/>
  <c r="S113" i="62"/>
  <c r="T1355" i="62"/>
  <c r="T1334" i="62"/>
  <c r="T1307" i="62"/>
  <c r="T1281" i="62"/>
  <c r="T1249" i="62"/>
  <c r="T1222" i="62"/>
  <c r="T1191" i="62"/>
  <c r="T1163" i="62"/>
  <c r="T1133" i="62"/>
  <c r="T1105" i="62"/>
  <c r="T1074" i="62"/>
  <c r="T1041" i="62"/>
  <c r="T1007" i="62"/>
  <c r="T975" i="62"/>
  <c r="T943" i="62"/>
  <c r="T967" i="62"/>
  <c r="T933" i="62"/>
  <c r="T901" i="62"/>
  <c r="T869" i="62"/>
  <c r="T835" i="62"/>
  <c r="T801" i="62"/>
  <c r="T769" i="62"/>
  <c r="T795" i="62"/>
  <c r="T761" i="62"/>
  <c r="T727" i="62"/>
  <c r="T695" i="62"/>
  <c r="T663" i="62"/>
  <c r="T629" i="62"/>
  <c r="T595" i="62"/>
  <c r="T621" i="62"/>
  <c r="T589" i="62"/>
  <c r="T555" i="62"/>
  <c r="T521" i="62"/>
  <c r="T489" i="62"/>
  <c r="T457" i="62"/>
  <c r="T423" i="62"/>
  <c r="T447" i="62"/>
  <c r="T415" i="62"/>
  <c r="T383" i="62"/>
  <c r="T349" i="62"/>
  <c r="T315" i="62"/>
  <c r="T283" i="62"/>
  <c r="T251" i="62"/>
  <c r="T217" i="62"/>
  <c r="T241" i="62"/>
  <c r="T209" i="62"/>
  <c r="T177" i="62"/>
  <c r="T143" i="62"/>
  <c r="T109" i="62"/>
  <c r="S1340" i="62"/>
  <c r="S754" i="62"/>
  <c r="S279" i="62"/>
  <c r="S192" i="62"/>
  <c r="S135" i="62"/>
  <c r="S114" i="62"/>
  <c r="T1357" i="62"/>
  <c r="T1335" i="62"/>
  <c r="T1311" i="62"/>
  <c r="T1282" i="62"/>
  <c r="T1251" i="62"/>
  <c r="T1224" i="62"/>
  <c r="T1192" i="62"/>
  <c r="T1164" i="62"/>
  <c r="T1134" i="62"/>
  <c r="T1106" i="62"/>
  <c r="T1075" i="62"/>
  <c r="T1042" i="62"/>
  <c r="T1008" i="62"/>
  <c r="S1317" i="62"/>
  <c r="S722" i="62"/>
  <c r="S287" i="62"/>
  <c r="S193" i="62"/>
  <c r="S136" i="62"/>
  <c r="S115" i="62"/>
  <c r="S1232" i="62"/>
  <c r="S689" i="62"/>
  <c r="S290" i="62"/>
  <c r="S194" i="62"/>
  <c r="S137" i="62"/>
  <c r="S116" i="62"/>
  <c r="T1362" i="62"/>
  <c r="T1337" i="62"/>
  <c r="T1314" i="62"/>
  <c r="T1284" i="62"/>
  <c r="T1256" i="62"/>
  <c r="T1226" i="62"/>
  <c r="T1195" i="62"/>
  <c r="T1168" i="62"/>
  <c r="T1136" i="62"/>
  <c r="T1108" i="62"/>
  <c r="T1077" i="62"/>
  <c r="T1044" i="62"/>
  <c r="S1207" i="62"/>
  <c r="S656" i="62"/>
  <c r="S299" i="62"/>
  <c r="S196" i="62"/>
  <c r="S138" i="62"/>
  <c r="S117" i="62"/>
  <c r="T1364" i="62"/>
  <c r="T1338" i="62"/>
  <c r="T1316" i="62"/>
  <c r="T1285" i="62"/>
  <c r="T1257" i="62"/>
  <c r="T1227" i="62"/>
  <c r="T1199" i="62"/>
  <c r="T1169" i="62"/>
  <c r="T1137" i="62"/>
  <c r="T1110" i="62"/>
  <c r="T1078" i="62"/>
  <c r="T1045" i="62"/>
  <c r="S1177" i="62"/>
  <c r="S622" i="62"/>
  <c r="S249" i="62"/>
  <c r="S205" i="62"/>
  <c r="S140" i="62"/>
  <c r="S118" i="62"/>
  <c r="T1366" i="62"/>
  <c r="T1339" i="62"/>
  <c r="T1260" i="62"/>
  <c r="T1286" i="62"/>
  <c r="T1258" i="62"/>
  <c r="T1228" i="62"/>
  <c r="T1200" i="62"/>
  <c r="T1170" i="62"/>
  <c r="T1139" i="62"/>
  <c r="T1112" i="62"/>
  <c r="T1079" i="62"/>
  <c r="T1046" i="62"/>
  <c r="T1014" i="62"/>
  <c r="T982" i="62"/>
  <c r="T948" i="62"/>
  <c r="T914" i="62"/>
  <c r="T940" i="62"/>
  <c r="T908" i="62"/>
  <c r="T874" i="62"/>
  <c r="T840" i="62"/>
  <c r="T808" i="62"/>
  <c r="T776" i="62"/>
  <c r="T742" i="62"/>
  <c r="T766" i="62"/>
  <c r="T734" i="62"/>
  <c r="T702" i="62"/>
  <c r="T668" i="62"/>
  <c r="T634" i="62"/>
  <c r="T602" i="62"/>
  <c r="T570" i="62"/>
  <c r="T536" i="62"/>
  <c r="T560" i="62"/>
  <c r="T528" i="62"/>
  <c r="T496" i="62"/>
  <c r="T462" i="62"/>
  <c r="T428" i="62"/>
  <c r="T396" i="62"/>
  <c r="T364" i="62"/>
  <c r="T388" i="62"/>
  <c r="T354" i="62"/>
  <c r="T322" i="62"/>
  <c r="T290" i="62"/>
  <c r="T256" i="62"/>
  <c r="T222" i="62"/>
  <c r="T190" i="62"/>
  <c r="T158" i="62"/>
  <c r="T182" i="62"/>
  <c r="T148" i="62"/>
  <c r="T116" i="62"/>
  <c r="S1153" i="62"/>
  <c r="S119" i="62"/>
  <c r="T1273" i="62"/>
  <c r="T1188" i="62"/>
  <c r="T1113" i="62"/>
  <c r="T1000" i="62"/>
  <c r="T973" i="62"/>
  <c r="T947" i="62"/>
  <c r="T922" i="62"/>
  <c r="T893" i="62"/>
  <c r="T866" i="62"/>
  <c r="T839" i="62"/>
  <c r="T815" i="62"/>
  <c r="T787" i="62"/>
  <c r="T759" i="62"/>
  <c r="T733" i="62"/>
  <c r="T707" i="62"/>
  <c r="T622" i="62"/>
  <c r="T593" i="62"/>
  <c r="T569" i="62"/>
  <c r="T543" i="62"/>
  <c r="T515" i="62"/>
  <c r="T487" i="62"/>
  <c r="T461" i="62"/>
  <c r="T436" i="62"/>
  <c r="T407" i="62"/>
  <c r="T380" i="62"/>
  <c r="T353" i="62"/>
  <c r="T329" i="62"/>
  <c r="T301" i="62"/>
  <c r="T273" i="62"/>
  <c r="T189" i="62"/>
  <c r="T163" i="62"/>
  <c r="T136" i="62"/>
  <c r="T107" i="62"/>
  <c r="S928" i="62"/>
  <c r="S895" i="62"/>
  <c r="S828" i="62"/>
  <c r="S648" i="62"/>
  <c r="S439" i="62"/>
  <c r="S405" i="62"/>
  <c r="S229" i="62"/>
  <c r="S232" i="62"/>
  <c r="S211" i="62"/>
  <c r="T1340" i="62"/>
  <c r="T1211" i="62"/>
  <c r="T1130" i="62"/>
  <c r="T1034" i="62"/>
  <c r="T1021" i="62"/>
  <c r="T993" i="62"/>
  <c r="T965" i="62"/>
  <c r="T939" i="62"/>
  <c r="T855" i="62"/>
  <c r="T828" i="62"/>
  <c r="T799" i="62"/>
  <c r="T775" i="62"/>
  <c r="T749" i="62"/>
  <c r="T721" i="62"/>
  <c r="T693" i="62"/>
  <c r="T667" i="62"/>
  <c r="T642" i="62"/>
  <c r="T613" i="62"/>
  <c r="T586" i="62"/>
  <c r="T559" i="62"/>
  <c r="T477" i="62"/>
  <c r="T449" i="62"/>
  <c r="T421" i="62"/>
  <c r="T395" i="62"/>
  <c r="T369" i="62"/>
  <c r="T342" i="62"/>
  <c r="T313" i="62"/>
  <c r="T289" i="62"/>
  <c r="T263" i="62"/>
  <c r="T235" i="62"/>
  <c r="T207" i="62"/>
  <c r="T181" i="62"/>
  <c r="T156" i="62"/>
  <c r="T127" i="62"/>
  <c r="S175" i="62"/>
  <c r="T1294" i="62"/>
  <c r="T1213" i="62"/>
  <c r="T1135" i="62"/>
  <c r="T1036" i="62"/>
  <c r="T1022" i="62"/>
  <c r="T994" i="62"/>
  <c r="T968" i="62"/>
  <c r="T884" i="62"/>
  <c r="T856" i="62"/>
  <c r="T830" i="62"/>
  <c r="T802" i="62"/>
  <c r="T777" i="62"/>
  <c r="T750" i="62"/>
  <c r="T722" i="62"/>
  <c r="T696" i="62"/>
  <c r="T669" i="62"/>
  <c r="T644" i="62"/>
  <c r="T614" i="62"/>
  <c r="T590" i="62"/>
  <c r="T563" i="62"/>
  <c r="T478" i="62"/>
  <c r="T450" i="62"/>
  <c r="T424" i="62"/>
  <c r="T398" i="62"/>
  <c r="T370" i="62"/>
  <c r="T344" i="62"/>
  <c r="T316" i="62"/>
  <c r="T291" i="62"/>
  <c r="T264" i="62"/>
  <c r="T236" i="62"/>
  <c r="T210" i="62"/>
  <c r="T183" i="62"/>
  <c r="T100" i="62"/>
  <c r="T128" i="62"/>
  <c r="S176" i="62"/>
  <c r="S185" i="62"/>
  <c r="S147" i="62"/>
  <c r="S100" i="62"/>
  <c r="S102" i="62"/>
  <c r="T1261" i="62"/>
  <c r="T1184" i="62"/>
  <c r="T1098" i="62"/>
  <c r="T1054" i="62"/>
  <c r="T1027" i="62"/>
  <c r="T945" i="62"/>
  <c r="T919" i="62"/>
  <c r="T891" i="62"/>
  <c r="T863" i="62"/>
  <c r="T837" i="62"/>
  <c r="T813" i="62"/>
  <c r="T783" i="62"/>
  <c r="T757" i="62"/>
  <c r="T731" i="62"/>
  <c r="T705" i="62"/>
  <c r="T677" i="62"/>
  <c r="T649" i="62"/>
  <c r="T566" i="62"/>
  <c r="T539" i="62"/>
  <c r="T513" i="62"/>
  <c r="T483" i="62"/>
  <c r="T459" i="62"/>
  <c r="T433" i="62"/>
  <c r="T405" i="62"/>
  <c r="T377" i="62"/>
  <c r="T351" i="62"/>
  <c r="T327" i="62"/>
  <c r="T297" i="62"/>
  <c r="T271" i="62"/>
  <c r="T187" i="62"/>
  <c r="T161" i="62"/>
  <c r="T133" i="62"/>
  <c r="T105" i="62"/>
  <c r="S333" i="62"/>
  <c r="T1274" i="62"/>
  <c r="T1154" i="62"/>
  <c r="T1029" i="62"/>
  <c r="T1024" i="62"/>
  <c r="T949" i="62"/>
  <c r="T928" i="62"/>
  <c r="T909" i="62"/>
  <c r="T832" i="62"/>
  <c r="T816" i="62"/>
  <c r="T738" i="62"/>
  <c r="T718" i="62"/>
  <c r="T700" i="62"/>
  <c r="T624" i="62"/>
  <c r="T604" i="62"/>
  <c r="T582" i="62"/>
  <c r="T508" i="62"/>
  <c r="T490" i="62"/>
  <c r="T470" i="62"/>
  <c r="T390" i="62"/>
  <c r="T372" i="62"/>
  <c r="T357" i="62"/>
  <c r="T276" i="62"/>
  <c r="T257" i="62"/>
  <c r="T238" i="62"/>
  <c r="T164" i="62"/>
  <c r="T144" i="62"/>
  <c r="T124" i="62"/>
  <c r="S252" i="62"/>
  <c r="T1276" i="62"/>
  <c r="T1157" i="62"/>
  <c r="T1031" i="62"/>
  <c r="T1025" i="62"/>
  <c r="T951" i="62"/>
  <c r="T929" i="62"/>
  <c r="T911" i="62"/>
  <c r="T833" i="62"/>
  <c r="T817" i="62"/>
  <c r="T739" i="62"/>
  <c r="T719" i="62"/>
  <c r="T701" i="62"/>
  <c r="T625" i="62"/>
  <c r="T607" i="62"/>
  <c r="T583" i="62"/>
  <c r="T510" i="62"/>
  <c r="T492" i="62"/>
  <c r="T471" i="62"/>
  <c r="T393" i="62"/>
  <c r="T375" i="62"/>
  <c r="T359" i="62"/>
  <c r="T277" i="62"/>
  <c r="T259" i="62"/>
  <c r="T239" i="62"/>
  <c r="T165" i="62"/>
  <c r="T145" i="62"/>
  <c r="T125" i="62"/>
  <c r="S230" i="62"/>
  <c r="T1283" i="62"/>
  <c r="T1166" i="62"/>
  <c r="T1032" i="62"/>
  <c r="T1026" i="62"/>
  <c r="T952" i="62"/>
  <c r="T930" i="62"/>
  <c r="T854" i="62"/>
  <c r="T836" i="62"/>
  <c r="T818" i="62"/>
  <c r="T740" i="62"/>
  <c r="T720" i="62"/>
  <c r="T703" i="62"/>
  <c r="T626" i="62"/>
  <c r="T608" i="62"/>
  <c r="T584" i="62"/>
  <c r="T512" i="62"/>
  <c r="T494" i="62"/>
  <c r="T472" i="62"/>
  <c r="T394" i="62"/>
  <c r="T376" i="62"/>
  <c r="T360" i="62"/>
  <c r="T278" i="62"/>
  <c r="T260" i="62"/>
  <c r="T242" i="62"/>
  <c r="T166" i="62"/>
  <c r="T146" i="62"/>
  <c r="T126" i="62"/>
  <c r="S107" i="62"/>
  <c r="T1287" i="62"/>
  <c r="T1171" i="62"/>
  <c r="T1037" i="62"/>
  <c r="T970" i="62"/>
  <c r="T955" i="62"/>
  <c r="T931" i="62"/>
  <c r="T857" i="62"/>
  <c r="T838" i="62"/>
  <c r="T819" i="62"/>
  <c r="T741" i="62"/>
  <c r="T723" i="62"/>
  <c r="T706" i="62"/>
  <c r="T627" i="62"/>
  <c r="T609" i="62"/>
  <c r="T591" i="62"/>
  <c r="T514" i="62"/>
  <c r="T495" i="62"/>
  <c r="T474" i="62"/>
  <c r="T401" i="62"/>
  <c r="T378" i="62"/>
  <c r="S127" i="62"/>
  <c r="T1237" i="62"/>
  <c r="T1117" i="62"/>
  <c r="T1038" i="62"/>
  <c r="T976" i="62"/>
  <c r="T956" i="62"/>
  <c r="T934" i="62"/>
  <c r="T858" i="62"/>
  <c r="T843" i="62"/>
  <c r="T820" i="62"/>
  <c r="T743" i="62"/>
  <c r="T724" i="62"/>
  <c r="T708" i="62"/>
  <c r="T630" i="62"/>
  <c r="T610" i="62"/>
  <c r="T592" i="62"/>
  <c r="T516" i="62"/>
  <c r="T497" i="62"/>
  <c r="T476" i="62"/>
  <c r="T402" i="62"/>
  <c r="T384" i="62"/>
  <c r="T1349" i="62"/>
  <c r="T1243" i="62"/>
  <c r="T1125" i="62"/>
  <c r="T1043" i="62"/>
  <c r="T978" i="62"/>
  <c r="T957" i="62"/>
  <c r="T937" i="62"/>
  <c r="T861" i="62"/>
  <c r="T845" i="62"/>
  <c r="T821" i="62"/>
  <c r="T745" i="62"/>
  <c r="T725" i="62"/>
  <c r="T651" i="62"/>
  <c r="T631" i="62"/>
  <c r="T611" i="62"/>
  <c r="T535" i="62"/>
  <c r="T517" i="62"/>
  <c r="T1350" i="62"/>
  <c r="T1244" i="62"/>
  <c r="T1126" i="62"/>
  <c r="T1049" i="62"/>
  <c r="T980" i="62"/>
  <c r="T958" i="62"/>
  <c r="T938" i="62"/>
  <c r="T862" i="62"/>
  <c r="T846" i="62"/>
  <c r="T822" i="62"/>
  <c r="T746" i="62"/>
  <c r="T728" i="62"/>
  <c r="T652" i="62"/>
  <c r="T632" i="62"/>
  <c r="T612" i="62"/>
  <c r="T537" i="62"/>
  <c r="T518" i="62"/>
  <c r="T1352" i="62"/>
  <c r="T1361" i="62"/>
  <c r="T1368" i="62"/>
  <c r="T1202" i="62"/>
  <c r="T1095" i="62"/>
  <c r="T1002" i="62"/>
  <c r="T985" i="62"/>
  <c r="T963" i="62"/>
  <c r="T889" i="62"/>
  <c r="T871" i="62"/>
  <c r="T851" i="62"/>
  <c r="T772" i="62"/>
  <c r="T754" i="62"/>
  <c r="T681" i="62"/>
  <c r="T657" i="62"/>
  <c r="T639" i="62"/>
  <c r="T619" i="62"/>
  <c r="T545" i="62"/>
  <c r="T525" i="62"/>
  <c r="T503" i="62"/>
  <c r="T1372" i="62"/>
  <c r="T1322" i="62"/>
  <c r="T1218" i="62"/>
  <c r="T1107" i="62"/>
  <c r="T1004" i="62"/>
  <c r="T987" i="62"/>
  <c r="T969" i="62"/>
  <c r="T892" i="62"/>
  <c r="T873" i="62"/>
  <c r="T853" i="62"/>
  <c r="T779" i="62"/>
  <c r="T758" i="62"/>
  <c r="T683" i="62"/>
  <c r="T660" i="62"/>
  <c r="T645" i="62"/>
  <c r="T568" i="62"/>
  <c r="T548" i="62"/>
  <c r="T527" i="62"/>
  <c r="T451" i="62"/>
  <c r="T434" i="62"/>
  <c r="T1326" i="62"/>
  <c r="T1225" i="62"/>
  <c r="T1059" i="62"/>
  <c r="T1005" i="62"/>
  <c r="T988" i="62"/>
  <c r="T912" i="62"/>
  <c r="T894" i="62"/>
  <c r="T875" i="62"/>
  <c r="T796" i="62"/>
  <c r="T780" i="62"/>
  <c r="T762" i="62"/>
  <c r="T684" i="62"/>
  <c r="T664" i="62"/>
  <c r="T646" i="62"/>
  <c r="T571" i="62"/>
  <c r="T550" i="62"/>
  <c r="T530" i="62"/>
  <c r="T452" i="62"/>
  <c r="T438" i="62"/>
  <c r="T416" i="62"/>
  <c r="T338" i="62"/>
  <c r="T320" i="62"/>
  <c r="T302" i="62"/>
  <c r="T225" i="62"/>
  <c r="T202" i="62"/>
  <c r="T186" i="62"/>
  <c r="T110" i="62"/>
  <c r="T1329" i="62"/>
  <c r="T1229" i="62"/>
  <c r="T1061" i="62"/>
  <c r="T1011" i="62"/>
  <c r="T989" i="62"/>
  <c r="T913" i="62"/>
  <c r="T895" i="62"/>
  <c r="T877" i="62"/>
  <c r="T797" i="62"/>
  <c r="T781" i="62"/>
  <c r="T763" i="62"/>
  <c r="T685" i="62"/>
  <c r="T665" i="62"/>
  <c r="T647" i="62"/>
  <c r="T573" i="62"/>
  <c r="T551" i="62"/>
  <c r="T533" i="62"/>
  <c r="T454" i="62"/>
  <c r="T439" i="62"/>
  <c r="T418" i="62"/>
  <c r="T339" i="62"/>
  <c r="T321" i="62"/>
  <c r="T245" i="62"/>
  <c r="T227" i="62"/>
  <c r="T203" i="62"/>
  <c r="T131" i="62"/>
  <c r="T113" i="62"/>
  <c r="T1336" i="62"/>
  <c r="T1179" i="62"/>
  <c r="T1062" i="62"/>
  <c r="T1012" i="62"/>
  <c r="T990" i="62"/>
  <c r="T917" i="62"/>
  <c r="T896" i="62"/>
  <c r="T878" i="62"/>
  <c r="T798" i="62"/>
  <c r="T782" i="62"/>
  <c r="T764" i="62"/>
  <c r="T686" i="62"/>
  <c r="T666" i="62"/>
  <c r="T648" i="62"/>
  <c r="T574" i="62"/>
  <c r="T552" i="62"/>
  <c r="T534" i="62"/>
  <c r="T458" i="62"/>
  <c r="T440" i="62"/>
  <c r="T362" i="62"/>
  <c r="T340" i="62"/>
  <c r="T1300" i="62"/>
  <c r="T1186" i="62"/>
  <c r="T1063" i="62"/>
  <c r="T1013" i="62"/>
  <c r="T995" i="62"/>
  <c r="T920" i="62"/>
  <c r="T899" i="62"/>
  <c r="T881" i="62"/>
  <c r="T805" i="62"/>
  <c r="T784" i="62"/>
  <c r="T765" i="62"/>
  <c r="T687" i="62"/>
  <c r="T671" i="62"/>
  <c r="T650" i="62"/>
  <c r="T575" i="62"/>
  <c r="T553" i="62"/>
  <c r="T479" i="62"/>
  <c r="T460" i="62"/>
  <c r="T441" i="62"/>
  <c r="T363" i="62"/>
  <c r="T345" i="62"/>
  <c r="T1301" i="62"/>
  <c r="T1193" i="62"/>
  <c r="T1067" i="62"/>
  <c r="T1016" i="62"/>
  <c r="T996" i="62"/>
  <c r="T924" i="62"/>
  <c r="T902" i="62"/>
  <c r="T882" i="62"/>
  <c r="T806" i="62"/>
  <c r="T788" i="62"/>
  <c r="T711" i="62"/>
  <c r="T688" i="62"/>
  <c r="T672" i="62"/>
  <c r="T596" i="62"/>
  <c r="T576" i="62"/>
  <c r="T556" i="62"/>
  <c r="T480" i="62"/>
  <c r="T463" i="62"/>
  <c r="T442" i="62"/>
  <c r="T365" i="62"/>
  <c r="T346" i="62"/>
  <c r="T330" i="62"/>
  <c r="T252" i="62"/>
  <c r="T232" i="62"/>
  <c r="T214" i="62"/>
  <c r="T138" i="62"/>
  <c r="T118" i="62"/>
  <c r="T1303" i="62"/>
  <c r="T1201" i="62"/>
  <c r="T1069" i="62"/>
  <c r="T1019" i="62"/>
  <c r="T998" i="62"/>
  <c r="T925" i="62"/>
  <c r="T904" i="62"/>
  <c r="T825" i="62"/>
  <c r="T807" i="62"/>
  <c r="T789" i="62"/>
  <c r="T713" i="62"/>
  <c r="T689" i="62"/>
  <c r="T675" i="62"/>
  <c r="T599" i="62"/>
  <c r="T577" i="62"/>
  <c r="T557" i="62"/>
  <c r="T481" i="62"/>
  <c r="T465" i="62"/>
  <c r="T443" i="62"/>
  <c r="T367" i="62"/>
  <c r="T347" i="62"/>
  <c r="T331" i="62"/>
  <c r="T253" i="62"/>
  <c r="T233" i="62"/>
  <c r="T215" i="62"/>
  <c r="T139" i="62"/>
  <c r="T121" i="62"/>
  <c r="T1312" i="62"/>
  <c r="T1149" i="62"/>
  <c r="T1076" i="62"/>
  <c r="T1020" i="62"/>
  <c r="T944" i="62"/>
  <c r="T926" i="62"/>
  <c r="T906" i="62"/>
  <c r="T826" i="62"/>
  <c r="T810" i="62"/>
  <c r="T790" i="62"/>
  <c r="T714" i="62"/>
  <c r="T690" i="62"/>
  <c r="T676" i="62"/>
  <c r="T600" i="62"/>
  <c r="T578" i="62"/>
  <c r="T558" i="62"/>
  <c r="T482" i="62"/>
  <c r="T466" i="62"/>
  <c r="T444" i="62"/>
  <c r="T368" i="62"/>
  <c r="T350" i="62"/>
  <c r="T274" i="62"/>
  <c r="T254" i="62"/>
  <c r="T234" i="62"/>
  <c r="T159" i="62"/>
  <c r="T140" i="62"/>
  <c r="T122" i="62"/>
  <c r="T1265" i="62"/>
  <c r="T927" i="62"/>
  <c r="T716" i="62"/>
  <c r="T507" i="62"/>
  <c r="T406" i="62"/>
  <c r="T311" i="62"/>
  <c r="T268" i="62"/>
  <c r="T212" i="62"/>
  <c r="T103" i="62"/>
  <c r="T1246" i="62"/>
  <c r="T887" i="62"/>
  <c r="T732" i="62"/>
  <c r="T519" i="62"/>
  <c r="T408" i="62"/>
  <c r="T312" i="62"/>
  <c r="T270" i="62"/>
  <c r="T162" i="62"/>
  <c r="T104" i="62"/>
  <c r="T1255" i="62"/>
  <c r="T888" i="62"/>
  <c r="T736" i="62"/>
  <c r="T522" i="62"/>
  <c r="T409" i="62"/>
  <c r="T319" i="62"/>
  <c r="T272" i="62"/>
  <c r="T169" i="62"/>
  <c r="T106" i="62"/>
  <c r="T1207" i="62"/>
  <c r="T890" i="62"/>
  <c r="T682" i="62"/>
  <c r="T526" i="62"/>
  <c r="T410" i="62"/>
  <c r="T324" i="62"/>
  <c r="T218" i="62"/>
  <c r="T170" i="62"/>
  <c r="T114" i="62"/>
  <c r="T1153" i="62"/>
  <c r="T907" i="62"/>
  <c r="T698" i="62"/>
  <c r="T484" i="62"/>
  <c r="T413" i="62"/>
  <c r="T328" i="62"/>
  <c r="T219" i="62"/>
  <c r="T171" i="62"/>
  <c r="T115" i="62"/>
  <c r="T1143" i="62"/>
  <c r="T864" i="62"/>
  <c r="T655" i="62"/>
  <c r="T499" i="62"/>
  <c r="T371" i="62"/>
  <c r="T275" i="62"/>
  <c r="T220" i="62"/>
  <c r="T172" i="62"/>
  <c r="T123" i="62"/>
  <c r="T1090" i="62"/>
  <c r="T870" i="62"/>
  <c r="T656" i="62"/>
  <c r="T500" i="62"/>
  <c r="T385" i="62"/>
  <c r="T281" i="62"/>
  <c r="T221" i="62"/>
  <c r="T174" i="62"/>
  <c r="T1096" i="62"/>
  <c r="T872" i="62"/>
  <c r="T658" i="62"/>
  <c r="T1080" i="62"/>
  <c r="T831" i="62"/>
  <c r="T678" i="62"/>
  <c r="T502" i="62"/>
  <c r="T999" i="62"/>
  <c r="T848" i="62"/>
  <c r="T633" i="62"/>
  <c r="T504" i="62"/>
  <c r="T389" i="62"/>
  <c r="T288" i="62"/>
  <c r="T237" i="62"/>
  <c r="T180" i="62"/>
  <c r="T1001" i="62"/>
  <c r="T850" i="62"/>
  <c r="T637" i="62"/>
  <c r="T469" i="62"/>
  <c r="T1003" i="62"/>
  <c r="T852" i="62"/>
  <c r="T640" i="62"/>
  <c r="T419" i="62"/>
  <c r="T334" i="62"/>
  <c r="T294" i="62"/>
  <c r="T192" i="62"/>
  <c r="T132" i="62"/>
  <c r="T1023" i="62"/>
  <c r="T814" i="62"/>
  <c r="T601" i="62"/>
  <c r="T420" i="62"/>
  <c r="T337" i="62"/>
  <c r="T295" i="62"/>
  <c r="T195" i="62"/>
  <c r="T134" i="62"/>
  <c r="T981" i="62"/>
  <c r="T767" i="62"/>
  <c r="T615" i="62"/>
  <c r="T425" i="62"/>
  <c r="T352" i="62"/>
  <c r="T296" i="62"/>
  <c r="T196" i="62"/>
  <c r="T141" i="62"/>
  <c r="T983" i="62"/>
  <c r="T770" i="62"/>
  <c r="T616" i="62"/>
  <c r="T426" i="62"/>
  <c r="T304" i="62"/>
  <c r="T298" i="62"/>
  <c r="T197" i="62"/>
  <c r="T147" i="62"/>
  <c r="T986" i="62"/>
  <c r="T774" i="62"/>
  <c r="T564" i="62"/>
  <c r="T427" i="62"/>
  <c r="T306" i="62"/>
  <c r="T246" i="62"/>
  <c r="T198" i="62"/>
  <c r="T151" i="62"/>
  <c r="T946" i="62"/>
  <c r="T792" i="62"/>
  <c r="T581" i="62"/>
  <c r="T431" i="62"/>
  <c r="T307" i="62"/>
  <c r="T248" i="62"/>
  <c r="T199" i="62"/>
  <c r="T153" i="62"/>
  <c r="T960" i="62"/>
  <c r="T751" i="62"/>
  <c r="T540" i="62"/>
  <c r="T445" i="62"/>
  <c r="T308" i="62"/>
  <c r="T255" i="62"/>
  <c r="T200" i="62"/>
  <c r="T154" i="62"/>
  <c r="T962" i="62"/>
  <c r="T752" i="62"/>
  <c r="T544" i="62"/>
  <c r="T403" i="62"/>
  <c r="T309" i="62"/>
  <c r="T265" i="62"/>
  <c r="T201" i="62"/>
  <c r="T101" i="62"/>
  <c r="T546" i="62"/>
  <c r="T756" i="62"/>
  <c r="T102" i="62"/>
  <c r="T964" i="62"/>
  <c r="S1229" i="4"/>
  <c r="S1209" i="4"/>
  <c r="S1208" i="4"/>
  <c r="S1226" i="4"/>
  <c r="S1206" i="4"/>
  <c r="R1013" i="4"/>
  <c r="S1049" i="4"/>
  <c r="S1134" i="4"/>
  <c r="R1200" i="4"/>
  <c r="S990" i="4"/>
  <c r="S1188" i="4"/>
  <c r="S1187" i="4"/>
  <c r="R1203" i="4"/>
  <c r="R1183" i="4"/>
  <c r="R1179" i="4"/>
  <c r="R1195" i="4"/>
  <c r="R1193" i="4"/>
  <c r="S1203" i="4"/>
  <c r="S1183" i="4"/>
  <c r="R1121" i="4"/>
  <c r="S1202" i="4"/>
  <c r="R1152" i="4"/>
  <c r="S1181" i="4"/>
  <c r="S1200" i="4"/>
  <c r="S1179" i="4"/>
  <c r="S1178" i="4"/>
  <c r="S1130" i="4"/>
  <c r="S1177" i="4"/>
  <c r="S1196" i="4"/>
  <c r="S1195" i="4"/>
  <c r="S1193" i="4"/>
  <c r="S1161" i="4"/>
  <c r="S1157" i="4"/>
  <c r="S1156" i="4"/>
  <c r="R1175" i="4"/>
  <c r="R1174" i="4"/>
  <c r="R1154" i="4"/>
  <c r="R1150" i="4"/>
  <c r="R1149" i="4"/>
  <c r="S1175" i="4"/>
  <c r="S1174" i="4"/>
  <c r="S1154" i="4"/>
  <c r="S1173" i="4"/>
  <c r="R1161" i="4"/>
  <c r="S1152" i="4"/>
  <c r="R1160" i="4"/>
  <c r="S1150" i="4"/>
  <c r="R1157" i="4"/>
  <c r="S1142" i="4"/>
  <c r="S1122" i="4"/>
  <c r="S1148" i="4"/>
  <c r="R1156" i="4"/>
  <c r="S1143" i="4"/>
  <c r="R982" i="4"/>
  <c r="R1052" i="4"/>
  <c r="R1141" i="4"/>
  <c r="R1108" i="4"/>
  <c r="R1145" i="4"/>
  <c r="R1125" i="4"/>
  <c r="R1144" i="4"/>
  <c r="R1001" i="4"/>
  <c r="R981" i="4"/>
  <c r="S1035" i="4"/>
  <c r="S1051" i="4"/>
  <c r="R1098" i="4"/>
  <c r="S1115" i="4"/>
  <c r="R1028" i="4"/>
  <c r="R1116" i="4"/>
  <c r="R1096" i="4"/>
  <c r="S993" i="4"/>
  <c r="R1132" i="4"/>
  <c r="S992" i="4"/>
  <c r="R1062" i="4"/>
  <c r="R1008" i="4"/>
  <c r="R1134" i="4"/>
  <c r="R1143" i="4"/>
  <c r="S1133" i="4"/>
  <c r="R1142" i="4"/>
  <c r="R1122" i="4"/>
  <c r="R1146" i="4"/>
  <c r="R1120" i="4"/>
  <c r="S1141" i="4"/>
  <c r="S1121" i="4"/>
  <c r="R1105" i="4"/>
  <c r="S1146" i="4"/>
  <c r="R1133" i="4"/>
  <c r="R1034" i="4"/>
  <c r="R1014" i="4"/>
  <c r="S1066" i="4"/>
  <c r="S1105" i="4"/>
  <c r="S1144" i="4"/>
  <c r="R1131" i="4"/>
  <c r="R1130" i="4"/>
  <c r="R1129" i="4"/>
  <c r="R1117" i="4"/>
  <c r="R1063" i="4"/>
  <c r="R1043" i="4"/>
  <c r="R1115" i="4"/>
  <c r="S1116" i="4"/>
  <c r="S1021" i="4"/>
  <c r="R1037" i="4"/>
  <c r="S1073" i="4"/>
  <c r="R1107" i="4"/>
  <c r="S1090" i="4"/>
  <c r="R1030" i="4"/>
  <c r="R1010" i="4"/>
  <c r="S1107" i="4"/>
  <c r="S980" i="4"/>
  <c r="R1009" i="4"/>
  <c r="S1045" i="4"/>
  <c r="R1002" i="4"/>
  <c r="R1061" i="4"/>
  <c r="S1077" i="4"/>
  <c r="S1101" i="4"/>
  <c r="S1096" i="4"/>
  <c r="R1040" i="4"/>
  <c r="R1066" i="4"/>
  <c r="R1059" i="4"/>
  <c r="R1039" i="4"/>
  <c r="R1058" i="4"/>
  <c r="R1038" i="4"/>
  <c r="S1118" i="4"/>
  <c r="S1098" i="4"/>
  <c r="R1118" i="4"/>
  <c r="R1036" i="4"/>
  <c r="R985" i="4"/>
  <c r="R1091" i="4"/>
  <c r="R984" i="4"/>
  <c r="R1090" i="4"/>
  <c r="R1070" i="4"/>
  <c r="R983" i="4"/>
  <c r="S1017" i="4"/>
  <c r="S1089" i="4"/>
  <c r="R1112" i="4"/>
  <c r="S1117" i="4"/>
  <c r="R1101" i="4"/>
  <c r="S1000" i="4"/>
  <c r="R1012" i="4"/>
  <c r="S1084" i="4"/>
  <c r="S1064" i="4"/>
  <c r="S1007" i="4"/>
  <c r="R1031" i="4"/>
  <c r="S1047" i="4"/>
  <c r="S1091" i="4"/>
  <c r="R1089" i="4"/>
  <c r="R1084" i="4"/>
  <c r="S1112" i="4"/>
  <c r="R1077" i="4"/>
  <c r="S1108" i="4"/>
  <c r="R1064" i="4"/>
  <c r="S1067" i="4"/>
  <c r="S1065" i="4"/>
  <c r="R1073" i="4"/>
  <c r="S1063" i="4"/>
  <c r="R1051" i="4"/>
  <c r="S1062" i="4"/>
  <c r="S988" i="4"/>
  <c r="S1061" i="4"/>
  <c r="R1049" i="4"/>
  <c r="S1040" i="4"/>
  <c r="S1059" i="4"/>
  <c r="S1039" i="4"/>
  <c r="R1047" i="4"/>
  <c r="S1009" i="4"/>
  <c r="S1058" i="4"/>
  <c r="S1038" i="4"/>
  <c r="S1037" i="4"/>
  <c r="R1045" i="4"/>
  <c r="S1036" i="4"/>
  <c r="R1035" i="4"/>
  <c r="S1052" i="4"/>
  <c r="R1007" i="4"/>
  <c r="S1034" i="4"/>
  <c r="S1014" i="4"/>
  <c r="S1013" i="4"/>
  <c r="R1021" i="4"/>
  <c r="S1012" i="4"/>
  <c r="S1031" i="4"/>
  <c r="S1030" i="4"/>
  <c r="S1010" i="4"/>
  <c r="R1017" i="4"/>
  <c r="S1028" i="4"/>
  <c r="S1008" i="4"/>
  <c r="R1000" i="4"/>
  <c r="S1002" i="4"/>
  <c r="R980" i="4"/>
  <c r="R993" i="4"/>
  <c r="R992" i="4"/>
  <c r="R990" i="4"/>
  <c r="S985" i="4"/>
  <c r="S984" i="4"/>
  <c r="S983" i="4"/>
  <c r="S982" i="4"/>
  <c r="S981" i="4"/>
  <c r="R1207" i="4" l="1"/>
  <c r="S1194" i="4"/>
  <c r="R1055" i="4"/>
  <c r="R1218" i="4"/>
  <c r="S1078" i="4"/>
  <c r="R995" i="4"/>
  <c r="R1163" i="4"/>
  <c r="R1186" i="4"/>
  <c r="S1093" i="4"/>
  <c r="S1159" i="4"/>
  <c r="R1103" i="4"/>
  <c r="R1072" i="4"/>
  <c r="S1071" i="4"/>
  <c r="R1197" i="4"/>
  <c r="R1113" i="4"/>
  <c r="R1029" i="4"/>
  <c r="S1016" i="4"/>
  <c r="S1182" i="4"/>
  <c r="S1050" i="4"/>
  <c r="S1176" i="4"/>
  <c r="R1211" i="4"/>
  <c r="R1026" i="4"/>
  <c r="R1137" i="4"/>
  <c r="R1217" i="4"/>
  <c r="R1075" i="4"/>
  <c r="R1080" i="4"/>
  <c r="R1094" i="4"/>
  <c r="S986" i="4"/>
  <c r="S1081" i="4"/>
  <c r="S1213" i="4"/>
  <c r="R1189" i="4"/>
  <c r="R1022" i="4"/>
  <c r="R1085" i="4"/>
  <c r="S1223" i="4"/>
  <c r="R1153" i="4"/>
  <c r="S1011" i="4"/>
  <c r="S1210" i="4"/>
  <c r="R1046" i="4"/>
  <c r="R1184" i="4"/>
  <c r="S1158" i="4"/>
  <c r="R1191" i="4"/>
  <c r="R1044" i="4"/>
  <c r="S1124" i="4"/>
  <c r="R1166" i="4"/>
  <c r="S1168" i="4"/>
  <c r="S1201" i="4"/>
  <c r="R1172" i="4"/>
  <c r="S1005" i="4"/>
  <c r="S1204" i="4"/>
  <c r="S1140" i="4"/>
  <c r="S1085" i="4"/>
  <c r="R989" i="4"/>
  <c r="R1104" i="4"/>
  <c r="S1102" i="4"/>
  <c r="S1004" i="4"/>
  <c r="R1042" i="4"/>
  <c r="R1033" i="4"/>
  <c r="R1069" i="4"/>
  <c r="S1006" i="4"/>
  <c r="S1041" i="4"/>
  <c r="R1190" i="4"/>
  <c r="R1213" i="4"/>
  <c r="S1215" i="4"/>
  <c r="S1212" i="4"/>
  <c r="S1082" i="4"/>
  <c r="S1185" i="4"/>
  <c r="R1023" i="4"/>
  <c r="S1190" i="4"/>
  <c r="S1026" i="4"/>
  <c r="R1173" i="4"/>
  <c r="S1106" i="4"/>
  <c r="S1217" i="4"/>
  <c r="S1169" i="4"/>
  <c r="R1205" i="4"/>
  <c r="S1111" i="4"/>
  <c r="S1164" i="4"/>
  <c r="R1138" i="4"/>
  <c r="S1126" i="4"/>
  <c r="S1171" i="4"/>
  <c r="R1086" i="4"/>
  <c r="R1128" i="4"/>
  <c r="R1214" i="4"/>
  <c r="S1056" i="4"/>
  <c r="R1088" i="4"/>
  <c r="S996" i="4"/>
  <c r="R1060" i="4"/>
  <c r="R1169" i="4"/>
  <c r="R1194" i="4"/>
  <c r="S1018" i="4"/>
  <c r="S1048" i="4"/>
  <c r="R991" i="4"/>
  <c r="R1216" i="4"/>
  <c r="S1055" i="4"/>
  <c r="R1025" i="4"/>
  <c r="S1184" i="4"/>
  <c r="S1079" i="4"/>
  <c r="R1054" i="4"/>
  <c r="S1080" i="4"/>
  <c r="R1019" i="4"/>
  <c r="S1165" i="4"/>
  <c r="S1076" i="4"/>
  <c r="S1135" i="4"/>
  <c r="S1110" i="4"/>
  <c r="S1222" i="4"/>
  <c r="R1135" i="4"/>
  <c r="R1219" i="4"/>
  <c r="R1136" i="4"/>
  <c r="R1027" i="4"/>
  <c r="R1167" i="4"/>
  <c r="R1079" i="4"/>
  <c r="R1220" i="4"/>
  <c r="S998" i="4"/>
  <c r="S1083" i="4"/>
  <c r="R999" i="4"/>
  <c r="S1139" i="4"/>
  <c r="S1191" i="4"/>
  <c r="R1095" i="4"/>
  <c r="S1103" i="4"/>
  <c r="R1020" i="4"/>
  <c r="S1123" i="4"/>
  <c r="S1224" i="4"/>
  <c r="S1100" i="4"/>
  <c r="R998" i="4"/>
  <c r="S1024" i="4"/>
  <c r="R1164" i="4"/>
  <c r="S1027" i="4"/>
  <c r="S1092" i="4"/>
  <c r="S1127" i="4"/>
  <c r="R1170" i="4"/>
  <c r="R1180" i="4"/>
  <c r="S1032" i="4"/>
  <c r="S1114" i="4"/>
  <c r="S1074" i="4"/>
  <c r="S1221" i="4"/>
  <c r="S1099" i="4"/>
  <c r="R1053" i="4"/>
  <c r="S1205" i="4"/>
  <c r="S1225" i="4"/>
  <c r="S1230" i="4"/>
  <c r="R997" i="4"/>
  <c r="S1167" i="4"/>
  <c r="R1155" i="4"/>
  <c r="S1023" i="4"/>
  <c r="R1015" i="4"/>
  <c r="R1068" i="4"/>
  <c r="S1228" i="4"/>
  <c r="S1136" i="4"/>
  <c r="S1198" i="4"/>
  <c r="R1139" i="4"/>
  <c r="S1147" i="4"/>
  <c r="S1199" i="4"/>
  <c r="S1231" i="4"/>
  <c r="R1087" i="4"/>
  <c r="S994" i="4"/>
  <c r="R1162" i="4"/>
  <c r="S999" i="4"/>
  <c r="R1003" i="4"/>
  <c r="S987" i="4"/>
  <c r="S1097" i="4"/>
  <c r="S1022" i="4"/>
  <c r="R1159" i="4"/>
  <c r="S1151" i="4"/>
  <c r="R1078" i="4"/>
  <c r="S1166" i="4"/>
  <c r="S1227" i="4"/>
  <c r="S1138" i="4"/>
  <c r="S1057" i="4"/>
  <c r="S1218" i="4"/>
  <c r="R1192" i="4"/>
  <c r="S1220" i="4"/>
  <c r="R1083" i="4"/>
  <c r="S1119" i="4"/>
  <c r="S1109" i="4"/>
  <c r="S995" i="4"/>
  <c r="R1110" i="4"/>
  <c r="S1163" i="4"/>
  <c r="S1219" i="4"/>
  <c r="R1223" i="4"/>
  <c r="R1111" i="4"/>
  <c r="R1222"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O787" i="4"/>
  <c r="O784" i="4"/>
  <c r="O785" i="4"/>
  <c r="O786" i="4"/>
  <c r="O788" i="4"/>
  <c r="O789" i="4"/>
  <c r="O790" i="4"/>
  <c r="O791" i="4"/>
  <c r="O792" i="4"/>
  <c r="O793" i="4"/>
  <c r="O794" i="4"/>
  <c r="O795" i="4"/>
  <c r="O796" i="4"/>
  <c r="O797" i="4"/>
  <c r="O798" i="4"/>
  <c r="O799" i="4"/>
  <c r="O800" i="4"/>
  <c r="O801" i="4"/>
  <c r="O802" i="4"/>
  <c r="O803" i="4"/>
  <c r="O804" i="4"/>
  <c r="O805" i="4"/>
  <c r="O806" i="4"/>
  <c r="O807" i="4"/>
  <c r="O808" i="4"/>
  <c r="O809" i="4"/>
  <c r="O810" i="4"/>
  <c r="O811"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O279" i="4"/>
  <c r="P279" i="4"/>
  <c r="Q279" i="4"/>
  <c r="T279" i="4"/>
  <c r="U279" i="4"/>
  <c r="V279"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Q3" i="45"/>
  <c r="Q4" i="45"/>
  <c r="Q5" i="45"/>
  <c r="Q6" i="45"/>
  <c r="Q7" i="45"/>
  <c r="Q8" i="45"/>
  <c r="Q9" i="45"/>
  <c r="Q10" i="45"/>
  <c r="Q11" i="45"/>
  <c r="Q12" i="45"/>
  <c r="Q13" i="45"/>
  <c r="Q14" i="45"/>
  <c r="Q15" i="45"/>
  <c r="Q16" i="45"/>
  <c r="Q17" i="45"/>
  <c r="Q18" i="45"/>
  <c r="Q19" i="45"/>
  <c r="Q20" i="45"/>
  <c r="Q21" i="45"/>
  <c r="Q22" i="45"/>
  <c r="Q23" i="45"/>
  <c r="Q24" i="45"/>
  <c r="Q25" i="45"/>
  <c r="Q26" i="45"/>
  <c r="Q27" i="45"/>
  <c r="Q28" i="45"/>
  <c r="Q29" i="45"/>
  <c r="Q30" i="45"/>
  <c r="Q31" i="45"/>
  <c r="Q32" i="45"/>
  <c r="Q33" i="45"/>
  <c r="Q34" i="45"/>
  <c r="Q35" i="45"/>
  <c r="Q36" i="45"/>
  <c r="Q37" i="45"/>
  <c r="Q38" i="45"/>
  <c r="Q39" i="45"/>
  <c r="Q40" i="45"/>
  <c r="Q41" i="45"/>
  <c r="Q42" i="45"/>
  <c r="Q43" i="45"/>
  <c r="Q44" i="45"/>
  <c r="L40" i="45"/>
  <c r="L27" i="45"/>
  <c r="L39" i="45"/>
  <c r="L38" i="45"/>
  <c r="L33" i="45"/>
  <c r="L43" i="45"/>
  <c r="L37" i="45"/>
  <c r="L35" i="45"/>
  <c r="L41" i="45"/>
  <c r="L28" i="45"/>
  <c r="L32" i="45"/>
  <c r="L17" i="45"/>
  <c r="L8" i="45"/>
  <c r="L11" i="45"/>
  <c r="L19" i="45"/>
  <c r="L10" i="45"/>
  <c r="L20" i="45"/>
  <c r="L15" i="45"/>
  <c r="L5" i="45"/>
  <c r="L3" i="45"/>
  <c r="L7" i="45"/>
  <c r="L44" i="45"/>
  <c r="L31" i="45"/>
  <c r="L42" i="45"/>
  <c r="L26" i="45"/>
  <c r="L24" i="45"/>
  <c r="L25" i="45"/>
  <c r="L23" i="45"/>
  <c r="L34" i="45"/>
  <c r="L29" i="45"/>
  <c r="L30" i="45"/>
  <c r="L36" i="45"/>
  <c r="L13" i="45"/>
  <c r="L18" i="45"/>
  <c r="L12" i="45"/>
  <c r="L14" i="45"/>
  <c r="L9" i="45"/>
  <c r="L6" i="45"/>
  <c r="L4" i="45"/>
  <c r="L16" i="45"/>
  <c r="L22" i="45"/>
  <c r="L21" i="45"/>
  <c r="O2" i="62"/>
  <c r="K2" i="62"/>
  <c r="K3" i="62"/>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S957" i="4" l="1"/>
  <c r="S964" i="4"/>
  <c r="R909" i="4"/>
  <c r="R972" i="4"/>
  <c r="R952" i="4"/>
  <c r="S930" i="4"/>
  <c r="S965" i="4"/>
  <c r="R946" i="4"/>
  <c r="R926" i="4"/>
  <c r="R955" i="4"/>
  <c r="S979" i="4"/>
  <c r="S959" i="4"/>
  <c r="R970" i="4"/>
  <c r="R927" i="4"/>
  <c r="R945" i="4"/>
  <c r="R925" i="4"/>
  <c r="R962" i="4"/>
  <c r="S906" i="4"/>
  <c r="R942" i="4"/>
  <c r="S934" i="4"/>
  <c r="R957" i="4"/>
  <c r="S933" i="4"/>
  <c r="R916" i="4"/>
  <c r="R896" i="4"/>
  <c r="R968" i="4"/>
  <c r="S950" i="4"/>
  <c r="R930" i="4"/>
  <c r="R966" i="4"/>
  <c r="R941" i="4"/>
  <c r="R979" i="4"/>
  <c r="R940" i="4"/>
  <c r="S923" i="4"/>
  <c r="S903" i="4"/>
  <c r="R977" i="4"/>
  <c r="S938" i="4"/>
  <c r="R976" i="4"/>
  <c r="R956" i="4"/>
  <c r="S975" i="4"/>
  <c r="S955" i="4"/>
  <c r="R920" i="4"/>
  <c r="R900" i="4"/>
  <c r="R974" i="4"/>
  <c r="R954" i="4"/>
  <c r="S973" i="4"/>
  <c r="S953" i="4"/>
  <c r="S976" i="4"/>
  <c r="S932" i="4"/>
  <c r="S970" i="4"/>
  <c r="S951" i="4"/>
  <c r="R969" i="4"/>
  <c r="R914" i="4"/>
  <c r="R948" i="4"/>
  <c r="R928" i="4"/>
  <c r="R965" i="4"/>
  <c r="R967" i="4"/>
  <c r="R959" i="4"/>
  <c r="S928" i="4"/>
  <c r="S963" i="4"/>
  <c r="S908" i="4"/>
  <c r="S944" i="4"/>
  <c r="S924" i="4"/>
  <c r="S945" i="4"/>
  <c r="R949" i="4"/>
  <c r="S961" i="4"/>
  <c r="R971" i="4"/>
  <c r="R943" i="4"/>
  <c r="S977" i="4"/>
  <c r="R964" i="4"/>
  <c r="S939" i="4"/>
  <c r="S966" i="4"/>
  <c r="R953" i="4"/>
  <c r="S927" i="4"/>
  <c r="S937" i="4"/>
  <c r="S926" i="4"/>
  <c r="S967" i="4"/>
  <c r="S936" i="4"/>
  <c r="S962" i="4"/>
  <c r="S935" i="4"/>
  <c r="S960" i="4"/>
  <c r="S956" i="4"/>
  <c r="R951" i="4"/>
  <c r="S931" i="4"/>
  <c r="R978" i="4"/>
  <c r="R958" i="4"/>
  <c r="S942" i="4"/>
  <c r="R975" i="4"/>
  <c r="S949" i="4"/>
  <c r="S929" i="4"/>
  <c r="R973" i="4"/>
  <c r="S948" i="4"/>
  <c r="S947" i="4"/>
  <c r="S972" i="4"/>
  <c r="S952" i="4"/>
  <c r="R904" i="4"/>
  <c r="R950" i="4"/>
  <c r="S978" i="4"/>
  <c r="S958" i="4"/>
  <c r="R921" i="4"/>
  <c r="R901" i="4"/>
  <c r="R947" i="4"/>
  <c r="R963" i="4"/>
  <c r="S899" i="4"/>
  <c r="R944" i="4"/>
  <c r="S974" i="4"/>
  <c r="S954" i="4"/>
  <c r="R931" i="4"/>
  <c r="R961" i="4"/>
  <c r="R960" i="4"/>
  <c r="S946" i="4"/>
  <c r="R929" i="4"/>
  <c r="S971" i="4"/>
  <c r="R903" i="4"/>
  <c r="R922" i="4"/>
  <c r="S900" i="4"/>
  <c r="S969" i="4"/>
  <c r="R923" i="4"/>
  <c r="R924" i="4"/>
  <c r="S968" i="4"/>
  <c r="S910" i="4"/>
  <c r="R902" i="4"/>
  <c r="S909" i="4"/>
  <c r="S925" i="4"/>
  <c r="S904" i="4"/>
  <c r="R939" i="4"/>
  <c r="S907" i="4"/>
  <c r="R938" i="4"/>
  <c r="R937" i="4"/>
  <c r="R905" i="4"/>
  <c r="R936" i="4"/>
  <c r="R935" i="4"/>
  <c r="R934" i="4"/>
  <c r="R933" i="4"/>
  <c r="S889" i="4"/>
  <c r="R906" i="4"/>
  <c r="R932" i="4"/>
  <c r="S888" i="4"/>
  <c r="S868" i="4"/>
  <c r="S943" i="4"/>
  <c r="R919" i="4"/>
  <c r="R899" i="4"/>
  <c r="R918" i="4"/>
  <c r="R898" i="4"/>
  <c r="S941" i="4"/>
  <c r="S865" i="4"/>
  <c r="S845" i="4"/>
  <c r="R917" i="4"/>
  <c r="R897" i="4"/>
  <c r="S940" i="4"/>
  <c r="R860" i="4"/>
  <c r="S880" i="4"/>
  <c r="R827" i="4"/>
  <c r="S879" i="4"/>
  <c r="R915" i="4"/>
  <c r="R862" i="4"/>
  <c r="R842" i="4"/>
  <c r="S878" i="4"/>
  <c r="S914" i="4"/>
  <c r="S920" i="4"/>
  <c r="R913" i="4"/>
  <c r="S919" i="4"/>
  <c r="R912" i="4"/>
  <c r="S915" i="4"/>
  <c r="S911" i="4"/>
  <c r="R858" i="4"/>
  <c r="S894" i="4"/>
  <c r="S874" i="4"/>
  <c r="S893" i="4"/>
  <c r="S873" i="4"/>
  <c r="S905" i="4"/>
  <c r="S841" i="4"/>
  <c r="R911" i="4"/>
  <c r="S861" i="4"/>
  <c r="S922" i="4"/>
  <c r="S902" i="4"/>
  <c r="R910" i="4"/>
  <c r="S770" i="4"/>
  <c r="S876" i="4"/>
  <c r="S921" i="4"/>
  <c r="S901" i="4"/>
  <c r="R908" i="4"/>
  <c r="R907" i="4"/>
  <c r="R839" i="4"/>
  <c r="S856" i="4"/>
  <c r="S918" i="4"/>
  <c r="R819" i="4"/>
  <c r="S898" i="4"/>
  <c r="R892" i="4"/>
  <c r="R872" i="4"/>
  <c r="S917" i="4"/>
  <c r="S897" i="4"/>
  <c r="S854" i="4"/>
  <c r="R891" i="4"/>
  <c r="R871" i="4"/>
  <c r="S916" i="4"/>
  <c r="S896" i="4"/>
  <c r="S853" i="4"/>
  <c r="S852" i="4"/>
  <c r="S869" i="4"/>
  <c r="R870" i="4"/>
  <c r="R782" i="4"/>
  <c r="R762" i="4"/>
  <c r="S798" i="4"/>
  <c r="S913" i="4"/>
  <c r="R833" i="4"/>
  <c r="R813" i="4"/>
  <c r="R818" i="4"/>
  <c r="R850" i="4"/>
  <c r="S912" i="4"/>
  <c r="R886" i="4"/>
  <c r="R890" i="4"/>
  <c r="R831" i="4"/>
  <c r="S819" i="4"/>
  <c r="S848" i="4"/>
  <c r="S895" i="4"/>
  <c r="S844" i="4"/>
  <c r="R884" i="4"/>
  <c r="R866" i="4"/>
  <c r="R846" i="4"/>
  <c r="S871" i="4"/>
  <c r="R882" i="4"/>
  <c r="S877" i="4"/>
  <c r="R895" i="4"/>
  <c r="R875" i="4"/>
  <c r="R893" i="4"/>
  <c r="R894" i="4"/>
  <c r="R874" i="4"/>
  <c r="R873" i="4"/>
  <c r="R876" i="4"/>
  <c r="R889" i="4"/>
  <c r="R869" i="4"/>
  <c r="R888" i="4"/>
  <c r="R868" i="4"/>
  <c r="R887" i="4"/>
  <c r="R885" i="4"/>
  <c r="S891" i="4"/>
  <c r="S883" i="4"/>
  <c r="S882" i="4"/>
  <c r="S881" i="4"/>
  <c r="S875" i="4"/>
  <c r="S846" i="4"/>
  <c r="R883" i="4"/>
  <c r="S855" i="4"/>
  <c r="R881" i="4"/>
  <c r="R841" i="4"/>
  <c r="S892" i="4"/>
  <c r="S872" i="4"/>
  <c r="R880" i="4"/>
  <c r="R879" i="4"/>
  <c r="R832" i="4"/>
  <c r="R812" i="4"/>
  <c r="S890" i="4"/>
  <c r="S870" i="4"/>
  <c r="R878" i="4"/>
  <c r="R877" i="4"/>
  <c r="R830" i="4"/>
  <c r="S849" i="4"/>
  <c r="S887" i="4"/>
  <c r="S776" i="4"/>
  <c r="S756" i="4"/>
  <c r="S867" i="4"/>
  <c r="R847" i="4"/>
  <c r="S886" i="4"/>
  <c r="S885" i="4"/>
  <c r="S884" i="4"/>
  <c r="S864" i="4"/>
  <c r="R844" i="4"/>
  <c r="S824" i="4"/>
  <c r="R863" i="4"/>
  <c r="R843" i="4"/>
  <c r="S823" i="4"/>
  <c r="S821" i="4"/>
  <c r="S860" i="4"/>
  <c r="S840" i="4"/>
  <c r="S768" i="4"/>
  <c r="S820" i="4"/>
  <c r="S838" i="4"/>
  <c r="S818" i="4"/>
  <c r="S847" i="4"/>
  <c r="R829" i="4"/>
  <c r="S827" i="4"/>
  <c r="S826" i="4"/>
  <c r="R865" i="4"/>
  <c r="R845" i="4"/>
  <c r="R867" i="4"/>
  <c r="S825" i="4"/>
  <c r="R864" i="4"/>
  <c r="R861" i="4"/>
  <c r="R828" i="4"/>
  <c r="S822" i="4"/>
  <c r="R855" i="4"/>
  <c r="R854" i="4"/>
  <c r="R859" i="4"/>
  <c r="R853" i="4"/>
  <c r="S866" i="4"/>
  <c r="R852" i="4"/>
  <c r="R857" i="4"/>
  <c r="R837" i="4"/>
  <c r="R817" i="4"/>
  <c r="R856" i="4"/>
  <c r="R836" i="4"/>
  <c r="R816" i="4"/>
  <c r="R835" i="4"/>
  <c r="R815" i="4"/>
  <c r="R840" i="4"/>
  <c r="R834" i="4"/>
  <c r="R814" i="4"/>
  <c r="S851" i="4"/>
  <c r="S850" i="4"/>
  <c r="S766" i="4"/>
  <c r="S863" i="4"/>
  <c r="S843" i="4"/>
  <c r="R851" i="4"/>
  <c r="S769" i="4"/>
  <c r="S839" i="4"/>
  <c r="S862" i="4"/>
  <c r="S842" i="4"/>
  <c r="S764" i="4"/>
  <c r="S830" i="4"/>
  <c r="R849" i="4"/>
  <c r="R695" i="4"/>
  <c r="R675" i="4"/>
  <c r="R783" i="4"/>
  <c r="R763" i="4"/>
  <c r="S799" i="4"/>
  <c r="S828" i="4"/>
  <c r="R848" i="4"/>
  <c r="S859" i="4"/>
  <c r="R838" i="4"/>
  <c r="S858" i="4"/>
  <c r="R780" i="4"/>
  <c r="R760" i="4"/>
  <c r="S796" i="4"/>
  <c r="S857" i="4"/>
  <c r="R742" i="4"/>
  <c r="S778" i="4"/>
  <c r="S758" i="4"/>
  <c r="R775" i="4"/>
  <c r="R774" i="4"/>
  <c r="R772" i="4"/>
  <c r="R808" i="4"/>
  <c r="R788" i="4"/>
  <c r="R787" i="4"/>
  <c r="R779" i="4"/>
  <c r="R759" i="4"/>
  <c r="R826" i="4"/>
  <c r="S837" i="4"/>
  <c r="S817" i="4"/>
  <c r="R825" i="4"/>
  <c r="S777" i="4"/>
  <c r="S757" i="4"/>
  <c r="S836" i="4"/>
  <c r="S816" i="4"/>
  <c r="R824" i="4"/>
  <c r="S740" i="4"/>
  <c r="S797" i="4"/>
  <c r="S835" i="4"/>
  <c r="S815" i="4"/>
  <c r="R823" i="4"/>
  <c r="S834" i="4"/>
  <c r="S814" i="4"/>
  <c r="R822" i="4"/>
  <c r="R770" i="4"/>
  <c r="S833" i="4"/>
  <c r="S813" i="4"/>
  <c r="R821" i="4"/>
  <c r="S773" i="4"/>
  <c r="R768" i="4"/>
  <c r="S832" i="4"/>
  <c r="S812" i="4"/>
  <c r="R820" i="4"/>
  <c r="R758" i="4"/>
  <c r="S831" i="4"/>
  <c r="R771" i="4"/>
  <c r="R756" i="4"/>
  <c r="S772" i="4"/>
  <c r="S829" i="4"/>
  <c r="R769" i="4"/>
  <c r="S767" i="4"/>
  <c r="S765" i="4"/>
  <c r="R805" i="4"/>
  <c r="R785" i="4"/>
  <c r="R781" i="4"/>
  <c r="R761" i="4"/>
  <c r="S795" i="4"/>
  <c r="S794" i="4"/>
  <c r="S793" i="4"/>
  <c r="S792" i="4"/>
  <c r="R811" i="4"/>
  <c r="R791" i="4"/>
  <c r="R810" i="4"/>
  <c r="R790" i="4"/>
  <c r="R809" i="4"/>
  <c r="R789" i="4"/>
  <c r="R807" i="4"/>
  <c r="R806" i="4"/>
  <c r="R786" i="4"/>
  <c r="R804" i="4"/>
  <c r="R784" i="4"/>
  <c r="R803" i="4"/>
  <c r="R802" i="4"/>
  <c r="R801" i="4"/>
  <c r="R800" i="4"/>
  <c r="S811" i="4"/>
  <c r="S791" i="4"/>
  <c r="R799" i="4"/>
  <c r="S810" i="4"/>
  <c r="S790" i="4"/>
  <c r="R798" i="4"/>
  <c r="S693" i="4"/>
  <c r="S673" i="4"/>
  <c r="S809" i="4"/>
  <c r="S789" i="4"/>
  <c r="R797" i="4"/>
  <c r="R692" i="4"/>
  <c r="R672" i="4"/>
  <c r="S708" i="4"/>
  <c r="R749" i="4"/>
  <c r="R757" i="4"/>
  <c r="R773" i="4"/>
  <c r="S808" i="4"/>
  <c r="S788" i="4"/>
  <c r="R796" i="4"/>
  <c r="S807" i="4"/>
  <c r="S787" i="4"/>
  <c r="R795" i="4"/>
  <c r="S806" i="4"/>
  <c r="S786" i="4"/>
  <c r="R794" i="4"/>
  <c r="S741" i="4"/>
  <c r="S805" i="4"/>
  <c r="S785" i="4"/>
  <c r="R793" i="4"/>
  <c r="S804" i="4"/>
  <c r="S784" i="4"/>
  <c r="R792" i="4"/>
  <c r="S803" i="4"/>
  <c r="S783" i="4"/>
  <c r="S802" i="4"/>
  <c r="S801" i="4"/>
  <c r="S684" i="4"/>
  <c r="S720" i="4"/>
  <c r="S700" i="4"/>
  <c r="S771" i="4"/>
  <c r="S800" i="4"/>
  <c r="S763" i="4"/>
  <c r="S732" i="4"/>
  <c r="R778" i="4"/>
  <c r="R777" i="4"/>
  <c r="R776" i="4"/>
  <c r="S782" i="4"/>
  <c r="S762" i="4"/>
  <c r="S781" i="4"/>
  <c r="S761" i="4"/>
  <c r="R754" i="4"/>
  <c r="R734" i="4"/>
  <c r="S780" i="4"/>
  <c r="S760" i="4"/>
  <c r="R717" i="4"/>
  <c r="S779" i="4"/>
  <c r="S759" i="4"/>
  <c r="R767" i="4"/>
  <c r="R766" i="4"/>
  <c r="R765" i="4"/>
  <c r="R764" i="4"/>
  <c r="S713" i="4"/>
  <c r="S735" i="4"/>
  <c r="S775" i="4"/>
  <c r="S774" i="4"/>
  <c r="S743" i="4"/>
  <c r="S707" i="4"/>
  <c r="R722" i="4"/>
  <c r="R721" i="4"/>
  <c r="S738" i="4"/>
  <c r="S682" i="4"/>
  <c r="S681" i="4"/>
  <c r="R719" i="4"/>
  <c r="S755" i="4"/>
  <c r="R753" i="4"/>
  <c r="R733" i="4"/>
  <c r="S715" i="4"/>
  <c r="R752" i="4"/>
  <c r="R732" i="4"/>
  <c r="S714" i="4"/>
  <c r="R731" i="4"/>
  <c r="S694" i="4"/>
  <c r="S674" i="4"/>
  <c r="R743" i="4"/>
  <c r="S688" i="4"/>
  <c r="R740" i="4"/>
  <c r="R691" i="4"/>
  <c r="S751" i="4"/>
  <c r="S731" i="4"/>
  <c r="R741" i="4"/>
  <c r="R748" i="4"/>
  <c r="R728" i="4"/>
  <c r="S654" i="4"/>
  <c r="R690" i="4"/>
  <c r="S710" i="4"/>
  <c r="R750" i="4"/>
  <c r="R730" i="4"/>
  <c r="S709" i="4"/>
  <c r="S749" i="4"/>
  <c r="S729" i="4"/>
  <c r="S748" i="4"/>
  <c r="S728" i="4"/>
  <c r="S727" i="4"/>
  <c r="R747" i="4"/>
  <c r="R729" i="4"/>
  <c r="R746" i="4"/>
  <c r="S754" i="4"/>
  <c r="S725" i="4"/>
  <c r="S705" i="4"/>
  <c r="R745" i="4"/>
  <c r="S753" i="4"/>
  <c r="S742" i="4"/>
  <c r="R744" i="4"/>
  <c r="S752" i="4"/>
  <c r="R702" i="4"/>
  <c r="S739" i="4"/>
  <c r="S722" i="4"/>
  <c r="R739" i="4"/>
  <c r="S734" i="4"/>
  <c r="R738" i="4"/>
  <c r="S733" i="4"/>
  <c r="S702" i="4"/>
  <c r="S737" i="4"/>
  <c r="S716" i="4"/>
  <c r="R716" i="4"/>
  <c r="S736" i="4"/>
  <c r="R755" i="4"/>
  <c r="R735" i="4"/>
  <c r="R751" i="4"/>
  <c r="R689" i="4"/>
  <c r="R688" i="4"/>
  <c r="S687" i="4"/>
  <c r="R727" i="4"/>
  <c r="R707" i="4"/>
  <c r="R670" i="4"/>
  <c r="R650" i="4"/>
  <c r="R726" i="4"/>
  <c r="R706" i="4"/>
  <c r="R720" i="4"/>
  <c r="S750" i="4"/>
  <c r="S730" i="4"/>
  <c r="R669" i="4"/>
  <c r="R649" i="4"/>
  <c r="S685" i="4"/>
  <c r="R725" i="4"/>
  <c r="R705" i="4"/>
  <c r="R715" i="4"/>
  <c r="R737" i="4"/>
  <c r="R668" i="4"/>
  <c r="R648" i="4"/>
  <c r="R724" i="4"/>
  <c r="R704" i="4"/>
  <c r="R714" i="4"/>
  <c r="R736" i="4"/>
  <c r="R639" i="4"/>
  <c r="S683" i="4"/>
  <c r="R723" i="4"/>
  <c r="R703" i="4"/>
  <c r="R713" i="4"/>
  <c r="S747" i="4"/>
  <c r="R682" i="4"/>
  <c r="S746" i="4"/>
  <c r="S721" i="4"/>
  <c r="S701" i="4"/>
  <c r="R701" i="4"/>
  <c r="S745" i="4"/>
  <c r="R700" i="4"/>
  <c r="S744" i="4"/>
  <c r="S679" i="4"/>
  <c r="S699" i="4"/>
  <c r="R634" i="4"/>
  <c r="S662" i="4"/>
  <c r="R718" i="4"/>
  <c r="R696" i="4"/>
  <c r="R676" i="4"/>
  <c r="S711" i="4"/>
  <c r="S658" i="4"/>
  <c r="R710" i="4"/>
  <c r="R629" i="4"/>
  <c r="S657" i="4"/>
  <c r="R712" i="4"/>
  <c r="S712" i="4"/>
  <c r="R686" i="4"/>
  <c r="S726" i="4"/>
  <c r="S706" i="4"/>
  <c r="R667" i="4"/>
  <c r="R584" i="4"/>
  <c r="R564" i="4"/>
  <c r="R666" i="4"/>
  <c r="R646" i="4"/>
  <c r="R684" i="4"/>
  <c r="S724" i="4"/>
  <c r="S704" i="4"/>
  <c r="S641" i="4"/>
  <c r="S665" i="4"/>
  <c r="S645" i="4"/>
  <c r="R694" i="4"/>
  <c r="S723" i="4"/>
  <c r="S703" i="4"/>
  <c r="R711" i="4"/>
  <c r="R693" i="4"/>
  <c r="R663" i="4"/>
  <c r="R681" i="4"/>
  <c r="R709" i="4"/>
  <c r="R647" i="4"/>
  <c r="R632" i="4"/>
  <c r="R662" i="4"/>
  <c r="S680" i="4"/>
  <c r="R687" i="4"/>
  <c r="S692" i="4"/>
  <c r="S672" i="4"/>
  <c r="R708" i="4"/>
  <c r="S631" i="4"/>
  <c r="S661" i="4"/>
  <c r="R699" i="4"/>
  <c r="R679" i="4"/>
  <c r="S719" i="4"/>
  <c r="R698" i="4"/>
  <c r="R678" i="4"/>
  <c r="R674" i="4"/>
  <c r="S718" i="4"/>
  <c r="R697" i="4"/>
  <c r="R677" i="4"/>
  <c r="R673" i="4"/>
  <c r="S717" i="4"/>
  <c r="S656" i="4"/>
  <c r="S655" i="4"/>
  <c r="S653" i="4"/>
  <c r="R685" i="4"/>
  <c r="S689" i="4"/>
  <c r="S686" i="4"/>
  <c r="S638" i="4"/>
  <c r="S618" i="4"/>
  <c r="R626" i="4"/>
  <c r="R660" i="4"/>
  <c r="S698" i="4"/>
  <c r="S678" i="4"/>
  <c r="S625" i="4"/>
  <c r="S659" i="4"/>
  <c r="S697" i="4"/>
  <c r="S677" i="4"/>
  <c r="S624" i="4"/>
  <c r="R658" i="4"/>
  <c r="S696" i="4"/>
  <c r="S676" i="4"/>
  <c r="R571" i="4"/>
  <c r="R643" i="4"/>
  <c r="R623" i="4"/>
  <c r="R657" i="4"/>
  <c r="S695" i="4"/>
  <c r="S675" i="4"/>
  <c r="R683" i="4"/>
  <c r="R656" i="4"/>
  <c r="S666" i="4"/>
  <c r="S646" i="4"/>
  <c r="R641" i="4"/>
  <c r="R621" i="4"/>
  <c r="R655" i="4"/>
  <c r="R665" i="4"/>
  <c r="R664" i="4"/>
  <c r="R644" i="4"/>
  <c r="R680" i="4"/>
  <c r="R653" i="4"/>
  <c r="S691" i="4"/>
  <c r="R640" i="4"/>
  <c r="R620" i="4"/>
  <c r="S652" i="4"/>
  <c r="S690" i="4"/>
  <c r="R671" i="4"/>
  <c r="R651" i="4"/>
  <c r="R661" i="4"/>
  <c r="R645" i="4"/>
  <c r="R635" i="4"/>
  <c r="S634" i="4"/>
  <c r="S636" i="4"/>
  <c r="S616" i="4"/>
  <c r="S668" i="4"/>
  <c r="S648" i="4"/>
  <c r="R631" i="4"/>
  <c r="R614" i="4"/>
  <c r="R594" i="4"/>
  <c r="S630" i="4"/>
  <c r="S664" i="4"/>
  <c r="S644" i="4"/>
  <c r="S629" i="4"/>
  <c r="S663" i="4"/>
  <c r="R612" i="4"/>
  <c r="R592" i="4"/>
  <c r="S628" i="4"/>
  <c r="S660" i="4"/>
  <c r="R587" i="4"/>
  <c r="R567" i="4"/>
  <c r="S639" i="4"/>
  <c r="S619" i="4"/>
  <c r="S671" i="4"/>
  <c r="S651" i="4"/>
  <c r="R659" i="4"/>
  <c r="S602" i="4"/>
  <c r="R638" i="4"/>
  <c r="R618" i="4"/>
  <c r="S670" i="4"/>
  <c r="S650" i="4"/>
  <c r="R637" i="4"/>
  <c r="R617" i="4"/>
  <c r="S669" i="4"/>
  <c r="S649" i="4"/>
  <c r="R636" i="4"/>
  <c r="R616" i="4"/>
  <c r="S667" i="4"/>
  <c r="S647" i="4"/>
  <c r="R582" i="4"/>
  <c r="R562" i="4"/>
  <c r="R654" i="4"/>
  <c r="R581" i="4"/>
  <c r="R561" i="4"/>
  <c r="R633" i="4"/>
  <c r="S632" i="4"/>
  <c r="R652" i="4"/>
  <c r="S539" i="4"/>
  <c r="R579" i="4"/>
  <c r="R615" i="4"/>
  <c r="R595" i="4"/>
  <c r="S626" i="4"/>
  <c r="R489" i="4"/>
  <c r="S621" i="4"/>
  <c r="S559" i="4"/>
  <c r="R611" i="4"/>
  <c r="R591" i="4"/>
  <c r="S627" i="4"/>
  <c r="S572" i="4"/>
  <c r="R558" i="4"/>
  <c r="S538" i="4"/>
  <c r="R642" i="4"/>
  <c r="R622" i="4"/>
  <c r="S516" i="4"/>
  <c r="R608" i="4"/>
  <c r="R588" i="4"/>
  <c r="S640" i="4"/>
  <c r="S620" i="4"/>
  <c r="R619" i="4"/>
  <c r="S643" i="4"/>
  <c r="S623" i="4"/>
  <c r="R501" i="4"/>
  <c r="R481" i="4"/>
  <c r="R517" i="4"/>
  <c r="S513" i="4"/>
  <c r="R559" i="4"/>
  <c r="S642" i="4"/>
  <c r="S622" i="4"/>
  <c r="R630" i="4"/>
  <c r="S570" i="4"/>
  <c r="R551" i="4"/>
  <c r="S615" i="4"/>
  <c r="R628" i="4"/>
  <c r="S608" i="4"/>
  <c r="S588" i="4"/>
  <c r="R627" i="4"/>
  <c r="S512" i="4"/>
  <c r="R548" i="4"/>
  <c r="S586" i="4"/>
  <c r="S566" i="4"/>
  <c r="S595" i="4"/>
  <c r="S604" i="4"/>
  <c r="S637" i="4"/>
  <c r="S617" i="4"/>
  <c r="R625" i="4"/>
  <c r="S547" i="4"/>
  <c r="R605" i="4"/>
  <c r="R624" i="4"/>
  <c r="S546" i="4"/>
  <c r="R602" i="4"/>
  <c r="S635" i="4"/>
  <c r="R601" i="4"/>
  <c r="S633" i="4"/>
  <c r="S599" i="4"/>
  <c r="S542" i="4"/>
  <c r="S578" i="4"/>
  <c r="R578" i="4"/>
  <c r="R566" i="4"/>
  <c r="R603" i="4"/>
  <c r="R575" i="4"/>
  <c r="S600" i="4"/>
  <c r="R573" i="4"/>
  <c r="R613" i="4"/>
  <c r="R593" i="4"/>
  <c r="R610" i="4"/>
  <c r="R590" i="4"/>
  <c r="R609" i="4"/>
  <c r="R589" i="4"/>
  <c r="R607" i="4"/>
  <c r="R606" i="4"/>
  <c r="R604" i="4"/>
  <c r="S601" i="4"/>
  <c r="S603" i="4"/>
  <c r="R600" i="4"/>
  <c r="S598" i="4"/>
  <c r="S597" i="4"/>
  <c r="S596" i="4"/>
  <c r="S614" i="4"/>
  <c r="S594" i="4"/>
  <c r="R580" i="4"/>
  <c r="R560" i="4"/>
  <c r="S613" i="4"/>
  <c r="S593" i="4"/>
  <c r="S487" i="4"/>
  <c r="R539" i="4"/>
  <c r="S579" i="4"/>
  <c r="S612" i="4"/>
  <c r="S592" i="4"/>
  <c r="S518" i="4"/>
  <c r="S558" i="4"/>
  <c r="R538" i="4"/>
  <c r="S575" i="4"/>
  <c r="S611" i="4"/>
  <c r="S591" i="4"/>
  <c r="R599" i="4"/>
  <c r="R545" i="4"/>
  <c r="R577" i="4"/>
  <c r="S573" i="4"/>
  <c r="S610" i="4"/>
  <c r="S590" i="4"/>
  <c r="R598" i="4"/>
  <c r="R576" i="4"/>
  <c r="S571" i="4"/>
  <c r="S609" i="4"/>
  <c r="S589" i="4"/>
  <c r="R597" i="4"/>
  <c r="R555" i="4"/>
  <c r="R535" i="4"/>
  <c r="R586" i="4"/>
  <c r="R596" i="4"/>
  <c r="S574" i="4"/>
  <c r="S607" i="4"/>
  <c r="S606" i="4"/>
  <c r="S605" i="4"/>
  <c r="S531" i="4"/>
  <c r="S511" i="4"/>
  <c r="S569" i="4"/>
  <c r="S568" i="4"/>
  <c r="R442" i="4"/>
  <c r="R422" i="4"/>
  <c r="R529" i="4"/>
  <c r="R509" i="4"/>
  <c r="R585" i="4"/>
  <c r="R565" i="4"/>
  <c r="R528" i="4"/>
  <c r="R508" i="4"/>
  <c r="S584" i="4"/>
  <c r="S564" i="4"/>
  <c r="R583" i="4"/>
  <c r="R563" i="4"/>
  <c r="R503" i="4"/>
  <c r="R483" i="4"/>
  <c r="S519" i="4"/>
  <c r="S587" i="4"/>
  <c r="S567" i="4"/>
  <c r="R502" i="4"/>
  <c r="R482" i="4"/>
  <c r="R518" i="4"/>
  <c r="S517" i="4"/>
  <c r="R557" i="4"/>
  <c r="R537" i="4"/>
  <c r="R574" i="4"/>
  <c r="R556" i="4"/>
  <c r="R536" i="4"/>
  <c r="S585" i="4"/>
  <c r="S565" i="4"/>
  <c r="R572" i="4"/>
  <c r="S499" i="4"/>
  <c r="S479" i="4"/>
  <c r="R554" i="4"/>
  <c r="R534" i="4"/>
  <c r="S583" i="4"/>
  <c r="S563" i="4"/>
  <c r="R480" i="4"/>
  <c r="R553" i="4"/>
  <c r="R533" i="4"/>
  <c r="S582" i="4"/>
  <c r="S562" i="4"/>
  <c r="R570" i="4"/>
  <c r="R500" i="4"/>
  <c r="R461" i="4"/>
  <c r="R552" i="4"/>
  <c r="R532" i="4"/>
  <c r="S581" i="4"/>
  <c r="S561" i="4"/>
  <c r="R569" i="4"/>
  <c r="S580" i="4"/>
  <c r="S560" i="4"/>
  <c r="R568" i="4"/>
  <c r="R495" i="4"/>
  <c r="R531" i="4"/>
  <c r="R511" i="4"/>
  <c r="R550" i="4"/>
  <c r="R530" i="4"/>
  <c r="R510" i="4"/>
  <c r="R549" i="4"/>
  <c r="S555" i="4"/>
  <c r="S577" i="4"/>
  <c r="S576" i="4"/>
  <c r="S535" i="4"/>
  <c r="S486" i="4"/>
  <c r="S545" i="4"/>
  <c r="S544" i="4"/>
  <c r="R488" i="4"/>
  <c r="R524" i="4"/>
  <c r="R504" i="4"/>
  <c r="S543" i="4"/>
  <c r="R547" i="4"/>
  <c r="R546" i="4"/>
  <c r="R522" i="4"/>
  <c r="S541" i="4"/>
  <c r="S540" i="4"/>
  <c r="R544" i="4"/>
  <c r="R477" i="4"/>
  <c r="R497" i="4"/>
  <c r="S503" i="4"/>
  <c r="S510" i="4"/>
  <c r="S557" i="4"/>
  <c r="S537" i="4"/>
  <c r="S462" i="4"/>
  <c r="S502" i="4"/>
  <c r="R515" i="4"/>
  <c r="S509" i="4"/>
  <c r="S556" i="4"/>
  <c r="S536" i="4"/>
  <c r="S501" i="4"/>
  <c r="R514" i="4"/>
  <c r="R519" i="4"/>
  <c r="R543" i="4"/>
  <c r="R492" i="4"/>
  <c r="R513" i="4"/>
  <c r="S554" i="4"/>
  <c r="S534" i="4"/>
  <c r="R542" i="4"/>
  <c r="R491" i="4"/>
  <c r="R512" i="4"/>
  <c r="S553" i="4"/>
  <c r="S533" i="4"/>
  <c r="R541" i="4"/>
  <c r="R516" i="4"/>
  <c r="S552" i="4"/>
  <c r="S532" i="4"/>
  <c r="R540" i="4"/>
  <c r="S551" i="4"/>
  <c r="S550" i="4"/>
  <c r="S549" i="4"/>
  <c r="S488" i="4"/>
  <c r="R527" i="4"/>
  <c r="R507" i="4"/>
  <c r="S548" i="4"/>
  <c r="R526" i="4"/>
  <c r="R506" i="4"/>
  <c r="S515" i="4"/>
  <c r="R448" i="4"/>
  <c r="S485" i="4"/>
  <c r="R525" i="4"/>
  <c r="R505" i="4"/>
  <c r="S514" i="4"/>
  <c r="R449" i="4"/>
  <c r="R523" i="4"/>
  <c r="S530" i="4"/>
  <c r="R521" i="4"/>
  <c r="S529" i="4"/>
  <c r="S459" i="4"/>
  <c r="R520" i="4"/>
  <c r="R498" i="4"/>
  <c r="R478" i="4"/>
  <c r="R474" i="4"/>
  <c r="R454" i="4"/>
  <c r="R493" i="4"/>
  <c r="S500" i="4"/>
  <c r="S528" i="4"/>
  <c r="S508" i="4"/>
  <c r="S400" i="4"/>
  <c r="R472" i="4"/>
  <c r="R452" i="4"/>
  <c r="S491" i="4"/>
  <c r="S527" i="4"/>
  <c r="S507" i="4"/>
  <c r="R471" i="4"/>
  <c r="R451" i="4"/>
  <c r="S490" i="4"/>
  <c r="S483" i="4"/>
  <c r="S526" i="4"/>
  <c r="S506" i="4"/>
  <c r="R418" i="4"/>
  <c r="S430" i="4"/>
  <c r="S470" i="4"/>
  <c r="S450" i="4"/>
  <c r="S489" i="4"/>
  <c r="S482" i="4"/>
  <c r="S525" i="4"/>
  <c r="S505" i="4"/>
  <c r="R417" i="4"/>
  <c r="R397" i="4"/>
  <c r="R469" i="4"/>
  <c r="S468" i="4"/>
  <c r="S448" i="4"/>
  <c r="S481" i="4"/>
  <c r="S524" i="4"/>
  <c r="S504" i="4"/>
  <c r="R468" i="4"/>
  <c r="S480" i="4"/>
  <c r="S523" i="4"/>
  <c r="R494" i="4"/>
  <c r="R467" i="4"/>
  <c r="S474" i="4"/>
  <c r="R499" i="4"/>
  <c r="S522" i="4"/>
  <c r="R475" i="4"/>
  <c r="S521" i="4"/>
  <c r="R455" i="4"/>
  <c r="S484" i="4"/>
  <c r="R490" i="4"/>
  <c r="S520" i="4"/>
  <c r="S463" i="4"/>
  <c r="R462" i="4"/>
  <c r="R479" i="4"/>
  <c r="S460" i="4"/>
  <c r="S441" i="4"/>
  <c r="S457" i="4"/>
  <c r="R496" i="4"/>
  <c r="R476" i="4"/>
  <c r="R487" i="4"/>
  <c r="S475" i="4"/>
  <c r="S498" i="4"/>
  <c r="S478" i="4"/>
  <c r="R486" i="4"/>
  <c r="R430" i="4"/>
  <c r="R466" i="4"/>
  <c r="S497" i="4"/>
  <c r="S477" i="4"/>
  <c r="R485" i="4"/>
  <c r="S496" i="4"/>
  <c r="S476" i="4"/>
  <c r="R484" i="4"/>
  <c r="R465" i="4"/>
  <c r="S465" i="4"/>
  <c r="R324" i="4"/>
  <c r="R360" i="4"/>
  <c r="R340" i="4"/>
  <c r="R464" i="4"/>
  <c r="S464" i="4"/>
  <c r="S495" i="4"/>
  <c r="S323" i="4"/>
  <c r="S494" i="4"/>
  <c r="R446" i="4"/>
  <c r="R426" i="4"/>
  <c r="S461" i="4"/>
  <c r="S493" i="4"/>
  <c r="R445" i="4"/>
  <c r="R425" i="4"/>
  <c r="S492" i="4"/>
  <c r="R460" i="4"/>
  <c r="S455" i="4"/>
  <c r="R459" i="4"/>
  <c r="S454" i="4"/>
  <c r="S458" i="4"/>
  <c r="R470" i="4"/>
  <c r="S405" i="4"/>
  <c r="S421" i="4"/>
  <c r="R404" i="4"/>
  <c r="S440" i="4"/>
  <c r="S420" i="4"/>
  <c r="S456" i="4"/>
  <c r="S469" i="4"/>
  <c r="S449" i="4"/>
  <c r="S403" i="4"/>
  <c r="S439" i="4"/>
  <c r="R463" i="4"/>
  <c r="S434" i="4"/>
  <c r="R401" i="4"/>
  <c r="S433" i="4"/>
  <c r="R473" i="4"/>
  <c r="R453" i="4"/>
  <c r="R450" i="4"/>
  <c r="S435" i="4"/>
  <c r="R394" i="4"/>
  <c r="S393" i="4"/>
  <c r="S376" i="4"/>
  <c r="R433" i="4"/>
  <c r="R441" i="4"/>
  <c r="S473" i="4"/>
  <c r="S453" i="4"/>
  <c r="S307" i="4"/>
  <c r="R359" i="4"/>
  <c r="R339" i="4"/>
  <c r="R375" i="4"/>
  <c r="S404" i="4"/>
  <c r="R412" i="4"/>
  <c r="R392" i="4"/>
  <c r="R432" i="4"/>
  <c r="R440" i="4"/>
  <c r="S472" i="4"/>
  <c r="S452" i="4"/>
  <c r="R358" i="4"/>
  <c r="R338" i="4"/>
  <c r="S362" i="4"/>
  <c r="S374" i="4"/>
  <c r="S410" i="4"/>
  <c r="R411" i="4"/>
  <c r="R431" i="4"/>
  <c r="R439" i="4"/>
  <c r="S471" i="4"/>
  <c r="S451" i="4"/>
  <c r="R414" i="4"/>
  <c r="R337" i="4"/>
  <c r="S373" i="4"/>
  <c r="S409" i="4"/>
  <c r="R410" i="4"/>
  <c r="R398" i="4"/>
  <c r="R458" i="4"/>
  <c r="R336" i="4"/>
  <c r="S372" i="4"/>
  <c r="R409" i="4"/>
  <c r="S429" i="4"/>
  <c r="R438" i="4"/>
  <c r="R457" i="4"/>
  <c r="S413" i="4"/>
  <c r="R393" i="4"/>
  <c r="S428" i="4"/>
  <c r="R421" i="4"/>
  <c r="S437" i="4"/>
  <c r="R456" i="4"/>
  <c r="R434" i="4"/>
  <c r="R390" i="4"/>
  <c r="R447" i="4"/>
  <c r="R427" i="4"/>
  <c r="R420" i="4"/>
  <c r="R436" i="4"/>
  <c r="S467" i="4"/>
  <c r="S466" i="4"/>
  <c r="R403" i="4"/>
  <c r="R444" i="4"/>
  <c r="R424" i="4"/>
  <c r="S402" i="4"/>
  <c r="R443" i="4"/>
  <c r="R423" i="4"/>
  <c r="S442" i="4"/>
  <c r="S422" i="4"/>
  <c r="R367" i="4"/>
  <c r="R384" i="4"/>
  <c r="S438" i="4"/>
  <c r="R364" i="4"/>
  <c r="S416" i="4"/>
  <c r="S396" i="4"/>
  <c r="R437" i="4"/>
  <c r="S432" i="4"/>
  <c r="R415" i="4"/>
  <c r="R395" i="4"/>
  <c r="S431" i="4"/>
  <c r="R355" i="4"/>
  <c r="S447" i="4"/>
  <c r="S427" i="4"/>
  <c r="R435" i="4"/>
  <c r="S446" i="4"/>
  <c r="S426" i="4"/>
  <c r="R408" i="4"/>
  <c r="S408" i="4"/>
  <c r="S445" i="4"/>
  <c r="S425" i="4"/>
  <c r="S356" i="4"/>
  <c r="R387" i="4"/>
  <c r="R407" i="4"/>
  <c r="S407" i="4"/>
  <c r="S444" i="4"/>
  <c r="S424" i="4"/>
  <c r="S443" i="4"/>
  <c r="S423" i="4"/>
  <c r="R385" i="4"/>
  <c r="R365" i="4"/>
  <c r="S383" i="4"/>
  <c r="S375" i="4"/>
  <c r="R429" i="4"/>
  <c r="S382" i="4"/>
  <c r="R428" i="4"/>
  <c r="S381" i="4"/>
  <c r="R416" i="4"/>
  <c r="S363" i="4"/>
  <c r="S343" i="4"/>
  <c r="R380" i="4"/>
  <c r="R382" i="4"/>
  <c r="S401" i="4"/>
  <c r="R413" i="4"/>
  <c r="S342" i="4"/>
  <c r="R376" i="4"/>
  <c r="R361" i="4"/>
  <c r="R341" i="4"/>
  <c r="R419" i="4"/>
  <c r="R399" i="4"/>
  <c r="S436" i="4"/>
  <c r="R377" i="4"/>
  <c r="S418" i="4"/>
  <c r="S398" i="4"/>
  <c r="S406" i="4"/>
  <c r="R322" i="4"/>
  <c r="S412" i="4"/>
  <c r="S392" i="4"/>
  <c r="R396" i="4"/>
  <c r="S336" i="4"/>
  <c r="S379" i="4"/>
  <c r="S411" i="4"/>
  <c r="R312" i="4"/>
  <c r="S349" i="4"/>
  <c r="R389" i="4"/>
  <c r="R369" i="4"/>
  <c r="S419" i="4"/>
  <c r="S399" i="4"/>
  <c r="S331" i="4"/>
  <c r="S311" i="4"/>
  <c r="S348" i="4"/>
  <c r="R388" i="4"/>
  <c r="R368" i="4"/>
  <c r="R381" i="4"/>
  <c r="R406" i="4"/>
  <c r="R357" i="4"/>
  <c r="S315" i="4"/>
  <c r="S290" i="4"/>
  <c r="R330" i="4"/>
  <c r="R310" i="4"/>
  <c r="R347" i="4"/>
  <c r="S347" i="4"/>
  <c r="S387" i="4"/>
  <c r="S367" i="4"/>
  <c r="S417" i="4"/>
  <c r="S397" i="4"/>
  <c r="R405" i="4"/>
  <c r="R329" i="4"/>
  <c r="R309" i="4"/>
  <c r="R386" i="4"/>
  <c r="R366" i="4"/>
  <c r="R308" i="4"/>
  <c r="S385" i="4"/>
  <c r="S365" i="4"/>
  <c r="S378" i="4"/>
  <c r="S415" i="4"/>
  <c r="S395" i="4"/>
  <c r="S335" i="4"/>
  <c r="R323" i="4"/>
  <c r="S384" i="4"/>
  <c r="S364" i="4"/>
  <c r="S414" i="4"/>
  <c r="S394" i="4"/>
  <c r="R402" i="4"/>
  <c r="S325" i="4"/>
  <c r="R362" i="4"/>
  <c r="R342" i="4"/>
  <c r="R400" i="4"/>
  <c r="S377" i="4"/>
  <c r="R379" i="4"/>
  <c r="R354" i="4"/>
  <c r="S320" i="4"/>
  <c r="R334" i="4"/>
  <c r="R314" i="4"/>
  <c r="R351" i="4"/>
  <c r="S351" i="4"/>
  <c r="R391" i="4"/>
  <c r="R371" i="4"/>
  <c r="S350" i="4"/>
  <c r="S390" i="4"/>
  <c r="S370" i="4"/>
  <c r="R370" i="4"/>
  <c r="R383" i="4"/>
  <c r="R326" i="4"/>
  <c r="R317" i="4"/>
  <c r="R349" i="4"/>
  <c r="S391" i="4"/>
  <c r="S371" i="4"/>
  <c r="R325" i="4"/>
  <c r="R378" i="4"/>
  <c r="S389" i="4"/>
  <c r="S369" i="4"/>
  <c r="S334" i="4"/>
  <c r="S368" i="4"/>
  <c r="S345" i="4"/>
  <c r="R356" i="4"/>
  <c r="S357" i="4"/>
  <c r="S337" i="4"/>
  <c r="S346" i="4"/>
  <c r="S388" i="4"/>
  <c r="R305" i="4"/>
  <c r="S285" i="4"/>
  <c r="S321" i="4"/>
  <c r="R332" i="4"/>
  <c r="S344" i="4"/>
  <c r="S386" i="4"/>
  <c r="S366" i="4"/>
  <c r="R374" i="4"/>
  <c r="R320" i="4"/>
  <c r="R363" i="4"/>
  <c r="R343" i="4"/>
  <c r="R348" i="4"/>
  <c r="R373" i="4"/>
  <c r="R303" i="4"/>
  <c r="R372" i="4"/>
  <c r="R302" i="4"/>
  <c r="R282" i="4"/>
  <c r="R353" i="4"/>
  <c r="S380" i="4"/>
  <c r="S354" i="4"/>
  <c r="R293" i="4"/>
  <c r="R352" i="4"/>
  <c r="S352" i="4"/>
  <c r="R327" i="4"/>
  <c r="S287" i="4"/>
  <c r="S317" i="4"/>
  <c r="S319" i="4"/>
  <c r="R350" i="4"/>
  <c r="R300" i="4"/>
  <c r="R280" i="4"/>
  <c r="S318" i="4"/>
  <c r="S361" i="4"/>
  <c r="S341" i="4"/>
  <c r="S305" i="4"/>
  <c r="S314" i="4"/>
  <c r="S360" i="4"/>
  <c r="S340" i="4"/>
  <c r="R304" i="4"/>
  <c r="S316" i="4"/>
  <c r="S309" i="4"/>
  <c r="S359" i="4"/>
  <c r="S339" i="4"/>
  <c r="R297" i="4"/>
  <c r="R335" i="4"/>
  <c r="R315" i="4"/>
  <c r="S358" i="4"/>
  <c r="S338" i="4"/>
  <c r="R346" i="4"/>
  <c r="R345" i="4"/>
  <c r="R295" i="4"/>
  <c r="R333" i="4"/>
  <c r="R313" i="4"/>
  <c r="R331" i="4"/>
  <c r="R344" i="4"/>
  <c r="S294" i="4"/>
  <c r="S332" i="4"/>
  <c r="S312" i="4"/>
  <c r="S355" i="4"/>
  <c r="S353" i="4"/>
  <c r="S296" i="4"/>
  <c r="S328" i="4"/>
  <c r="S308" i="4"/>
  <c r="R328" i="4"/>
  <c r="S329" i="4"/>
  <c r="R311" i="4"/>
  <c r="R286" i="4"/>
  <c r="S326" i="4"/>
  <c r="S322" i="4"/>
  <c r="S324" i="4"/>
  <c r="R306" i="4"/>
  <c r="S303" i="4"/>
  <c r="R283" i="4"/>
  <c r="R294" i="4"/>
  <c r="S304" i="4"/>
  <c r="R284" i="4"/>
  <c r="S333" i="4"/>
  <c r="S313" i="4"/>
  <c r="R321" i="4"/>
  <c r="R285" i="4"/>
  <c r="R319" i="4"/>
  <c r="R301" i="4"/>
  <c r="R281" i="4"/>
  <c r="S330" i="4"/>
  <c r="S310" i="4"/>
  <c r="R318" i="4"/>
  <c r="R299" i="4"/>
  <c r="R316" i="4"/>
  <c r="R298" i="4"/>
  <c r="S306" i="4"/>
  <c r="S291" i="4"/>
  <c r="S327" i="4"/>
  <c r="R296" i="4"/>
  <c r="S300" i="4"/>
  <c r="S293" i="4"/>
  <c r="S295" i="4"/>
  <c r="S292" i="4"/>
  <c r="R290" i="4"/>
  <c r="S289" i="4"/>
  <c r="S280" i="4"/>
  <c r="S286" i="4"/>
  <c r="S288" i="4"/>
  <c r="R307" i="4"/>
  <c r="R287" i="4"/>
  <c r="S284" i="4"/>
  <c r="R292" i="4"/>
  <c r="S283" i="4"/>
  <c r="R291" i="4"/>
  <c r="S302" i="4"/>
  <c r="S282" i="4"/>
  <c r="S301" i="4"/>
  <c r="S281" i="4"/>
  <c r="R289" i="4"/>
  <c r="R288" i="4"/>
  <c r="S299" i="4"/>
  <c r="S298" i="4"/>
  <c r="S297" i="4"/>
  <c r="S265" i="4"/>
  <c r="C60" i="62"/>
  <c r="R273" i="4"/>
  <c r="R263" i="4"/>
  <c r="R277" i="4"/>
  <c r="S271" i="4"/>
  <c r="S259" i="4"/>
  <c r="R276" i="4"/>
  <c r="S254" i="4"/>
  <c r="R256" i="4"/>
  <c r="R253" i="4"/>
  <c r="S263" i="4"/>
  <c r="R279" i="4"/>
  <c r="S279" i="4"/>
  <c r="R264" i="4"/>
  <c r="S264" i="4"/>
  <c r="R228" i="4"/>
  <c r="R268" i="4"/>
  <c r="R252" i="4"/>
  <c r="R254" i="4"/>
  <c r="R275" i="4"/>
  <c r="R274" i="4"/>
  <c r="R262" i="4"/>
  <c r="S268" i="4"/>
  <c r="R255" i="4"/>
  <c r="R266" i="4"/>
  <c r="S269" i="4"/>
  <c r="S267" i="4"/>
  <c r="S277" i="4"/>
  <c r="R257" i="4"/>
  <c r="R272" i="4"/>
  <c r="R271" i="4"/>
  <c r="S262" i="4"/>
  <c r="S257" i="4"/>
  <c r="S261" i="4"/>
  <c r="S260" i="4"/>
  <c r="S266" i="4"/>
  <c r="R278" i="4"/>
  <c r="R258" i="4"/>
  <c r="R269" i="4"/>
  <c r="S255" i="4"/>
  <c r="S274" i="4"/>
  <c r="S275" i="4"/>
  <c r="S272" i="4"/>
  <c r="S252" i="4"/>
  <c r="R265" i="4"/>
  <c r="R270" i="4"/>
  <c r="R267" i="4"/>
  <c r="S278" i="4"/>
  <c r="S258" i="4"/>
  <c r="S276" i="4"/>
  <c r="S256" i="4"/>
  <c r="S273" i="4"/>
  <c r="S253" i="4"/>
  <c r="R261" i="4"/>
  <c r="R260" i="4"/>
  <c r="R259" i="4"/>
  <c r="S270" i="4"/>
  <c r="R239" i="4"/>
  <c r="S238" i="4"/>
  <c r="S237" i="4"/>
  <c r="S232" i="4"/>
  <c r="S227" i="4"/>
  <c r="R246" i="4"/>
  <c r="R245" i="4"/>
  <c r="R225" i="4"/>
  <c r="R226" i="4"/>
  <c r="R244" i="4"/>
  <c r="R224" i="4"/>
  <c r="R227" i="4"/>
  <c r="S231" i="4"/>
  <c r="S233" i="4"/>
  <c r="C25" i="62"/>
  <c r="C14" i="62"/>
  <c r="R248" i="4"/>
  <c r="R247" i="4"/>
  <c r="S246" i="4"/>
  <c r="S240" i="4"/>
  <c r="S226" i="4"/>
  <c r="S249" i="4"/>
  <c r="S234" i="4"/>
  <c r="S236" i="4"/>
  <c r="R235" i="4"/>
  <c r="S247" i="4"/>
  <c r="R251" i="4"/>
  <c r="R231" i="4"/>
  <c r="R233" i="4"/>
  <c r="R250" i="4"/>
  <c r="R230" i="4"/>
  <c r="S239" i="4"/>
  <c r="R249" i="4"/>
  <c r="R229" i="4"/>
  <c r="R240" i="4"/>
  <c r="S248" i="4"/>
  <c r="S228" i="4"/>
  <c r="R237" i="4"/>
  <c r="R234" i="4"/>
  <c r="S251" i="4"/>
  <c r="R243" i="4"/>
  <c r="R242" i="4"/>
  <c r="R241" i="4"/>
  <c r="R236" i="4"/>
  <c r="S235" i="4"/>
  <c r="S229" i="4"/>
  <c r="S250" i="4"/>
  <c r="S230" i="4"/>
  <c r="R238" i="4"/>
  <c r="S245" i="4"/>
  <c r="S225" i="4"/>
  <c r="S244" i="4"/>
  <c r="S224" i="4"/>
  <c r="R232" i="4"/>
  <c r="S243" i="4"/>
  <c r="S242" i="4"/>
  <c r="S241" i="4"/>
  <c r="I43" i="45" l="1"/>
  <c r="I32" i="45"/>
  <c r="I42" i="45"/>
  <c r="I40" i="45"/>
  <c r="I27" i="45"/>
  <c r="I39" i="45"/>
  <c r="I38" i="45"/>
  <c r="O202" i="4"/>
  <c r="O203" i="4"/>
  <c r="O204" i="4"/>
  <c r="O205" i="4"/>
  <c r="O206" i="4"/>
  <c r="O207" i="4"/>
  <c r="O208" i="4"/>
  <c r="O209" i="4"/>
  <c r="O210" i="4"/>
  <c r="O211" i="4"/>
  <c r="O212" i="4"/>
  <c r="O213" i="4"/>
  <c r="O214" i="4"/>
  <c r="O215" i="4"/>
  <c r="O216" i="4"/>
  <c r="O217" i="4"/>
  <c r="O218" i="4"/>
  <c r="O219" i="4"/>
  <c r="O220" i="4"/>
  <c r="O221" i="4"/>
  <c r="O222" i="4"/>
  <c r="O223" i="4"/>
  <c r="P202" i="4"/>
  <c r="P203" i="4"/>
  <c r="P204" i="4"/>
  <c r="P205" i="4"/>
  <c r="P206" i="4"/>
  <c r="P207" i="4"/>
  <c r="P208" i="4"/>
  <c r="P209" i="4"/>
  <c r="P210" i="4"/>
  <c r="P211" i="4"/>
  <c r="P212" i="4"/>
  <c r="P213" i="4"/>
  <c r="P214" i="4"/>
  <c r="P215" i="4"/>
  <c r="P216" i="4"/>
  <c r="P217" i="4"/>
  <c r="P218" i="4"/>
  <c r="P219" i="4"/>
  <c r="P220" i="4"/>
  <c r="P221" i="4"/>
  <c r="P222" i="4"/>
  <c r="P223" i="4"/>
  <c r="Q202" i="4"/>
  <c r="Q203" i="4"/>
  <c r="Q204" i="4"/>
  <c r="Q205" i="4"/>
  <c r="Q206" i="4"/>
  <c r="Q207" i="4"/>
  <c r="Q208" i="4"/>
  <c r="Q209" i="4"/>
  <c r="Q210" i="4"/>
  <c r="Q211" i="4"/>
  <c r="Q212" i="4"/>
  <c r="Q213" i="4"/>
  <c r="Q214" i="4"/>
  <c r="Q215" i="4"/>
  <c r="Q216" i="4"/>
  <c r="Q217" i="4"/>
  <c r="Q218" i="4"/>
  <c r="Q219" i="4"/>
  <c r="Q220" i="4"/>
  <c r="Q221" i="4"/>
  <c r="Q222" i="4"/>
  <c r="Q223" i="4"/>
  <c r="T202" i="4"/>
  <c r="T203" i="4"/>
  <c r="T204" i="4"/>
  <c r="T205" i="4"/>
  <c r="T206" i="4"/>
  <c r="T207" i="4"/>
  <c r="T208" i="4"/>
  <c r="T209" i="4"/>
  <c r="T210" i="4"/>
  <c r="T211" i="4"/>
  <c r="T212" i="4"/>
  <c r="T213" i="4"/>
  <c r="T214" i="4"/>
  <c r="T215" i="4"/>
  <c r="T216" i="4"/>
  <c r="T217" i="4"/>
  <c r="T218" i="4"/>
  <c r="T219" i="4"/>
  <c r="T220" i="4"/>
  <c r="T221" i="4"/>
  <c r="T222" i="4"/>
  <c r="T223" i="4"/>
  <c r="U202" i="4"/>
  <c r="U203" i="4"/>
  <c r="U204" i="4"/>
  <c r="U205" i="4"/>
  <c r="U206" i="4"/>
  <c r="U207" i="4"/>
  <c r="U208" i="4"/>
  <c r="U209" i="4"/>
  <c r="U210" i="4"/>
  <c r="U211" i="4"/>
  <c r="U212" i="4"/>
  <c r="U213" i="4"/>
  <c r="U214" i="4"/>
  <c r="U215" i="4"/>
  <c r="U216" i="4"/>
  <c r="U217" i="4"/>
  <c r="U218" i="4"/>
  <c r="U219" i="4"/>
  <c r="U220" i="4"/>
  <c r="U221" i="4"/>
  <c r="U222" i="4"/>
  <c r="U223" i="4"/>
  <c r="V202" i="4"/>
  <c r="V203" i="4"/>
  <c r="V204" i="4"/>
  <c r="V205" i="4"/>
  <c r="V206" i="4"/>
  <c r="V207" i="4"/>
  <c r="V208" i="4"/>
  <c r="V209" i="4"/>
  <c r="V210" i="4"/>
  <c r="V211" i="4"/>
  <c r="V212" i="4"/>
  <c r="V213" i="4"/>
  <c r="V214" i="4"/>
  <c r="V215" i="4"/>
  <c r="V216" i="4"/>
  <c r="V217" i="4"/>
  <c r="V218" i="4"/>
  <c r="V219" i="4"/>
  <c r="V220" i="4"/>
  <c r="V221" i="4"/>
  <c r="V222" i="4"/>
  <c r="V223" i="4"/>
  <c r="R205" i="4" l="1"/>
  <c r="R202" i="4"/>
  <c r="S221" i="4"/>
  <c r="R220" i="4"/>
  <c r="S208" i="4"/>
  <c r="R212" i="4"/>
  <c r="R211" i="4"/>
  <c r="R210" i="4"/>
  <c r="S223" i="4"/>
  <c r="S203" i="4"/>
  <c r="R222" i="4"/>
  <c r="S202" i="4"/>
  <c r="R219" i="4"/>
  <c r="R204" i="4"/>
  <c r="R217" i="4"/>
  <c r="R216" i="4"/>
  <c r="S213" i="4"/>
  <c r="S220" i="4"/>
  <c r="S215" i="4"/>
  <c r="S214" i="4"/>
  <c r="S209" i="4"/>
  <c r="S222" i="4"/>
  <c r="R218" i="4"/>
  <c r="S219" i="4"/>
  <c r="R213" i="4"/>
  <c r="S205" i="4"/>
  <c r="R209" i="4"/>
  <c r="R207" i="4"/>
  <c r="R208" i="4"/>
  <c r="R206" i="4"/>
  <c r="S204" i="4"/>
  <c r="R223" i="4"/>
  <c r="R203" i="4"/>
  <c r="S217" i="4"/>
  <c r="S211" i="4"/>
  <c r="R215" i="4"/>
  <c r="S212" i="4"/>
  <c r="R214" i="4"/>
  <c r="S210" i="4"/>
  <c r="S207" i="4"/>
  <c r="R221" i="4"/>
  <c r="S206" i="4"/>
  <c r="S218" i="4"/>
  <c r="S216" i="4"/>
  <c r="O174" i="4" l="1"/>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O3" i="62"/>
  <c r="O8" i="62"/>
  <c r="O7" i="62"/>
  <c r="O6" i="62"/>
  <c r="O5" i="62"/>
  <c r="O4" i="62"/>
  <c r="K6" i="62"/>
  <c r="K5" i="62"/>
  <c r="K8" i="62"/>
  <c r="K7" i="62"/>
  <c r="K4" i="62"/>
  <c r="C51" i="62"/>
  <c r="N3" i="62" a="1"/>
  <c r="N8" i="62"/>
  <c r="N4" i="62"/>
  <c r="C18" i="62"/>
  <c r="N7" i="62"/>
  <c r="N6" i="62"/>
  <c r="N5" i="62"/>
  <c r="C19" i="62"/>
  <c r="R177" i="4" l="1"/>
  <c r="R194" i="4"/>
  <c r="R199" i="4"/>
  <c r="R179" i="4"/>
  <c r="S189" i="4"/>
  <c r="S196" i="4"/>
  <c r="S176" i="4"/>
  <c r="S195" i="4"/>
  <c r="R175" i="4"/>
  <c r="R193" i="4"/>
  <c r="R183" i="4"/>
  <c r="R188" i="4"/>
  <c r="S194" i="4"/>
  <c r="S183" i="4"/>
  <c r="R201" i="4"/>
  <c r="R181" i="4"/>
  <c r="R200" i="4"/>
  <c r="R180" i="4"/>
  <c r="R198" i="4"/>
  <c r="R178" i="4"/>
  <c r="R197" i="4"/>
  <c r="S188" i="4"/>
  <c r="R174" i="4"/>
  <c r="R191" i="4"/>
  <c r="R192" i="4"/>
  <c r="S186" i="4"/>
  <c r="S185" i="4"/>
  <c r="R190" i="4"/>
  <c r="S187" i="4"/>
  <c r="S174" i="4"/>
  <c r="S175" i="4"/>
  <c r="R186" i="4"/>
  <c r="R196" i="4"/>
  <c r="R185" i="4"/>
  <c r="S184" i="4"/>
  <c r="R195" i="4"/>
  <c r="S182" i="4"/>
  <c r="S192" i="4"/>
  <c r="R176" i="4"/>
  <c r="S191" i="4"/>
  <c r="S197" i="4"/>
  <c r="S177" i="4"/>
  <c r="S190" i="4"/>
  <c r="R189" i="4"/>
  <c r="S193" i="4"/>
  <c r="S200" i="4"/>
  <c r="S180" i="4"/>
  <c r="S181" i="4"/>
  <c r="S199" i="4"/>
  <c r="S179" i="4"/>
  <c r="R187" i="4"/>
  <c r="S201" i="4"/>
  <c r="S198" i="4"/>
  <c r="S178" i="4"/>
  <c r="R184" i="4"/>
  <c r="R182" i="4"/>
  <c r="N3" i="62"/>
  <c r="AA50" i="50"/>
  <c r="R6" i="62"/>
  <c r="R7" i="62"/>
  <c r="R3" i="62" a="1"/>
  <c r="R4" i="62"/>
  <c r="C32" i="62"/>
  <c r="R8" i="62"/>
  <c r="C31" i="62"/>
  <c r="R5" i="62"/>
  <c r="R3" i="62" l="1"/>
  <c r="J6" i="62"/>
  <c r="AJ8" i="62"/>
  <c r="AJ7" i="62"/>
  <c r="J7" i="62"/>
  <c r="J8" i="62" s="1"/>
  <c r="G8" i="62" s="1"/>
  <c r="AJ5" i="62"/>
  <c r="AJ4" i="62"/>
  <c r="Q50" i="50" a="1"/>
  <c r="Q50" i="50" s="1"/>
  <c r="Q51" i="50" a="1"/>
  <c r="Q51" i="50" s="1"/>
  <c r="Q52" i="50" a="1"/>
  <c r="Q52" i="50" s="1"/>
  <c r="Q53" i="50" a="1"/>
  <c r="Q53" i="50" s="1"/>
  <c r="Q54" i="50" a="1"/>
  <c r="Q54" i="50" s="1"/>
  <c r="Q55" i="50" a="1"/>
  <c r="Q55" i="50" s="1"/>
  <c r="Q56" i="50" a="1"/>
  <c r="Q56" i="50" s="1"/>
  <c r="Q57" i="50" a="1"/>
  <c r="Q57" i="50" s="1"/>
  <c r="Q58" i="50" a="1"/>
  <c r="Q58" i="50" s="1"/>
  <c r="Q59" i="50" a="1"/>
  <c r="Q59" i="50" s="1"/>
  <c r="Q60" i="50" a="1"/>
  <c r="Q60" i="50" s="1"/>
  <c r="Q61" i="50" a="1"/>
  <c r="Q61" i="50" s="1"/>
  <c r="Q62" i="50" a="1"/>
  <c r="Q62" i="50" s="1"/>
  <c r="Q63" i="50" a="1"/>
  <c r="Q63" i="50" s="1"/>
  <c r="Q64" i="50" a="1"/>
  <c r="Q64" i="50" s="1"/>
  <c r="Q65" i="50" a="1"/>
  <c r="Q65" i="50" s="1"/>
  <c r="Q66" i="50" a="1"/>
  <c r="Q66" i="50" s="1"/>
  <c r="Q67" i="50" a="1"/>
  <c r="Q67" i="50" s="1"/>
  <c r="Q68" i="50" a="1"/>
  <c r="Q68" i="50" s="1"/>
  <c r="Q69" i="50" a="1"/>
  <c r="Q69" i="50" s="1"/>
  <c r="Q70" i="50" a="1"/>
  <c r="Q70" i="50" s="1"/>
  <c r="Q71" i="50" a="1"/>
  <c r="Q71" i="50" s="1"/>
  <c r="Q72" i="50" a="1"/>
  <c r="Q72" i="50" s="1"/>
  <c r="Q73" i="50" a="1"/>
  <c r="Q73" i="50" s="1"/>
  <c r="Q74" i="50" a="1"/>
  <c r="Q74" i="50" s="1"/>
  <c r="Q75" i="50" a="1"/>
  <c r="Q75" i="50" s="1"/>
  <c r="Q76" i="50" a="1"/>
  <c r="Q76" i="50" s="1"/>
  <c r="Q77" i="50" a="1"/>
  <c r="Q77" i="50" s="1"/>
  <c r="Q78" i="50" a="1"/>
  <c r="Q78" i="50" s="1"/>
  <c r="Q79" i="50" a="1"/>
  <c r="Q79" i="50" s="1"/>
  <c r="Q80" i="50" a="1"/>
  <c r="Q80" i="50" s="1"/>
  <c r="Q81" i="50" a="1"/>
  <c r="Q81" i="50" s="1"/>
  <c r="Q82" i="50" a="1"/>
  <c r="Q82" i="50" s="1"/>
  <c r="Q83" i="50" a="1"/>
  <c r="Q83" i="50" s="1"/>
  <c r="Q84" i="50" a="1"/>
  <c r="Q84" i="50" s="1"/>
  <c r="Q85" i="50" a="1"/>
  <c r="Q85" i="50" s="1"/>
  <c r="Q86" i="50" a="1"/>
  <c r="Q86" i="50" s="1"/>
  <c r="Q87" i="50" a="1"/>
  <c r="Q87" i="50" s="1"/>
  <c r="Q88" i="50" a="1"/>
  <c r="Q88" i="50" s="1"/>
  <c r="Q89" i="50" a="1"/>
  <c r="Q89" i="50" s="1"/>
  <c r="Q90" i="50" a="1"/>
  <c r="Q90" i="50" s="1"/>
  <c r="Q91" i="50" a="1"/>
  <c r="Q91" i="50" s="1"/>
  <c r="Q92" i="50" a="1"/>
  <c r="Q92" i="50" s="1"/>
  <c r="Q93" i="50" a="1"/>
  <c r="Q93" i="50" s="1"/>
  <c r="Q94" i="50" a="1"/>
  <c r="Q94" i="50" s="1"/>
  <c r="Q95" i="50" a="1"/>
  <c r="Q95" i="50" s="1"/>
  <c r="Q96" i="50" a="1"/>
  <c r="Q96" i="50" s="1"/>
  <c r="Q97" i="50" a="1"/>
  <c r="Q97" i="50" s="1"/>
  <c r="Q98" i="50" a="1"/>
  <c r="Q98" i="50" s="1"/>
  <c r="Q99" i="50" a="1"/>
  <c r="Q99" i="50" s="1"/>
  <c r="Q100" i="50" a="1"/>
  <c r="Q100" i="50" s="1"/>
  <c r="Q101" i="50" a="1"/>
  <c r="Q101" i="50" s="1"/>
  <c r="Q102" i="50" a="1"/>
  <c r="Q102" i="50" s="1"/>
  <c r="Q103" i="50" a="1"/>
  <c r="Q103" i="50" s="1"/>
  <c r="Q104" i="50" a="1"/>
  <c r="Q104" i="50" s="1"/>
  <c r="Q105" i="50" a="1"/>
  <c r="Q105" i="50" s="1"/>
  <c r="Q106" i="50" a="1"/>
  <c r="Q106" i="50" s="1"/>
  <c r="Q107" i="50" a="1"/>
  <c r="Q107" i="50" s="1"/>
  <c r="Q108" i="50" a="1"/>
  <c r="Q108" i="50" s="1"/>
  <c r="Q109" i="50" a="1"/>
  <c r="Q109" i="50" s="1"/>
  <c r="Q110" i="50" a="1"/>
  <c r="Q110" i="50" s="1"/>
  <c r="Q111" i="50" a="1"/>
  <c r="Q111" i="50" s="1"/>
  <c r="Q112" i="50" a="1"/>
  <c r="Q112" i="50" s="1"/>
  <c r="Q113" i="50" a="1"/>
  <c r="Q113" i="50" s="1"/>
  <c r="Q114" i="50" a="1"/>
  <c r="Q114" i="50" s="1"/>
  <c r="Q115" i="50" a="1"/>
  <c r="Q115" i="50" s="1"/>
  <c r="Q116" i="50" a="1"/>
  <c r="Q116" i="50" s="1"/>
  <c r="Q117" i="50" a="1"/>
  <c r="Q117" i="50" s="1"/>
  <c r="Q118" i="50" a="1"/>
  <c r="Q118" i="50" s="1"/>
  <c r="Q119" i="50" a="1"/>
  <c r="Q119" i="50" s="1"/>
  <c r="Q120" i="50" a="1"/>
  <c r="Q120" i="50" s="1"/>
  <c r="Q121" i="50" a="1"/>
  <c r="Q121" i="50" s="1"/>
  <c r="Q122" i="50" a="1"/>
  <c r="Q122" i="50" s="1"/>
  <c r="Q123" i="50" a="1"/>
  <c r="Q123" i="50" s="1"/>
  <c r="Q124" i="50" a="1"/>
  <c r="Q124" i="50" s="1"/>
  <c r="Q125" i="50" a="1"/>
  <c r="Q125" i="50" s="1"/>
  <c r="Q126" i="50" a="1"/>
  <c r="Q126" i="50" s="1"/>
  <c r="Q127" i="50" a="1"/>
  <c r="Q127" i="50" s="1"/>
  <c r="Q128" i="50" a="1"/>
  <c r="Q128" i="50" s="1"/>
  <c r="Q129" i="50" a="1"/>
  <c r="Q129" i="50" s="1"/>
  <c r="Q130" i="50" a="1"/>
  <c r="Q130" i="50" s="1"/>
  <c r="Q131" i="50" a="1"/>
  <c r="Q131" i="50" s="1"/>
  <c r="Q132" i="50" a="1"/>
  <c r="Q132" i="50" s="1"/>
  <c r="Q133" i="50" a="1"/>
  <c r="Q133" i="50" s="1"/>
  <c r="Q134" i="50" a="1"/>
  <c r="Q134" i="50" s="1"/>
  <c r="Q135" i="50" a="1"/>
  <c r="Q135" i="50" s="1"/>
  <c r="Q136" i="50" a="1"/>
  <c r="Q136" i="50" s="1"/>
  <c r="Q137" i="50" a="1"/>
  <c r="Q137" i="50" s="1"/>
  <c r="Q138" i="50" a="1"/>
  <c r="Q138" i="50" s="1"/>
  <c r="Q139" i="50" a="1"/>
  <c r="Q139" i="50" s="1"/>
  <c r="Q140" i="50" a="1"/>
  <c r="Q140" i="50" s="1"/>
  <c r="Q141" i="50" a="1"/>
  <c r="Q141" i="50" s="1"/>
  <c r="Q142" i="50" a="1"/>
  <c r="Q142" i="50" s="1"/>
  <c r="Q143" i="50" a="1"/>
  <c r="Q143" i="50" s="1"/>
  <c r="Q144" i="50" a="1"/>
  <c r="Q144" i="50" s="1"/>
  <c r="Q145" i="50" a="1"/>
  <c r="Q145" i="50" s="1"/>
  <c r="Q146" i="50" a="1"/>
  <c r="Q146" i="50" s="1"/>
  <c r="Q147" i="50" a="1"/>
  <c r="Q147" i="50" s="1"/>
  <c r="Q148" i="50" a="1"/>
  <c r="Q148" i="50" s="1"/>
  <c r="Q149" i="50" a="1"/>
  <c r="Q149" i="50" s="1"/>
  <c r="Q150" i="50" a="1"/>
  <c r="Q150" i="50" s="1"/>
  <c r="Q151" i="50" a="1"/>
  <c r="Q151" i="50" s="1"/>
  <c r="Q152" i="50" a="1"/>
  <c r="Q152" i="50" s="1"/>
  <c r="Q153" i="50" a="1"/>
  <c r="Q153" i="50" s="1"/>
  <c r="Q154" i="50" a="1"/>
  <c r="Q154" i="50" s="1"/>
  <c r="Q155" i="50" a="1"/>
  <c r="Q155" i="50" s="1"/>
  <c r="Q156" i="50" a="1"/>
  <c r="Q156" i="50" s="1"/>
  <c r="Q157" i="50" a="1"/>
  <c r="Q157" i="50" s="1"/>
  <c r="Q158" i="50" a="1"/>
  <c r="Q158" i="50" s="1"/>
  <c r="Q159" i="50" a="1"/>
  <c r="Q159" i="50" s="1"/>
  <c r="Q160" i="50" a="1"/>
  <c r="Q160" i="50" s="1"/>
  <c r="Q161" i="50" a="1"/>
  <c r="Q161" i="50" s="1"/>
  <c r="Q162" i="50" a="1"/>
  <c r="Q162" i="50" s="1"/>
  <c r="Q163" i="50" a="1"/>
  <c r="Q163" i="50" s="1"/>
  <c r="Q164" i="50" a="1"/>
  <c r="Q164" i="50" s="1"/>
  <c r="Q165" i="50" a="1"/>
  <c r="Q165" i="50" s="1"/>
  <c r="Q166" i="50" a="1"/>
  <c r="Q166" i="50" s="1"/>
  <c r="Q167" i="50" a="1"/>
  <c r="Q167" i="50" s="1"/>
  <c r="Q168" i="50" a="1"/>
  <c r="Q168" i="50" s="1"/>
  <c r="Q169" i="50" a="1"/>
  <c r="Q169" i="50" s="1"/>
  <c r="Q170" i="50" a="1"/>
  <c r="Q170" i="50" s="1"/>
  <c r="Q171" i="50" a="1"/>
  <c r="Q171" i="50" s="1"/>
  <c r="Q172" i="50" a="1"/>
  <c r="Q172" i="50" s="1"/>
  <c r="Q173" i="50" a="1"/>
  <c r="Q173" i="50" s="1"/>
  <c r="Q174" i="50" a="1"/>
  <c r="Q174" i="50" s="1"/>
  <c r="Q175" i="50" a="1"/>
  <c r="Q175" i="50" s="1"/>
  <c r="Q176" i="50" a="1"/>
  <c r="Q176" i="50" s="1"/>
  <c r="Q177" i="50" a="1"/>
  <c r="Q177" i="50" s="1"/>
  <c r="Q178" i="50" a="1"/>
  <c r="Q178" i="50" s="1"/>
  <c r="Q179" i="50" a="1"/>
  <c r="Q179" i="50" s="1"/>
  <c r="Q180" i="50" a="1"/>
  <c r="Q180" i="50" s="1"/>
  <c r="Q181" i="50" a="1"/>
  <c r="Q181" i="50" s="1"/>
  <c r="Q182" i="50" a="1"/>
  <c r="Q182" i="50" s="1"/>
  <c r="Q183" i="50" a="1"/>
  <c r="Q183" i="50" s="1"/>
  <c r="Q184" i="50" a="1"/>
  <c r="Q184" i="50" s="1"/>
  <c r="Q185" i="50" a="1"/>
  <c r="Q185" i="50" s="1"/>
  <c r="Q186" i="50" a="1"/>
  <c r="Q186" i="50" s="1"/>
  <c r="Q187" i="50" a="1"/>
  <c r="Q187" i="50" s="1"/>
  <c r="Q188" i="50" a="1"/>
  <c r="Q188" i="50" s="1"/>
  <c r="Q189" i="50" a="1"/>
  <c r="Q189" i="50" s="1"/>
  <c r="Q190" i="50" a="1"/>
  <c r="Q190" i="50" s="1"/>
  <c r="Q191" i="50" a="1"/>
  <c r="Q191" i="50" s="1"/>
  <c r="Q192" i="50" a="1"/>
  <c r="Q192" i="50" s="1"/>
  <c r="Q193" i="50" a="1"/>
  <c r="Q193" i="50" s="1"/>
  <c r="Q194" i="50" a="1"/>
  <c r="Q194" i="50" s="1"/>
  <c r="Q195" i="50" a="1"/>
  <c r="Q195" i="50" s="1"/>
  <c r="Q196" i="50" a="1"/>
  <c r="Q196" i="50" s="1"/>
  <c r="Q197" i="50" a="1"/>
  <c r="Q197" i="50" s="1"/>
  <c r="Q198" i="50" a="1"/>
  <c r="Q198" i="50" s="1"/>
  <c r="Q199" i="50" a="1"/>
  <c r="Q199" i="50" s="1"/>
  <c r="Q200" i="50" a="1"/>
  <c r="Q200" i="50" s="1"/>
  <c r="Q201" i="50" a="1"/>
  <c r="Q201" i="50" s="1"/>
  <c r="Q202" i="50" a="1"/>
  <c r="Q202" i="50" s="1"/>
  <c r="Q203" i="50" a="1"/>
  <c r="Q203" i="50" s="1"/>
  <c r="Q204" i="50" a="1"/>
  <c r="Q204" i="50" s="1"/>
  <c r="Q205" i="50" a="1"/>
  <c r="Q205" i="50" s="1"/>
  <c r="Q206" i="50" a="1"/>
  <c r="Q206" i="50" s="1"/>
  <c r="Q207" i="50" a="1"/>
  <c r="Q207" i="50" s="1"/>
  <c r="Q208" i="50" a="1"/>
  <c r="Q208" i="50" s="1"/>
  <c r="Q209" i="50" a="1"/>
  <c r="Q209" i="50" s="1"/>
  <c r="Q210" i="50" a="1"/>
  <c r="Q210" i="50" s="1"/>
  <c r="Q211" i="50" a="1"/>
  <c r="Q211" i="50" s="1"/>
  <c r="Q212" i="50" a="1"/>
  <c r="Q212" i="50" s="1"/>
  <c r="Q213" i="50" a="1"/>
  <c r="Q213" i="50" s="1"/>
  <c r="Q214" i="50" a="1"/>
  <c r="Q214" i="50" s="1"/>
  <c r="Q215" i="50" a="1"/>
  <c r="Q215" i="50" s="1"/>
  <c r="Q216" i="50" a="1"/>
  <c r="Q216" i="50" s="1"/>
  <c r="Q217" i="50" a="1"/>
  <c r="Q217" i="50" s="1"/>
  <c r="Q218" i="50" a="1"/>
  <c r="Q218" i="50" s="1"/>
  <c r="Q219" i="50" a="1"/>
  <c r="Q219" i="50" s="1"/>
  <c r="Q220" i="50" a="1"/>
  <c r="Q220" i="50" s="1"/>
  <c r="Q221" i="50" a="1"/>
  <c r="Q221" i="50" s="1"/>
  <c r="Q222" i="50" a="1"/>
  <c r="Q222" i="50" s="1"/>
  <c r="Q223" i="50" a="1"/>
  <c r="Q223" i="50" s="1"/>
  <c r="Q224" i="50" a="1"/>
  <c r="Q224" i="50" s="1"/>
  <c r="Q225" i="50" a="1"/>
  <c r="Q225" i="50" s="1"/>
  <c r="Q226" i="50" a="1"/>
  <c r="Q226" i="50" s="1"/>
  <c r="Q227" i="50" a="1"/>
  <c r="Q227" i="50" s="1"/>
  <c r="Q228" i="50" a="1"/>
  <c r="Q228" i="50" s="1"/>
  <c r="Q229" i="50" a="1"/>
  <c r="Q229" i="50" s="1"/>
  <c r="Q230" i="50" a="1"/>
  <c r="Q230" i="50" s="1"/>
  <c r="Q231" i="50" a="1"/>
  <c r="Q231" i="50" s="1"/>
  <c r="Q232" i="50" a="1"/>
  <c r="Q232" i="50" s="1"/>
  <c r="S50" i="50" a="1"/>
  <c r="S50" i="50" s="1"/>
  <c r="S51" i="50" a="1"/>
  <c r="S51" i="50" s="1"/>
  <c r="S52" i="50" a="1"/>
  <c r="S52" i="50" s="1"/>
  <c r="S53" i="50" a="1"/>
  <c r="S53" i="50" s="1"/>
  <c r="S54" i="50" a="1"/>
  <c r="S54" i="50" s="1"/>
  <c r="S55" i="50" a="1"/>
  <c r="S55" i="50" s="1"/>
  <c r="S56" i="50" a="1"/>
  <c r="S56" i="50" s="1"/>
  <c r="S57" i="50" a="1"/>
  <c r="S57" i="50" s="1"/>
  <c r="S58" i="50" a="1"/>
  <c r="S58" i="50" s="1"/>
  <c r="S59" i="50" a="1"/>
  <c r="S59" i="50" s="1"/>
  <c r="S60" i="50" a="1"/>
  <c r="S60" i="50" s="1"/>
  <c r="S61" i="50" a="1"/>
  <c r="S61" i="50" s="1"/>
  <c r="S62" i="50" a="1"/>
  <c r="S62" i="50" s="1"/>
  <c r="S63" i="50" a="1"/>
  <c r="S63" i="50" s="1"/>
  <c r="S64" i="50" a="1"/>
  <c r="S64" i="50" s="1"/>
  <c r="S65" i="50" a="1"/>
  <c r="S65" i="50" s="1"/>
  <c r="S66" i="50" a="1"/>
  <c r="S66" i="50" s="1"/>
  <c r="S67" i="50" a="1"/>
  <c r="S67" i="50" s="1"/>
  <c r="S68" i="50" a="1"/>
  <c r="S68" i="50" s="1"/>
  <c r="S69" i="50" a="1"/>
  <c r="S69" i="50" s="1"/>
  <c r="S70" i="50" a="1"/>
  <c r="S70" i="50" s="1"/>
  <c r="S71" i="50" a="1"/>
  <c r="S71" i="50" s="1"/>
  <c r="S72" i="50" a="1"/>
  <c r="S72" i="50" s="1"/>
  <c r="S73" i="50" a="1"/>
  <c r="S73" i="50" s="1"/>
  <c r="S74" i="50" a="1"/>
  <c r="S74" i="50" s="1"/>
  <c r="S75" i="50" a="1"/>
  <c r="S75" i="50" s="1"/>
  <c r="S76" i="50" a="1"/>
  <c r="S76" i="50" s="1"/>
  <c r="S77" i="50" a="1"/>
  <c r="S77" i="50" s="1"/>
  <c r="S78" i="50" a="1"/>
  <c r="S78" i="50" s="1"/>
  <c r="S79" i="50" a="1"/>
  <c r="S79" i="50" s="1"/>
  <c r="S80" i="50" a="1"/>
  <c r="S80" i="50" s="1"/>
  <c r="S81" i="50" a="1"/>
  <c r="S81" i="50" s="1"/>
  <c r="S82" i="50" a="1"/>
  <c r="S82" i="50" s="1"/>
  <c r="S83" i="50" a="1"/>
  <c r="S83" i="50" s="1"/>
  <c r="S84" i="50" a="1"/>
  <c r="S84" i="50" s="1"/>
  <c r="S85" i="50" a="1"/>
  <c r="S85" i="50" s="1"/>
  <c r="S86" i="50" a="1"/>
  <c r="S86" i="50" s="1"/>
  <c r="S87" i="50" a="1"/>
  <c r="S87" i="50" s="1"/>
  <c r="S88" i="50" a="1"/>
  <c r="S88" i="50" s="1"/>
  <c r="S89" i="50" a="1"/>
  <c r="S89" i="50" s="1"/>
  <c r="S90" i="50" a="1"/>
  <c r="S90" i="50" s="1"/>
  <c r="S91" i="50" a="1"/>
  <c r="S91" i="50" s="1"/>
  <c r="S92" i="50" a="1"/>
  <c r="S92" i="50" s="1"/>
  <c r="S93" i="50" a="1"/>
  <c r="S93" i="50" s="1"/>
  <c r="S94" i="50" a="1"/>
  <c r="S94" i="50" s="1"/>
  <c r="S95" i="50" a="1"/>
  <c r="S95" i="50" s="1"/>
  <c r="S96" i="50" a="1"/>
  <c r="S96" i="50" s="1"/>
  <c r="S97" i="50" a="1"/>
  <c r="S97" i="50" s="1"/>
  <c r="S98" i="50" a="1"/>
  <c r="S98" i="50" s="1"/>
  <c r="S99" i="50" a="1"/>
  <c r="S99" i="50" s="1"/>
  <c r="S100" i="50" a="1"/>
  <c r="S100" i="50" s="1"/>
  <c r="S101" i="50" a="1"/>
  <c r="S101" i="50" s="1"/>
  <c r="S102" i="50" a="1"/>
  <c r="S102" i="50" s="1"/>
  <c r="S103" i="50" a="1"/>
  <c r="S103" i="50" s="1"/>
  <c r="S104" i="50" a="1"/>
  <c r="S104" i="50" s="1"/>
  <c r="S105" i="50" a="1"/>
  <c r="S105" i="50" s="1"/>
  <c r="S106" i="50" a="1"/>
  <c r="S106" i="50" s="1"/>
  <c r="S107" i="50" a="1"/>
  <c r="S107" i="50" s="1"/>
  <c r="S108" i="50" a="1"/>
  <c r="S108" i="50" s="1"/>
  <c r="S109" i="50" a="1"/>
  <c r="S109" i="50" s="1"/>
  <c r="S110" i="50" a="1"/>
  <c r="S110" i="50" s="1"/>
  <c r="S111" i="50" a="1"/>
  <c r="S111" i="50" s="1"/>
  <c r="S112" i="50" a="1"/>
  <c r="S112" i="50" s="1"/>
  <c r="S113" i="50" a="1"/>
  <c r="S113" i="50" s="1"/>
  <c r="S114" i="50" a="1"/>
  <c r="S114" i="50" s="1"/>
  <c r="S115" i="50" a="1"/>
  <c r="S115" i="50" s="1"/>
  <c r="S116" i="50" a="1"/>
  <c r="S116" i="50" s="1"/>
  <c r="S117" i="50" a="1"/>
  <c r="S117" i="50" s="1"/>
  <c r="S118" i="50" a="1"/>
  <c r="S118" i="50" s="1"/>
  <c r="S119" i="50" a="1"/>
  <c r="S119" i="50" s="1"/>
  <c r="S120" i="50" a="1"/>
  <c r="S120" i="50" s="1"/>
  <c r="S121" i="50" a="1"/>
  <c r="S121" i="50" s="1"/>
  <c r="S122" i="50" a="1"/>
  <c r="S122" i="50" s="1"/>
  <c r="S123" i="50" a="1"/>
  <c r="S123" i="50" s="1"/>
  <c r="S124" i="50" a="1"/>
  <c r="S124" i="50" s="1"/>
  <c r="S125" i="50" a="1"/>
  <c r="S125" i="50" s="1"/>
  <c r="S126" i="50" a="1"/>
  <c r="S126" i="50" s="1"/>
  <c r="S127" i="50" a="1"/>
  <c r="S127" i="50" s="1"/>
  <c r="S128" i="50" a="1"/>
  <c r="S128" i="50" s="1"/>
  <c r="S129" i="50" a="1"/>
  <c r="S129" i="50" s="1"/>
  <c r="S130" i="50" a="1"/>
  <c r="S130" i="50" s="1"/>
  <c r="S131" i="50" a="1"/>
  <c r="S131" i="50" s="1"/>
  <c r="S132" i="50" a="1"/>
  <c r="S132" i="50" s="1"/>
  <c r="S133" i="50" a="1"/>
  <c r="S133" i="50" s="1"/>
  <c r="S134" i="50" a="1"/>
  <c r="S134" i="50" s="1"/>
  <c r="S135" i="50" a="1"/>
  <c r="S135" i="50" s="1"/>
  <c r="S136" i="50" a="1"/>
  <c r="S136" i="50" s="1"/>
  <c r="S137" i="50" a="1"/>
  <c r="S137" i="50" s="1"/>
  <c r="S138" i="50" a="1"/>
  <c r="S138" i="50" s="1"/>
  <c r="S139" i="50" a="1"/>
  <c r="S139" i="50" s="1"/>
  <c r="S140" i="50" a="1"/>
  <c r="S140" i="50" s="1"/>
  <c r="S141" i="50" a="1"/>
  <c r="S141" i="50" s="1"/>
  <c r="S142" i="50" a="1"/>
  <c r="S142" i="50" s="1"/>
  <c r="S143" i="50" a="1"/>
  <c r="S143" i="50" s="1"/>
  <c r="S144" i="50" a="1"/>
  <c r="S144" i="50" s="1"/>
  <c r="S145" i="50" a="1"/>
  <c r="S145" i="50" s="1"/>
  <c r="S146" i="50" a="1"/>
  <c r="S146" i="50" s="1"/>
  <c r="S147" i="50" a="1"/>
  <c r="S147" i="50" s="1"/>
  <c r="S148" i="50" a="1"/>
  <c r="S148" i="50" s="1"/>
  <c r="S149" i="50" a="1"/>
  <c r="S149" i="50" s="1"/>
  <c r="S150" i="50" a="1"/>
  <c r="S150" i="50" s="1"/>
  <c r="S151" i="50" a="1"/>
  <c r="S151" i="50" s="1"/>
  <c r="S152" i="50" a="1"/>
  <c r="S152" i="50" s="1"/>
  <c r="S153" i="50" a="1"/>
  <c r="S153" i="50" s="1"/>
  <c r="S154" i="50" a="1"/>
  <c r="S154" i="50" s="1"/>
  <c r="S155" i="50" a="1"/>
  <c r="S155" i="50" s="1"/>
  <c r="S156" i="50" a="1"/>
  <c r="S156" i="50" s="1"/>
  <c r="S157" i="50" a="1"/>
  <c r="S157" i="50" s="1"/>
  <c r="S158" i="50" a="1"/>
  <c r="S158" i="50" s="1"/>
  <c r="S159" i="50" a="1"/>
  <c r="S159" i="50" s="1"/>
  <c r="S160" i="50" a="1"/>
  <c r="S160" i="50" s="1"/>
  <c r="S161" i="50" a="1"/>
  <c r="S161" i="50" s="1"/>
  <c r="S162" i="50" a="1"/>
  <c r="S162" i="50" s="1"/>
  <c r="S163" i="50" a="1"/>
  <c r="S163" i="50" s="1"/>
  <c r="S164" i="50" a="1"/>
  <c r="S164" i="50" s="1"/>
  <c r="S165" i="50" a="1"/>
  <c r="S165" i="50" s="1"/>
  <c r="S166" i="50" a="1"/>
  <c r="S166" i="50" s="1"/>
  <c r="S167" i="50" a="1"/>
  <c r="S167" i="50" s="1"/>
  <c r="S168" i="50" a="1"/>
  <c r="S168" i="50" s="1"/>
  <c r="S169" i="50" a="1"/>
  <c r="S169" i="50" s="1"/>
  <c r="S170" i="50" a="1"/>
  <c r="S170" i="50" s="1"/>
  <c r="S171" i="50" a="1"/>
  <c r="S171" i="50" s="1"/>
  <c r="S172" i="50" a="1"/>
  <c r="S172" i="50" s="1"/>
  <c r="S173" i="50" a="1"/>
  <c r="S173" i="50" s="1"/>
  <c r="S174" i="50" a="1"/>
  <c r="S174" i="50" s="1"/>
  <c r="S175" i="50" a="1"/>
  <c r="S175" i="50" s="1"/>
  <c r="S176" i="50" a="1"/>
  <c r="S176" i="50" s="1"/>
  <c r="S177" i="50" a="1"/>
  <c r="S177" i="50" s="1"/>
  <c r="S178" i="50" a="1"/>
  <c r="S178" i="50" s="1"/>
  <c r="S179" i="50" a="1"/>
  <c r="S179" i="50" s="1"/>
  <c r="S180" i="50" a="1"/>
  <c r="S180" i="50" s="1"/>
  <c r="S181" i="50" a="1"/>
  <c r="S181" i="50" s="1"/>
  <c r="S182" i="50" a="1"/>
  <c r="S182" i="50" s="1"/>
  <c r="S183" i="50" a="1"/>
  <c r="S183" i="50" s="1"/>
  <c r="S184" i="50" a="1"/>
  <c r="S184" i="50" s="1"/>
  <c r="S185" i="50" a="1"/>
  <c r="S185" i="50" s="1"/>
  <c r="S186" i="50" a="1"/>
  <c r="S186" i="50" s="1"/>
  <c r="S187" i="50" a="1"/>
  <c r="S187" i="50" s="1"/>
  <c r="S188" i="50" a="1"/>
  <c r="S188" i="50" s="1"/>
  <c r="S189" i="50" a="1"/>
  <c r="S189" i="50" s="1"/>
  <c r="S190" i="50" a="1"/>
  <c r="S190" i="50" s="1"/>
  <c r="S191" i="50" a="1"/>
  <c r="S191" i="50" s="1"/>
  <c r="S192" i="50" a="1"/>
  <c r="S192" i="50" s="1"/>
  <c r="S193" i="50" a="1"/>
  <c r="S193" i="50" s="1"/>
  <c r="S194" i="50" a="1"/>
  <c r="S194" i="50" s="1"/>
  <c r="S195" i="50" a="1"/>
  <c r="S195" i="50" s="1"/>
  <c r="S196" i="50" a="1"/>
  <c r="S196" i="50" s="1"/>
  <c r="S197" i="50" a="1"/>
  <c r="S197" i="50" s="1"/>
  <c r="S198" i="50" a="1"/>
  <c r="S198" i="50" s="1"/>
  <c r="S199" i="50" a="1"/>
  <c r="S199" i="50" s="1"/>
  <c r="S200" i="50" a="1"/>
  <c r="S200" i="50" s="1"/>
  <c r="S201" i="50" a="1"/>
  <c r="S201" i="50" s="1"/>
  <c r="S202" i="50" a="1"/>
  <c r="S202" i="50" s="1"/>
  <c r="S203" i="50" a="1"/>
  <c r="S203" i="50" s="1"/>
  <c r="S204" i="50" a="1"/>
  <c r="S204" i="50" s="1"/>
  <c r="S205" i="50" a="1"/>
  <c r="S205" i="50" s="1"/>
  <c r="S206" i="50" a="1"/>
  <c r="S206" i="50" s="1"/>
  <c r="S207" i="50" a="1"/>
  <c r="S207" i="50" s="1"/>
  <c r="S208" i="50" a="1"/>
  <c r="S208" i="50" s="1"/>
  <c r="S209" i="50" a="1"/>
  <c r="S209" i="50" s="1"/>
  <c r="S210" i="50" a="1"/>
  <c r="S210" i="50" s="1"/>
  <c r="S211" i="50" a="1"/>
  <c r="S211" i="50" s="1"/>
  <c r="S212" i="50" a="1"/>
  <c r="S212" i="50" s="1"/>
  <c r="S213" i="50" a="1"/>
  <c r="S213" i="50" s="1"/>
  <c r="S214" i="50" a="1"/>
  <c r="S214" i="50" s="1"/>
  <c r="S215" i="50" a="1"/>
  <c r="S215" i="50" s="1"/>
  <c r="S216" i="50" a="1"/>
  <c r="S216" i="50" s="1"/>
  <c r="S217" i="50" a="1"/>
  <c r="S217" i="50" s="1"/>
  <c r="S218" i="50" a="1"/>
  <c r="S218" i="50" s="1"/>
  <c r="S219" i="50" a="1"/>
  <c r="S219" i="50" s="1"/>
  <c r="S220" i="50" a="1"/>
  <c r="S220" i="50" s="1"/>
  <c r="S221" i="50" a="1"/>
  <c r="S221" i="50" s="1"/>
  <c r="S222" i="50" a="1"/>
  <c r="S222" i="50" s="1"/>
  <c r="S223" i="50" a="1"/>
  <c r="S223" i="50" s="1"/>
  <c r="S224" i="50" a="1"/>
  <c r="S224" i="50" s="1"/>
  <c r="S225" i="50" a="1"/>
  <c r="S225" i="50" s="1"/>
  <c r="S226" i="50" a="1"/>
  <c r="S226" i="50" s="1"/>
  <c r="S227" i="50" a="1"/>
  <c r="S227" i="50" s="1"/>
  <c r="S228" i="50" a="1"/>
  <c r="S228" i="50" s="1"/>
  <c r="S229" i="50" a="1"/>
  <c r="S229" i="50" s="1"/>
  <c r="S230" i="50" a="1"/>
  <c r="S230" i="50" s="1"/>
  <c r="S231" i="50" a="1"/>
  <c r="S231" i="50" s="1"/>
  <c r="S232" i="50" a="1"/>
  <c r="S232" i="50" s="1"/>
  <c r="U50" i="50" a="1"/>
  <c r="U50" i="50" s="1"/>
  <c r="U51" i="50" a="1"/>
  <c r="U51" i="50" s="1"/>
  <c r="U52" i="50" a="1"/>
  <c r="U52" i="50" s="1"/>
  <c r="U53" i="50" a="1"/>
  <c r="U53" i="50" s="1"/>
  <c r="U54" i="50" a="1"/>
  <c r="U54" i="50" s="1"/>
  <c r="U55" i="50" a="1"/>
  <c r="U55" i="50" s="1"/>
  <c r="U56" i="50" a="1"/>
  <c r="U56" i="50" s="1"/>
  <c r="U57" i="50" a="1"/>
  <c r="U57" i="50" s="1"/>
  <c r="U58" i="50" a="1"/>
  <c r="U58" i="50" s="1"/>
  <c r="U59" i="50" a="1"/>
  <c r="U59" i="50" s="1"/>
  <c r="U60" i="50" a="1"/>
  <c r="U60" i="50" s="1"/>
  <c r="U61" i="50" a="1"/>
  <c r="U61" i="50" s="1"/>
  <c r="U62" i="50" a="1"/>
  <c r="U62" i="50" s="1"/>
  <c r="U63" i="50" a="1"/>
  <c r="U63" i="50" s="1"/>
  <c r="U64" i="50" a="1"/>
  <c r="U64" i="50" s="1"/>
  <c r="U65" i="50" a="1"/>
  <c r="U65" i="50" s="1"/>
  <c r="U66" i="50" a="1"/>
  <c r="U66" i="50" s="1"/>
  <c r="U67" i="50" a="1"/>
  <c r="U67" i="50" s="1"/>
  <c r="U68" i="50" a="1"/>
  <c r="U68" i="50" s="1"/>
  <c r="U69" i="50" a="1"/>
  <c r="U69" i="50" s="1"/>
  <c r="U70" i="50" a="1"/>
  <c r="U70" i="50" s="1"/>
  <c r="U71" i="50" a="1"/>
  <c r="U71" i="50" s="1"/>
  <c r="U72" i="50" a="1"/>
  <c r="U72" i="50" s="1"/>
  <c r="U73" i="50" a="1"/>
  <c r="U73" i="50" s="1"/>
  <c r="U74" i="50" a="1"/>
  <c r="U74" i="50" s="1"/>
  <c r="U75" i="50" a="1"/>
  <c r="U75" i="50" s="1"/>
  <c r="U76" i="50" a="1"/>
  <c r="U76" i="50" s="1"/>
  <c r="U77" i="50" a="1"/>
  <c r="U77" i="50" s="1"/>
  <c r="U78" i="50" a="1"/>
  <c r="U78" i="50" s="1"/>
  <c r="U79" i="50" a="1"/>
  <c r="U79" i="50" s="1"/>
  <c r="U80" i="50" a="1"/>
  <c r="U80" i="50" s="1"/>
  <c r="U81" i="50" a="1"/>
  <c r="U81" i="50" s="1"/>
  <c r="U82" i="50" a="1"/>
  <c r="U82" i="50" s="1"/>
  <c r="U83" i="50" a="1"/>
  <c r="U83" i="50" s="1"/>
  <c r="U84" i="50" a="1"/>
  <c r="U84" i="50" s="1"/>
  <c r="U85" i="50" a="1"/>
  <c r="U85" i="50" s="1"/>
  <c r="U86" i="50" a="1"/>
  <c r="U86" i="50" s="1"/>
  <c r="U87" i="50" a="1"/>
  <c r="U87" i="50" s="1"/>
  <c r="U88" i="50" a="1"/>
  <c r="U88" i="50" s="1"/>
  <c r="U89" i="50" a="1"/>
  <c r="U89" i="50" s="1"/>
  <c r="U90" i="50" a="1"/>
  <c r="U90" i="50" s="1"/>
  <c r="U91" i="50" a="1"/>
  <c r="U91" i="50" s="1"/>
  <c r="U92" i="50" a="1"/>
  <c r="U92" i="50" s="1"/>
  <c r="U93" i="50" a="1"/>
  <c r="U93" i="50" s="1"/>
  <c r="U94" i="50" a="1"/>
  <c r="U94" i="50" s="1"/>
  <c r="U95" i="50" a="1"/>
  <c r="U95" i="50" s="1"/>
  <c r="U96" i="50" a="1"/>
  <c r="U96" i="50" s="1"/>
  <c r="U97" i="50" a="1"/>
  <c r="U97" i="50" s="1"/>
  <c r="U98" i="50" a="1"/>
  <c r="U98" i="50" s="1"/>
  <c r="U99" i="50" a="1"/>
  <c r="U99" i="50" s="1"/>
  <c r="U100" i="50" a="1"/>
  <c r="U100" i="50" s="1"/>
  <c r="U101" i="50" a="1"/>
  <c r="U101" i="50" s="1"/>
  <c r="U102" i="50" a="1"/>
  <c r="U102" i="50" s="1"/>
  <c r="U103" i="50" a="1"/>
  <c r="U103" i="50" s="1"/>
  <c r="U104" i="50" a="1"/>
  <c r="U104" i="50" s="1"/>
  <c r="U105" i="50" a="1"/>
  <c r="U105" i="50" s="1"/>
  <c r="U106" i="50" a="1"/>
  <c r="U106" i="50" s="1"/>
  <c r="U107" i="50" a="1"/>
  <c r="U107" i="50" s="1"/>
  <c r="U108" i="50" a="1"/>
  <c r="U108" i="50" s="1"/>
  <c r="U109" i="50" a="1"/>
  <c r="U109" i="50" s="1"/>
  <c r="U110" i="50" a="1"/>
  <c r="U110" i="50" s="1"/>
  <c r="U111" i="50" a="1"/>
  <c r="U111" i="50" s="1"/>
  <c r="U112" i="50" a="1"/>
  <c r="U112" i="50" s="1"/>
  <c r="U113" i="50" a="1"/>
  <c r="U113" i="50" s="1"/>
  <c r="U114" i="50" a="1"/>
  <c r="U114" i="50" s="1"/>
  <c r="U115" i="50" a="1"/>
  <c r="U115" i="50" s="1"/>
  <c r="U116" i="50" a="1"/>
  <c r="U116" i="50" s="1"/>
  <c r="U117" i="50" a="1"/>
  <c r="U117" i="50" s="1"/>
  <c r="U118" i="50" a="1"/>
  <c r="U118" i="50" s="1"/>
  <c r="U119" i="50" a="1"/>
  <c r="U119" i="50" s="1"/>
  <c r="U120" i="50" a="1"/>
  <c r="U120" i="50" s="1"/>
  <c r="U121" i="50" a="1"/>
  <c r="U121" i="50" s="1"/>
  <c r="U122" i="50" a="1"/>
  <c r="U122" i="50" s="1"/>
  <c r="U123" i="50" a="1"/>
  <c r="U123" i="50" s="1"/>
  <c r="U124" i="50" a="1"/>
  <c r="U124" i="50" s="1"/>
  <c r="U125" i="50" a="1"/>
  <c r="U125" i="50" s="1"/>
  <c r="U126" i="50" a="1"/>
  <c r="U126" i="50" s="1"/>
  <c r="U127" i="50" a="1"/>
  <c r="U127" i="50" s="1"/>
  <c r="U128" i="50" a="1"/>
  <c r="U128" i="50" s="1"/>
  <c r="U129" i="50" a="1"/>
  <c r="U129" i="50" s="1"/>
  <c r="U130" i="50" a="1"/>
  <c r="U130" i="50" s="1"/>
  <c r="U131" i="50" a="1"/>
  <c r="U131" i="50" s="1"/>
  <c r="U132" i="50" a="1"/>
  <c r="U132" i="50" s="1"/>
  <c r="U133" i="50" a="1"/>
  <c r="U133" i="50" s="1"/>
  <c r="U134" i="50" a="1"/>
  <c r="U134" i="50" s="1"/>
  <c r="U135" i="50" a="1"/>
  <c r="U135" i="50" s="1"/>
  <c r="U136" i="50" a="1"/>
  <c r="U136" i="50" s="1"/>
  <c r="U137" i="50" a="1"/>
  <c r="U137" i="50" s="1"/>
  <c r="U138" i="50" a="1"/>
  <c r="U138" i="50" s="1"/>
  <c r="U139" i="50" a="1"/>
  <c r="U139" i="50" s="1"/>
  <c r="U140" i="50" a="1"/>
  <c r="U140" i="50" s="1"/>
  <c r="U141" i="50" a="1"/>
  <c r="U141" i="50" s="1"/>
  <c r="U142" i="50" a="1"/>
  <c r="U142" i="50" s="1"/>
  <c r="U143" i="50" a="1"/>
  <c r="U143" i="50" s="1"/>
  <c r="U144" i="50" a="1"/>
  <c r="U144" i="50" s="1"/>
  <c r="U145" i="50" a="1"/>
  <c r="U145" i="50" s="1"/>
  <c r="U146" i="50" a="1"/>
  <c r="U146" i="50" s="1"/>
  <c r="U147" i="50" a="1"/>
  <c r="U147" i="50" s="1"/>
  <c r="U148" i="50" a="1"/>
  <c r="U148" i="50" s="1"/>
  <c r="U149" i="50" a="1"/>
  <c r="U149" i="50" s="1"/>
  <c r="U150" i="50" a="1"/>
  <c r="U150" i="50" s="1"/>
  <c r="U151" i="50" a="1"/>
  <c r="U151" i="50" s="1"/>
  <c r="U152" i="50" a="1"/>
  <c r="U152" i="50" s="1"/>
  <c r="U153" i="50" a="1"/>
  <c r="U153" i="50" s="1"/>
  <c r="U154" i="50" a="1"/>
  <c r="U154" i="50" s="1"/>
  <c r="U155" i="50" a="1"/>
  <c r="U155" i="50" s="1"/>
  <c r="U156" i="50" a="1"/>
  <c r="U156" i="50" s="1"/>
  <c r="U157" i="50" a="1"/>
  <c r="U157" i="50" s="1"/>
  <c r="U158" i="50" a="1"/>
  <c r="U158" i="50" s="1"/>
  <c r="U159" i="50" a="1"/>
  <c r="U159" i="50" s="1"/>
  <c r="U160" i="50" a="1"/>
  <c r="U160" i="50" s="1"/>
  <c r="U161" i="50" a="1"/>
  <c r="U161" i="50" s="1"/>
  <c r="U162" i="50" a="1"/>
  <c r="U162" i="50" s="1"/>
  <c r="U163" i="50" a="1"/>
  <c r="U163" i="50" s="1"/>
  <c r="U164" i="50" a="1"/>
  <c r="U164" i="50" s="1"/>
  <c r="U165" i="50" a="1"/>
  <c r="U165" i="50" s="1"/>
  <c r="U166" i="50" a="1"/>
  <c r="U166" i="50" s="1"/>
  <c r="U167" i="50" a="1"/>
  <c r="U167" i="50" s="1"/>
  <c r="U168" i="50" a="1"/>
  <c r="U168" i="50" s="1"/>
  <c r="U169" i="50" a="1"/>
  <c r="U169" i="50" s="1"/>
  <c r="U170" i="50" a="1"/>
  <c r="U170" i="50" s="1"/>
  <c r="U171" i="50" a="1"/>
  <c r="U171" i="50" s="1"/>
  <c r="U172" i="50" a="1"/>
  <c r="U172" i="50" s="1"/>
  <c r="U173" i="50" a="1"/>
  <c r="U173" i="50" s="1"/>
  <c r="U174" i="50" a="1"/>
  <c r="U174" i="50" s="1"/>
  <c r="U175" i="50" a="1"/>
  <c r="U175" i="50" s="1"/>
  <c r="U176" i="50" a="1"/>
  <c r="U176" i="50" s="1"/>
  <c r="U177" i="50" a="1"/>
  <c r="U177" i="50" s="1"/>
  <c r="U178" i="50" a="1"/>
  <c r="U178" i="50" s="1"/>
  <c r="U179" i="50" a="1"/>
  <c r="U179" i="50" s="1"/>
  <c r="U180" i="50" a="1"/>
  <c r="U180" i="50" s="1"/>
  <c r="U181" i="50" a="1"/>
  <c r="U181" i="50" s="1"/>
  <c r="U182" i="50" a="1"/>
  <c r="U182" i="50" s="1"/>
  <c r="U183" i="50" a="1"/>
  <c r="U183" i="50" s="1"/>
  <c r="U184" i="50" a="1"/>
  <c r="U184" i="50" s="1"/>
  <c r="U185" i="50" a="1"/>
  <c r="U185" i="50" s="1"/>
  <c r="U186" i="50" a="1"/>
  <c r="U186" i="50" s="1"/>
  <c r="U187" i="50" a="1"/>
  <c r="U187" i="50" s="1"/>
  <c r="U188" i="50" a="1"/>
  <c r="U188" i="50" s="1"/>
  <c r="U189" i="50" a="1"/>
  <c r="U189" i="50" s="1"/>
  <c r="U190" i="50" a="1"/>
  <c r="U190" i="50" s="1"/>
  <c r="U191" i="50" a="1"/>
  <c r="U191" i="50" s="1"/>
  <c r="U192" i="50" a="1"/>
  <c r="U192" i="50" s="1"/>
  <c r="U193" i="50" a="1"/>
  <c r="U193" i="50" s="1"/>
  <c r="U194" i="50" a="1"/>
  <c r="U194" i="50" s="1"/>
  <c r="U195" i="50" a="1"/>
  <c r="U195" i="50" s="1"/>
  <c r="U196" i="50" a="1"/>
  <c r="U196" i="50" s="1"/>
  <c r="U197" i="50" a="1"/>
  <c r="U197" i="50" s="1"/>
  <c r="U198" i="50" a="1"/>
  <c r="U198" i="50" s="1"/>
  <c r="U199" i="50" a="1"/>
  <c r="U199" i="50" s="1"/>
  <c r="U200" i="50" a="1"/>
  <c r="U200" i="50" s="1"/>
  <c r="U201" i="50" a="1"/>
  <c r="U201" i="50" s="1"/>
  <c r="U202" i="50" a="1"/>
  <c r="U202" i="50" s="1"/>
  <c r="U203" i="50" a="1"/>
  <c r="U203" i="50" s="1"/>
  <c r="U204" i="50" a="1"/>
  <c r="U204" i="50" s="1"/>
  <c r="U205" i="50" a="1"/>
  <c r="U205" i="50" s="1"/>
  <c r="U206" i="50" a="1"/>
  <c r="U206" i="50" s="1"/>
  <c r="U207" i="50" a="1"/>
  <c r="U207" i="50" s="1"/>
  <c r="U208" i="50" a="1"/>
  <c r="U208" i="50" s="1"/>
  <c r="U209" i="50" a="1"/>
  <c r="U209" i="50" s="1"/>
  <c r="U210" i="50" a="1"/>
  <c r="U210" i="50" s="1"/>
  <c r="U211" i="50" a="1"/>
  <c r="U211" i="50" s="1"/>
  <c r="U212" i="50" a="1"/>
  <c r="U212" i="50" s="1"/>
  <c r="U213" i="50" a="1"/>
  <c r="U213" i="50" s="1"/>
  <c r="U214" i="50" a="1"/>
  <c r="U214" i="50" s="1"/>
  <c r="U215" i="50" a="1"/>
  <c r="U215" i="50" s="1"/>
  <c r="U216" i="50" a="1"/>
  <c r="U216" i="50" s="1"/>
  <c r="U217" i="50" a="1"/>
  <c r="U217" i="50" s="1"/>
  <c r="U218" i="50" a="1"/>
  <c r="U218" i="50" s="1"/>
  <c r="U219" i="50" a="1"/>
  <c r="U219" i="50" s="1"/>
  <c r="U220" i="50" a="1"/>
  <c r="U220" i="50" s="1"/>
  <c r="U221" i="50" a="1"/>
  <c r="U221" i="50" s="1"/>
  <c r="U222" i="50" a="1"/>
  <c r="U222" i="50" s="1"/>
  <c r="U223" i="50" a="1"/>
  <c r="U223" i="50" s="1"/>
  <c r="U224" i="50" a="1"/>
  <c r="U224" i="50" s="1"/>
  <c r="U225" i="50" a="1"/>
  <c r="U225" i="50" s="1"/>
  <c r="U226" i="50" a="1"/>
  <c r="U226" i="50" s="1"/>
  <c r="U227" i="50" a="1"/>
  <c r="U227" i="50" s="1"/>
  <c r="U228" i="50" a="1"/>
  <c r="U228" i="50" s="1"/>
  <c r="U229" i="50" a="1"/>
  <c r="U229" i="50" s="1"/>
  <c r="U230" i="50" a="1"/>
  <c r="U230" i="50" s="1"/>
  <c r="U231" i="50" a="1"/>
  <c r="U231" i="50" s="1"/>
  <c r="U232" i="50" a="1"/>
  <c r="U232" i="50" s="1"/>
  <c r="AA51" i="50"/>
  <c r="AA52" i="50"/>
  <c r="AA53" i="50"/>
  <c r="AA54" i="50"/>
  <c r="AA55" i="50"/>
  <c r="AA56" i="50"/>
  <c r="AA57" i="50"/>
  <c r="AA58" i="50"/>
  <c r="AA59" i="50"/>
  <c r="AA60" i="50"/>
  <c r="AA61" i="50"/>
  <c r="AA62" i="50"/>
  <c r="AA63" i="50"/>
  <c r="AA64" i="50"/>
  <c r="AA65" i="50"/>
  <c r="AA66" i="50"/>
  <c r="AA67" i="50"/>
  <c r="AA68" i="50"/>
  <c r="AA69" i="50"/>
  <c r="AA70" i="50"/>
  <c r="AA71" i="50"/>
  <c r="AA72" i="50"/>
  <c r="AA73" i="50"/>
  <c r="AA74" i="50"/>
  <c r="AA75" i="50"/>
  <c r="AA76" i="50"/>
  <c r="AA77" i="50"/>
  <c r="AA78" i="50"/>
  <c r="AA79" i="50"/>
  <c r="AA80" i="50"/>
  <c r="AA81" i="50"/>
  <c r="AA82" i="50"/>
  <c r="AA83" i="50"/>
  <c r="AA84" i="50"/>
  <c r="AA85" i="50"/>
  <c r="AA86" i="50"/>
  <c r="AA87" i="50"/>
  <c r="AA88" i="50"/>
  <c r="AA89" i="50"/>
  <c r="AA90" i="50"/>
  <c r="AA91" i="50"/>
  <c r="AA92" i="50"/>
  <c r="AA93" i="50"/>
  <c r="AA94" i="50"/>
  <c r="AA95" i="50"/>
  <c r="AA96" i="50"/>
  <c r="AA97" i="50"/>
  <c r="AA98" i="50"/>
  <c r="AA99" i="50"/>
  <c r="AA100" i="50"/>
  <c r="AA101" i="50"/>
  <c r="AA102" i="50"/>
  <c r="AA103" i="50"/>
  <c r="AA104" i="50"/>
  <c r="AA105" i="50"/>
  <c r="AA106" i="50"/>
  <c r="AA107" i="50"/>
  <c r="AA108" i="50"/>
  <c r="AA109" i="50"/>
  <c r="AA110" i="50"/>
  <c r="AA111" i="50"/>
  <c r="AA112" i="50"/>
  <c r="AA113" i="50"/>
  <c r="AA114" i="50"/>
  <c r="AA115" i="50"/>
  <c r="AA116" i="50"/>
  <c r="AA117" i="50"/>
  <c r="AA118" i="50"/>
  <c r="AA119" i="50"/>
  <c r="AA120" i="50"/>
  <c r="AA121" i="50"/>
  <c r="AA122" i="50"/>
  <c r="AA123" i="50"/>
  <c r="AA124" i="50"/>
  <c r="AA125" i="50"/>
  <c r="AA126" i="50"/>
  <c r="AA127" i="50"/>
  <c r="AA128" i="50"/>
  <c r="AA129" i="50"/>
  <c r="AA130" i="50"/>
  <c r="AA131" i="50"/>
  <c r="AA132" i="50"/>
  <c r="AA133" i="50"/>
  <c r="AA134" i="50"/>
  <c r="AA135" i="50"/>
  <c r="AA136" i="50"/>
  <c r="AA137" i="50"/>
  <c r="AA138" i="50"/>
  <c r="AA139" i="50"/>
  <c r="AA140" i="50"/>
  <c r="AA141" i="50"/>
  <c r="AA142" i="50"/>
  <c r="AA143" i="50"/>
  <c r="AA144" i="50"/>
  <c r="AA145" i="50"/>
  <c r="AA146" i="50"/>
  <c r="AA147" i="50"/>
  <c r="AA148" i="50"/>
  <c r="AA149" i="50"/>
  <c r="AA150" i="50"/>
  <c r="AA151" i="50"/>
  <c r="AA152" i="50"/>
  <c r="AA153" i="50"/>
  <c r="AA154" i="50"/>
  <c r="AA155" i="50"/>
  <c r="AA156" i="50"/>
  <c r="AA157" i="50"/>
  <c r="AA158" i="50"/>
  <c r="AA159" i="50"/>
  <c r="AA160" i="50"/>
  <c r="AA161" i="50"/>
  <c r="AA162" i="50"/>
  <c r="AA163" i="50"/>
  <c r="AA164" i="50"/>
  <c r="AA165" i="50"/>
  <c r="AA166" i="50"/>
  <c r="AA167" i="50"/>
  <c r="AA168" i="50"/>
  <c r="AA169" i="50"/>
  <c r="AA170" i="50"/>
  <c r="AA171" i="50"/>
  <c r="AA172" i="50"/>
  <c r="AA173" i="50"/>
  <c r="AA174" i="50"/>
  <c r="AA175" i="50"/>
  <c r="AA176" i="50"/>
  <c r="AA177" i="50"/>
  <c r="AA178" i="50"/>
  <c r="AA179" i="50"/>
  <c r="AA180" i="50"/>
  <c r="AA181" i="50"/>
  <c r="AA182" i="50"/>
  <c r="AA183" i="50"/>
  <c r="AA184" i="50"/>
  <c r="AA185" i="50"/>
  <c r="AA186" i="50"/>
  <c r="AA187" i="50"/>
  <c r="AA188" i="50"/>
  <c r="AA189" i="50"/>
  <c r="AA190" i="50"/>
  <c r="AA191" i="50"/>
  <c r="AA192" i="50"/>
  <c r="AA193" i="50"/>
  <c r="AA194" i="50"/>
  <c r="AA195" i="50"/>
  <c r="AA196" i="50"/>
  <c r="AA197" i="50"/>
  <c r="AA198" i="50"/>
  <c r="AA199" i="50"/>
  <c r="AA200" i="50"/>
  <c r="AA201" i="50"/>
  <c r="AA202" i="50"/>
  <c r="AA203" i="50"/>
  <c r="AA204" i="50"/>
  <c r="AA205" i="50"/>
  <c r="AA206" i="50"/>
  <c r="AA207" i="50"/>
  <c r="AA208" i="50"/>
  <c r="AA209" i="50"/>
  <c r="AA210" i="50"/>
  <c r="AA211" i="50"/>
  <c r="AA212" i="50"/>
  <c r="AA213" i="50"/>
  <c r="AA214" i="50"/>
  <c r="AA215" i="50"/>
  <c r="AA216" i="50"/>
  <c r="AA217" i="50"/>
  <c r="AA218" i="50"/>
  <c r="AA219" i="50"/>
  <c r="AA220" i="50"/>
  <c r="AA221" i="50"/>
  <c r="AA222" i="50"/>
  <c r="AA223" i="50"/>
  <c r="AA224" i="50"/>
  <c r="AA225" i="50"/>
  <c r="AA226" i="50"/>
  <c r="AA227" i="50"/>
  <c r="AA228" i="50"/>
  <c r="AA229" i="50"/>
  <c r="AA230" i="50"/>
  <c r="AA231" i="50"/>
  <c r="AA232" i="50"/>
  <c r="AB50" i="50"/>
  <c r="AB51" i="50"/>
  <c r="AB52" i="50"/>
  <c r="AB53" i="50"/>
  <c r="AB54" i="50"/>
  <c r="AB55" i="50"/>
  <c r="AB56" i="50"/>
  <c r="AB57" i="50"/>
  <c r="AB58" i="50"/>
  <c r="AB59" i="50"/>
  <c r="AB60" i="50"/>
  <c r="AB61" i="50"/>
  <c r="AB62" i="50"/>
  <c r="AB63" i="50"/>
  <c r="AB64" i="50"/>
  <c r="AB65" i="50"/>
  <c r="AB66" i="50"/>
  <c r="AB67" i="50"/>
  <c r="AB68" i="50"/>
  <c r="AB69" i="50"/>
  <c r="AB70" i="50"/>
  <c r="AB71" i="50"/>
  <c r="AB72" i="50"/>
  <c r="AB73" i="50"/>
  <c r="AB74" i="50"/>
  <c r="AB75" i="50"/>
  <c r="AB76" i="50"/>
  <c r="AB77" i="50"/>
  <c r="AB78" i="50"/>
  <c r="AB79" i="50"/>
  <c r="AB80" i="50"/>
  <c r="AB81" i="50"/>
  <c r="AB82" i="50"/>
  <c r="AB83" i="50"/>
  <c r="AB84" i="50"/>
  <c r="AB85" i="50"/>
  <c r="AB86" i="50"/>
  <c r="AB87" i="50"/>
  <c r="AB88" i="50"/>
  <c r="AB89" i="50"/>
  <c r="AB90" i="50"/>
  <c r="AB91" i="50"/>
  <c r="AB92" i="50"/>
  <c r="AB93" i="50"/>
  <c r="AB94" i="50"/>
  <c r="AB95" i="50"/>
  <c r="AB96" i="50"/>
  <c r="AB97" i="50"/>
  <c r="AB98" i="50"/>
  <c r="AB99" i="50"/>
  <c r="AB100" i="50"/>
  <c r="AB101" i="50"/>
  <c r="AB102" i="50"/>
  <c r="AB103" i="50"/>
  <c r="AB104" i="50"/>
  <c r="AB105" i="50"/>
  <c r="AB106" i="50"/>
  <c r="AB107" i="50"/>
  <c r="AB108" i="50"/>
  <c r="AB109" i="50"/>
  <c r="AB110" i="50"/>
  <c r="AB111" i="50"/>
  <c r="AB112" i="50"/>
  <c r="AB113" i="50"/>
  <c r="AB114" i="50"/>
  <c r="AB115" i="50"/>
  <c r="AB116" i="50"/>
  <c r="AB117" i="50"/>
  <c r="AB118" i="50"/>
  <c r="AB119" i="50"/>
  <c r="AB120" i="50"/>
  <c r="AB121" i="50"/>
  <c r="AB122" i="50"/>
  <c r="AB123" i="50"/>
  <c r="AB124" i="50"/>
  <c r="AB125" i="50"/>
  <c r="AB126" i="50"/>
  <c r="AB127" i="50"/>
  <c r="AB128" i="50"/>
  <c r="AB129" i="50"/>
  <c r="AB130" i="50"/>
  <c r="AB131" i="50"/>
  <c r="AB132" i="50"/>
  <c r="AB133" i="50"/>
  <c r="AB134" i="50"/>
  <c r="AB135" i="50"/>
  <c r="AB136" i="50"/>
  <c r="AB137" i="50"/>
  <c r="AB138" i="50"/>
  <c r="AB139" i="50"/>
  <c r="AB140" i="50"/>
  <c r="AB141" i="50"/>
  <c r="AB142" i="50"/>
  <c r="AB143" i="50"/>
  <c r="AB144" i="50"/>
  <c r="AB145" i="50"/>
  <c r="AB146" i="50"/>
  <c r="AB147" i="50"/>
  <c r="AB148" i="50"/>
  <c r="AB149" i="50"/>
  <c r="AB150" i="50"/>
  <c r="AB151" i="50"/>
  <c r="AB152" i="50"/>
  <c r="AB153" i="50"/>
  <c r="AB154" i="50"/>
  <c r="AB155" i="50"/>
  <c r="AB156" i="50"/>
  <c r="AB157" i="50"/>
  <c r="AB158" i="50"/>
  <c r="AB159" i="50"/>
  <c r="AB160" i="50"/>
  <c r="AB161" i="50"/>
  <c r="AB162" i="50"/>
  <c r="AB163" i="50"/>
  <c r="AB164" i="50"/>
  <c r="AB165" i="50"/>
  <c r="AB166" i="50"/>
  <c r="AB167" i="50"/>
  <c r="AB168" i="50"/>
  <c r="AB169" i="50"/>
  <c r="AB170" i="50"/>
  <c r="AB171" i="50"/>
  <c r="AB172" i="50"/>
  <c r="AB173" i="50"/>
  <c r="AB174" i="50"/>
  <c r="AB175" i="50"/>
  <c r="AB176" i="50"/>
  <c r="AB177" i="50"/>
  <c r="AB178" i="50"/>
  <c r="AB179" i="50"/>
  <c r="AB180" i="50"/>
  <c r="AB181" i="50"/>
  <c r="AB182" i="50"/>
  <c r="AB183" i="50"/>
  <c r="AB184" i="50"/>
  <c r="AB185" i="50"/>
  <c r="AB186" i="50"/>
  <c r="AB187" i="50"/>
  <c r="AB188" i="50"/>
  <c r="AB189" i="50"/>
  <c r="AB190" i="50"/>
  <c r="AB191" i="50"/>
  <c r="AB192" i="50"/>
  <c r="AB193" i="50"/>
  <c r="AB194" i="50"/>
  <c r="AB195" i="50"/>
  <c r="AB196" i="50"/>
  <c r="AB197" i="50"/>
  <c r="AB198" i="50"/>
  <c r="AB199" i="50"/>
  <c r="AB200" i="50"/>
  <c r="AB201" i="50"/>
  <c r="AB202" i="50"/>
  <c r="AB203" i="50"/>
  <c r="AB204" i="50"/>
  <c r="AB205" i="50"/>
  <c r="AB206" i="50"/>
  <c r="AB207" i="50"/>
  <c r="AB208" i="50"/>
  <c r="AB209" i="50"/>
  <c r="AB210" i="50"/>
  <c r="AB211" i="50"/>
  <c r="AB212" i="50"/>
  <c r="AB213" i="50"/>
  <c r="AB214" i="50"/>
  <c r="AB215" i="50"/>
  <c r="AB216" i="50"/>
  <c r="AB217" i="50"/>
  <c r="AB218" i="50"/>
  <c r="AB219" i="50"/>
  <c r="AB220" i="50"/>
  <c r="AB221" i="50"/>
  <c r="AB222" i="50"/>
  <c r="AB223" i="50"/>
  <c r="AB224" i="50"/>
  <c r="AB225" i="50"/>
  <c r="AB226" i="50"/>
  <c r="AB227" i="50"/>
  <c r="AB228" i="50"/>
  <c r="AB229" i="50"/>
  <c r="AB230" i="50"/>
  <c r="AB231" i="50"/>
  <c r="AB232" i="50"/>
  <c r="Q11" i="51" a="1"/>
  <c r="Q11" i="51" s="1"/>
  <c r="Q12" i="51" a="1"/>
  <c r="Q12" i="51" s="1"/>
  <c r="Q13" i="51" a="1"/>
  <c r="Q13" i="51" s="1"/>
  <c r="Q14" i="51" a="1"/>
  <c r="Q14" i="51" s="1"/>
  <c r="Q15" i="51" a="1"/>
  <c r="Q15" i="51" s="1"/>
  <c r="Q16" i="51" a="1"/>
  <c r="Q16" i="51" s="1"/>
  <c r="Q17" i="51" a="1"/>
  <c r="Q17" i="51" s="1"/>
  <c r="Q18" i="51" a="1"/>
  <c r="Q18" i="51" s="1"/>
  <c r="Q19" i="51" a="1"/>
  <c r="Q19" i="51"/>
  <c r="Q20" i="51" a="1"/>
  <c r="Q20" i="51"/>
  <c r="Q21" i="51" a="1"/>
  <c r="Q21" i="51" s="1"/>
  <c r="Q22" i="51" a="1"/>
  <c r="Q22" i="51"/>
  <c r="Q23" i="51" a="1"/>
  <c r="Q23" i="51" s="1"/>
  <c r="Q24" i="51" a="1"/>
  <c r="Q24" i="51" s="1"/>
  <c r="Q25" i="51" a="1"/>
  <c r="Q25" i="51"/>
  <c r="Q26" i="51" a="1"/>
  <c r="Q26" i="51" s="1"/>
  <c r="Q27" i="51" a="1"/>
  <c r="Q27" i="51" s="1"/>
  <c r="Q28" i="51" a="1"/>
  <c r="Q28" i="51" s="1"/>
  <c r="Q29" i="51" a="1"/>
  <c r="Q29" i="51" s="1"/>
  <c r="Q30" i="51" a="1"/>
  <c r="Q30" i="51" s="1"/>
  <c r="Q31" i="51" a="1"/>
  <c r="Q31" i="51" s="1"/>
  <c r="Q32" i="51" a="1"/>
  <c r="Q32" i="51"/>
  <c r="Q33" i="51" a="1"/>
  <c r="Q33" i="51" s="1"/>
  <c r="Q34" i="51" a="1"/>
  <c r="Q34" i="51" s="1"/>
  <c r="Q35" i="51" a="1"/>
  <c r="Q35" i="51" s="1"/>
  <c r="Q36" i="51" a="1"/>
  <c r="Q36" i="51" s="1"/>
  <c r="Q37" i="51" a="1"/>
  <c r="Q37" i="51" s="1"/>
  <c r="Q38" i="51" a="1"/>
  <c r="Q38" i="51" s="1"/>
  <c r="Q39" i="51" a="1"/>
  <c r="Q39" i="51" s="1"/>
  <c r="Q40" i="51" a="1"/>
  <c r="Q40" i="51" s="1"/>
  <c r="Q41" i="51" a="1"/>
  <c r="Q41" i="51" s="1"/>
  <c r="Q42" i="51" a="1"/>
  <c r="Q42" i="51"/>
  <c r="Q43" i="51" a="1"/>
  <c r="Q43" i="51" s="1"/>
  <c r="Q44" i="51" a="1"/>
  <c r="Q44" i="51"/>
  <c r="Q45" i="51" a="1"/>
  <c r="Q45" i="51" s="1"/>
  <c r="Q46" i="51" a="1"/>
  <c r="Q46" i="51" s="1"/>
  <c r="Q47" i="51" a="1"/>
  <c r="Q47" i="51"/>
  <c r="Q48" i="51" a="1"/>
  <c r="Q48" i="51" s="1"/>
  <c r="Q49" i="51" a="1"/>
  <c r="Q49" i="51" s="1"/>
  <c r="Q50" i="51" a="1"/>
  <c r="Q50" i="51" s="1"/>
  <c r="Q51" i="51" a="1"/>
  <c r="Q51" i="51" s="1"/>
  <c r="Q52" i="51" a="1"/>
  <c r="Q52" i="51" s="1"/>
  <c r="Q53" i="51" a="1"/>
  <c r="Q53" i="51" s="1"/>
  <c r="Q54" i="51" a="1"/>
  <c r="Q54" i="51"/>
  <c r="Q55" i="51" a="1"/>
  <c r="Q55" i="51" s="1"/>
  <c r="Q56" i="51" a="1"/>
  <c r="Q56" i="51" s="1"/>
  <c r="Q57" i="51" a="1"/>
  <c r="Q57" i="51" s="1"/>
  <c r="Q58" i="51" a="1"/>
  <c r="Q58" i="51" s="1"/>
  <c r="Q59" i="51" a="1"/>
  <c r="Q59" i="51" s="1"/>
  <c r="Q60" i="51" a="1"/>
  <c r="Q60" i="51"/>
  <c r="Q61" i="51" a="1"/>
  <c r="Q61" i="51" s="1"/>
  <c r="Q62" i="51" a="1"/>
  <c r="Q62" i="51" s="1"/>
  <c r="Q63" i="51" a="1"/>
  <c r="Q63" i="51" s="1"/>
  <c r="Q64" i="51" a="1"/>
  <c r="Q64" i="51"/>
  <c r="Q65" i="51" a="1"/>
  <c r="Q65" i="51" s="1"/>
  <c r="Q66" i="51" a="1"/>
  <c r="Q66" i="51" s="1"/>
  <c r="Q67" i="51" a="1"/>
  <c r="Q67" i="51"/>
  <c r="Q68" i="51" a="1"/>
  <c r="Q68" i="51" s="1"/>
  <c r="Q69" i="51" a="1"/>
  <c r="Q69" i="51" s="1"/>
  <c r="Q70" i="51" a="1"/>
  <c r="Q70" i="51" s="1"/>
  <c r="Q71" i="51" a="1"/>
  <c r="Q71" i="51" s="1"/>
  <c r="Q72" i="51" a="1"/>
  <c r="Q72" i="51" s="1"/>
  <c r="Q73" i="51" a="1"/>
  <c r="Q73" i="51" s="1"/>
  <c r="Q74" i="51" a="1"/>
  <c r="Q74" i="51" s="1"/>
  <c r="Q75" i="51" a="1"/>
  <c r="Q75" i="51"/>
  <c r="Q76" i="51" a="1"/>
  <c r="Q76" i="51" s="1"/>
  <c r="Q77" i="51" a="1"/>
  <c r="Q77" i="51" s="1"/>
  <c r="Q78" i="51" a="1"/>
  <c r="Q78" i="51" s="1"/>
  <c r="Q79" i="51" a="1"/>
  <c r="Q79" i="51" s="1"/>
  <c r="Q80" i="51" a="1"/>
  <c r="Q80" i="51" s="1"/>
  <c r="Q81" i="51" a="1"/>
  <c r="Q81" i="51" s="1"/>
  <c r="Q82" i="51" a="1"/>
  <c r="Q82" i="51" s="1"/>
  <c r="Q83" i="51" a="1"/>
  <c r="Q83" i="51" s="1"/>
  <c r="Q84" i="51" a="1"/>
  <c r="Q84" i="51" s="1"/>
  <c r="Q85" i="51" a="1"/>
  <c r="Q85" i="51" s="1"/>
  <c r="Q86" i="51" a="1"/>
  <c r="Q86" i="51" s="1"/>
  <c r="Q87" i="51" a="1"/>
  <c r="Q87" i="51" s="1"/>
  <c r="Q88" i="51" a="1"/>
  <c r="Q88" i="51" s="1"/>
  <c r="Q89" i="51" a="1"/>
  <c r="Q89" i="51" s="1"/>
  <c r="Q90" i="51" a="1"/>
  <c r="Q90" i="51" s="1"/>
  <c r="Q91" i="51" a="1"/>
  <c r="Q91" i="51" s="1"/>
  <c r="Q92" i="51" a="1"/>
  <c r="Q92" i="51"/>
  <c r="Q93" i="51" a="1"/>
  <c r="Q93" i="51" s="1"/>
  <c r="Q94" i="51" a="1"/>
  <c r="Q94" i="51" s="1"/>
  <c r="Q95" i="51" a="1"/>
  <c r="Q95" i="51" s="1"/>
  <c r="Q96" i="51" a="1"/>
  <c r="Q96" i="51" s="1"/>
  <c r="Q97" i="51" a="1"/>
  <c r="Q97" i="51" s="1"/>
  <c r="Q98" i="51" a="1"/>
  <c r="Q98" i="51" s="1"/>
  <c r="Q99" i="51" a="1"/>
  <c r="Q99" i="51"/>
  <c r="Q100" i="51" a="1"/>
  <c r="Q100" i="51"/>
  <c r="Q101" i="51" a="1"/>
  <c r="Q101" i="51" s="1"/>
  <c r="Q102" i="51" a="1"/>
  <c r="Q102" i="51" s="1"/>
  <c r="Q103" i="51" a="1"/>
  <c r="Q103" i="51" s="1"/>
  <c r="Q104" i="51" a="1"/>
  <c r="Q104" i="51"/>
  <c r="Q105" i="51" a="1"/>
  <c r="Q105" i="51" s="1"/>
  <c r="Q106" i="51" a="1"/>
  <c r="Q106" i="51" s="1"/>
  <c r="Q107" i="51" a="1"/>
  <c r="Q107" i="51" s="1"/>
  <c r="Q108" i="51" a="1"/>
  <c r="Q108" i="51" s="1"/>
  <c r="Q109" i="51" a="1"/>
  <c r="Q109" i="51"/>
  <c r="Q110" i="51" a="1"/>
  <c r="Q110" i="51" s="1"/>
  <c r="Q111" i="51" a="1"/>
  <c r="Q111" i="51"/>
  <c r="Q112" i="51" a="1"/>
  <c r="Q112" i="51" s="1"/>
  <c r="Q113" i="51" a="1"/>
  <c r="Q113" i="51" s="1"/>
  <c r="Q114" i="51" a="1"/>
  <c r="Q114" i="51" s="1"/>
  <c r="Q115" i="51" a="1"/>
  <c r="Q115" i="51" s="1"/>
  <c r="Q116" i="51" a="1"/>
  <c r="Q116" i="51" s="1"/>
  <c r="Q117" i="51" a="1"/>
  <c r="Q117" i="51" s="1"/>
  <c r="Q118" i="51" a="1"/>
  <c r="Q118" i="51" s="1"/>
  <c r="Q119" i="51" a="1"/>
  <c r="Q119" i="51" s="1"/>
  <c r="Q120" i="51" a="1"/>
  <c r="Q120" i="51" s="1"/>
  <c r="Q121" i="51" a="1"/>
  <c r="Q121" i="51"/>
  <c r="Q122" i="51" a="1"/>
  <c r="Q122" i="51"/>
  <c r="Q123" i="51" a="1"/>
  <c r="Q123" i="51" s="1"/>
  <c r="Q124" i="51" a="1"/>
  <c r="Q124" i="51" s="1"/>
  <c r="Q125" i="51" a="1"/>
  <c r="Q125" i="51"/>
  <c r="Q126" i="51" a="1"/>
  <c r="Q126" i="51" s="1"/>
  <c r="Q127" i="51" a="1"/>
  <c r="Q127" i="51" s="1"/>
  <c r="Q128" i="51" a="1"/>
  <c r="Q128" i="51" s="1"/>
  <c r="Q129" i="51" a="1"/>
  <c r="Q129" i="51" s="1"/>
  <c r="Q130" i="51" a="1"/>
  <c r="Q130" i="51" s="1"/>
  <c r="Q131" i="51" a="1"/>
  <c r="Q131" i="51" s="1"/>
  <c r="Q132" i="51" a="1"/>
  <c r="Q132" i="51"/>
  <c r="Q133" i="51" a="1"/>
  <c r="Q133" i="51"/>
  <c r="Q134" i="51" a="1"/>
  <c r="Q134" i="51" s="1"/>
  <c r="Q135" i="51" a="1"/>
  <c r="Q135" i="51" s="1"/>
  <c r="Q136" i="51" a="1"/>
  <c r="Q136" i="51" s="1"/>
  <c r="Q137" i="51" a="1"/>
  <c r="Q137" i="51" s="1"/>
  <c r="Q138" i="51" a="1"/>
  <c r="Q138" i="51" s="1"/>
  <c r="Q139" i="51" a="1"/>
  <c r="Q139" i="51" s="1"/>
  <c r="Q140" i="51" a="1"/>
  <c r="Q140" i="51" s="1"/>
  <c r="Q141" i="51" a="1"/>
  <c r="Q141" i="51" s="1"/>
  <c r="Q142" i="51" a="1"/>
  <c r="Q142" i="51"/>
  <c r="Q143" i="51" a="1"/>
  <c r="Q143" i="51"/>
  <c r="Q144" i="51" a="1"/>
  <c r="Q144" i="51" s="1"/>
  <c r="Q145" i="51" a="1"/>
  <c r="Q145" i="51" s="1"/>
  <c r="Q146" i="51" a="1"/>
  <c r="Q146" i="51" s="1"/>
  <c r="Q147" i="51" a="1"/>
  <c r="Q147" i="51"/>
  <c r="Q148" i="51" a="1"/>
  <c r="Q148" i="51" s="1"/>
  <c r="Q149" i="51" a="1"/>
  <c r="Q149" i="51" s="1"/>
  <c r="Q150" i="51" a="1"/>
  <c r="Q150" i="51" s="1"/>
  <c r="Q151" i="51" a="1"/>
  <c r="Q151" i="51" s="1"/>
  <c r="Q152" i="51" a="1"/>
  <c r="Q152" i="51" s="1"/>
  <c r="Q153" i="51" a="1"/>
  <c r="Q153" i="51" s="1"/>
  <c r="Q154" i="51" a="1"/>
  <c r="Q154" i="51"/>
  <c r="Q155" i="51" a="1"/>
  <c r="Q155" i="51"/>
  <c r="Q156" i="51" a="1"/>
  <c r="Q156" i="51" s="1"/>
  <c r="Q157" i="51" a="1"/>
  <c r="Q157" i="51" s="1"/>
  <c r="Q158" i="51" a="1"/>
  <c r="Q158" i="51" s="1"/>
  <c r="Q159" i="51" a="1"/>
  <c r="Q159" i="51" s="1"/>
  <c r="Q160" i="51" a="1"/>
  <c r="Q160" i="51" s="1"/>
  <c r="Q161" i="51" a="1"/>
  <c r="Q161" i="51" s="1"/>
  <c r="Q162" i="51" a="1"/>
  <c r="Q162" i="51" s="1"/>
  <c r="Q163" i="51" a="1"/>
  <c r="Q163" i="51" s="1"/>
  <c r="Q164" i="51" a="1"/>
  <c r="Q164" i="51" s="1"/>
  <c r="Q165" i="51" a="1"/>
  <c r="Q165" i="51"/>
  <c r="Q166" i="51" a="1"/>
  <c r="Q166" i="51" s="1"/>
  <c r="Q167" i="51" a="1"/>
  <c r="Q167" i="51" s="1"/>
  <c r="Q168" i="51" a="1"/>
  <c r="Q168" i="51" s="1"/>
  <c r="Q169" i="51" a="1"/>
  <c r="Q169" i="51" s="1"/>
  <c r="Q170" i="51" a="1"/>
  <c r="Q170" i="51" s="1"/>
  <c r="Q171" i="51" a="1"/>
  <c r="Q171" i="51" s="1"/>
  <c r="Q172" i="51" a="1"/>
  <c r="Q172" i="51" s="1"/>
  <c r="Q173" i="51" a="1"/>
  <c r="Q173" i="51" s="1"/>
  <c r="Q174" i="51" a="1"/>
  <c r="Q174" i="51" s="1"/>
  <c r="Q175" i="51" a="1"/>
  <c r="Q175" i="51"/>
  <c r="Q176" i="51" a="1"/>
  <c r="Q176" i="51" s="1"/>
  <c r="Q177" i="51" a="1"/>
  <c r="Q177" i="51" s="1"/>
  <c r="Q178" i="51" a="1"/>
  <c r="Q178" i="51" s="1"/>
  <c r="Q179" i="51" a="1"/>
  <c r="Q179" i="51" s="1"/>
  <c r="Q180" i="51" a="1"/>
  <c r="Q180" i="51" s="1"/>
  <c r="Q181" i="51" a="1"/>
  <c r="Q181" i="51"/>
  <c r="Q182" i="51" a="1"/>
  <c r="Q182" i="51" s="1"/>
  <c r="Q183" i="51" a="1"/>
  <c r="Q183" i="51" s="1"/>
  <c r="Q184" i="51" a="1"/>
  <c r="Q184" i="51" s="1"/>
  <c r="Q185" i="51" a="1"/>
  <c r="Q185" i="51" s="1"/>
  <c r="Q186" i="51" a="1"/>
  <c r="Q186" i="51" s="1"/>
  <c r="Q187" i="51" a="1"/>
  <c r="Q187" i="51" s="1"/>
  <c r="Q188" i="51" a="1"/>
  <c r="Q188" i="51" s="1"/>
  <c r="Q189" i="51" a="1"/>
  <c r="Q189" i="51" s="1"/>
  <c r="Q190" i="51" a="1"/>
  <c r="Q190" i="51" s="1"/>
  <c r="Q191" i="51" a="1"/>
  <c r="Q191" i="51" s="1"/>
  <c r="Q192" i="51" a="1"/>
  <c r="Q192" i="51"/>
  <c r="Q193" i="51" a="1"/>
  <c r="Q193" i="51" s="1"/>
  <c r="S11" i="51" a="1"/>
  <c r="S11" i="51" s="1"/>
  <c r="S12" i="51" a="1"/>
  <c r="S12" i="51" s="1"/>
  <c r="S13" i="51" a="1"/>
  <c r="S13" i="51" s="1"/>
  <c r="S14" i="51" a="1"/>
  <c r="S14" i="51" s="1"/>
  <c r="S15" i="51" a="1"/>
  <c r="S15" i="51" s="1"/>
  <c r="S16" i="51" a="1"/>
  <c r="S16" i="51" s="1"/>
  <c r="S17" i="51" a="1"/>
  <c r="S17" i="51" s="1"/>
  <c r="S18" i="51" a="1"/>
  <c r="S18" i="51" s="1"/>
  <c r="S19" i="51" a="1"/>
  <c r="S19" i="51" s="1"/>
  <c r="S20" i="51" a="1"/>
  <c r="S20" i="51" s="1"/>
  <c r="S21" i="51" a="1"/>
  <c r="S21" i="51"/>
  <c r="S22" i="51" a="1"/>
  <c r="S22" i="51" s="1"/>
  <c r="S23" i="51" a="1"/>
  <c r="S23" i="51" s="1"/>
  <c r="S24" i="51" a="1"/>
  <c r="S24" i="51" s="1"/>
  <c r="S25" i="51" a="1"/>
  <c r="S25" i="51" s="1"/>
  <c r="S26" i="51" a="1"/>
  <c r="S26" i="51"/>
  <c r="S27" i="51" a="1"/>
  <c r="S27" i="51" s="1"/>
  <c r="S28" i="51" a="1"/>
  <c r="S28" i="51" s="1"/>
  <c r="S29" i="51" a="1"/>
  <c r="S29" i="51" s="1"/>
  <c r="S30" i="51" a="1"/>
  <c r="S30" i="51" s="1"/>
  <c r="S31" i="51" a="1"/>
  <c r="S31" i="51" s="1"/>
  <c r="S32" i="51" a="1"/>
  <c r="S32" i="51" s="1"/>
  <c r="S33" i="51" a="1"/>
  <c r="S33" i="51" s="1"/>
  <c r="S34" i="51" a="1"/>
  <c r="S34" i="51" s="1"/>
  <c r="S35" i="51" a="1"/>
  <c r="S35" i="51" s="1"/>
  <c r="S36" i="51" a="1"/>
  <c r="S36" i="51" s="1"/>
  <c r="S37" i="51" a="1"/>
  <c r="S37" i="51"/>
  <c r="S38" i="51" a="1"/>
  <c r="S38" i="51" s="1"/>
  <c r="S39" i="51" a="1"/>
  <c r="S39" i="51"/>
  <c r="S40" i="51" a="1"/>
  <c r="S40" i="51" s="1"/>
  <c r="S41" i="51" a="1"/>
  <c r="S41" i="51" s="1"/>
  <c r="S42" i="51" a="1"/>
  <c r="S42" i="51"/>
  <c r="S43" i="51" a="1"/>
  <c r="S43" i="51" s="1"/>
  <c r="S44" i="51" a="1"/>
  <c r="S44" i="51" s="1"/>
  <c r="S45" i="51" a="1"/>
  <c r="S45" i="51" s="1"/>
  <c r="S46" i="51" a="1"/>
  <c r="S46" i="51"/>
  <c r="S47" i="51" a="1"/>
  <c r="S47" i="51" s="1"/>
  <c r="S48" i="51" a="1"/>
  <c r="S48" i="51"/>
  <c r="S49" i="51" a="1"/>
  <c r="S49" i="51" s="1"/>
  <c r="S50" i="51" a="1"/>
  <c r="S50" i="51"/>
  <c r="S51" i="51" a="1"/>
  <c r="S51" i="51" s="1"/>
  <c r="S52" i="51" a="1"/>
  <c r="S52" i="51" s="1"/>
  <c r="S53" i="51" a="1"/>
  <c r="S53" i="51" s="1"/>
  <c r="S54" i="51" a="1"/>
  <c r="S54" i="51" s="1"/>
  <c r="S55" i="51" a="1"/>
  <c r="S55" i="51" s="1"/>
  <c r="S56" i="51" a="1"/>
  <c r="S56" i="51" s="1"/>
  <c r="S57" i="51" a="1"/>
  <c r="S57" i="51" s="1"/>
  <c r="S58" i="51" a="1"/>
  <c r="S58" i="51" s="1"/>
  <c r="S59" i="51" a="1"/>
  <c r="S59" i="51" s="1"/>
  <c r="S60" i="51" a="1"/>
  <c r="S60" i="51" s="1"/>
  <c r="S61" i="51" a="1"/>
  <c r="S61" i="51" s="1"/>
  <c r="S62" i="51" a="1"/>
  <c r="S62" i="51" s="1"/>
  <c r="S63" i="51" a="1"/>
  <c r="S63" i="51" s="1"/>
  <c r="S64" i="51" a="1"/>
  <c r="S64" i="51"/>
  <c r="S65" i="51" a="1"/>
  <c r="S65" i="51" s="1"/>
  <c r="S66" i="51" a="1"/>
  <c r="S66" i="51" s="1"/>
  <c r="S67" i="51" a="1"/>
  <c r="S67" i="51" s="1"/>
  <c r="S68" i="51" a="1"/>
  <c r="S68" i="51" s="1"/>
  <c r="S69" i="51" a="1"/>
  <c r="S69" i="51" s="1"/>
  <c r="S70" i="51" a="1"/>
  <c r="S70" i="51"/>
  <c r="S71" i="51" a="1"/>
  <c r="S71" i="51" s="1"/>
  <c r="S72" i="51" a="1"/>
  <c r="S72" i="51"/>
  <c r="S73" i="51" a="1"/>
  <c r="S73" i="51" s="1"/>
  <c r="S74" i="51" a="1"/>
  <c r="S74" i="51" s="1"/>
  <c r="S75" i="51" a="1"/>
  <c r="S75" i="51" s="1"/>
  <c r="S76" i="51" a="1"/>
  <c r="S76" i="51"/>
  <c r="S77" i="51" a="1"/>
  <c r="S77" i="51" s="1"/>
  <c r="S78" i="51" a="1"/>
  <c r="S78" i="51" s="1"/>
  <c r="S79" i="51" a="1"/>
  <c r="S79" i="51"/>
  <c r="S80" i="51" a="1"/>
  <c r="S80" i="51" s="1"/>
  <c r="S81" i="51" a="1"/>
  <c r="S81" i="51" s="1"/>
  <c r="S82" i="51" a="1"/>
  <c r="S82" i="51" s="1"/>
  <c r="S83" i="51" a="1"/>
  <c r="S83" i="51" s="1"/>
  <c r="S84" i="51" a="1"/>
  <c r="S84" i="51" s="1"/>
  <c r="S85" i="51" a="1"/>
  <c r="S85" i="51" s="1"/>
  <c r="S86" i="51" a="1"/>
  <c r="S86" i="51" s="1"/>
  <c r="S87" i="51" a="1"/>
  <c r="S87" i="51" s="1"/>
  <c r="S88" i="51" a="1"/>
  <c r="S88" i="51" s="1"/>
  <c r="S89" i="51" a="1"/>
  <c r="S89" i="51" s="1"/>
  <c r="S90" i="51" a="1"/>
  <c r="S90" i="51" s="1"/>
  <c r="S91" i="51" a="1"/>
  <c r="S91" i="51" s="1"/>
  <c r="S92" i="51" a="1"/>
  <c r="S92" i="51" s="1"/>
  <c r="S93" i="51" a="1"/>
  <c r="S93" i="51" s="1"/>
  <c r="S94" i="51" a="1"/>
  <c r="S94" i="51" s="1"/>
  <c r="S95" i="51" a="1"/>
  <c r="S95" i="51" s="1"/>
  <c r="S96" i="51" a="1"/>
  <c r="S96" i="51" s="1"/>
  <c r="S97" i="51" a="1"/>
  <c r="S97" i="51" s="1"/>
  <c r="S98" i="51" a="1"/>
  <c r="S98" i="51"/>
  <c r="S99" i="51" a="1"/>
  <c r="S99" i="51"/>
  <c r="S100" i="51" a="1"/>
  <c r="S100" i="51" s="1"/>
  <c r="S101" i="51" a="1"/>
  <c r="S101" i="51" s="1"/>
  <c r="S102" i="51" a="1"/>
  <c r="S102" i="51" s="1"/>
  <c r="S103" i="51" a="1"/>
  <c r="S103" i="51" s="1"/>
  <c r="S104" i="51" a="1"/>
  <c r="S104" i="51" s="1"/>
  <c r="S105" i="51" a="1"/>
  <c r="S105" i="51" s="1"/>
  <c r="S106" i="51" a="1"/>
  <c r="S106" i="51"/>
  <c r="S107" i="51" a="1"/>
  <c r="S107" i="51" s="1"/>
  <c r="S108" i="51" a="1"/>
  <c r="S108" i="51" s="1"/>
  <c r="S109" i="51" a="1"/>
  <c r="S109" i="51"/>
  <c r="S110" i="51" a="1"/>
  <c r="S110" i="51" s="1"/>
  <c r="S111" i="51" a="1"/>
  <c r="S111" i="51" s="1"/>
  <c r="S112" i="51" a="1"/>
  <c r="S112" i="51" s="1"/>
  <c r="S113" i="51" a="1"/>
  <c r="S113" i="51" s="1"/>
  <c r="S114" i="51" a="1"/>
  <c r="S114" i="51"/>
  <c r="S115" i="51" a="1"/>
  <c r="S115" i="51" s="1"/>
  <c r="S116" i="51" a="1"/>
  <c r="S116" i="51" s="1"/>
  <c r="S117" i="51" a="1"/>
  <c r="S117" i="51"/>
  <c r="S118" i="51" a="1"/>
  <c r="S118" i="51" s="1"/>
  <c r="S119" i="51" a="1"/>
  <c r="S119" i="51" s="1"/>
  <c r="S120" i="51" a="1"/>
  <c r="S120" i="51" s="1"/>
  <c r="S121" i="51" a="1"/>
  <c r="S121" i="51" s="1"/>
  <c r="S122" i="51" a="1"/>
  <c r="S122" i="51" s="1"/>
  <c r="S123" i="51" a="1"/>
  <c r="S123" i="51" s="1"/>
  <c r="S124" i="51" a="1"/>
  <c r="S124" i="51"/>
  <c r="S125" i="51" a="1"/>
  <c r="S125" i="51" s="1"/>
  <c r="S126" i="51" a="1"/>
  <c r="S126" i="51" s="1"/>
  <c r="S127" i="51" a="1"/>
  <c r="S127" i="51"/>
  <c r="S128" i="51" a="1"/>
  <c r="S128" i="51"/>
  <c r="S129" i="51" a="1"/>
  <c r="S129" i="51" s="1"/>
  <c r="S130" i="51" a="1"/>
  <c r="S130" i="51" s="1"/>
  <c r="S131" i="51" a="1"/>
  <c r="S131" i="51"/>
  <c r="S132" i="51" a="1"/>
  <c r="S132" i="51" s="1"/>
  <c r="S133" i="51" a="1"/>
  <c r="S133" i="51" s="1"/>
  <c r="S134" i="51" a="1"/>
  <c r="S134" i="51" s="1"/>
  <c r="S135" i="51" a="1"/>
  <c r="S135" i="51" s="1"/>
  <c r="S136" i="51" a="1"/>
  <c r="S136" i="51" s="1"/>
  <c r="S137" i="51" a="1"/>
  <c r="S137" i="51"/>
  <c r="S138" i="51" a="1"/>
  <c r="S138" i="51"/>
  <c r="S139" i="51" a="1"/>
  <c r="S139" i="51" s="1"/>
  <c r="S140" i="51" a="1"/>
  <c r="S140" i="51" s="1"/>
  <c r="S141" i="51" a="1"/>
  <c r="S141" i="51" s="1"/>
  <c r="S142" i="51" a="1"/>
  <c r="S142" i="51"/>
  <c r="S143" i="51" a="1"/>
  <c r="S143" i="51" s="1"/>
  <c r="S144" i="51" a="1"/>
  <c r="S144" i="51"/>
  <c r="S145" i="51" a="1"/>
  <c r="S145" i="51" s="1"/>
  <c r="S146" i="51" a="1"/>
  <c r="S146" i="51" s="1"/>
  <c r="S147" i="51" a="1"/>
  <c r="S147" i="51" s="1"/>
  <c r="S148" i="51" a="1"/>
  <c r="S148" i="51"/>
  <c r="S149" i="51" a="1"/>
  <c r="S149" i="51" s="1"/>
  <c r="S150" i="51" a="1"/>
  <c r="S150" i="51" s="1"/>
  <c r="S151" i="51" a="1"/>
  <c r="S151" i="51" s="1"/>
  <c r="S152" i="51" a="1"/>
  <c r="S152" i="51" s="1"/>
  <c r="S153" i="51" a="1"/>
  <c r="S153" i="51" s="1"/>
  <c r="S154" i="51" a="1"/>
  <c r="S154" i="51" s="1"/>
  <c r="S155" i="51" a="1"/>
  <c r="S155" i="51" s="1"/>
  <c r="S156" i="51" a="1"/>
  <c r="S156" i="51" s="1"/>
  <c r="S157" i="51" a="1"/>
  <c r="S157" i="51" s="1"/>
  <c r="S158" i="51" a="1"/>
  <c r="S158" i="51" s="1"/>
  <c r="S159" i="51" a="1"/>
  <c r="S159" i="51" s="1"/>
  <c r="S160" i="51" a="1"/>
  <c r="S160" i="51" s="1"/>
  <c r="S161" i="51" a="1"/>
  <c r="S161" i="51" s="1"/>
  <c r="S162" i="51" a="1"/>
  <c r="S162" i="51" s="1"/>
  <c r="S163" i="51" a="1"/>
  <c r="S163" i="51" s="1"/>
  <c r="S164" i="51" a="1"/>
  <c r="S164" i="51"/>
  <c r="S165" i="51" a="1"/>
  <c r="S165" i="51" s="1"/>
  <c r="S166" i="51" a="1"/>
  <c r="S166" i="51" s="1"/>
  <c r="S167" i="51" a="1"/>
  <c r="S167" i="51" s="1"/>
  <c r="S168" i="51" a="1"/>
  <c r="S168" i="51"/>
  <c r="S169" i="51" a="1"/>
  <c r="S169" i="51" s="1"/>
  <c r="S170" i="51" a="1"/>
  <c r="S170" i="51" s="1"/>
  <c r="S171" i="51" a="1"/>
  <c r="S171" i="51" s="1"/>
  <c r="S172" i="51" a="1"/>
  <c r="S172" i="51"/>
  <c r="S173" i="51" a="1"/>
  <c r="S173" i="51" s="1"/>
  <c r="S174" i="51" a="1"/>
  <c r="S174" i="51"/>
  <c r="S175" i="51" a="1"/>
  <c r="S175" i="51" s="1"/>
  <c r="S176" i="51" a="1"/>
  <c r="S176" i="51" s="1"/>
  <c r="S177" i="51" a="1"/>
  <c r="S177" i="51" s="1"/>
  <c r="S178" i="51" a="1"/>
  <c r="S178" i="51" s="1"/>
  <c r="S179" i="51" a="1"/>
  <c r="S179" i="51" s="1"/>
  <c r="S180" i="51" a="1"/>
  <c r="S180" i="51" s="1"/>
  <c r="S181" i="51" a="1"/>
  <c r="S181" i="51"/>
  <c r="S182" i="51" a="1"/>
  <c r="S182" i="51" s="1"/>
  <c r="S183" i="51" a="1"/>
  <c r="S183" i="51" s="1"/>
  <c r="S184" i="51" a="1"/>
  <c r="S184" i="51"/>
  <c r="S185" i="51" a="1"/>
  <c r="S185" i="51" s="1"/>
  <c r="S186" i="51" a="1"/>
  <c r="S186" i="51" s="1"/>
  <c r="S187" i="51" a="1"/>
  <c r="S187" i="51" s="1"/>
  <c r="S188" i="51" a="1"/>
  <c r="S188" i="51" s="1"/>
  <c r="S189" i="51" a="1"/>
  <c r="S189" i="51" s="1"/>
  <c r="S190" i="51" a="1"/>
  <c r="S190" i="51" s="1"/>
  <c r="S191" i="51" a="1"/>
  <c r="S191" i="51" s="1"/>
  <c r="S192" i="51" a="1"/>
  <c r="S192" i="51" s="1"/>
  <c r="S193" i="51" a="1"/>
  <c r="S193" i="51" s="1"/>
  <c r="U11" i="51" a="1"/>
  <c r="U11" i="51" s="1"/>
  <c r="U12" i="51" a="1"/>
  <c r="U12" i="51" s="1"/>
  <c r="U13" i="51" a="1"/>
  <c r="U13" i="51" s="1"/>
  <c r="U14" i="51" a="1"/>
  <c r="U14" i="51" s="1"/>
  <c r="U15" i="51" a="1"/>
  <c r="U15" i="51" s="1"/>
  <c r="U16" i="51" a="1"/>
  <c r="U16" i="51" s="1"/>
  <c r="U17" i="51" a="1"/>
  <c r="U17" i="51" s="1"/>
  <c r="U18" i="51" a="1"/>
  <c r="U18" i="51" s="1"/>
  <c r="U19" i="51" a="1"/>
  <c r="U19" i="51" s="1"/>
  <c r="U20" i="51" a="1"/>
  <c r="U20" i="51" s="1"/>
  <c r="U21" i="51" a="1"/>
  <c r="U21" i="51" s="1"/>
  <c r="U22" i="51" a="1"/>
  <c r="U22" i="51" s="1"/>
  <c r="U23" i="51" a="1"/>
  <c r="U23" i="51" s="1"/>
  <c r="U24" i="51" a="1"/>
  <c r="U24" i="51" s="1"/>
  <c r="U25" i="51" a="1"/>
  <c r="U25" i="51" s="1"/>
  <c r="U26" i="51" a="1"/>
  <c r="U26" i="51" s="1"/>
  <c r="U27" i="51" a="1"/>
  <c r="U27" i="51" s="1"/>
  <c r="U28" i="51" a="1"/>
  <c r="U28" i="51" s="1"/>
  <c r="U29" i="51" a="1"/>
  <c r="U29" i="51" s="1"/>
  <c r="U30" i="51" a="1"/>
  <c r="U30" i="51" s="1"/>
  <c r="U31" i="51" a="1"/>
  <c r="U31" i="51"/>
  <c r="U32" i="51" a="1"/>
  <c r="U32" i="51" s="1"/>
  <c r="U33" i="51" a="1"/>
  <c r="U33" i="51" s="1"/>
  <c r="U34" i="51" a="1"/>
  <c r="U34" i="51"/>
  <c r="U35" i="51" a="1"/>
  <c r="U35" i="51" s="1"/>
  <c r="U36" i="51" a="1"/>
  <c r="U36" i="51" s="1"/>
  <c r="U37" i="51" a="1"/>
  <c r="U37" i="51" s="1"/>
  <c r="U38" i="51" a="1"/>
  <c r="U38" i="51"/>
  <c r="U39" i="51" a="1"/>
  <c r="U39" i="51" s="1"/>
  <c r="U40" i="51" a="1"/>
  <c r="U40" i="51" s="1"/>
  <c r="U41" i="51" a="1"/>
  <c r="U41" i="51" s="1"/>
  <c r="U42" i="51" a="1"/>
  <c r="U42" i="51" s="1"/>
  <c r="U43" i="51" a="1"/>
  <c r="U43" i="51" s="1"/>
  <c r="U44" i="51" a="1"/>
  <c r="U44" i="51" s="1"/>
  <c r="U45" i="51" a="1"/>
  <c r="U45" i="51"/>
  <c r="U46" i="51" a="1"/>
  <c r="U46" i="51" s="1"/>
  <c r="U47" i="51" a="1"/>
  <c r="U47" i="51" s="1"/>
  <c r="U48" i="51" a="1"/>
  <c r="U48" i="51"/>
  <c r="U49" i="51" a="1"/>
  <c r="U49" i="51" s="1"/>
  <c r="U50" i="51" a="1"/>
  <c r="U50" i="51" s="1"/>
  <c r="U51" i="51" a="1"/>
  <c r="U51" i="51" s="1"/>
  <c r="U52" i="51" a="1"/>
  <c r="U52" i="51" s="1"/>
  <c r="U53" i="51" a="1"/>
  <c r="U53" i="51" s="1"/>
  <c r="U54" i="51" a="1"/>
  <c r="U54" i="51" s="1"/>
  <c r="U55" i="51" a="1"/>
  <c r="U55" i="51" s="1"/>
  <c r="U56" i="51" a="1"/>
  <c r="U56" i="51"/>
  <c r="U57" i="51" a="1"/>
  <c r="U57" i="51" s="1"/>
  <c r="U58" i="51" a="1"/>
  <c r="U58" i="51" s="1"/>
  <c r="U59" i="51" a="1"/>
  <c r="U59" i="51" s="1"/>
  <c r="U60" i="51" a="1"/>
  <c r="U60" i="51" s="1"/>
  <c r="U61" i="51" a="1"/>
  <c r="U61" i="51"/>
  <c r="U62" i="51" a="1"/>
  <c r="U62" i="51" s="1"/>
  <c r="U63" i="51" a="1"/>
  <c r="U63" i="51"/>
  <c r="U64" i="51" a="1"/>
  <c r="U64" i="51" s="1"/>
  <c r="U65" i="51" a="1"/>
  <c r="U65" i="51" s="1"/>
  <c r="U66" i="51" a="1"/>
  <c r="U66" i="51" s="1"/>
  <c r="U67" i="51" a="1"/>
  <c r="U67" i="51"/>
  <c r="U68" i="51" a="1"/>
  <c r="U68" i="51" s="1"/>
  <c r="U69" i="51" a="1"/>
  <c r="U69" i="51" s="1"/>
  <c r="U70" i="51" a="1"/>
  <c r="U70" i="51" s="1"/>
  <c r="U71" i="51" a="1"/>
  <c r="U71" i="51" s="1"/>
  <c r="U72" i="51" a="1"/>
  <c r="U72" i="51" s="1"/>
  <c r="U73" i="51" a="1"/>
  <c r="U73" i="51" s="1"/>
  <c r="U74" i="51" a="1"/>
  <c r="U74" i="51" s="1"/>
  <c r="U75" i="51" a="1"/>
  <c r="U75" i="51" s="1"/>
  <c r="U76" i="51" a="1"/>
  <c r="U76" i="51" s="1"/>
  <c r="U77" i="51" a="1"/>
  <c r="U77" i="51" s="1"/>
  <c r="U78" i="51" a="1"/>
  <c r="U78" i="51"/>
  <c r="U79" i="51" a="1"/>
  <c r="U79" i="51" s="1"/>
  <c r="U80" i="51" a="1"/>
  <c r="U80" i="51" s="1"/>
  <c r="U81" i="51" a="1"/>
  <c r="U81" i="51" s="1"/>
  <c r="U82" i="51" a="1"/>
  <c r="U82" i="51" s="1"/>
  <c r="U83" i="51" a="1"/>
  <c r="U83" i="51" s="1"/>
  <c r="U84" i="51" a="1"/>
  <c r="U84" i="51" s="1"/>
  <c r="U85" i="51" a="1"/>
  <c r="U85" i="51" s="1"/>
  <c r="U86" i="51" a="1"/>
  <c r="U86" i="51" s="1"/>
  <c r="U87" i="51" a="1"/>
  <c r="U87" i="51" s="1"/>
  <c r="U88" i="51" a="1"/>
  <c r="U88" i="51"/>
  <c r="U89" i="51" a="1"/>
  <c r="U89" i="51" s="1"/>
  <c r="U90" i="51" a="1"/>
  <c r="U90" i="51" s="1"/>
  <c r="U91" i="51" a="1"/>
  <c r="U91" i="51"/>
  <c r="U92" i="51" a="1"/>
  <c r="U92" i="51" s="1"/>
  <c r="U93" i="51" a="1"/>
  <c r="U93" i="51" s="1"/>
  <c r="U94" i="51" a="1"/>
  <c r="U94" i="51" s="1"/>
  <c r="U95" i="51" a="1"/>
  <c r="U95" i="51" s="1"/>
  <c r="U96" i="51" a="1"/>
  <c r="U96" i="51" s="1"/>
  <c r="U97" i="51" a="1"/>
  <c r="U97" i="51" s="1"/>
  <c r="U98" i="51" a="1"/>
  <c r="U98" i="51" s="1"/>
  <c r="U99" i="51" a="1"/>
  <c r="U99" i="51" s="1"/>
  <c r="U100" i="51" a="1"/>
  <c r="U100" i="51" s="1"/>
  <c r="U101" i="51" a="1"/>
  <c r="U101" i="51" s="1"/>
  <c r="U102" i="51" a="1"/>
  <c r="U102" i="51" s="1"/>
  <c r="U103" i="51" a="1"/>
  <c r="U103" i="51" s="1"/>
  <c r="U104" i="51" a="1"/>
  <c r="U104" i="51" s="1"/>
  <c r="U105" i="51" a="1"/>
  <c r="U105" i="51" s="1"/>
  <c r="U106" i="51" a="1"/>
  <c r="U106" i="51" s="1"/>
  <c r="U107" i="51" a="1"/>
  <c r="U107" i="51"/>
  <c r="U108" i="51" a="1"/>
  <c r="U108" i="51" s="1"/>
  <c r="U109" i="51" a="1"/>
  <c r="U109" i="51" s="1"/>
  <c r="U110" i="51" a="1"/>
  <c r="U110" i="51" s="1"/>
  <c r="U111" i="51" a="1"/>
  <c r="U111" i="51" s="1"/>
  <c r="U112" i="51" a="1"/>
  <c r="U112" i="51" s="1"/>
  <c r="U113" i="51" a="1"/>
  <c r="U113" i="51" s="1"/>
  <c r="U114" i="51" a="1"/>
  <c r="U114" i="51" s="1"/>
  <c r="U115" i="51" a="1"/>
  <c r="U115" i="51" s="1"/>
  <c r="U116" i="51" a="1"/>
  <c r="U116" i="51"/>
  <c r="U117" i="51" a="1"/>
  <c r="U117" i="51" s="1"/>
  <c r="U118" i="51" a="1"/>
  <c r="U118" i="51"/>
  <c r="U119" i="51" a="1"/>
  <c r="U119" i="51" s="1"/>
  <c r="U120" i="51" a="1"/>
  <c r="U120" i="51" s="1"/>
  <c r="U121" i="51" a="1"/>
  <c r="U121" i="51"/>
  <c r="U122" i="51" a="1"/>
  <c r="U122" i="51" s="1"/>
  <c r="U123" i="51" a="1"/>
  <c r="U123" i="51" s="1"/>
  <c r="U124" i="51" a="1"/>
  <c r="U124" i="51" s="1"/>
  <c r="U125" i="51" a="1"/>
  <c r="U125" i="51" s="1"/>
  <c r="U126" i="51" a="1"/>
  <c r="U126" i="51" s="1"/>
  <c r="U127" i="51" a="1"/>
  <c r="U127" i="51"/>
  <c r="U128" i="51" a="1"/>
  <c r="U128" i="51" s="1"/>
  <c r="U129" i="51" a="1"/>
  <c r="U129" i="51" s="1"/>
  <c r="U130" i="51" a="1"/>
  <c r="U130" i="51" s="1"/>
  <c r="U131" i="51" a="1"/>
  <c r="U131" i="51"/>
  <c r="U132" i="51" a="1"/>
  <c r="U132" i="51" s="1"/>
  <c r="U133" i="51" a="1"/>
  <c r="U133" i="51" s="1"/>
  <c r="U134" i="51" a="1"/>
  <c r="U134" i="51" s="1"/>
  <c r="U135" i="51" a="1"/>
  <c r="U135" i="51" s="1"/>
  <c r="U136" i="51" a="1"/>
  <c r="U136" i="51" s="1"/>
  <c r="U137" i="51" a="1"/>
  <c r="U137" i="51"/>
  <c r="U138" i="51" a="1"/>
  <c r="U138" i="51"/>
  <c r="U139" i="51" a="1"/>
  <c r="U139" i="51" s="1"/>
  <c r="U140" i="51" a="1"/>
  <c r="U140" i="51" s="1"/>
  <c r="U141" i="51" a="1"/>
  <c r="U141" i="51" s="1"/>
  <c r="U142" i="51" a="1"/>
  <c r="U142" i="51" s="1"/>
  <c r="U143" i="51" a="1"/>
  <c r="U143" i="51" s="1"/>
  <c r="U144" i="51" a="1"/>
  <c r="U144" i="51" s="1"/>
  <c r="U145" i="51" a="1"/>
  <c r="U145" i="51" s="1"/>
  <c r="U146" i="51" a="1"/>
  <c r="U146" i="51" s="1"/>
  <c r="U147" i="51" a="1"/>
  <c r="U147" i="51" s="1"/>
  <c r="U148" i="51" a="1"/>
  <c r="U148" i="51" s="1"/>
  <c r="U149" i="51" a="1"/>
  <c r="U149" i="51" s="1"/>
  <c r="U150" i="51" a="1"/>
  <c r="U150" i="51" s="1"/>
  <c r="U151" i="51" a="1"/>
  <c r="U151" i="51" s="1"/>
  <c r="U152" i="51" a="1"/>
  <c r="U152" i="51" s="1"/>
  <c r="U153" i="51" a="1"/>
  <c r="U153" i="51" s="1"/>
  <c r="U154" i="51" a="1"/>
  <c r="U154" i="51" s="1"/>
  <c r="U155" i="51" a="1"/>
  <c r="U155" i="51"/>
  <c r="U156" i="51" a="1"/>
  <c r="U156" i="51" s="1"/>
  <c r="U157" i="51" a="1"/>
  <c r="U157" i="51" s="1"/>
  <c r="U158" i="51" a="1"/>
  <c r="U158" i="51" s="1"/>
  <c r="U159" i="51" a="1"/>
  <c r="U159" i="51" s="1"/>
  <c r="U160" i="51" a="1"/>
  <c r="U160" i="51" s="1"/>
  <c r="U161" i="51" a="1"/>
  <c r="U161" i="51"/>
  <c r="U162" i="51" a="1"/>
  <c r="U162" i="51" s="1"/>
  <c r="U163" i="51" a="1"/>
  <c r="U163" i="51"/>
  <c r="U164" i="51" a="1"/>
  <c r="U164" i="51" s="1"/>
  <c r="U165" i="51" a="1"/>
  <c r="U165" i="51" s="1"/>
  <c r="U166" i="51" a="1"/>
  <c r="U166" i="51"/>
  <c r="U167" i="51" a="1"/>
  <c r="U167" i="51" s="1"/>
  <c r="U168" i="51" a="1"/>
  <c r="U168" i="51" s="1"/>
  <c r="U169" i="51" a="1"/>
  <c r="U169" i="51" s="1"/>
  <c r="U170" i="51" a="1"/>
  <c r="U170" i="51" s="1"/>
  <c r="U171" i="51" a="1"/>
  <c r="U171" i="51"/>
  <c r="U172" i="51" a="1"/>
  <c r="U172" i="51" s="1"/>
  <c r="U173" i="51" a="1"/>
  <c r="U173" i="51" s="1"/>
  <c r="U174" i="51" a="1"/>
  <c r="U174" i="51" s="1"/>
  <c r="U175" i="51" a="1"/>
  <c r="U175" i="51" s="1"/>
  <c r="U176" i="51" a="1"/>
  <c r="U176" i="51" s="1"/>
  <c r="U177" i="51" a="1"/>
  <c r="U177" i="51"/>
  <c r="U178" i="51" a="1"/>
  <c r="U178" i="51" s="1"/>
  <c r="U179" i="51" a="1"/>
  <c r="U179" i="51" s="1"/>
  <c r="U180" i="51" a="1"/>
  <c r="U180" i="51" s="1"/>
  <c r="U181" i="51" a="1"/>
  <c r="U181" i="51" s="1"/>
  <c r="U182" i="51" a="1"/>
  <c r="U182" i="51" s="1"/>
  <c r="U183" i="51" a="1"/>
  <c r="U183" i="51" s="1"/>
  <c r="U184" i="51" a="1"/>
  <c r="U184" i="51" s="1"/>
  <c r="U185" i="51" a="1"/>
  <c r="U185" i="51"/>
  <c r="U186" i="51" a="1"/>
  <c r="U186" i="51" s="1"/>
  <c r="U187" i="51" a="1"/>
  <c r="U187" i="51" s="1"/>
  <c r="U188" i="51" a="1"/>
  <c r="U188" i="51"/>
  <c r="U189" i="51" a="1"/>
  <c r="U189" i="51" s="1"/>
  <c r="U190" i="51" a="1"/>
  <c r="U190" i="51" s="1"/>
  <c r="U191" i="51" a="1"/>
  <c r="U191" i="51"/>
  <c r="U192" i="51" a="1"/>
  <c r="U192" i="51" s="1"/>
  <c r="U193" i="51" a="1"/>
  <c r="U193" i="51" s="1"/>
  <c r="W11" i="51" a="1"/>
  <c r="W11" i="51"/>
  <c r="W12" i="51" a="1"/>
  <c r="W12" i="51" s="1"/>
  <c r="W13" i="51" a="1"/>
  <c r="W13" i="51" s="1"/>
  <c r="W14" i="51" a="1"/>
  <c r="W14" i="51" s="1"/>
  <c r="W15" i="51" a="1"/>
  <c r="W15" i="51" s="1"/>
  <c r="W16" i="51" a="1"/>
  <c r="W16" i="51" s="1"/>
  <c r="W17" i="51" a="1"/>
  <c r="W17" i="51" s="1"/>
  <c r="W18" i="51" a="1"/>
  <c r="W18" i="51" s="1"/>
  <c r="W19" i="51" a="1"/>
  <c r="W19" i="51" s="1"/>
  <c r="W20" i="51" a="1"/>
  <c r="W20" i="51" s="1"/>
  <c r="W21" i="51" a="1"/>
  <c r="W21" i="51" s="1"/>
  <c r="W22" i="51" a="1"/>
  <c r="W22" i="51"/>
  <c r="W23" i="51" a="1"/>
  <c r="W23" i="51" s="1"/>
  <c r="W24" i="51" a="1"/>
  <c r="W24" i="51" s="1"/>
  <c r="W25" i="51" a="1"/>
  <c r="W25" i="51" s="1"/>
  <c r="W26" i="51" a="1"/>
  <c r="W26" i="51" s="1"/>
  <c r="W27" i="51" a="1"/>
  <c r="W27" i="51" s="1"/>
  <c r="W28" i="51" a="1"/>
  <c r="W28" i="51" s="1"/>
  <c r="W29" i="51" a="1"/>
  <c r="W29" i="51" s="1"/>
  <c r="W30" i="51" a="1"/>
  <c r="W30" i="51" s="1"/>
  <c r="W31" i="51" a="1"/>
  <c r="W31" i="51" s="1"/>
  <c r="W32" i="51" a="1"/>
  <c r="W32" i="51" s="1"/>
  <c r="W33" i="51" a="1"/>
  <c r="W33" i="51" s="1"/>
  <c r="W34" i="51" a="1"/>
  <c r="W34" i="51" s="1"/>
  <c r="W35" i="51" a="1"/>
  <c r="W35" i="51"/>
  <c r="W36" i="51" a="1"/>
  <c r="W36" i="51" s="1"/>
  <c r="W37" i="51" a="1"/>
  <c r="W37" i="51" s="1"/>
  <c r="W38" i="51" a="1"/>
  <c r="W38" i="51"/>
  <c r="W39" i="51" a="1"/>
  <c r="W39" i="51" s="1"/>
  <c r="W40" i="51" a="1"/>
  <c r="W40" i="51" s="1"/>
  <c r="W41" i="51" a="1"/>
  <c r="W41" i="51" s="1"/>
  <c r="W42" i="51" a="1"/>
  <c r="W42" i="51" s="1"/>
  <c r="W43" i="51" a="1"/>
  <c r="W43" i="51" s="1"/>
  <c r="W44" i="51" a="1"/>
  <c r="W44" i="51" s="1"/>
  <c r="W45" i="51" a="1"/>
  <c r="W45" i="51" s="1"/>
  <c r="W46" i="51" a="1"/>
  <c r="W46" i="51" s="1"/>
  <c r="W47" i="51" a="1"/>
  <c r="W47" i="51" s="1"/>
  <c r="W48" i="51" a="1"/>
  <c r="W48" i="51"/>
  <c r="W49" i="51" a="1"/>
  <c r="W49" i="51" s="1"/>
  <c r="W50" i="51" a="1"/>
  <c r="W50" i="51"/>
  <c r="W51" i="51" a="1"/>
  <c r="W51" i="51" s="1"/>
  <c r="W52" i="51" a="1"/>
  <c r="W52" i="51" s="1"/>
  <c r="W53" i="51" a="1"/>
  <c r="W53" i="51" s="1"/>
  <c r="W54" i="51" a="1"/>
  <c r="W54" i="51"/>
  <c r="W55" i="51" a="1"/>
  <c r="W55" i="51" s="1"/>
  <c r="W56" i="51" a="1"/>
  <c r="W56" i="51" s="1"/>
  <c r="W57" i="51" a="1"/>
  <c r="W57" i="51" s="1"/>
  <c r="W58" i="51" a="1"/>
  <c r="W58" i="51" s="1"/>
  <c r="W59" i="51" a="1"/>
  <c r="W59" i="51" s="1"/>
  <c r="W60" i="51" a="1"/>
  <c r="W60" i="51" s="1"/>
  <c r="W61" i="51" a="1"/>
  <c r="W61" i="51" s="1"/>
  <c r="W62" i="51" a="1"/>
  <c r="W62" i="51" s="1"/>
  <c r="W63" i="51" a="1"/>
  <c r="W63" i="51" s="1"/>
  <c r="W64" i="51" a="1"/>
  <c r="W64" i="51" s="1"/>
  <c r="W65" i="51" a="1"/>
  <c r="W65" i="51" s="1"/>
  <c r="W66" i="51" a="1"/>
  <c r="W66" i="51" s="1"/>
  <c r="W67" i="51" a="1"/>
  <c r="W67" i="51" s="1"/>
  <c r="W68" i="51" a="1"/>
  <c r="W68" i="51"/>
  <c r="W69" i="51" a="1"/>
  <c r="W69" i="51" s="1"/>
  <c r="W70" i="51" a="1"/>
  <c r="W70" i="51" s="1"/>
  <c r="W71" i="51" a="1"/>
  <c r="W71" i="51"/>
  <c r="W72" i="51" a="1"/>
  <c r="W72" i="51" s="1"/>
  <c r="W73" i="51" a="1"/>
  <c r="W73" i="51" s="1"/>
  <c r="W74" i="51" a="1"/>
  <c r="W74" i="51" s="1"/>
  <c r="W75" i="51" a="1"/>
  <c r="W75" i="51" s="1"/>
  <c r="W76" i="51" a="1"/>
  <c r="W76" i="51"/>
  <c r="W77" i="51" a="1"/>
  <c r="W77" i="51" s="1"/>
  <c r="W78" i="51" a="1"/>
  <c r="W78" i="51" s="1"/>
  <c r="W79" i="51" a="1"/>
  <c r="W79" i="51" s="1"/>
  <c r="W80" i="51" a="1"/>
  <c r="W80" i="51"/>
  <c r="W81" i="51" a="1"/>
  <c r="W81" i="51" s="1"/>
  <c r="W82" i="51" a="1"/>
  <c r="W82" i="51" s="1"/>
  <c r="W83" i="51" a="1"/>
  <c r="W83" i="51" s="1"/>
  <c r="W84" i="51" a="1"/>
  <c r="W84" i="51" s="1"/>
  <c r="W85" i="51" a="1"/>
  <c r="W85" i="51" s="1"/>
  <c r="W86" i="51" a="1"/>
  <c r="W86" i="51" s="1"/>
  <c r="W87" i="51" a="1"/>
  <c r="W87" i="51" s="1"/>
  <c r="W88" i="51" a="1"/>
  <c r="W88" i="51"/>
  <c r="W89" i="51" a="1"/>
  <c r="W89" i="51" s="1"/>
  <c r="W90" i="51" a="1"/>
  <c r="W90" i="51" s="1"/>
  <c r="W91" i="51" a="1"/>
  <c r="W91" i="51" s="1"/>
  <c r="W92" i="51" a="1"/>
  <c r="W92" i="51" s="1"/>
  <c r="W93" i="51" a="1"/>
  <c r="W93" i="51" s="1"/>
  <c r="W94" i="51" a="1"/>
  <c r="W94" i="51" s="1"/>
  <c r="W95" i="51" a="1"/>
  <c r="W95" i="51"/>
  <c r="W96" i="51" a="1"/>
  <c r="W96" i="51" s="1"/>
  <c r="W97" i="51" a="1"/>
  <c r="W97" i="51" s="1"/>
  <c r="W98" i="51" a="1"/>
  <c r="W98" i="51" s="1"/>
  <c r="W99" i="51" a="1"/>
  <c r="W99" i="51" s="1"/>
  <c r="W100" i="51" a="1"/>
  <c r="W100" i="51" s="1"/>
  <c r="W101" i="51" a="1"/>
  <c r="W101" i="51" s="1"/>
  <c r="W102" i="51" a="1"/>
  <c r="W102" i="51" s="1"/>
  <c r="W103" i="51" a="1"/>
  <c r="W103" i="51" s="1"/>
  <c r="W104" i="51" a="1"/>
  <c r="W104" i="51" s="1"/>
  <c r="W105" i="51" a="1"/>
  <c r="W105" i="51"/>
  <c r="W106" i="51" a="1"/>
  <c r="W106" i="51"/>
  <c r="W107" i="51" a="1"/>
  <c r="W107" i="51" s="1"/>
  <c r="W108" i="51" a="1"/>
  <c r="W108" i="51" s="1"/>
  <c r="W109" i="51" a="1"/>
  <c r="W109" i="51" s="1"/>
  <c r="W110" i="51" a="1"/>
  <c r="W110" i="51"/>
  <c r="W111" i="51" a="1"/>
  <c r="W111" i="51" s="1"/>
  <c r="W112" i="51" a="1"/>
  <c r="W112" i="51" s="1"/>
  <c r="W113" i="51" a="1"/>
  <c r="W113" i="51"/>
  <c r="W114" i="51" a="1"/>
  <c r="W114" i="51" s="1"/>
  <c r="W115" i="51" a="1"/>
  <c r="W115" i="51" s="1"/>
  <c r="W116" i="51" a="1"/>
  <c r="W116" i="51"/>
  <c r="W117" i="51" a="1"/>
  <c r="W117" i="51" s="1"/>
  <c r="W118" i="51" a="1"/>
  <c r="W118" i="51" s="1"/>
  <c r="W119" i="51" a="1"/>
  <c r="W119" i="51" s="1"/>
  <c r="W120" i="51" a="1"/>
  <c r="W120" i="51" s="1"/>
  <c r="W121" i="51" a="1"/>
  <c r="W121" i="51" s="1"/>
  <c r="W122" i="51" a="1"/>
  <c r="W122" i="51" s="1"/>
  <c r="W123" i="51" a="1"/>
  <c r="W123" i="51" s="1"/>
  <c r="W124" i="51" a="1"/>
  <c r="W124" i="51" s="1"/>
  <c r="W125" i="51" a="1"/>
  <c r="W125" i="51" s="1"/>
  <c r="W126" i="51" a="1"/>
  <c r="W126" i="51" s="1"/>
  <c r="W127" i="51" a="1"/>
  <c r="W127" i="51" s="1"/>
  <c r="W128" i="51" a="1"/>
  <c r="W128" i="51" s="1"/>
  <c r="W129" i="51" a="1"/>
  <c r="W129" i="51" s="1"/>
  <c r="W130" i="51" a="1"/>
  <c r="W130" i="51" s="1"/>
  <c r="W131" i="51" a="1"/>
  <c r="W131" i="51" s="1"/>
  <c r="W132" i="51" a="1"/>
  <c r="W132" i="51" s="1"/>
  <c r="W133" i="51" a="1"/>
  <c r="W133" i="51" s="1"/>
  <c r="W134" i="51" a="1"/>
  <c r="W134" i="51" s="1"/>
  <c r="W135" i="51" a="1"/>
  <c r="W135" i="51" s="1"/>
  <c r="W136" i="51" a="1"/>
  <c r="W136" i="51" s="1"/>
  <c r="W137" i="51" a="1"/>
  <c r="W137" i="51" s="1"/>
  <c r="W138" i="51" a="1"/>
  <c r="W138" i="51" s="1"/>
  <c r="W139" i="51" a="1"/>
  <c r="W139" i="51" s="1"/>
  <c r="W140" i="51" a="1"/>
  <c r="W140" i="51" s="1"/>
  <c r="W141" i="51" a="1"/>
  <c r="W141" i="51" s="1"/>
  <c r="W142" i="51" a="1"/>
  <c r="W142" i="51" s="1"/>
  <c r="W143" i="51" a="1"/>
  <c r="W143" i="51" s="1"/>
  <c r="W144" i="51" a="1"/>
  <c r="W144" i="51" s="1"/>
  <c r="W145" i="51" a="1"/>
  <c r="W145" i="51" s="1"/>
  <c r="W146" i="51" a="1"/>
  <c r="W146" i="51"/>
  <c r="W147" i="51" a="1"/>
  <c r="W147" i="51" s="1"/>
  <c r="W148" i="51" a="1"/>
  <c r="W148" i="51" s="1"/>
  <c r="W149" i="51" a="1"/>
  <c r="W149" i="51" s="1"/>
  <c r="W150" i="51" a="1"/>
  <c r="W150" i="51" s="1"/>
  <c r="W151" i="51" a="1"/>
  <c r="W151" i="51" s="1"/>
  <c r="W152" i="51" a="1"/>
  <c r="W152" i="51" s="1"/>
  <c r="W153" i="51" a="1"/>
  <c r="W153" i="51" s="1"/>
  <c r="W154" i="51" a="1"/>
  <c r="W154" i="51" s="1"/>
  <c r="W155" i="51" a="1"/>
  <c r="W155" i="51" s="1"/>
  <c r="W156" i="51" a="1"/>
  <c r="W156" i="51" s="1"/>
  <c r="W157" i="51" a="1"/>
  <c r="W157" i="51" s="1"/>
  <c r="W158" i="51" a="1"/>
  <c r="W158" i="51"/>
  <c r="W159" i="51" a="1"/>
  <c r="W159" i="51" s="1"/>
  <c r="W160" i="51" a="1"/>
  <c r="W160" i="51" s="1"/>
  <c r="W161" i="51" a="1"/>
  <c r="W161" i="51" s="1"/>
  <c r="W162" i="51" a="1"/>
  <c r="W162" i="51" s="1"/>
  <c r="W163" i="51" a="1"/>
  <c r="W163" i="51" s="1"/>
  <c r="W164" i="51" a="1"/>
  <c r="W164" i="51" s="1"/>
  <c r="W165" i="51" a="1"/>
  <c r="W165" i="51"/>
  <c r="W166" i="51" a="1"/>
  <c r="W166" i="51" s="1"/>
  <c r="W167" i="51" a="1"/>
  <c r="W167" i="51" s="1"/>
  <c r="W168" i="51" a="1"/>
  <c r="W168" i="51" s="1"/>
  <c r="W169" i="51" a="1"/>
  <c r="W169" i="51" s="1"/>
  <c r="W170" i="51" a="1"/>
  <c r="W170" i="51" s="1"/>
  <c r="W171" i="51" a="1"/>
  <c r="W171" i="51" s="1"/>
  <c r="W172" i="51" a="1"/>
  <c r="W172" i="51"/>
  <c r="W173" i="51" a="1"/>
  <c r="W173" i="51" s="1"/>
  <c r="W174" i="51" a="1"/>
  <c r="W174" i="51" s="1"/>
  <c r="W175" i="51" a="1"/>
  <c r="W175" i="51" s="1"/>
  <c r="W176" i="51" a="1"/>
  <c r="W176" i="51"/>
  <c r="W177" i="51" a="1"/>
  <c r="W177" i="51" s="1"/>
  <c r="W178" i="51" a="1"/>
  <c r="W178" i="51" s="1"/>
  <c r="W179" i="51" a="1"/>
  <c r="W179" i="51" s="1"/>
  <c r="W180" i="51" a="1"/>
  <c r="W180" i="51" s="1"/>
  <c r="W181" i="51" a="1"/>
  <c r="W181" i="51" s="1"/>
  <c r="W182" i="51" a="1"/>
  <c r="W182" i="51" s="1"/>
  <c r="W183" i="51" a="1"/>
  <c r="W183" i="51" s="1"/>
  <c r="W184" i="51" a="1"/>
  <c r="W184" i="51" s="1"/>
  <c r="W185" i="51" a="1"/>
  <c r="W185" i="51" s="1"/>
  <c r="W186" i="51" a="1"/>
  <c r="W186" i="51" s="1"/>
  <c r="W187" i="51" a="1"/>
  <c r="W187" i="51" s="1"/>
  <c r="W188" i="51" a="1"/>
  <c r="W188" i="51"/>
  <c r="W189" i="51" a="1"/>
  <c r="W189" i="51" s="1"/>
  <c r="W190" i="51" a="1"/>
  <c r="W190" i="51" s="1"/>
  <c r="W191" i="51" a="1"/>
  <c r="W191" i="51" s="1"/>
  <c r="W192" i="51" a="1"/>
  <c r="W192" i="51" s="1"/>
  <c r="W193" i="51" a="1"/>
  <c r="W193" i="51"/>
  <c r="Y11" i="51" a="1"/>
  <c r="Y11" i="51" s="1"/>
  <c r="Y12" i="51" a="1"/>
  <c r="Y12" i="51" s="1"/>
  <c r="Y13" i="51" a="1"/>
  <c r="Y13" i="51" s="1"/>
  <c r="Y14" i="51" a="1"/>
  <c r="Y14" i="51" s="1"/>
  <c r="Y15" i="51" a="1"/>
  <c r="Y15" i="51"/>
  <c r="Y16" i="51" a="1"/>
  <c r="Y16" i="51" s="1"/>
  <c r="Y17" i="51" a="1"/>
  <c r="Y17" i="51" s="1"/>
  <c r="Y18" i="51" a="1"/>
  <c r="Y18" i="51" s="1"/>
  <c r="Y19" i="51" a="1"/>
  <c r="Y19" i="51" s="1"/>
  <c r="Y20" i="51" a="1"/>
  <c r="Y20" i="51" s="1"/>
  <c r="Y21" i="51" a="1"/>
  <c r="Y21" i="51" s="1"/>
  <c r="Y22" i="51" a="1"/>
  <c r="Y22" i="51" s="1"/>
  <c r="Y23" i="51" a="1"/>
  <c r="Y23" i="51" s="1"/>
  <c r="Y24" i="51" a="1"/>
  <c r="Y24" i="51" s="1"/>
  <c r="Y25" i="51" a="1"/>
  <c r="Y25" i="51"/>
  <c r="Y26" i="51" a="1"/>
  <c r="Y26" i="51" s="1"/>
  <c r="Y27" i="51" a="1"/>
  <c r="Y27" i="51" s="1"/>
  <c r="Y28" i="51" a="1"/>
  <c r="Y28" i="51"/>
  <c r="Y29" i="51" a="1"/>
  <c r="Y29" i="51" s="1"/>
  <c r="Y30" i="51" a="1"/>
  <c r="Y30" i="51"/>
  <c r="Y31" i="51" a="1"/>
  <c r="Y31" i="51" s="1"/>
  <c r="Y32" i="51" a="1"/>
  <c r="Y32" i="51" s="1"/>
  <c r="Y33" i="51" a="1"/>
  <c r="Y33" i="51" s="1"/>
  <c r="Y34" i="51" a="1"/>
  <c r="Y34" i="51" s="1"/>
  <c r="Y35" i="51" a="1"/>
  <c r="Y35" i="51"/>
  <c r="Y36" i="51" a="1"/>
  <c r="Y36" i="51" s="1"/>
  <c r="Y37" i="51" a="1"/>
  <c r="Y37" i="51" s="1"/>
  <c r="Y38" i="51" a="1"/>
  <c r="Y38" i="51" s="1"/>
  <c r="Y39" i="51" a="1"/>
  <c r="Y39" i="51" s="1"/>
  <c r="Y40" i="51" a="1"/>
  <c r="Y40" i="51" s="1"/>
  <c r="Y41" i="51" a="1"/>
  <c r="Y41" i="51" s="1"/>
  <c r="Y42" i="51" a="1"/>
  <c r="Y42" i="51" s="1"/>
  <c r="Y43" i="51" a="1"/>
  <c r="Y43" i="51" s="1"/>
  <c r="Y44" i="51" a="1"/>
  <c r="Y44" i="51" s="1"/>
  <c r="Y45" i="51" a="1"/>
  <c r="Y45" i="51"/>
  <c r="Y46" i="51" a="1"/>
  <c r="Y46" i="51" s="1"/>
  <c r="Y47" i="51" a="1"/>
  <c r="Y47" i="51" s="1"/>
  <c r="Y48" i="51" a="1"/>
  <c r="Y48" i="51" s="1"/>
  <c r="Y49" i="51" a="1"/>
  <c r="Y49" i="51"/>
  <c r="Y50" i="51" a="1"/>
  <c r="Y50" i="51"/>
  <c r="Y51" i="51" a="1"/>
  <c r="Y51" i="51" s="1"/>
  <c r="Y52" i="51" a="1"/>
  <c r="Y52" i="51" s="1"/>
  <c r="Y53" i="51" a="1"/>
  <c r="Y53" i="51" s="1"/>
  <c r="Y54" i="51" a="1"/>
  <c r="Y54" i="51" s="1"/>
  <c r="Y55" i="51" a="1"/>
  <c r="Y55" i="51"/>
  <c r="Y56" i="51" a="1"/>
  <c r="Y56" i="51" s="1"/>
  <c r="Y57" i="51" a="1"/>
  <c r="Y57" i="51" s="1"/>
  <c r="Y58" i="51" a="1"/>
  <c r="Y58" i="51" s="1"/>
  <c r="Y59" i="51" a="1"/>
  <c r="Y59" i="51" s="1"/>
  <c r="Y60" i="51" a="1"/>
  <c r="Y60" i="51"/>
  <c r="Y61" i="51" a="1"/>
  <c r="Y61" i="51" s="1"/>
  <c r="Y62" i="51" a="1"/>
  <c r="Y62" i="51" s="1"/>
  <c r="Y63" i="51" a="1"/>
  <c r="Y63" i="51"/>
  <c r="Y64" i="51" a="1"/>
  <c r="Y64" i="51" s="1"/>
  <c r="Y65" i="51" a="1"/>
  <c r="Y65" i="51"/>
  <c r="Y66" i="51" a="1"/>
  <c r="Y66" i="51" s="1"/>
  <c r="Y67" i="51" a="1"/>
  <c r="Y67" i="51" s="1"/>
  <c r="Y68" i="51" a="1"/>
  <c r="Y68" i="51"/>
  <c r="Y69" i="51" a="1"/>
  <c r="Y69" i="51" s="1"/>
  <c r="Y70" i="51" a="1"/>
  <c r="Y70" i="51" s="1"/>
  <c r="Y71" i="51" a="1"/>
  <c r="Y71" i="51"/>
  <c r="Y72" i="51" a="1"/>
  <c r="Y72" i="51" s="1"/>
  <c r="Y73" i="51" a="1"/>
  <c r="Y73" i="51" s="1"/>
  <c r="Y74" i="51" a="1"/>
  <c r="Y74" i="51" s="1"/>
  <c r="Y75" i="51" a="1"/>
  <c r="Y75" i="51" s="1"/>
  <c r="Y76" i="51" a="1"/>
  <c r="Y76" i="51" s="1"/>
  <c r="Y77" i="51" a="1"/>
  <c r="Y77" i="51"/>
  <c r="Y78" i="51" a="1"/>
  <c r="Y78" i="51" s="1"/>
  <c r="Y79" i="51" a="1"/>
  <c r="Y79" i="51" s="1"/>
  <c r="Y80" i="51" a="1"/>
  <c r="Y80" i="51" s="1"/>
  <c r="Y81" i="51" a="1"/>
  <c r="Y81" i="51" s="1"/>
  <c r="Y82" i="51" a="1"/>
  <c r="Y82" i="51" s="1"/>
  <c r="Y83" i="51" a="1"/>
  <c r="Y83" i="51" s="1"/>
  <c r="Y84" i="51" a="1"/>
  <c r="Y84" i="51" s="1"/>
  <c r="Y85" i="51" a="1"/>
  <c r="Y85" i="51" s="1"/>
  <c r="Y86" i="51" a="1"/>
  <c r="Y86" i="51" s="1"/>
  <c r="Y87" i="51" a="1"/>
  <c r="Y87" i="51" s="1"/>
  <c r="Y88" i="51" a="1"/>
  <c r="Y88" i="51" s="1"/>
  <c r="Y89" i="51" a="1"/>
  <c r="Y89" i="51"/>
  <c r="Y90" i="51" a="1"/>
  <c r="Y90" i="51" s="1"/>
  <c r="Y91" i="51" a="1"/>
  <c r="Y91" i="51" s="1"/>
  <c r="Y92" i="51" a="1"/>
  <c r="Y92" i="51" s="1"/>
  <c r="Y93" i="51" a="1"/>
  <c r="Y93" i="51"/>
  <c r="Y94" i="51" a="1"/>
  <c r="Y94" i="51" s="1"/>
  <c r="Y95" i="51" a="1"/>
  <c r="Y95" i="51"/>
  <c r="Y96" i="51" a="1"/>
  <c r="Y96" i="51" s="1"/>
  <c r="Y97" i="51" a="1"/>
  <c r="Y97" i="51" s="1"/>
  <c r="Y98" i="51" a="1"/>
  <c r="Y98" i="51" s="1"/>
  <c r="Y99" i="51" a="1"/>
  <c r="Y99" i="51"/>
  <c r="Y100" i="51" a="1"/>
  <c r="Y100" i="51" s="1"/>
  <c r="Y101" i="51" a="1"/>
  <c r="Y101" i="51"/>
  <c r="Y102" i="51" a="1"/>
  <c r="Y102" i="51" s="1"/>
  <c r="Y103" i="51" a="1"/>
  <c r="Y103" i="51" s="1"/>
  <c r="Y104" i="51" a="1"/>
  <c r="Y104" i="51" s="1"/>
  <c r="Y105" i="51" a="1"/>
  <c r="Y105" i="51"/>
  <c r="Y106" i="51" a="1"/>
  <c r="Y106" i="51" s="1"/>
  <c r="Y107" i="51" a="1"/>
  <c r="Y107" i="51" s="1"/>
  <c r="Y108" i="51" a="1"/>
  <c r="Y108" i="51"/>
  <c r="Y109" i="51" a="1"/>
  <c r="Y109" i="51" s="1"/>
  <c r="Y110" i="51" a="1"/>
  <c r="Y110" i="51" s="1"/>
  <c r="Y111" i="51" a="1"/>
  <c r="Y111" i="51" s="1"/>
  <c r="Y112" i="51" a="1"/>
  <c r="Y112" i="51"/>
  <c r="Y113" i="51" a="1"/>
  <c r="Y113" i="51" s="1"/>
  <c r="Y114" i="51" a="1"/>
  <c r="Y114" i="51" s="1"/>
  <c r="Y115" i="51" a="1"/>
  <c r="Y115" i="51" s="1"/>
  <c r="Y116" i="51" a="1"/>
  <c r="Y116" i="51" s="1"/>
  <c r="Y117" i="51" a="1"/>
  <c r="Y117" i="51" s="1"/>
  <c r="Y118" i="51" a="1"/>
  <c r="Y118" i="51" s="1"/>
  <c r="Y119" i="51" a="1"/>
  <c r="Y119" i="51" s="1"/>
  <c r="Y120" i="51" a="1"/>
  <c r="Y120" i="51" s="1"/>
  <c r="Y121" i="51" a="1"/>
  <c r="Y121" i="51" s="1"/>
  <c r="Y122" i="51" a="1"/>
  <c r="Y122" i="51" s="1"/>
  <c r="Y123" i="51" a="1"/>
  <c r="Y123" i="51"/>
  <c r="Y124" i="51" a="1"/>
  <c r="Y124" i="51" s="1"/>
  <c r="Y125" i="51" a="1"/>
  <c r="Y125" i="51"/>
  <c r="Y126" i="51" a="1"/>
  <c r="Y126" i="51" s="1"/>
  <c r="Y127" i="51" a="1"/>
  <c r="Y127" i="51" s="1"/>
  <c r="Y128" i="51" a="1"/>
  <c r="Y128" i="51"/>
  <c r="Y129" i="51" a="1"/>
  <c r="Y129" i="51" s="1"/>
  <c r="Y130" i="51" a="1"/>
  <c r="Y130" i="51" s="1"/>
  <c r="Y131" i="51" a="1"/>
  <c r="Y131" i="51" s="1"/>
  <c r="Y132" i="51" a="1"/>
  <c r="Y132" i="51"/>
  <c r="Y133" i="51" a="1"/>
  <c r="Y133" i="51" s="1"/>
  <c r="Y134" i="51" a="1"/>
  <c r="Y134" i="51" s="1"/>
  <c r="Y135" i="51" a="1"/>
  <c r="Y135" i="51" s="1"/>
  <c r="Y136" i="51" a="1"/>
  <c r="Y136" i="51" s="1"/>
  <c r="Y137" i="51" a="1"/>
  <c r="Y137" i="51"/>
  <c r="Y138" i="51" a="1"/>
  <c r="Y138" i="51" s="1"/>
  <c r="Y139" i="51" a="1"/>
  <c r="Y139" i="51" s="1"/>
  <c r="Y140" i="51" a="1"/>
  <c r="Y140" i="51" s="1"/>
  <c r="Y141" i="51" a="1"/>
  <c r="Y141" i="51" s="1"/>
  <c r="Y142" i="51" a="1"/>
  <c r="Y142" i="51" s="1"/>
  <c r="Y143" i="51" a="1"/>
  <c r="Y143" i="51" s="1"/>
  <c r="Y144" i="51" a="1"/>
  <c r="Y144" i="51"/>
  <c r="Y145" i="51" a="1"/>
  <c r="Y145" i="51" s="1"/>
  <c r="Y146" i="51" a="1"/>
  <c r="Y146" i="51" s="1"/>
  <c r="Y147" i="51" a="1"/>
  <c r="Y147" i="51" s="1"/>
  <c r="Y148" i="51" a="1"/>
  <c r="Y148" i="51"/>
  <c r="Y149" i="51" a="1"/>
  <c r="Y149" i="51" s="1"/>
  <c r="Y150" i="51" a="1"/>
  <c r="Y150" i="51"/>
  <c r="Y151" i="51" a="1"/>
  <c r="Y151" i="51" s="1"/>
  <c r="Y152" i="51" a="1"/>
  <c r="Y152" i="51" s="1"/>
  <c r="Y153" i="51" a="1"/>
  <c r="Y153" i="51"/>
  <c r="Y154" i="51" a="1"/>
  <c r="Y154" i="51" s="1"/>
  <c r="Y155" i="51" a="1"/>
  <c r="Y155" i="51" s="1"/>
  <c r="Y156" i="51" a="1"/>
  <c r="Y156" i="51" s="1"/>
  <c r="Y157" i="51" a="1"/>
  <c r="Y157" i="51" s="1"/>
  <c r="Y158" i="51" a="1"/>
  <c r="Y158" i="51" s="1"/>
  <c r="Y159" i="51" a="1"/>
  <c r="Y159" i="51" s="1"/>
  <c r="Y160" i="51" a="1"/>
  <c r="Y160" i="51" s="1"/>
  <c r="Y161" i="51" a="1"/>
  <c r="Y161" i="51" s="1"/>
  <c r="Y162" i="51" a="1"/>
  <c r="Y162" i="51" s="1"/>
  <c r="Y163" i="51" a="1"/>
  <c r="Y163" i="51" s="1"/>
  <c r="Y164" i="51" a="1"/>
  <c r="Y164" i="51" s="1"/>
  <c r="Y165" i="51" a="1"/>
  <c r="Y165" i="51" s="1"/>
  <c r="Y166" i="51" a="1"/>
  <c r="Y166" i="51" s="1"/>
  <c r="Y167" i="51" a="1"/>
  <c r="Y167" i="51" s="1"/>
  <c r="Y168" i="51" a="1"/>
  <c r="Y168" i="51"/>
  <c r="Y169" i="51" a="1"/>
  <c r="Y169" i="51" s="1"/>
  <c r="Y170" i="51" a="1"/>
  <c r="Y170" i="51" s="1"/>
  <c r="Y171" i="51" a="1"/>
  <c r="Y171" i="51" s="1"/>
  <c r="Y172" i="51" a="1"/>
  <c r="Y172" i="51" s="1"/>
  <c r="Y173" i="51" a="1"/>
  <c r="Y173" i="51"/>
  <c r="Y174" i="51" a="1"/>
  <c r="Y174" i="51" s="1"/>
  <c r="Y175" i="51" a="1"/>
  <c r="Y175" i="51" s="1"/>
  <c r="Y176" i="51" a="1"/>
  <c r="Y176" i="51" s="1"/>
  <c r="Y177" i="51" a="1"/>
  <c r="Y177" i="51" s="1"/>
  <c r="Y178" i="51" a="1"/>
  <c r="Y178" i="51" s="1"/>
  <c r="Y179" i="51" a="1"/>
  <c r="Y179" i="51" s="1"/>
  <c r="Y180" i="51" a="1"/>
  <c r="Y180" i="51" s="1"/>
  <c r="Y181" i="51" a="1"/>
  <c r="Y181" i="51" s="1"/>
  <c r="Y182" i="51" a="1"/>
  <c r="Y182" i="51" s="1"/>
  <c r="Y183" i="51" a="1"/>
  <c r="Y183" i="51" s="1"/>
  <c r="Y184" i="51" a="1"/>
  <c r="Y184" i="51" s="1"/>
  <c r="Y185" i="51" a="1"/>
  <c r="Y185" i="51" s="1"/>
  <c r="Y186" i="51" a="1"/>
  <c r="Y186" i="51" s="1"/>
  <c r="Y187" i="51" a="1"/>
  <c r="Y187" i="51" s="1"/>
  <c r="Y188" i="51" a="1"/>
  <c r="Y188" i="51" s="1"/>
  <c r="Y189" i="51" a="1"/>
  <c r="Y189" i="51" s="1"/>
  <c r="Y190" i="51" a="1"/>
  <c r="Y190" i="51"/>
  <c r="Y191" i="51" a="1"/>
  <c r="Y191" i="51" s="1"/>
  <c r="Y192" i="51" a="1"/>
  <c r="Y192" i="51" s="1"/>
  <c r="Y193" i="51" a="1"/>
  <c r="Y193" i="51"/>
  <c r="R11" i="54" a="1"/>
  <c r="R11" i="54" s="1"/>
  <c r="R12" i="54" a="1"/>
  <c r="R12" i="54" s="1"/>
  <c r="R13" i="54" a="1"/>
  <c r="R13" i="54" s="1"/>
  <c r="R14" i="54" a="1"/>
  <c r="R14" i="54" s="1"/>
  <c r="R15" i="54" a="1"/>
  <c r="R15" i="54" s="1"/>
  <c r="R16" i="54" a="1"/>
  <c r="R16" i="54" s="1"/>
  <c r="R17" i="54" a="1"/>
  <c r="R17" i="54" s="1"/>
  <c r="R18" i="54" a="1"/>
  <c r="R18" i="54" s="1"/>
  <c r="R19" i="54" a="1"/>
  <c r="R19" i="54" s="1"/>
  <c r="R20" i="54" a="1"/>
  <c r="R20" i="54" s="1"/>
  <c r="R21" i="54" a="1"/>
  <c r="R21" i="54" s="1"/>
  <c r="R22" i="54" a="1"/>
  <c r="R22" i="54" s="1"/>
  <c r="R23" i="54" a="1"/>
  <c r="R23" i="54" s="1"/>
  <c r="R24" i="54" a="1"/>
  <c r="R24" i="54" s="1"/>
  <c r="R25" i="54" a="1"/>
  <c r="R25" i="54" s="1"/>
  <c r="R26" i="54" a="1"/>
  <c r="R26" i="54" s="1"/>
  <c r="R27" i="54" a="1"/>
  <c r="R27" i="54" s="1"/>
  <c r="R28" i="54" a="1"/>
  <c r="R28" i="54" s="1"/>
  <c r="R29" i="54" a="1"/>
  <c r="R29" i="54" s="1"/>
  <c r="R30" i="54" a="1"/>
  <c r="R30" i="54"/>
  <c r="R31" i="54" a="1"/>
  <c r="R31" i="54" s="1"/>
  <c r="R32" i="54" a="1"/>
  <c r="R32" i="54" s="1"/>
  <c r="R33" i="54" a="1"/>
  <c r="R33" i="54" s="1"/>
  <c r="R34" i="54" a="1"/>
  <c r="R34" i="54" s="1"/>
  <c r="R35" i="54" a="1"/>
  <c r="R35" i="54" s="1"/>
  <c r="R36" i="54" a="1"/>
  <c r="R36" i="54" s="1"/>
  <c r="R37" i="54" a="1"/>
  <c r="R37" i="54"/>
  <c r="R38" i="54" a="1"/>
  <c r="R38" i="54" s="1"/>
  <c r="R39" i="54" a="1"/>
  <c r="R39" i="54" s="1"/>
  <c r="R40" i="54" a="1"/>
  <c r="R40" i="54" s="1"/>
  <c r="R41" i="54" a="1"/>
  <c r="R41" i="54" s="1"/>
  <c r="R42" i="54" a="1"/>
  <c r="R42" i="54" s="1"/>
  <c r="R43" i="54" a="1"/>
  <c r="R43" i="54" s="1"/>
  <c r="R44" i="54" a="1"/>
  <c r="R44" i="54" s="1"/>
  <c r="R45" i="54" a="1"/>
  <c r="R45" i="54" s="1"/>
  <c r="R46" i="54" a="1"/>
  <c r="R46" i="54"/>
  <c r="R47" i="54" a="1"/>
  <c r="R47" i="54" s="1"/>
  <c r="R48" i="54" a="1"/>
  <c r="R48" i="54" s="1"/>
  <c r="R49" i="54" a="1"/>
  <c r="R49" i="54" s="1"/>
  <c r="R50" i="54" a="1"/>
  <c r="R50" i="54"/>
  <c r="R51" i="54" a="1"/>
  <c r="R51" i="54" s="1"/>
  <c r="R52" i="54" a="1"/>
  <c r="R52" i="54" s="1"/>
  <c r="R53" i="54" a="1"/>
  <c r="R53" i="54" s="1"/>
  <c r="R54" i="54" a="1"/>
  <c r="R54" i="54" s="1"/>
  <c r="R55" i="54" a="1"/>
  <c r="R55" i="54" s="1"/>
  <c r="R56" i="54" a="1"/>
  <c r="R56" i="54" s="1"/>
  <c r="R57" i="54" a="1"/>
  <c r="R57" i="54" s="1"/>
  <c r="R58" i="54" a="1"/>
  <c r="R58" i="54" s="1"/>
  <c r="R59" i="54" a="1"/>
  <c r="R59" i="54" s="1"/>
  <c r="R60" i="54" a="1"/>
  <c r="R60" i="54" s="1"/>
  <c r="R61" i="54" a="1"/>
  <c r="R61" i="54" s="1"/>
  <c r="R62" i="54" a="1"/>
  <c r="R62" i="54" s="1"/>
  <c r="R63" i="54" a="1"/>
  <c r="R63" i="54" s="1"/>
  <c r="R64" i="54" a="1"/>
  <c r="R64" i="54" s="1"/>
  <c r="R65" i="54" a="1"/>
  <c r="R65" i="54" s="1"/>
  <c r="R66" i="54" a="1"/>
  <c r="R66" i="54" s="1"/>
  <c r="R67" i="54" a="1"/>
  <c r="R67" i="54" s="1"/>
  <c r="R68" i="54" a="1"/>
  <c r="R68" i="54" s="1"/>
  <c r="R69" i="54" a="1"/>
  <c r="R69" i="54" s="1"/>
  <c r="R70" i="54" a="1"/>
  <c r="R70" i="54" s="1"/>
  <c r="R71" i="54" a="1"/>
  <c r="R71" i="54" s="1"/>
  <c r="R72" i="54" a="1"/>
  <c r="R72" i="54" s="1"/>
  <c r="R73" i="54" a="1"/>
  <c r="R73" i="54" s="1"/>
  <c r="R74" i="54" a="1"/>
  <c r="R74" i="54" s="1"/>
  <c r="R75" i="54" a="1"/>
  <c r="R75" i="54" s="1"/>
  <c r="R76" i="54" a="1"/>
  <c r="R76" i="54"/>
  <c r="R77" i="54" a="1"/>
  <c r="R77" i="54"/>
  <c r="R78" i="54" a="1"/>
  <c r="R78" i="54" s="1"/>
  <c r="R79" i="54" a="1"/>
  <c r="R79" i="54" s="1"/>
  <c r="R80" i="54" a="1"/>
  <c r="R80" i="54" s="1"/>
  <c r="R81" i="54" a="1"/>
  <c r="R81" i="54" s="1"/>
  <c r="R82" i="54" a="1"/>
  <c r="R82" i="54" s="1"/>
  <c r="R83" i="54" a="1"/>
  <c r="R83" i="54" s="1"/>
  <c r="R84" i="54" a="1"/>
  <c r="R84" i="54" s="1"/>
  <c r="R85" i="54" a="1"/>
  <c r="R85" i="54" s="1"/>
  <c r="R86" i="54" a="1"/>
  <c r="R86" i="54" s="1"/>
  <c r="R87" i="54" a="1"/>
  <c r="R87" i="54" s="1"/>
  <c r="R88" i="54" a="1"/>
  <c r="R88" i="54" s="1"/>
  <c r="R89" i="54" a="1"/>
  <c r="R89" i="54" s="1"/>
  <c r="R90" i="54" a="1"/>
  <c r="R90" i="54" s="1"/>
  <c r="R91" i="54" a="1"/>
  <c r="R91" i="54" s="1"/>
  <c r="R92" i="54" a="1"/>
  <c r="R92" i="54" s="1"/>
  <c r="R93" i="54" a="1"/>
  <c r="R93" i="54" s="1"/>
  <c r="R94" i="54" a="1"/>
  <c r="R94" i="54" s="1"/>
  <c r="R95" i="54" a="1"/>
  <c r="R95" i="54" s="1"/>
  <c r="R96" i="54" a="1"/>
  <c r="R96" i="54" s="1"/>
  <c r="R97" i="54" a="1"/>
  <c r="R97" i="54" s="1"/>
  <c r="R98" i="54" a="1"/>
  <c r="R98" i="54"/>
  <c r="R99" i="54" a="1"/>
  <c r="R99" i="54" s="1"/>
  <c r="R100" i="54" a="1"/>
  <c r="R100" i="54" s="1"/>
  <c r="R101" i="54" a="1"/>
  <c r="R101" i="54" s="1"/>
  <c r="R102" i="54" a="1"/>
  <c r="R102" i="54" s="1"/>
  <c r="R103" i="54" a="1"/>
  <c r="R103" i="54" s="1"/>
  <c r="R104" i="54" a="1"/>
  <c r="R104" i="54" s="1"/>
  <c r="R105" i="54" a="1"/>
  <c r="R105" i="54" s="1"/>
  <c r="R106" i="54" a="1"/>
  <c r="R106" i="54" s="1"/>
  <c r="R107" i="54" a="1"/>
  <c r="R107" i="54"/>
  <c r="R108" i="54" a="1"/>
  <c r="R108" i="54"/>
  <c r="R109" i="54" a="1"/>
  <c r="R109" i="54" s="1"/>
  <c r="R110" i="54" a="1"/>
  <c r="R110" i="54" s="1"/>
  <c r="R111" i="54" a="1"/>
  <c r="R111" i="54" s="1"/>
  <c r="R112" i="54" a="1"/>
  <c r="R112" i="54" s="1"/>
  <c r="R113" i="54" a="1"/>
  <c r="R113" i="54" s="1"/>
  <c r="R114" i="54" a="1"/>
  <c r="R114" i="54" s="1"/>
  <c r="R115" i="54" a="1"/>
  <c r="R115" i="54" s="1"/>
  <c r="R116" i="54" a="1"/>
  <c r="R116" i="54" s="1"/>
  <c r="R117" i="54" a="1"/>
  <c r="R117" i="54" s="1"/>
  <c r="R118" i="54" a="1"/>
  <c r="R118" i="54"/>
  <c r="R119" i="54" a="1"/>
  <c r="R119" i="54" s="1"/>
  <c r="R120" i="54" a="1"/>
  <c r="R120" i="54"/>
  <c r="R121" i="54" a="1"/>
  <c r="R121" i="54" s="1"/>
  <c r="R122" i="54" a="1"/>
  <c r="R122" i="54" s="1"/>
  <c r="R123" i="54" a="1"/>
  <c r="R123" i="54" s="1"/>
  <c r="R124" i="54" a="1"/>
  <c r="R124" i="54" s="1"/>
  <c r="R125" i="54" a="1"/>
  <c r="R125" i="54" s="1"/>
  <c r="R126" i="54" a="1"/>
  <c r="R126" i="54" s="1"/>
  <c r="R127" i="54" a="1"/>
  <c r="R127" i="54"/>
  <c r="R128" i="54" a="1"/>
  <c r="R128" i="54" s="1"/>
  <c r="R129" i="54" a="1"/>
  <c r="R129" i="54" s="1"/>
  <c r="R130" i="54" a="1"/>
  <c r="R130" i="54" s="1"/>
  <c r="R131" i="54" a="1"/>
  <c r="R131" i="54" s="1"/>
  <c r="R132" i="54" a="1"/>
  <c r="R132" i="54" s="1"/>
  <c r="R133" i="54" a="1"/>
  <c r="R133" i="54" s="1"/>
  <c r="R134" i="54" a="1"/>
  <c r="R134" i="54" s="1"/>
  <c r="R135" i="54" a="1"/>
  <c r="R135" i="54" s="1"/>
  <c r="R136" i="54" a="1"/>
  <c r="R136" i="54" s="1"/>
  <c r="R137" i="54" a="1"/>
  <c r="R137" i="54" s="1"/>
  <c r="R138" i="54" a="1"/>
  <c r="R138" i="54" s="1"/>
  <c r="R139" i="54" a="1"/>
  <c r="R139" i="54" s="1"/>
  <c r="R140" i="54" a="1"/>
  <c r="R140" i="54" s="1"/>
  <c r="R141" i="54" a="1"/>
  <c r="R141" i="54" s="1"/>
  <c r="R142" i="54" a="1"/>
  <c r="R142" i="54" s="1"/>
  <c r="R143" i="54" a="1"/>
  <c r="R143" i="54" s="1"/>
  <c r="R144" i="54" a="1"/>
  <c r="R144" i="54" s="1"/>
  <c r="R145" i="54" a="1"/>
  <c r="R145" i="54" s="1"/>
  <c r="R146" i="54" a="1"/>
  <c r="R146" i="54" s="1"/>
  <c r="R147" i="54" a="1"/>
  <c r="R147" i="54" s="1"/>
  <c r="R148" i="54" a="1"/>
  <c r="R148" i="54" s="1"/>
  <c r="R149" i="54" a="1"/>
  <c r="R149" i="54" s="1"/>
  <c r="R150" i="54" a="1"/>
  <c r="R150" i="54" s="1"/>
  <c r="R151" i="54" a="1"/>
  <c r="R151" i="54" s="1"/>
  <c r="R152" i="54" a="1"/>
  <c r="R152" i="54" s="1"/>
  <c r="R153" i="54" a="1"/>
  <c r="R153" i="54" s="1"/>
  <c r="R154" i="54" a="1"/>
  <c r="R154" i="54" s="1"/>
  <c r="R155" i="54" a="1"/>
  <c r="R155" i="54" s="1"/>
  <c r="R156" i="54" a="1"/>
  <c r="R156" i="54" s="1"/>
  <c r="R157" i="54" a="1"/>
  <c r="R157" i="54" s="1"/>
  <c r="R158" i="54" a="1"/>
  <c r="R158" i="54" s="1"/>
  <c r="R159" i="54" a="1"/>
  <c r="R159" i="54" s="1"/>
  <c r="R160" i="54" a="1"/>
  <c r="R160" i="54"/>
  <c r="R161" i="54" a="1"/>
  <c r="R161" i="54" s="1"/>
  <c r="R162" i="54" a="1"/>
  <c r="R162" i="54" s="1"/>
  <c r="R163" i="54" a="1"/>
  <c r="R163" i="54" s="1"/>
  <c r="R164" i="54" a="1"/>
  <c r="R164" i="54" s="1"/>
  <c r="R165" i="54" a="1"/>
  <c r="R165" i="54" s="1"/>
  <c r="R166" i="54" a="1"/>
  <c r="R166" i="54" s="1"/>
  <c r="R167" i="54" a="1"/>
  <c r="R167" i="54" s="1"/>
  <c r="R168" i="54" a="1"/>
  <c r="R168" i="54" s="1"/>
  <c r="R169" i="54" a="1"/>
  <c r="R169" i="54"/>
  <c r="R170" i="54" a="1"/>
  <c r="R170" i="54" s="1"/>
  <c r="R171" i="54" a="1"/>
  <c r="R171" i="54" s="1"/>
  <c r="R172" i="54" a="1"/>
  <c r="R172" i="54" s="1"/>
  <c r="R173" i="54" a="1"/>
  <c r="R173" i="54" s="1"/>
  <c r="R174" i="54" a="1"/>
  <c r="R174" i="54" s="1"/>
  <c r="R175" i="54" a="1"/>
  <c r="R175" i="54" s="1"/>
  <c r="R176" i="54" a="1"/>
  <c r="R176" i="54" s="1"/>
  <c r="R177" i="54" a="1"/>
  <c r="R177" i="54"/>
  <c r="R178" i="54" a="1"/>
  <c r="R178" i="54"/>
  <c r="R179" i="54" a="1"/>
  <c r="R179" i="54" s="1"/>
  <c r="R180" i="54" a="1"/>
  <c r="R180" i="54" s="1"/>
  <c r="R181" i="54" a="1"/>
  <c r="R181" i="54" s="1"/>
  <c r="R182" i="54" a="1"/>
  <c r="R182" i="54" s="1"/>
  <c r="R183" i="54" a="1"/>
  <c r="R183" i="54" s="1"/>
  <c r="R184" i="54" a="1"/>
  <c r="R184" i="54" s="1"/>
  <c r="R185" i="54" a="1"/>
  <c r="R185" i="54" s="1"/>
  <c r="R186" i="54" a="1"/>
  <c r="R186" i="54" s="1"/>
  <c r="R187" i="54" a="1"/>
  <c r="R187" i="54" s="1"/>
  <c r="R188" i="54" a="1"/>
  <c r="R188" i="54" s="1"/>
  <c r="R189" i="54" a="1"/>
  <c r="R189" i="54"/>
  <c r="R190" i="54" a="1"/>
  <c r="R190" i="54"/>
  <c r="R191" i="54" a="1"/>
  <c r="R191" i="54" s="1"/>
  <c r="R192" i="54" a="1"/>
  <c r="R192" i="54" s="1"/>
  <c r="R193" i="54" a="1"/>
  <c r="R193" i="54" s="1"/>
  <c r="T11" i="54" a="1"/>
  <c r="T11" i="54" s="1"/>
  <c r="T12" i="54" a="1"/>
  <c r="T12" i="54" s="1"/>
  <c r="T13" i="54" a="1"/>
  <c r="T13" i="54" s="1"/>
  <c r="T14" i="54" a="1"/>
  <c r="T14" i="54" s="1"/>
  <c r="T15" i="54" a="1"/>
  <c r="T15" i="54" s="1"/>
  <c r="T16" i="54" a="1"/>
  <c r="T16" i="54"/>
  <c r="T17" i="54" a="1"/>
  <c r="T17" i="54" s="1"/>
  <c r="T18" i="54" a="1"/>
  <c r="T18" i="54" s="1"/>
  <c r="T19" i="54" a="1"/>
  <c r="T19" i="54" s="1"/>
  <c r="T20" i="54" a="1"/>
  <c r="T20" i="54" s="1"/>
  <c r="T21" i="54" a="1"/>
  <c r="T21" i="54" s="1"/>
  <c r="T22" i="54" a="1"/>
  <c r="T22" i="54" s="1"/>
  <c r="T23" i="54" a="1"/>
  <c r="T23" i="54" s="1"/>
  <c r="T24" i="54" a="1"/>
  <c r="T24" i="54" s="1"/>
  <c r="T25" i="54" a="1"/>
  <c r="T25" i="54" s="1"/>
  <c r="T26" i="54" a="1"/>
  <c r="T26" i="54" s="1"/>
  <c r="T27" i="54" a="1"/>
  <c r="T27" i="54"/>
  <c r="T28" i="54" a="1"/>
  <c r="T28" i="54" s="1"/>
  <c r="T29" i="54" a="1"/>
  <c r="T29" i="54" s="1"/>
  <c r="T30" i="54" a="1"/>
  <c r="T30" i="54" s="1"/>
  <c r="T31" i="54" a="1"/>
  <c r="T31" i="54" s="1"/>
  <c r="T32" i="54" a="1"/>
  <c r="T32" i="54" s="1"/>
  <c r="T33" i="54" a="1"/>
  <c r="T33" i="54" s="1"/>
  <c r="T34" i="54" a="1"/>
  <c r="T34" i="54"/>
  <c r="T35" i="54" a="1"/>
  <c r="T35" i="54" s="1"/>
  <c r="T36" i="54" a="1"/>
  <c r="T36" i="54" s="1"/>
  <c r="T37" i="54" a="1"/>
  <c r="T37" i="54"/>
  <c r="T38" i="54" a="1"/>
  <c r="T38" i="54" s="1"/>
  <c r="T39" i="54" a="1"/>
  <c r="T39" i="54" s="1"/>
  <c r="T40" i="54" a="1"/>
  <c r="T40" i="54"/>
  <c r="T41" i="54" a="1"/>
  <c r="T41" i="54" s="1"/>
  <c r="T42" i="54" a="1"/>
  <c r="T42" i="54" s="1"/>
  <c r="T43" i="54" a="1"/>
  <c r="T43" i="54" s="1"/>
  <c r="T44" i="54" a="1"/>
  <c r="T44" i="54" s="1"/>
  <c r="T45" i="54" a="1"/>
  <c r="T45" i="54" s="1"/>
  <c r="T46" i="54" a="1"/>
  <c r="T46" i="54"/>
  <c r="T47" i="54" a="1"/>
  <c r="T47" i="54" s="1"/>
  <c r="T48" i="54" a="1"/>
  <c r="T48" i="54" s="1"/>
  <c r="T49" i="54" a="1"/>
  <c r="T49" i="54" s="1"/>
  <c r="T50" i="54" a="1"/>
  <c r="T50" i="54" s="1"/>
  <c r="T51" i="54" a="1"/>
  <c r="T51" i="54" s="1"/>
  <c r="T52" i="54" a="1"/>
  <c r="T52" i="54" s="1"/>
  <c r="T53" i="54" a="1"/>
  <c r="T53" i="54" s="1"/>
  <c r="T54" i="54" a="1"/>
  <c r="T54" i="54"/>
  <c r="T55" i="54" a="1"/>
  <c r="T55" i="54"/>
  <c r="T56" i="54" a="1"/>
  <c r="T56" i="54" s="1"/>
  <c r="T57" i="54" a="1"/>
  <c r="T57" i="54"/>
  <c r="T58" i="54" a="1"/>
  <c r="T58" i="54" s="1"/>
  <c r="T59" i="54" a="1"/>
  <c r="T59" i="54" s="1"/>
  <c r="T60" i="54" a="1"/>
  <c r="T60" i="54"/>
  <c r="T61" i="54" a="1"/>
  <c r="T61" i="54" s="1"/>
  <c r="T62" i="54" a="1"/>
  <c r="T62" i="54" s="1"/>
  <c r="T63" i="54" a="1"/>
  <c r="T63" i="54" s="1"/>
  <c r="T64" i="54" a="1"/>
  <c r="T64" i="54" s="1"/>
  <c r="T65" i="54" a="1"/>
  <c r="T65" i="54" s="1"/>
  <c r="T66" i="54" a="1"/>
  <c r="T66" i="54" s="1"/>
  <c r="T67" i="54" a="1"/>
  <c r="T67" i="54" s="1"/>
  <c r="T68" i="54" a="1"/>
  <c r="T68" i="54" s="1"/>
  <c r="T69" i="54" a="1"/>
  <c r="T69" i="54" s="1"/>
  <c r="T70" i="54" a="1"/>
  <c r="T70" i="54"/>
  <c r="T71" i="54" a="1"/>
  <c r="T71" i="54" s="1"/>
  <c r="T72" i="54" a="1"/>
  <c r="T72" i="54" s="1"/>
  <c r="T73" i="54" a="1"/>
  <c r="T73" i="54" s="1"/>
  <c r="T74" i="54" a="1"/>
  <c r="T74" i="54" s="1"/>
  <c r="T75" i="54" a="1"/>
  <c r="T75" i="54" s="1"/>
  <c r="T76" i="54" a="1"/>
  <c r="T76" i="54" s="1"/>
  <c r="T77" i="54" a="1"/>
  <c r="T77" i="54"/>
  <c r="T78" i="54" a="1"/>
  <c r="T78" i="54" s="1"/>
  <c r="T79" i="54" a="1"/>
  <c r="T79" i="54" s="1"/>
  <c r="T80" i="54" a="1"/>
  <c r="T80" i="54"/>
  <c r="T81" i="54" a="1"/>
  <c r="T81" i="54" s="1"/>
  <c r="T82" i="54" a="1"/>
  <c r="T82" i="54" s="1"/>
  <c r="T83" i="54" a="1"/>
  <c r="T83" i="54" s="1"/>
  <c r="T84" i="54" a="1"/>
  <c r="T84" i="54" s="1"/>
  <c r="T85" i="54" a="1"/>
  <c r="T85" i="54" s="1"/>
  <c r="T86" i="54" a="1"/>
  <c r="T86" i="54" s="1"/>
  <c r="T87" i="54" a="1"/>
  <c r="T87" i="54"/>
  <c r="T88" i="54" a="1"/>
  <c r="T88" i="54" s="1"/>
  <c r="T89" i="54" a="1"/>
  <c r="T89" i="54" s="1"/>
  <c r="T90" i="54" a="1"/>
  <c r="T90" i="54" s="1"/>
  <c r="T91" i="54" a="1"/>
  <c r="T91" i="54" s="1"/>
  <c r="T92" i="54" a="1"/>
  <c r="T92" i="54" s="1"/>
  <c r="T93" i="54" a="1"/>
  <c r="T93" i="54" s="1"/>
  <c r="T94" i="54" a="1"/>
  <c r="T94" i="54" s="1"/>
  <c r="T95" i="54" a="1"/>
  <c r="T95" i="54" s="1"/>
  <c r="T96" i="54" a="1"/>
  <c r="T96" i="54" s="1"/>
  <c r="T97" i="54" a="1"/>
  <c r="T97" i="54"/>
  <c r="T98" i="54" a="1"/>
  <c r="T98" i="54" s="1"/>
  <c r="T99" i="54" a="1"/>
  <c r="T99" i="54" s="1"/>
  <c r="T100" i="54" a="1"/>
  <c r="T100" i="54"/>
  <c r="T101" i="54" a="1"/>
  <c r="T101" i="54" s="1"/>
  <c r="T102" i="54" a="1"/>
  <c r="T102" i="54" s="1"/>
  <c r="T103" i="54" a="1"/>
  <c r="T103" i="54" s="1"/>
  <c r="T104" i="54" a="1"/>
  <c r="T104" i="54" s="1"/>
  <c r="T105" i="54" a="1"/>
  <c r="T105" i="54"/>
  <c r="T106" i="54" a="1"/>
  <c r="T106" i="54" s="1"/>
  <c r="T107" i="54" a="1"/>
  <c r="T107" i="54" s="1"/>
  <c r="T108" i="54" a="1"/>
  <c r="T108" i="54" s="1"/>
  <c r="T109" i="54" a="1"/>
  <c r="T109" i="54" s="1"/>
  <c r="T110" i="54" a="1"/>
  <c r="T110" i="54"/>
  <c r="T111" i="54" a="1"/>
  <c r="T111" i="54" s="1"/>
  <c r="T112" i="54" a="1"/>
  <c r="T112" i="54" s="1"/>
  <c r="T113" i="54" a="1"/>
  <c r="T113" i="54" s="1"/>
  <c r="T114" i="54" a="1"/>
  <c r="T114" i="54"/>
  <c r="T115" i="54" a="1"/>
  <c r="T115" i="54" s="1"/>
  <c r="T116" i="54" a="1"/>
  <c r="T116" i="54"/>
  <c r="T117" i="54" a="1"/>
  <c r="T117" i="54" s="1"/>
  <c r="T118" i="54" a="1"/>
  <c r="T118" i="54" s="1"/>
  <c r="T119" i="54" a="1"/>
  <c r="T119" i="54"/>
  <c r="T120" i="54" a="1"/>
  <c r="T120" i="54" s="1"/>
  <c r="T121" i="54" a="1"/>
  <c r="T121" i="54" s="1"/>
  <c r="T122" i="54" a="1"/>
  <c r="T122" i="54" s="1"/>
  <c r="T123" i="54" a="1"/>
  <c r="T123" i="54" s="1"/>
  <c r="T124" i="54" a="1"/>
  <c r="T124" i="54" s="1"/>
  <c r="T125" i="54" a="1"/>
  <c r="T125" i="54" s="1"/>
  <c r="T126" i="54" a="1"/>
  <c r="T126" i="54" s="1"/>
  <c r="T127" i="54" a="1"/>
  <c r="T127" i="54" s="1"/>
  <c r="T128" i="54" a="1"/>
  <c r="T128" i="54" s="1"/>
  <c r="T129" i="54" a="1"/>
  <c r="T129" i="54"/>
  <c r="T130" i="54" a="1"/>
  <c r="T130" i="54" s="1"/>
  <c r="T131" i="54" a="1"/>
  <c r="T131" i="54" s="1"/>
  <c r="T132" i="54" a="1"/>
  <c r="T132" i="54" s="1"/>
  <c r="T133" i="54" a="1"/>
  <c r="T133" i="54" s="1"/>
  <c r="T134" i="54" a="1"/>
  <c r="T134" i="54" s="1"/>
  <c r="T135" i="54" a="1"/>
  <c r="T135" i="54"/>
  <c r="T136" i="54" a="1"/>
  <c r="T136" i="54" s="1"/>
  <c r="T137" i="54" a="1"/>
  <c r="T137" i="54" s="1"/>
  <c r="T138" i="54" a="1"/>
  <c r="T138" i="54" s="1"/>
  <c r="T139" i="54" a="1"/>
  <c r="T139" i="54"/>
  <c r="T140" i="54" a="1"/>
  <c r="T140" i="54" s="1"/>
  <c r="T141" i="54" a="1"/>
  <c r="T141" i="54" s="1"/>
  <c r="T142" i="54" a="1"/>
  <c r="T142" i="54" s="1"/>
  <c r="T143" i="54" a="1"/>
  <c r="T143" i="54" s="1"/>
  <c r="T144" i="54" a="1"/>
  <c r="T144" i="54" s="1"/>
  <c r="T145" i="54" a="1"/>
  <c r="T145" i="54" s="1"/>
  <c r="T146" i="54" a="1"/>
  <c r="T146" i="54"/>
  <c r="T147" i="54" a="1"/>
  <c r="T147" i="54" s="1"/>
  <c r="T148" i="54" a="1"/>
  <c r="T148" i="54" s="1"/>
  <c r="T149" i="54" a="1"/>
  <c r="T149" i="54" s="1"/>
  <c r="T150" i="54" a="1"/>
  <c r="T150" i="54"/>
  <c r="T151" i="54" a="1"/>
  <c r="T151" i="54" s="1"/>
  <c r="T152" i="54" a="1"/>
  <c r="T152" i="54" s="1"/>
  <c r="T153" i="54" a="1"/>
  <c r="T153" i="54" s="1"/>
  <c r="T154" i="54" a="1"/>
  <c r="T154" i="54" s="1"/>
  <c r="T155" i="54" a="1"/>
  <c r="T155" i="54" s="1"/>
  <c r="T156" i="54" a="1"/>
  <c r="T156" i="54"/>
  <c r="T157" i="54" a="1"/>
  <c r="T157" i="54" s="1"/>
  <c r="T158" i="54" a="1"/>
  <c r="T158" i="54" s="1"/>
  <c r="T159" i="54" a="1"/>
  <c r="T159" i="54"/>
  <c r="T160" i="54" a="1"/>
  <c r="T160" i="54" s="1"/>
  <c r="T161" i="54" a="1"/>
  <c r="T161" i="54" s="1"/>
  <c r="T162" i="54" a="1"/>
  <c r="T162" i="54" s="1"/>
  <c r="T163" i="54" a="1"/>
  <c r="T163" i="54" s="1"/>
  <c r="T164" i="54" a="1"/>
  <c r="T164" i="54"/>
  <c r="T165" i="54" a="1"/>
  <c r="T165" i="54" s="1"/>
  <c r="T166" i="54" a="1"/>
  <c r="T166" i="54" s="1"/>
  <c r="T167" i="54" a="1"/>
  <c r="T167" i="54" s="1"/>
  <c r="T168" i="54" a="1"/>
  <c r="T168" i="54" s="1"/>
  <c r="T169" i="54" a="1"/>
  <c r="T169" i="54"/>
  <c r="T170" i="54" a="1"/>
  <c r="T170" i="54" s="1"/>
  <c r="T171" i="54" a="1"/>
  <c r="T171" i="54" s="1"/>
  <c r="T172" i="54" a="1"/>
  <c r="T172" i="54" s="1"/>
  <c r="T173" i="54" a="1"/>
  <c r="T173" i="54" s="1"/>
  <c r="T174" i="54" a="1"/>
  <c r="T174" i="54" s="1"/>
  <c r="T175" i="54" a="1"/>
  <c r="T175" i="54"/>
  <c r="T176" i="54" a="1"/>
  <c r="T176" i="54" s="1"/>
  <c r="T177" i="54" a="1"/>
  <c r="T177" i="54" s="1"/>
  <c r="T178" i="54" a="1"/>
  <c r="T178" i="54" s="1"/>
  <c r="T179" i="54" a="1"/>
  <c r="T179" i="54"/>
  <c r="T180" i="54" a="1"/>
  <c r="T180" i="54" s="1"/>
  <c r="T181" i="54" a="1"/>
  <c r="T181" i="54" s="1"/>
  <c r="T182" i="54" a="1"/>
  <c r="T182" i="54" s="1"/>
  <c r="T183" i="54" a="1"/>
  <c r="T183" i="54" s="1"/>
  <c r="T184" i="54" a="1"/>
  <c r="T184" i="54" s="1"/>
  <c r="T185" i="54" a="1"/>
  <c r="T185" i="54" s="1"/>
  <c r="T186" i="54" a="1"/>
  <c r="T186" i="54"/>
  <c r="T187" i="54" a="1"/>
  <c r="T187" i="54"/>
  <c r="T188" i="54" a="1"/>
  <c r="T188" i="54"/>
  <c r="T189" i="54" a="1"/>
  <c r="T189" i="54" s="1"/>
  <c r="T190" i="54" a="1"/>
  <c r="T190" i="54" s="1"/>
  <c r="T191" i="54" a="1"/>
  <c r="T191" i="54" s="1"/>
  <c r="T192" i="54" a="1"/>
  <c r="T192" i="54" s="1"/>
  <c r="T193" i="54" a="1"/>
  <c r="T193" i="54" s="1"/>
  <c r="V11" i="54" a="1"/>
  <c r="V11" i="54"/>
  <c r="V12" i="54" a="1"/>
  <c r="V12" i="54"/>
  <c r="V13" i="54" a="1"/>
  <c r="V13" i="54"/>
  <c r="V14" i="54" a="1"/>
  <c r="V14" i="54" s="1"/>
  <c r="V15" i="54" a="1"/>
  <c r="V15" i="54" s="1"/>
  <c r="V16" i="54" a="1"/>
  <c r="V16" i="54" s="1"/>
  <c r="V17" i="54" a="1"/>
  <c r="V17" i="54" s="1"/>
  <c r="V18" i="54" a="1"/>
  <c r="V18" i="54" s="1"/>
  <c r="V19" i="54" a="1"/>
  <c r="V19" i="54" s="1"/>
  <c r="V20" i="54" a="1"/>
  <c r="V20" i="54" s="1"/>
  <c r="V21" i="54" a="1"/>
  <c r="V21" i="54" s="1"/>
  <c r="V22" i="54" a="1"/>
  <c r="V22" i="54"/>
  <c r="V23" i="54" a="1"/>
  <c r="V23" i="54" s="1"/>
  <c r="V24" i="54" a="1"/>
  <c r="V24" i="54" s="1"/>
  <c r="V25" i="54" a="1"/>
  <c r="V25" i="54" s="1"/>
  <c r="V26" i="54" a="1"/>
  <c r="V26" i="54"/>
  <c r="V27" i="54" a="1"/>
  <c r="V27" i="54"/>
  <c r="V28" i="54" a="1"/>
  <c r="V28" i="54" s="1"/>
  <c r="V29" i="54" a="1"/>
  <c r="V29" i="54" s="1"/>
  <c r="V30" i="54" a="1"/>
  <c r="V30" i="54" s="1"/>
  <c r="V31" i="54" a="1"/>
  <c r="V31" i="54" s="1"/>
  <c r="V32" i="54" a="1"/>
  <c r="V32" i="54"/>
  <c r="V33" i="54" a="1"/>
  <c r="V33" i="54" s="1"/>
  <c r="V34" i="54" a="1"/>
  <c r="V34" i="54" s="1"/>
  <c r="V35" i="54" a="1"/>
  <c r="V35" i="54"/>
  <c r="V36" i="54" a="1"/>
  <c r="V36" i="54"/>
  <c r="V37" i="54" a="1"/>
  <c r="V37" i="54" s="1"/>
  <c r="V38" i="54" a="1"/>
  <c r="V38" i="54" s="1"/>
  <c r="V39" i="54" a="1"/>
  <c r="V39" i="54" s="1"/>
  <c r="V40" i="54" a="1"/>
  <c r="V40" i="54" s="1"/>
  <c r="V41" i="54" a="1"/>
  <c r="V41" i="54"/>
  <c r="V42" i="54" a="1"/>
  <c r="V42" i="54" s="1"/>
  <c r="V43" i="54" a="1"/>
  <c r="V43" i="54" s="1"/>
  <c r="V44" i="54" a="1"/>
  <c r="V44" i="54" s="1"/>
  <c r="V45" i="54" a="1"/>
  <c r="V45" i="54" s="1"/>
  <c r="V46" i="54" a="1"/>
  <c r="V46" i="54" s="1"/>
  <c r="V47" i="54" a="1"/>
  <c r="V47" i="54" s="1"/>
  <c r="V48" i="54" a="1"/>
  <c r="V48" i="54" s="1"/>
  <c r="V49" i="54" a="1"/>
  <c r="V49" i="54" s="1"/>
  <c r="V50" i="54" a="1"/>
  <c r="V50" i="54" s="1"/>
  <c r="V51" i="54" a="1"/>
  <c r="V51" i="54" s="1"/>
  <c r="V52" i="54" a="1"/>
  <c r="V52" i="54" s="1"/>
  <c r="V53" i="54" a="1"/>
  <c r="V53" i="54" s="1"/>
  <c r="V54" i="54" a="1"/>
  <c r="V54" i="54" s="1"/>
  <c r="V55" i="54" a="1"/>
  <c r="V55" i="54" s="1"/>
  <c r="V56" i="54" a="1"/>
  <c r="V56" i="54" s="1"/>
  <c r="V57" i="54" a="1"/>
  <c r="V57" i="54" s="1"/>
  <c r="V58" i="54" a="1"/>
  <c r="V58" i="54" s="1"/>
  <c r="V59" i="54" a="1"/>
  <c r="V59" i="54" s="1"/>
  <c r="V60" i="54" a="1"/>
  <c r="V60" i="54" s="1"/>
  <c r="V61" i="54" a="1"/>
  <c r="V61" i="54" s="1"/>
  <c r="V62" i="54" a="1"/>
  <c r="V62" i="54"/>
  <c r="V63" i="54" a="1"/>
  <c r="V63" i="54"/>
  <c r="V64" i="54" a="1"/>
  <c r="V64" i="54"/>
  <c r="V65" i="54" a="1"/>
  <c r="V65" i="54" s="1"/>
  <c r="V66" i="54" a="1"/>
  <c r="V66" i="54" s="1"/>
  <c r="V67" i="54" a="1"/>
  <c r="V67" i="54" s="1"/>
  <c r="V68" i="54" a="1"/>
  <c r="V68" i="54" s="1"/>
  <c r="V69" i="54" a="1"/>
  <c r="V69" i="54" s="1"/>
  <c r="V70" i="54" a="1"/>
  <c r="V70" i="54" s="1"/>
  <c r="V71" i="54" a="1"/>
  <c r="V71" i="54"/>
  <c r="V72" i="54" a="1"/>
  <c r="V72" i="54" s="1"/>
  <c r="V73" i="54" a="1"/>
  <c r="V73" i="54" s="1"/>
  <c r="V74" i="54" a="1"/>
  <c r="V74" i="54" s="1"/>
  <c r="V75" i="54" a="1"/>
  <c r="V75" i="54" s="1"/>
  <c r="V76" i="54" a="1"/>
  <c r="V76" i="54" s="1"/>
  <c r="V77" i="54" a="1"/>
  <c r="V77" i="54"/>
  <c r="V78" i="54" a="1"/>
  <c r="V78" i="54" s="1"/>
  <c r="V79" i="54" a="1"/>
  <c r="V79" i="54" s="1"/>
  <c r="V80" i="54" a="1"/>
  <c r="V80" i="54" s="1"/>
  <c r="V81" i="54" a="1"/>
  <c r="V81" i="54"/>
  <c r="V82" i="54" a="1"/>
  <c r="V82" i="54" s="1"/>
  <c r="V83" i="54" a="1"/>
  <c r="V83" i="54" s="1"/>
  <c r="V84" i="54" a="1"/>
  <c r="V84" i="54" s="1"/>
  <c r="V85" i="54" a="1"/>
  <c r="V85" i="54" s="1"/>
  <c r="V86" i="54" a="1"/>
  <c r="V86" i="54"/>
  <c r="V87" i="54" a="1"/>
  <c r="V87" i="54"/>
  <c r="V88" i="54" a="1"/>
  <c r="V88" i="54" s="1"/>
  <c r="V89" i="54" a="1"/>
  <c r="V89" i="54" s="1"/>
  <c r="V90" i="54" a="1"/>
  <c r="V90" i="54" s="1"/>
  <c r="V91" i="54" a="1"/>
  <c r="V91" i="54"/>
  <c r="V92" i="54" a="1"/>
  <c r="V92" i="54" s="1"/>
  <c r="V93" i="54" a="1"/>
  <c r="V93" i="54" s="1"/>
  <c r="V94" i="54" a="1"/>
  <c r="V94" i="54" s="1"/>
  <c r="V95" i="54" a="1"/>
  <c r="V95" i="54"/>
  <c r="V96" i="54" a="1"/>
  <c r="V96" i="54" s="1"/>
  <c r="V97" i="54" a="1"/>
  <c r="V97" i="54" s="1"/>
  <c r="V98" i="54" a="1"/>
  <c r="V98" i="54" s="1"/>
  <c r="V99" i="54" a="1"/>
  <c r="V99" i="54" s="1"/>
  <c r="V100" i="54" a="1"/>
  <c r="V100" i="54" s="1"/>
  <c r="V101" i="54" a="1"/>
  <c r="V101" i="54" s="1"/>
  <c r="V102" i="54" a="1"/>
  <c r="V102" i="54" s="1"/>
  <c r="V103" i="54" a="1"/>
  <c r="V103" i="54" s="1"/>
  <c r="V104" i="54" a="1"/>
  <c r="V104" i="54" s="1"/>
  <c r="V105" i="54" a="1"/>
  <c r="V105" i="54" s="1"/>
  <c r="V106" i="54" a="1"/>
  <c r="V106" i="54" s="1"/>
  <c r="V107" i="54" a="1"/>
  <c r="V107" i="54" s="1"/>
  <c r="V108" i="54" a="1"/>
  <c r="V108" i="54" s="1"/>
  <c r="V109" i="54" a="1"/>
  <c r="V109" i="54" s="1"/>
  <c r="V110" i="54" a="1"/>
  <c r="V110" i="54" s="1"/>
  <c r="V111" i="54" a="1"/>
  <c r="V111" i="54" s="1"/>
  <c r="V112" i="54" a="1"/>
  <c r="V112" i="54" s="1"/>
  <c r="V113" i="54" a="1"/>
  <c r="V113" i="54"/>
  <c r="V114" i="54" a="1"/>
  <c r="V114" i="54" s="1"/>
  <c r="V115" i="54" a="1"/>
  <c r="V115" i="54" s="1"/>
  <c r="V116" i="54" a="1"/>
  <c r="V116" i="54" s="1"/>
  <c r="V117" i="54" a="1"/>
  <c r="V117" i="54"/>
  <c r="V118" i="54" a="1"/>
  <c r="V118" i="54" s="1"/>
  <c r="V119" i="54" a="1"/>
  <c r="V119" i="54" s="1"/>
  <c r="V120" i="54" a="1"/>
  <c r="V120" i="54" s="1"/>
  <c r="V121" i="54" a="1"/>
  <c r="V121" i="54"/>
  <c r="V122" i="54" a="1"/>
  <c r="V122" i="54"/>
  <c r="V123" i="54" a="1"/>
  <c r="V123" i="54"/>
  <c r="V124" i="54" a="1"/>
  <c r="V124" i="54" s="1"/>
  <c r="V125" i="54" a="1"/>
  <c r="V125" i="54" s="1"/>
  <c r="V126" i="54" a="1"/>
  <c r="V126" i="54" s="1"/>
  <c r="V127" i="54" a="1"/>
  <c r="V127" i="54" s="1"/>
  <c r="V128" i="54" a="1"/>
  <c r="V128" i="54" s="1"/>
  <c r="V129" i="54" a="1"/>
  <c r="V129" i="54" s="1"/>
  <c r="V130" i="54" a="1"/>
  <c r="V130" i="54" s="1"/>
  <c r="V131" i="54" a="1"/>
  <c r="V131" i="54" s="1"/>
  <c r="V132" i="54" a="1"/>
  <c r="V132" i="54" s="1"/>
  <c r="V133" i="54" a="1"/>
  <c r="V133" i="54" s="1"/>
  <c r="V134" i="54" a="1"/>
  <c r="V134" i="54" s="1"/>
  <c r="V135" i="54" a="1"/>
  <c r="V135" i="54" s="1"/>
  <c r="V136" i="54" a="1"/>
  <c r="V136" i="54"/>
  <c r="V137" i="54" a="1"/>
  <c r="V137" i="54" s="1"/>
  <c r="V138" i="54" a="1"/>
  <c r="V138" i="54" s="1"/>
  <c r="V139" i="54" a="1"/>
  <c r="V139" i="54" s="1"/>
  <c r="V140" i="54" a="1"/>
  <c r="V140" i="54" s="1"/>
  <c r="V141" i="54" a="1"/>
  <c r="V141" i="54" s="1"/>
  <c r="V142" i="54" a="1"/>
  <c r="V142" i="54" s="1"/>
  <c r="V143" i="54" a="1"/>
  <c r="V143" i="54" s="1"/>
  <c r="V144" i="54" a="1"/>
  <c r="V144" i="54" s="1"/>
  <c r="V145" i="54" a="1"/>
  <c r="V145" i="54" s="1"/>
  <c r="V146" i="54" a="1"/>
  <c r="V146" i="54"/>
  <c r="V147" i="54" a="1"/>
  <c r="V147" i="54" s="1"/>
  <c r="V148" i="54" a="1"/>
  <c r="V148" i="54" s="1"/>
  <c r="V149" i="54" a="1"/>
  <c r="V149" i="54" s="1"/>
  <c r="V150" i="54" a="1"/>
  <c r="V150" i="54" s="1"/>
  <c r="V151" i="54" a="1"/>
  <c r="V151" i="54" s="1"/>
  <c r="V152" i="54" a="1"/>
  <c r="V152" i="54"/>
  <c r="V153" i="54" a="1"/>
  <c r="V153" i="54"/>
  <c r="V154" i="54" a="1"/>
  <c r="V154" i="54"/>
  <c r="V155" i="54" a="1"/>
  <c r="V155" i="54" s="1"/>
  <c r="V156" i="54" a="1"/>
  <c r="V156" i="54" s="1"/>
  <c r="V157" i="54" a="1"/>
  <c r="V157" i="54" s="1"/>
  <c r="V158" i="54" a="1"/>
  <c r="V158" i="54" s="1"/>
  <c r="V159" i="54" a="1"/>
  <c r="V159" i="54" s="1"/>
  <c r="V160" i="54" a="1"/>
  <c r="V160" i="54" s="1"/>
  <c r="V161" i="54" a="1"/>
  <c r="V161" i="54" s="1"/>
  <c r="V162" i="54" a="1"/>
  <c r="V162" i="54" s="1"/>
  <c r="V163" i="54" a="1"/>
  <c r="V163" i="54" s="1"/>
  <c r="V164" i="54" a="1"/>
  <c r="V164" i="54" s="1"/>
  <c r="V165" i="54" a="1"/>
  <c r="V165" i="54" s="1"/>
  <c r="V166" i="54" a="1"/>
  <c r="V166" i="54" s="1"/>
  <c r="V167" i="54" a="1"/>
  <c r="V167" i="54"/>
  <c r="V168" i="54" a="1"/>
  <c r="V168" i="54" s="1"/>
  <c r="V169" i="54" a="1"/>
  <c r="V169" i="54" s="1"/>
  <c r="V170" i="54" a="1"/>
  <c r="V170" i="54" s="1"/>
  <c r="V171" i="54" a="1"/>
  <c r="V171" i="54" s="1"/>
  <c r="V172" i="54" a="1"/>
  <c r="V172" i="54"/>
  <c r="V173" i="54" a="1"/>
  <c r="V173" i="54" s="1"/>
  <c r="V174" i="54" a="1"/>
  <c r="V174" i="54" s="1"/>
  <c r="V175" i="54" a="1"/>
  <c r="V175" i="54" s="1"/>
  <c r="V176" i="54" a="1"/>
  <c r="V176" i="54"/>
  <c r="V177" i="54" a="1"/>
  <c r="V177" i="54" s="1"/>
  <c r="V178" i="54" a="1"/>
  <c r="V178" i="54" s="1"/>
  <c r="V179" i="54" a="1"/>
  <c r="V179" i="54" s="1"/>
  <c r="V180" i="54" a="1"/>
  <c r="V180" i="54" s="1"/>
  <c r="V181" i="54" a="1"/>
  <c r="V181" i="54"/>
  <c r="V182" i="54" a="1"/>
  <c r="V182" i="54"/>
  <c r="V183" i="54" a="1"/>
  <c r="V183" i="54" s="1"/>
  <c r="V184" i="54" a="1"/>
  <c r="V184" i="54" s="1"/>
  <c r="V185" i="54" a="1"/>
  <c r="V185" i="54" s="1"/>
  <c r="V186" i="54" a="1"/>
  <c r="V186" i="54" s="1"/>
  <c r="V187" i="54" a="1"/>
  <c r="V187" i="54" s="1"/>
  <c r="V188" i="54" a="1"/>
  <c r="V188" i="54" s="1"/>
  <c r="V189" i="54" a="1"/>
  <c r="V189" i="54" s="1"/>
  <c r="V190" i="54" a="1"/>
  <c r="V190" i="54" s="1"/>
  <c r="V191" i="54" a="1"/>
  <c r="V191" i="54" s="1"/>
  <c r="V192" i="54" a="1"/>
  <c r="V192" i="54" s="1"/>
  <c r="V193" i="54" a="1"/>
  <c r="V193" i="54" s="1"/>
  <c r="X11" i="54" a="1"/>
  <c r="X11" i="54" s="1"/>
  <c r="X12" i="54" a="1"/>
  <c r="X12" i="54"/>
  <c r="X13" i="54" a="1"/>
  <c r="X13" i="54"/>
  <c r="X14" i="54" a="1"/>
  <c r="X14" i="54" s="1"/>
  <c r="X15" i="54" a="1"/>
  <c r="X15" i="54" s="1"/>
  <c r="X16" i="54" a="1"/>
  <c r="X16" i="54" s="1"/>
  <c r="X17" i="54" a="1"/>
  <c r="X17" i="54" s="1"/>
  <c r="X18" i="54" a="1"/>
  <c r="X18" i="54" s="1"/>
  <c r="X19" i="54" a="1"/>
  <c r="X19" i="54" s="1"/>
  <c r="X20" i="54" a="1"/>
  <c r="X20" i="54" s="1"/>
  <c r="X21" i="54" a="1"/>
  <c r="X21" i="54"/>
  <c r="X22" i="54" a="1"/>
  <c r="X22" i="54" s="1"/>
  <c r="X23" i="54" a="1"/>
  <c r="X23" i="54" s="1"/>
  <c r="X24" i="54" a="1"/>
  <c r="X24" i="54" s="1"/>
  <c r="X25" i="54" a="1"/>
  <c r="X25" i="54" s="1"/>
  <c r="X26" i="54" a="1"/>
  <c r="X26" i="54" s="1"/>
  <c r="X27" i="54" a="1"/>
  <c r="X27" i="54" s="1"/>
  <c r="X28" i="54" a="1"/>
  <c r="X28" i="54"/>
  <c r="X29" i="54" a="1"/>
  <c r="X29" i="54" s="1"/>
  <c r="X30" i="54" a="1"/>
  <c r="X30" i="54"/>
  <c r="X31" i="54" a="1"/>
  <c r="X31" i="54" s="1"/>
  <c r="X32" i="54" a="1"/>
  <c r="X32" i="54"/>
  <c r="X33" i="54" a="1"/>
  <c r="X33" i="54" s="1"/>
  <c r="X34" i="54" a="1"/>
  <c r="X34" i="54" s="1"/>
  <c r="X35" i="54" a="1"/>
  <c r="X35" i="54" s="1"/>
  <c r="X36" i="54" a="1"/>
  <c r="X36" i="54" s="1"/>
  <c r="X37" i="54" a="1"/>
  <c r="X37" i="54" s="1"/>
  <c r="X38" i="54" a="1"/>
  <c r="X38" i="54" s="1"/>
  <c r="X39" i="54" a="1"/>
  <c r="X39" i="54" s="1"/>
  <c r="X40" i="54" a="1"/>
  <c r="X40" i="54" s="1"/>
  <c r="X41" i="54" a="1"/>
  <c r="X41" i="54" s="1"/>
  <c r="X42" i="54" a="1"/>
  <c r="X42" i="54" s="1"/>
  <c r="X43" i="54" a="1"/>
  <c r="X43" i="54"/>
  <c r="X44" i="54" a="1"/>
  <c r="X44" i="54" s="1"/>
  <c r="X45" i="54" a="1"/>
  <c r="X45" i="54" s="1"/>
  <c r="X46" i="54" a="1"/>
  <c r="X46" i="54" s="1"/>
  <c r="X47" i="54" a="1"/>
  <c r="X47" i="54" s="1"/>
  <c r="X48" i="54" a="1"/>
  <c r="X48" i="54"/>
  <c r="X49" i="54" a="1"/>
  <c r="X49" i="54" s="1"/>
  <c r="X50" i="54" a="1"/>
  <c r="X50" i="54" s="1"/>
  <c r="X51" i="54" a="1"/>
  <c r="X51" i="54" s="1"/>
  <c r="X52" i="54" a="1"/>
  <c r="X52" i="54"/>
  <c r="X53" i="54" a="1"/>
  <c r="X53" i="54" s="1"/>
  <c r="X54" i="54" a="1"/>
  <c r="X54" i="54" s="1"/>
  <c r="X55" i="54" a="1"/>
  <c r="X55" i="54" s="1"/>
  <c r="X56" i="54" a="1"/>
  <c r="X56" i="54" s="1"/>
  <c r="X57" i="54" a="1"/>
  <c r="X57" i="54" s="1"/>
  <c r="X58" i="54" a="1"/>
  <c r="X58" i="54" s="1"/>
  <c r="X59" i="54" a="1"/>
  <c r="X59" i="54" s="1"/>
  <c r="X60" i="54" a="1"/>
  <c r="X60" i="54" s="1"/>
  <c r="X61" i="54" a="1"/>
  <c r="X61" i="54" s="1"/>
  <c r="X62" i="54" a="1"/>
  <c r="X62" i="54"/>
  <c r="X63" i="54" a="1"/>
  <c r="X63" i="54" s="1"/>
  <c r="X64" i="54" a="1"/>
  <c r="X64" i="54" s="1"/>
  <c r="X65" i="54" a="1"/>
  <c r="X65" i="54" s="1"/>
  <c r="X66" i="54" a="1"/>
  <c r="X66" i="54" s="1"/>
  <c r="X67" i="54" a="1"/>
  <c r="X67" i="54" s="1"/>
  <c r="X68" i="54" a="1"/>
  <c r="X68" i="54"/>
  <c r="X69" i="54" a="1"/>
  <c r="X69" i="54" s="1"/>
  <c r="X70" i="54" a="1"/>
  <c r="X70" i="54" s="1"/>
  <c r="X71" i="54" a="1"/>
  <c r="X71" i="54"/>
  <c r="X72" i="54" a="1"/>
  <c r="X72" i="54"/>
  <c r="X73" i="54" a="1"/>
  <c r="X73" i="54" s="1"/>
  <c r="X74" i="54" a="1"/>
  <c r="X74" i="54"/>
  <c r="X75" i="54" a="1"/>
  <c r="X75" i="54" s="1"/>
  <c r="X76" i="54" a="1"/>
  <c r="X76" i="54" s="1"/>
  <c r="X77" i="54" a="1"/>
  <c r="X77" i="54" s="1"/>
  <c r="X78" i="54" a="1"/>
  <c r="X78" i="54" s="1"/>
  <c r="X79" i="54" a="1"/>
  <c r="X79" i="54"/>
  <c r="X80" i="54" a="1"/>
  <c r="X80" i="54" s="1"/>
  <c r="X81" i="54" a="1"/>
  <c r="X81" i="54"/>
  <c r="X82" i="54" a="1"/>
  <c r="X82" i="54" s="1"/>
  <c r="X83" i="54" a="1"/>
  <c r="X83" i="54" s="1"/>
  <c r="X84" i="54" a="1"/>
  <c r="X84" i="54" s="1"/>
  <c r="X85" i="54" a="1"/>
  <c r="X85" i="54" s="1"/>
  <c r="X86" i="54" a="1"/>
  <c r="X86" i="54" s="1"/>
  <c r="X87" i="54" a="1"/>
  <c r="X87" i="54" s="1"/>
  <c r="X88" i="54" a="1"/>
  <c r="X88" i="54" s="1"/>
  <c r="X89" i="54" a="1"/>
  <c r="X89" i="54" s="1"/>
  <c r="X90" i="54" a="1"/>
  <c r="X90" i="54" s="1"/>
  <c r="X91" i="54" a="1"/>
  <c r="X91" i="54" s="1"/>
  <c r="X92" i="54" a="1"/>
  <c r="X92" i="54" s="1"/>
  <c r="X93" i="54" a="1"/>
  <c r="X93" i="54" s="1"/>
  <c r="X94" i="54" a="1"/>
  <c r="X94" i="54"/>
  <c r="X95" i="54" a="1"/>
  <c r="X95" i="54" s="1"/>
  <c r="X96" i="54" a="1"/>
  <c r="X96" i="54" s="1"/>
  <c r="X97" i="54" a="1"/>
  <c r="X97" i="54" s="1"/>
  <c r="X98" i="54" a="1"/>
  <c r="X98" i="54" s="1"/>
  <c r="X99" i="54" a="1"/>
  <c r="X99" i="54" s="1"/>
  <c r="X100" i="54" a="1"/>
  <c r="X100" i="54" s="1"/>
  <c r="X101" i="54" a="1"/>
  <c r="X101" i="54" s="1"/>
  <c r="X102" i="54" a="1"/>
  <c r="X102" i="54"/>
  <c r="X103" i="54" a="1"/>
  <c r="X103" i="54"/>
  <c r="X104" i="54" a="1"/>
  <c r="X104" i="54"/>
  <c r="X105" i="54" a="1"/>
  <c r="X105" i="54" s="1"/>
  <c r="X106" i="54" a="1"/>
  <c r="X106" i="54" s="1"/>
  <c r="X107" i="54" a="1"/>
  <c r="X107" i="54" s="1"/>
  <c r="X108" i="54" a="1"/>
  <c r="X108" i="54"/>
  <c r="X109" i="54" a="1"/>
  <c r="X109" i="54" s="1"/>
  <c r="X110" i="54" a="1"/>
  <c r="X110" i="54" s="1"/>
  <c r="X111" i="54" a="1"/>
  <c r="X111" i="54" s="1"/>
  <c r="X112" i="54" a="1"/>
  <c r="X112" i="54" s="1"/>
  <c r="X113" i="54" a="1"/>
  <c r="X113" i="54" s="1"/>
  <c r="X114" i="54" a="1"/>
  <c r="X114" i="54"/>
  <c r="X115" i="54" a="1"/>
  <c r="X115" i="54" s="1"/>
  <c r="X116" i="54" a="1"/>
  <c r="X116" i="54" s="1"/>
  <c r="X117" i="54" a="1"/>
  <c r="X117" i="54" s="1"/>
  <c r="X118" i="54" a="1"/>
  <c r="X118" i="54" s="1"/>
  <c r="X119" i="54" a="1"/>
  <c r="X119" i="54" s="1"/>
  <c r="X120" i="54" a="1"/>
  <c r="X120" i="54" s="1"/>
  <c r="X121" i="54" a="1"/>
  <c r="X121" i="54"/>
  <c r="X122" i="54" a="1"/>
  <c r="X122" i="54" s="1"/>
  <c r="X123" i="54" a="1"/>
  <c r="X123" i="54" s="1"/>
  <c r="X124" i="54" a="1"/>
  <c r="X124" i="54" s="1"/>
  <c r="X125" i="54" a="1"/>
  <c r="X125" i="54" s="1"/>
  <c r="X126" i="54" a="1"/>
  <c r="X126" i="54" s="1"/>
  <c r="X127" i="54" a="1"/>
  <c r="X127" i="54" s="1"/>
  <c r="X128" i="54" a="1"/>
  <c r="X128" i="54" s="1"/>
  <c r="X129" i="54" a="1"/>
  <c r="X129" i="54" s="1"/>
  <c r="X130" i="54" a="1"/>
  <c r="X130" i="54" s="1"/>
  <c r="X131" i="54" a="1"/>
  <c r="X131" i="54" s="1"/>
  <c r="X132" i="54" a="1"/>
  <c r="X132" i="54" s="1"/>
  <c r="X133" i="54" a="1"/>
  <c r="X133" i="54" s="1"/>
  <c r="X134" i="54" a="1"/>
  <c r="X134" i="54" s="1"/>
  <c r="X135" i="54" a="1"/>
  <c r="X135" i="54" s="1"/>
  <c r="X136" i="54" a="1"/>
  <c r="X136" i="54" s="1"/>
  <c r="X137" i="54" a="1"/>
  <c r="X137" i="54"/>
  <c r="X138" i="54" a="1"/>
  <c r="X138" i="54" s="1"/>
  <c r="X139" i="54" a="1"/>
  <c r="X139" i="54" s="1"/>
  <c r="X140" i="54" a="1"/>
  <c r="X140" i="54" s="1"/>
  <c r="X141" i="54" a="1"/>
  <c r="X141" i="54" s="1"/>
  <c r="X142" i="54" a="1"/>
  <c r="X142" i="54" s="1"/>
  <c r="X143" i="54" a="1"/>
  <c r="X143" i="54" s="1"/>
  <c r="X144" i="54" a="1"/>
  <c r="X144" i="54" s="1"/>
  <c r="X145" i="54" a="1"/>
  <c r="X145" i="54" s="1"/>
  <c r="X146" i="54" a="1"/>
  <c r="X146" i="54" s="1"/>
  <c r="X147" i="54" a="1"/>
  <c r="X147" i="54" s="1"/>
  <c r="X148" i="54" a="1"/>
  <c r="X148" i="54"/>
  <c r="X149" i="54" a="1"/>
  <c r="X149" i="54" s="1"/>
  <c r="X150" i="54" a="1"/>
  <c r="X150" i="54"/>
  <c r="X151" i="54" a="1"/>
  <c r="X151" i="54" s="1"/>
  <c r="X152" i="54" a="1"/>
  <c r="X152" i="54" s="1"/>
  <c r="X153" i="54" a="1"/>
  <c r="X153" i="54" s="1"/>
  <c r="X154" i="54" a="1"/>
  <c r="X154" i="54"/>
  <c r="X155" i="54" a="1"/>
  <c r="X155" i="54" s="1"/>
  <c r="X156" i="54" a="1"/>
  <c r="X156" i="54" s="1"/>
  <c r="X157" i="54" a="1"/>
  <c r="X157" i="54" s="1"/>
  <c r="X158" i="54" a="1"/>
  <c r="X158" i="54" s="1"/>
  <c r="X159" i="54" a="1"/>
  <c r="X159" i="54" s="1"/>
  <c r="X160" i="54" a="1"/>
  <c r="X160" i="54"/>
  <c r="X161" i="54" a="1"/>
  <c r="X161" i="54"/>
  <c r="X162" i="54" a="1"/>
  <c r="X162" i="54" s="1"/>
  <c r="X163" i="54" a="1"/>
  <c r="X163" i="54" s="1"/>
  <c r="X164" i="54" a="1"/>
  <c r="X164" i="54" s="1"/>
  <c r="X165" i="54" a="1"/>
  <c r="X165" i="54" s="1"/>
  <c r="X166" i="54" a="1"/>
  <c r="X166" i="54" s="1"/>
  <c r="X167" i="54" a="1"/>
  <c r="X167" i="54" s="1"/>
  <c r="X168" i="54" a="1"/>
  <c r="X168" i="54" s="1"/>
  <c r="X169" i="54" a="1"/>
  <c r="X169" i="54" s="1"/>
  <c r="X170" i="54" a="1"/>
  <c r="X170" i="54"/>
  <c r="X171" i="54" a="1"/>
  <c r="X171" i="54" s="1"/>
  <c r="X172" i="54" a="1"/>
  <c r="X172" i="54" s="1"/>
  <c r="X173" i="54" a="1"/>
  <c r="X173" i="54" s="1"/>
  <c r="X174" i="54" a="1"/>
  <c r="X174" i="54" s="1"/>
  <c r="X175" i="54" a="1"/>
  <c r="X175" i="54" s="1"/>
  <c r="X176" i="54" a="1"/>
  <c r="X176" i="54" s="1"/>
  <c r="X177" i="54" a="1"/>
  <c r="X177" i="54"/>
  <c r="X178" i="54" a="1"/>
  <c r="X178" i="54" s="1"/>
  <c r="X179" i="54" a="1"/>
  <c r="X179" i="54" s="1"/>
  <c r="X180" i="54" a="1"/>
  <c r="X180" i="54" s="1"/>
  <c r="X181" i="54" a="1"/>
  <c r="X181" i="54"/>
  <c r="X182" i="54" a="1"/>
  <c r="X182" i="54" s="1"/>
  <c r="X183" i="54" a="1"/>
  <c r="X183" i="54" s="1"/>
  <c r="X184" i="54" a="1"/>
  <c r="X184" i="54" s="1"/>
  <c r="X185" i="54" a="1"/>
  <c r="X185" i="54" s="1"/>
  <c r="X186" i="54" a="1"/>
  <c r="X186" i="54" s="1"/>
  <c r="X187" i="54" a="1"/>
  <c r="X187" i="54" s="1"/>
  <c r="X188" i="54" a="1"/>
  <c r="X188" i="54" s="1"/>
  <c r="X189" i="54" a="1"/>
  <c r="X189" i="54" s="1"/>
  <c r="X190" i="54" a="1"/>
  <c r="X190" i="54" s="1"/>
  <c r="X191" i="54" a="1"/>
  <c r="X191" i="54" s="1"/>
  <c r="X192" i="54" a="1"/>
  <c r="X192" i="54"/>
  <c r="X193" i="54" a="1"/>
  <c r="X193" i="54" s="1"/>
  <c r="Z11" i="54" a="1"/>
  <c r="Z11" i="54"/>
  <c r="Z12" i="54" a="1"/>
  <c r="Z12" i="54" s="1"/>
  <c r="Z13" i="54" a="1"/>
  <c r="Z13" i="54" s="1"/>
  <c r="Z14" i="54" a="1"/>
  <c r="Z14" i="54" s="1"/>
  <c r="Z15" i="54" a="1"/>
  <c r="Z15" i="54" s="1"/>
  <c r="Z16" i="54" a="1"/>
  <c r="Z16" i="54" s="1"/>
  <c r="Z17" i="54" a="1"/>
  <c r="Z17" i="54" s="1"/>
  <c r="Z18" i="54" a="1"/>
  <c r="Z18" i="54" s="1"/>
  <c r="Z19" i="54" a="1"/>
  <c r="Z19" i="54" s="1"/>
  <c r="Z20" i="54" a="1"/>
  <c r="Z20" i="54"/>
  <c r="Z21" i="54" a="1"/>
  <c r="Z21" i="54" s="1"/>
  <c r="Z22" i="54" a="1"/>
  <c r="Z22" i="54" s="1"/>
  <c r="Z23" i="54" a="1"/>
  <c r="Z23" i="54" s="1"/>
  <c r="Z24" i="54" a="1"/>
  <c r="Z24" i="54" s="1"/>
  <c r="Z25" i="54" a="1"/>
  <c r="Z25" i="54" s="1"/>
  <c r="Z26" i="54" a="1"/>
  <c r="Z26" i="54" s="1"/>
  <c r="Z27" i="54" a="1"/>
  <c r="Z27" i="54"/>
  <c r="Z28" i="54" a="1"/>
  <c r="Z28" i="54" s="1"/>
  <c r="Z29" i="54" a="1"/>
  <c r="Z29" i="54" s="1"/>
  <c r="Z30" i="54" a="1"/>
  <c r="Z30" i="54" s="1"/>
  <c r="Z31" i="54" a="1"/>
  <c r="Z31" i="54" s="1"/>
  <c r="Z32" i="54" a="1"/>
  <c r="Z32" i="54" s="1"/>
  <c r="Z33" i="54" a="1"/>
  <c r="Z33" i="54" s="1"/>
  <c r="Z34" i="54" a="1"/>
  <c r="Z34" i="54" s="1"/>
  <c r="Z35" i="54" a="1"/>
  <c r="Z35" i="54" s="1"/>
  <c r="Z36" i="54" a="1"/>
  <c r="Z36" i="54" s="1"/>
  <c r="Z37" i="54" a="1"/>
  <c r="Z37" i="54" s="1"/>
  <c r="Z38" i="54" a="1"/>
  <c r="Z38" i="54" s="1"/>
  <c r="Z39" i="54" a="1"/>
  <c r="Z39" i="54" s="1"/>
  <c r="Z40" i="54" a="1"/>
  <c r="Z40" i="54" s="1"/>
  <c r="Z41" i="54" a="1"/>
  <c r="Z41" i="54" s="1"/>
  <c r="Z42" i="54" a="1"/>
  <c r="Z42" i="54" s="1"/>
  <c r="Z43" i="54" a="1"/>
  <c r="Z43" i="54" s="1"/>
  <c r="Z44" i="54" a="1"/>
  <c r="Z44" i="54"/>
  <c r="Z45" i="54" a="1"/>
  <c r="Z45" i="54" s="1"/>
  <c r="Z46" i="54" a="1"/>
  <c r="Z46" i="54" s="1"/>
  <c r="Z47" i="54" a="1"/>
  <c r="Z47" i="54" s="1"/>
  <c r="Z48" i="54" a="1"/>
  <c r="Z48" i="54" s="1"/>
  <c r="Z49" i="54" a="1"/>
  <c r="Z49" i="54"/>
  <c r="Z50" i="54" a="1"/>
  <c r="Z50" i="54" s="1"/>
  <c r="Z51" i="54" a="1"/>
  <c r="Z51" i="54" s="1"/>
  <c r="Z52" i="54" a="1"/>
  <c r="Z52" i="54" s="1"/>
  <c r="Z53" i="54" a="1"/>
  <c r="Z53" i="54" s="1"/>
  <c r="Z54" i="54" a="1"/>
  <c r="Z54" i="54" s="1"/>
  <c r="Z55" i="54" a="1"/>
  <c r="Z55" i="54" s="1"/>
  <c r="Z56" i="54" a="1"/>
  <c r="Z56" i="54" s="1"/>
  <c r="Z57" i="54" a="1"/>
  <c r="Z57" i="54" s="1"/>
  <c r="Z58" i="54" a="1"/>
  <c r="Z58" i="54" s="1"/>
  <c r="Z59" i="54" a="1"/>
  <c r="Z59" i="54" s="1"/>
  <c r="Z60" i="54" a="1"/>
  <c r="Z60" i="54"/>
  <c r="Z61" i="54" a="1"/>
  <c r="Z61" i="54" s="1"/>
  <c r="Z62" i="54" a="1"/>
  <c r="Z62" i="54" s="1"/>
  <c r="Z63" i="54" a="1"/>
  <c r="Z63" i="54" s="1"/>
  <c r="Z64" i="54" a="1"/>
  <c r="Z64" i="54" s="1"/>
  <c r="Z65" i="54" a="1"/>
  <c r="Z65" i="54"/>
  <c r="Z66" i="54" a="1"/>
  <c r="Z66" i="54" s="1"/>
  <c r="Z67" i="54" a="1"/>
  <c r="Z67" i="54" s="1"/>
  <c r="Z68" i="54" a="1"/>
  <c r="Z68" i="54" s="1"/>
  <c r="Z69" i="54" a="1"/>
  <c r="Z69" i="54" s="1"/>
  <c r="Z70" i="54" a="1"/>
  <c r="Z70" i="54" s="1"/>
  <c r="Z71" i="54" a="1"/>
  <c r="Z71" i="54"/>
  <c r="Z72" i="54" a="1"/>
  <c r="Z72" i="54" s="1"/>
  <c r="Z73" i="54" a="1"/>
  <c r="Z73" i="54" s="1"/>
  <c r="Z74" i="54" a="1"/>
  <c r="Z74" i="54" s="1"/>
  <c r="Z75" i="54" a="1"/>
  <c r="Z75" i="54" s="1"/>
  <c r="Z76" i="54" a="1"/>
  <c r="Z76" i="54"/>
  <c r="Z77" i="54" a="1"/>
  <c r="Z77" i="54" s="1"/>
  <c r="Z78" i="54" a="1"/>
  <c r="Z78" i="54" s="1"/>
  <c r="Z79" i="54" a="1"/>
  <c r="Z79" i="54" s="1"/>
  <c r="Z80" i="54" a="1"/>
  <c r="Z80" i="54" s="1"/>
  <c r="Z81" i="54" a="1"/>
  <c r="Z81" i="54" s="1"/>
  <c r="Z82" i="54" a="1"/>
  <c r="Z82" i="54" s="1"/>
  <c r="Z83" i="54" a="1"/>
  <c r="Z83" i="54" s="1"/>
  <c r="Z84" i="54" a="1"/>
  <c r="Z84" i="54" s="1"/>
  <c r="Z85" i="54" a="1"/>
  <c r="Z85" i="54" s="1"/>
  <c r="Z86" i="54" a="1"/>
  <c r="Z86" i="54" s="1"/>
  <c r="Z87" i="54" a="1"/>
  <c r="Z87" i="54" s="1"/>
  <c r="Z88" i="54" a="1"/>
  <c r="Z88" i="54" s="1"/>
  <c r="Z89" i="54" a="1"/>
  <c r="Z89" i="54" s="1"/>
  <c r="Z90" i="54" a="1"/>
  <c r="Z90" i="54" s="1"/>
  <c r="Z91" i="54" a="1"/>
  <c r="Z91" i="54" s="1"/>
  <c r="Z92" i="54" a="1"/>
  <c r="Z92" i="54" s="1"/>
  <c r="Z93" i="54" a="1"/>
  <c r="Z93" i="54" s="1"/>
  <c r="Z94" i="54" a="1"/>
  <c r="Z94" i="54" s="1"/>
  <c r="Z95" i="54" a="1"/>
  <c r="Z95" i="54" s="1"/>
  <c r="Z96" i="54" a="1"/>
  <c r="Z96" i="54" s="1"/>
  <c r="Z97" i="54" a="1"/>
  <c r="Z97" i="54" s="1"/>
  <c r="Z98" i="54" a="1"/>
  <c r="Z98" i="54" s="1"/>
  <c r="Z99" i="54" a="1"/>
  <c r="Z99" i="54"/>
  <c r="Z100" i="54" a="1"/>
  <c r="Z100" i="54" s="1"/>
  <c r="Z101" i="54" a="1"/>
  <c r="Z101" i="54" s="1"/>
  <c r="Z102" i="54" a="1"/>
  <c r="Z102" i="54" s="1"/>
  <c r="Z103" i="54" a="1"/>
  <c r="Z103" i="54" s="1"/>
  <c r="Z104" i="54" a="1"/>
  <c r="Z104" i="54" s="1"/>
  <c r="Z105" i="54" a="1"/>
  <c r="Z105" i="54"/>
  <c r="Z106" i="54" a="1"/>
  <c r="Z106" i="54" s="1"/>
  <c r="Z107" i="54" a="1"/>
  <c r="Z107" i="54" s="1"/>
  <c r="Z108" i="54" a="1"/>
  <c r="Z108" i="54" s="1"/>
  <c r="Z109" i="54" a="1"/>
  <c r="Z109" i="54"/>
  <c r="Z110" i="54" a="1"/>
  <c r="Z110" i="54" s="1"/>
  <c r="Z111" i="54" a="1"/>
  <c r="Z111" i="54" s="1"/>
  <c r="Z112" i="54" a="1"/>
  <c r="Z112" i="54" s="1"/>
  <c r="Z113" i="54" a="1"/>
  <c r="Z113" i="54" s="1"/>
  <c r="Z114" i="54" a="1"/>
  <c r="Z114" i="54" s="1"/>
  <c r="Z115" i="54" a="1"/>
  <c r="Z115" i="54" s="1"/>
  <c r="Z116" i="54" a="1"/>
  <c r="Z116" i="54"/>
  <c r="Z117" i="54" a="1"/>
  <c r="Z117" i="54" s="1"/>
  <c r="Z118" i="54" a="1"/>
  <c r="Z118" i="54" s="1"/>
  <c r="Z119" i="54" a="1"/>
  <c r="Z119" i="54" s="1"/>
  <c r="Z120" i="54" a="1"/>
  <c r="Z120" i="54" s="1"/>
  <c r="Z121" i="54" a="1"/>
  <c r="Z121" i="54"/>
  <c r="Z122" i="54" a="1"/>
  <c r="Z122" i="54" s="1"/>
  <c r="Z123" i="54" a="1"/>
  <c r="Z123" i="54" s="1"/>
  <c r="Z124" i="54" a="1"/>
  <c r="Z124" i="54" s="1"/>
  <c r="Z125" i="54" a="1"/>
  <c r="Z125" i="54" s="1"/>
  <c r="Z126" i="54" a="1"/>
  <c r="Z126" i="54" s="1"/>
  <c r="Z127" i="54" a="1"/>
  <c r="Z127" i="54"/>
  <c r="Z128" i="54" a="1"/>
  <c r="Z128" i="54" s="1"/>
  <c r="Z129" i="54" a="1"/>
  <c r="Z129" i="54" s="1"/>
  <c r="Z130" i="54" a="1"/>
  <c r="Z130" i="54" s="1"/>
  <c r="Z131" i="54" a="1"/>
  <c r="Z131" i="54"/>
  <c r="Z132" i="54" a="1"/>
  <c r="Z132" i="54"/>
  <c r="Z133" i="54" a="1"/>
  <c r="Z133" i="54" s="1"/>
  <c r="Z134" i="54" a="1"/>
  <c r="Z134" i="54" s="1"/>
  <c r="Z135" i="54" a="1"/>
  <c r="Z135" i="54" s="1"/>
  <c r="Z136" i="54" a="1"/>
  <c r="Z136" i="54" s="1"/>
  <c r="Z137" i="54" a="1"/>
  <c r="Z137" i="54"/>
  <c r="Z138" i="54" a="1"/>
  <c r="Z138" i="54" s="1"/>
  <c r="Z139" i="54" a="1"/>
  <c r="Z139" i="54" s="1"/>
  <c r="Z140" i="54" a="1"/>
  <c r="Z140" i="54" s="1"/>
  <c r="Z141" i="54" a="1"/>
  <c r="Z141" i="54"/>
  <c r="Z142" i="54" a="1"/>
  <c r="Z142" i="54" s="1"/>
  <c r="Z143" i="54" a="1"/>
  <c r="Z143" i="54" s="1"/>
  <c r="Z144" i="54" a="1"/>
  <c r="Z144" i="54" s="1"/>
  <c r="Z145" i="54" a="1"/>
  <c r="Z145" i="54" s="1"/>
  <c r="Z146" i="54" a="1"/>
  <c r="Z146" i="54" s="1"/>
  <c r="Z147" i="54" a="1"/>
  <c r="Z147" i="54"/>
  <c r="Z148" i="54" a="1"/>
  <c r="Z148" i="54" s="1"/>
  <c r="Z149" i="54" a="1"/>
  <c r="Z149" i="54" s="1"/>
  <c r="Z150" i="54" a="1"/>
  <c r="Z150" i="54" s="1"/>
  <c r="Z151" i="54" a="1"/>
  <c r="Z151" i="54" s="1"/>
  <c r="Z152" i="54" a="1"/>
  <c r="Z152" i="54" s="1"/>
  <c r="Z153" i="54" a="1"/>
  <c r="Z153" i="54" s="1"/>
  <c r="Z154" i="54" a="1"/>
  <c r="Z154" i="54" s="1"/>
  <c r="Z155" i="54" a="1"/>
  <c r="Z155" i="54" s="1"/>
  <c r="Z156" i="54" a="1"/>
  <c r="Z156" i="54" s="1"/>
  <c r="Z157" i="54" a="1"/>
  <c r="Z157" i="54"/>
  <c r="Z158" i="54" a="1"/>
  <c r="Z158" i="54" s="1"/>
  <c r="Z159" i="54" a="1"/>
  <c r="Z159" i="54" s="1"/>
  <c r="Z160" i="54" a="1"/>
  <c r="Z160" i="54" s="1"/>
  <c r="Z161" i="54" a="1"/>
  <c r="Z161" i="54" s="1"/>
  <c r="Z162" i="54" a="1"/>
  <c r="Z162" i="54" s="1"/>
  <c r="Z163" i="54" a="1"/>
  <c r="Z163" i="54" s="1"/>
  <c r="Z164" i="54" a="1"/>
  <c r="Z164" i="54" s="1"/>
  <c r="Z165" i="54" a="1"/>
  <c r="Z165" i="54" s="1"/>
  <c r="Z166" i="54" a="1"/>
  <c r="Z166" i="54" s="1"/>
  <c r="Z167" i="54" a="1"/>
  <c r="Z167" i="54" s="1"/>
  <c r="Z168" i="54" a="1"/>
  <c r="Z168" i="54" s="1"/>
  <c r="Z169" i="54" a="1"/>
  <c r="Z169" i="54" s="1"/>
  <c r="Z170" i="54" a="1"/>
  <c r="Z170" i="54" s="1"/>
  <c r="Z171" i="54" a="1"/>
  <c r="Z171" i="54"/>
  <c r="Z172" i="54" a="1"/>
  <c r="Z172" i="54" s="1"/>
  <c r="Z173" i="54" a="1"/>
  <c r="Z173" i="54" s="1"/>
  <c r="Z174" i="54" a="1"/>
  <c r="Z174" i="54" s="1"/>
  <c r="Z175" i="54" a="1"/>
  <c r="Z175" i="54" s="1"/>
  <c r="Z176" i="54" a="1"/>
  <c r="Z176" i="54" s="1"/>
  <c r="Z177" i="54" a="1"/>
  <c r="Z177" i="54" s="1"/>
  <c r="Z178" i="54" a="1"/>
  <c r="Z178" i="54" s="1"/>
  <c r="Z179" i="54" a="1"/>
  <c r="Z179" i="54" s="1"/>
  <c r="Z180" i="54" a="1"/>
  <c r="Z180" i="54" s="1"/>
  <c r="Z181" i="54" a="1"/>
  <c r="Z181" i="54" s="1"/>
  <c r="Z182" i="54" a="1"/>
  <c r="Z182" i="54" s="1"/>
  <c r="Z183" i="54" a="1"/>
  <c r="Z183" i="54" s="1"/>
  <c r="Z184" i="54" a="1"/>
  <c r="Z184" i="54" s="1"/>
  <c r="Z185" i="54" a="1"/>
  <c r="Z185" i="54" s="1"/>
  <c r="Z186" i="54" a="1"/>
  <c r="Z186" i="54" s="1"/>
  <c r="Z187" i="54" a="1"/>
  <c r="Z187" i="54"/>
  <c r="Z188" i="54" a="1"/>
  <c r="Z188" i="54" s="1"/>
  <c r="Z189" i="54" a="1"/>
  <c r="Z189" i="54" s="1"/>
  <c r="Z190" i="54" a="1"/>
  <c r="Z190" i="54" s="1"/>
  <c r="Z191" i="54" a="1"/>
  <c r="Z191" i="54"/>
  <c r="Z192" i="54" a="1"/>
  <c r="Z192" i="54"/>
  <c r="Z193" i="54" a="1"/>
  <c r="Z193" i="54" s="1"/>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2" i="32"/>
  <c r="I73" i="32"/>
  <c r="I74" i="32"/>
  <c r="I75" i="32"/>
  <c r="I76" i="32"/>
  <c r="I77" i="32"/>
  <c r="I78" i="32"/>
  <c r="I79" i="32"/>
  <c r="I80" i="32"/>
  <c r="I81" i="32"/>
  <c r="I82" i="32"/>
  <c r="I83" i="32"/>
  <c r="I84" i="32"/>
  <c r="I85" i="32"/>
  <c r="I86" i="32"/>
  <c r="I87" i="32"/>
  <c r="I88" i="32"/>
  <c r="I89" i="32"/>
  <c r="I90" i="32"/>
  <c r="I91" i="32"/>
  <c r="I92" i="32"/>
  <c r="I93" i="32"/>
  <c r="I94" i="32"/>
  <c r="I95" i="32"/>
  <c r="I96" i="32"/>
  <c r="I97" i="32"/>
  <c r="I98" i="32"/>
  <c r="I99" i="32"/>
  <c r="I100" i="32"/>
  <c r="I101" i="32"/>
  <c r="I102" i="32"/>
  <c r="I103" i="32"/>
  <c r="I104" i="32"/>
  <c r="I105" i="32"/>
  <c r="I106" i="32"/>
  <c r="I107" i="32"/>
  <c r="I108" i="32"/>
  <c r="I109" i="32"/>
  <c r="I110" i="32"/>
  <c r="I111" i="32"/>
  <c r="I112" i="32"/>
  <c r="I113" i="32"/>
  <c r="I114" i="32"/>
  <c r="I115" i="32"/>
  <c r="I116" i="32"/>
  <c r="I117" i="32"/>
  <c r="I118" i="32"/>
  <c r="I119" i="32"/>
  <c r="I120" i="32"/>
  <c r="I121" i="32"/>
  <c r="I122" i="32"/>
  <c r="I123" i="32"/>
  <c r="I124" i="32"/>
  <c r="I125" i="32"/>
  <c r="I126" i="32"/>
  <c r="I127" i="32"/>
  <c r="I128" i="32"/>
  <c r="I129" i="32"/>
  <c r="I130" i="32"/>
  <c r="I131" i="32"/>
  <c r="I132" i="32"/>
  <c r="I133" i="32"/>
  <c r="I134" i="32"/>
  <c r="I135" i="32"/>
  <c r="I136" i="32"/>
  <c r="I137" i="32"/>
  <c r="I138" i="32"/>
  <c r="I139" i="32"/>
  <c r="I140" i="32"/>
  <c r="I141" i="32"/>
  <c r="I142" i="32"/>
  <c r="I143" i="32"/>
  <c r="I144" i="32"/>
  <c r="I145" i="32"/>
  <c r="I146" i="32"/>
  <c r="I147" i="32"/>
  <c r="I148" i="32"/>
  <c r="I149" i="32"/>
  <c r="I150" i="32"/>
  <c r="I151" i="32"/>
  <c r="I152" i="32"/>
  <c r="I153" i="32"/>
  <c r="I154" i="32"/>
  <c r="I155" i="32"/>
  <c r="I156" i="32"/>
  <c r="I157" i="32"/>
  <c r="I158" i="32"/>
  <c r="I159" i="32"/>
  <c r="I160" i="32"/>
  <c r="I161" i="32"/>
  <c r="I162" i="32"/>
  <c r="I163" i="32"/>
  <c r="I164" i="32"/>
  <c r="I165" i="32"/>
  <c r="I166" i="32"/>
  <c r="I167" i="32"/>
  <c r="I168" i="32"/>
  <c r="I169" i="32"/>
  <c r="I170" i="32"/>
  <c r="I171" i="32"/>
  <c r="I172" i="32"/>
  <c r="I173" i="32"/>
  <c r="I174" i="32"/>
  <c r="I175" i="32"/>
  <c r="I176" i="32"/>
  <c r="I177" i="32"/>
  <c r="I178" i="32"/>
  <c r="I179" i="32"/>
  <c r="I180" i="32"/>
  <c r="I181" i="32"/>
  <c r="I182" i="32"/>
  <c r="I183" i="32"/>
  <c r="I184" i="32"/>
  <c r="I185" i="32"/>
  <c r="I186" i="32"/>
  <c r="I187" i="32"/>
  <c r="I188" i="32"/>
  <c r="I189" i="32"/>
  <c r="I190" i="32"/>
  <c r="I191" i="32"/>
  <c r="I192" i="32"/>
  <c r="I193"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R11" i="32" a="1"/>
  <c r="R11" i="32" s="1"/>
  <c r="R12" i="32" a="1"/>
  <c r="R12" i="32" s="1"/>
  <c r="R13" i="32" a="1"/>
  <c r="R13" i="32" s="1"/>
  <c r="R14" i="32" a="1"/>
  <c r="R14" i="32" s="1"/>
  <c r="R15" i="32" a="1"/>
  <c r="R15" i="32" s="1"/>
  <c r="R16" i="32" a="1"/>
  <c r="R16" i="32" s="1"/>
  <c r="R17" i="32" a="1"/>
  <c r="R17" i="32" s="1"/>
  <c r="R18" i="32" a="1"/>
  <c r="R18" i="32" s="1"/>
  <c r="R19" i="32" a="1"/>
  <c r="R19" i="32" s="1"/>
  <c r="R20" i="32" a="1"/>
  <c r="R20" i="32" s="1"/>
  <c r="R21" i="32" a="1"/>
  <c r="R21" i="32" s="1"/>
  <c r="R22" i="32" a="1"/>
  <c r="R22" i="32" s="1"/>
  <c r="R23" i="32" a="1"/>
  <c r="R23" i="32" s="1"/>
  <c r="R24" i="32" a="1"/>
  <c r="R24" i="32" s="1"/>
  <c r="R25" i="32" a="1"/>
  <c r="R25" i="32" s="1"/>
  <c r="R26" i="32" a="1"/>
  <c r="R26" i="32" s="1"/>
  <c r="R27" i="32" a="1"/>
  <c r="R27" i="32" s="1"/>
  <c r="R28" i="32" a="1"/>
  <c r="R28" i="32" s="1"/>
  <c r="R29" i="32" a="1"/>
  <c r="R29" i="32" s="1"/>
  <c r="R30" i="32" a="1"/>
  <c r="R30" i="32" s="1"/>
  <c r="R31" i="32" a="1"/>
  <c r="R31" i="32" s="1"/>
  <c r="R32" i="32" a="1"/>
  <c r="R32" i="32" s="1"/>
  <c r="R33" i="32" a="1"/>
  <c r="R33" i="32" s="1"/>
  <c r="R34" i="32" a="1"/>
  <c r="R34" i="32" s="1"/>
  <c r="R35" i="32" a="1"/>
  <c r="R35" i="32" s="1"/>
  <c r="R36" i="32" a="1"/>
  <c r="R36" i="32" s="1"/>
  <c r="R37" i="32" a="1"/>
  <c r="R37" i="32" s="1"/>
  <c r="R38" i="32" a="1"/>
  <c r="R38" i="32" s="1"/>
  <c r="R39" i="32" a="1"/>
  <c r="R39" i="32" s="1"/>
  <c r="R40" i="32" a="1"/>
  <c r="R40" i="32" s="1"/>
  <c r="R41" i="32" a="1"/>
  <c r="R41" i="32" s="1"/>
  <c r="R42" i="32" a="1"/>
  <c r="R42" i="32" s="1"/>
  <c r="R43" i="32" a="1"/>
  <c r="R43" i="32" s="1"/>
  <c r="R44" i="32" a="1"/>
  <c r="R44" i="32" s="1"/>
  <c r="R45" i="32" a="1"/>
  <c r="R45" i="32" s="1"/>
  <c r="R46" i="32" a="1"/>
  <c r="R46" i="32" s="1"/>
  <c r="R47" i="32" a="1"/>
  <c r="R47" i="32" s="1"/>
  <c r="R48" i="32" a="1"/>
  <c r="R48" i="32" s="1"/>
  <c r="R49" i="32" a="1"/>
  <c r="R49" i="32" s="1"/>
  <c r="R50" i="32" a="1"/>
  <c r="R50" i="32" s="1"/>
  <c r="R51" i="32" a="1"/>
  <c r="R51" i="32" s="1"/>
  <c r="R52" i="32" a="1"/>
  <c r="R52" i="32" s="1"/>
  <c r="R53" i="32" a="1"/>
  <c r="R53" i="32" s="1"/>
  <c r="R54" i="32" a="1"/>
  <c r="R54" i="32" s="1"/>
  <c r="R55" i="32" a="1"/>
  <c r="R55" i="32" s="1"/>
  <c r="R56" i="32" a="1"/>
  <c r="R56" i="32" s="1"/>
  <c r="R57" i="32" a="1"/>
  <c r="R57" i="32" s="1"/>
  <c r="R58" i="32" a="1"/>
  <c r="R58" i="32" s="1"/>
  <c r="R59" i="32" a="1"/>
  <c r="R59" i="32" s="1"/>
  <c r="R60" i="32" a="1"/>
  <c r="R60" i="32" s="1"/>
  <c r="R61" i="32" a="1"/>
  <c r="R61" i="32" s="1"/>
  <c r="R62" i="32" a="1"/>
  <c r="R62" i="32" s="1"/>
  <c r="R63" i="32" a="1"/>
  <c r="R63" i="32" s="1"/>
  <c r="R64" i="32" a="1"/>
  <c r="R64" i="32" s="1"/>
  <c r="R65" i="32" a="1"/>
  <c r="R65" i="32" s="1"/>
  <c r="R66" i="32" a="1"/>
  <c r="R66" i="32" s="1"/>
  <c r="R67" i="32" a="1"/>
  <c r="R67" i="32"/>
  <c r="R68" i="32" a="1"/>
  <c r="R68" i="32" s="1"/>
  <c r="R69" i="32" a="1"/>
  <c r="R69" i="32" s="1"/>
  <c r="R70" i="32" a="1"/>
  <c r="R70" i="32" s="1"/>
  <c r="R71" i="32" a="1"/>
  <c r="R71" i="32" s="1"/>
  <c r="R72" i="32" a="1"/>
  <c r="R72" i="32" s="1"/>
  <c r="R73" i="32" a="1"/>
  <c r="R73" i="32" s="1"/>
  <c r="R74" i="32" a="1"/>
  <c r="R74" i="32" s="1"/>
  <c r="R75" i="32" a="1"/>
  <c r="R75" i="32" s="1"/>
  <c r="R76" i="32" a="1"/>
  <c r="R76" i="32" s="1"/>
  <c r="R77" i="32" a="1"/>
  <c r="R77" i="32" s="1"/>
  <c r="R78" i="32" a="1"/>
  <c r="R78" i="32" s="1"/>
  <c r="R79" i="32" a="1"/>
  <c r="R79" i="32" s="1"/>
  <c r="R80" i="32" a="1"/>
  <c r="R80" i="32" s="1"/>
  <c r="R81" i="32" a="1"/>
  <c r="R81" i="32" s="1"/>
  <c r="R82" i="32" a="1"/>
  <c r="R82" i="32" s="1"/>
  <c r="R83" i="32" a="1"/>
  <c r="R83" i="32" s="1"/>
  <c r="R84" i="32" a="1"/>
  <c r="R84" i="32" s="1"/>
  <c r="R85" i="32" a="1"/>
  <c r="R85" i="32" s="1"/>
  <c r="R86" i="32" a="1"/>
  <c r="R86" i="32" s="1"/>
  <c r="R87" i="32" a="1"/>
  <c r="R87" i="32" s="1"/>
  <c r="R88" i="32" a="1"/>
  <c r="R88" i="32" s="1"/>
  <c r="R89" i="32" a="1"/>
  <c r="R89" i="32" s="1"/>
  <c r="R90" i="32" a="1"/>
  <c r="R90" i="32" s="1"/>
  <c r="R91" i="32" a="1"/>
  <c r="R91" i="32" s="1"/>
  <c r="R92" i="32" a="1"/>
  <c r="R92" i="32" s="1"/>
  <c r="R93" i="32" a="1"/>
  <c r="R93" i="32" s="1"/>
  <c r="R94" i="32" a="1"/>
  <c r="R94" i="32" s="1"/>
  <c r="R95" i="32" a="1"/>
  <c r="R95" i="32" s="1"/>
  <c r="R96" i="32" a="1"/>
  <c r="R96" i="32" s="1"/>
  <c r="R97" i="32" a="1"/>
  <c r="R97" i="32" s="1"/>
  <c r="R98" i="32" a="1"/>
  <c r="R98" i="32" s="1"/>
  <c r="R99" i="32" a="1"/>
  <c r="R99" i="32" s="1"/>
  <c r="R100" i="32" a="1"/>
  <c r="R100" i="32" s="1"/>
  <c r="R101" i="32" a="1"/>
  <c r="R101" i="32" s="1"/>
  <c r="R102" i="32" a="1"/>
  <c r="R102" i="32" s="1"/>
  <c r="R103" i="32" a="1"/>
  <c r="R103" i="32" s="1"/>
  <c r="R104" i="32" a="1"/>
  <c r="R104" i="32" s="1"/>
  <c r="R105" i="32" a="1"/>
  <c r="R105" i="32" s="1"/>
  <c r="R106" i="32" a="1"/>
  <c r="R106" i="32" s="1"/>
  <c r="R107" i="32" a="1"/>
  <c r="R107" i="32" s="1"/>
  <c r="R108" i="32" a="1"/>
  <c r="R108" i="32" s="1"/>
  <c r="R109" i="32" a="1"/>
  <c r="R109" i="32" s="1"/>
  <c r="R110" i="32" a="1"/>
  <c r="R110" i="32" s="1"/>
  <c r="R111" i="32" a="1"/>
  <c r="R111" i="32" s="1"/>
  <c r="R112" i="32" a="1"/>
  <c r="R112" i="32" s="1"/>
  <c r="R113" i="32" a="1"/>
  <c r="R113" i="32" s="1"/>
  <c r="R114" i="32" a="1"/>
  <c r="R114" i="32" s="1"/>
  <c r="R115" i="32" a="1"/>
  <c r="R115" i="32" s="1"/>
  <c r="R116" i="32" a="1"/>
  <c r="R116" i="32" s="1"/>
  <c r="R117" i="32" a="1"/>
  <c r="R117" i="32" s="1"/>
  <c r="R118" i="32" a="1"/>
  <c r="R118" i="32" s="1"/>
  <c r="R119" i="32" a="1"/>
  <c r="R119" i="32" s="1"/>
  <c r="R120" i="32" a="1"/>
  <c r="R120" i="32" s="1"/>
  <c r="R121" i="32" a="1"/>
  <c r="R121" i="32" s="1"/>
  <c r="R122" i="32" a="1"/>
  <c r="R122" i="32" s="1"/>
  <c r="R123" i="32" a="1"/>
  <c r="R123" i="32" s="1"/>
  <c r="R124" i="32" a="1"/>
  <c r="R124" i="32" s="1"/>
  <c r="R125" i="32" a="1"/>
  <c r="R125" i="32" s="1"/>
  <c r="R126" i="32" a="1"/>
  <c r="R126" i="32" s="1"/>
  <c r="R127" i="32" a="1"/>
  <c r="R127" i="32" s="1"/>
  <c r="R128" i="32" a="1"/>
  <c r="R128" i="32" s="1"/>
  <c r="R129" i="32" a="1"/>
  <c r="R129" i="32" s="1"/>
  <c r="R130" i="32" a="1"/>
  <c r="R130" i="32" s="1"/>
  <c r="R131" i="32" a="1"/>
  <c r="R131" i="32" s="1"/>
  <c r="R132" i="32" a="1"/>
  <c r="R132" i="32" s="1"/>
  <c r="R133" i="32" a="1"/>
  <c r="R133" i="32" s="1"/>
  <c r="R134" i="32" a="1"/>
  <c r="R134" i="32" s="1"/>
  <c r="R135" i="32" a="1"/>
  <c r="R135" i="32" s="1"/>
  <c r="R136" i="32" a="1"/>
  <c r="R136" i="32" s="1"/>
  <c r="R137" i="32" a="1"/>
  <c r="R137" i="32" s="1"/>
  <c r="R138" i="32" a="1"/>
  <c r="R138" i="32" s="1"/>
  <c r="R139" i="32" a="1"/>
  <c r="R139" i="32" s="1"/>
  <c r="R140" i="32" a="1"/>
  <c r="R140" i="32" s="1"/>
  <c r="R141" i="32" a="1"/>
  <c r="R141" i="32" s="1"/>
  <c r="R142" i="32" a="1"/>
  <c r="R142" i="32" s="1"/>
  <c r="R143" i="32" a="1"/>
  <c r="R143" i="32" s="1"/>
  <c r="R144" i="32" a="1"/>
  <c r="R144" i="32" s="1"/>
  <c r="R145" i="32" a="1"/>
  <c r="R145" i="32" s="1"/>
  <c r="R146" i="32" a="1"/>
  <c r="R146" i="32" s="1"/>
  <c r="R147" i="32" a="1"/>
  <c r="R147" i="32" s="1"/>
  <c r="R148" i="32" a="1"/>
  <c r="R148" i="32" s="1"/>
  <c r="R149" i="32" a="1"/>
  <c r="R149" i="32" s="1"/>
  <c r="R150" i="32" a="1"/>
  <c r="R150" i="32" s="1"/>
  <c r="R151" i="32" a="1"/>
  <c r="R151" i="32" s="1"/>
  <c r="R152" i="32" a="1"/>
  <c r="R152" i="32" s="1"/>
  <c r="R153" i="32" a="1"/>
  <c r="R153" i="32" s="1"/>
  <c r="R154" i="32" a="1"/>
  <c r="R154" i="32" s="1"/>
  <c r="R155" i="32" a="1"/>
  <c r="R155" i="32" s="1"/>
  <c r="R156" i="32" a="1"/>
  <c r="R156" i="32" s="1"/>
  <c r="R157" i="32" a="1"/>
  <c r="R157" i="32" s="1"/>
  <c r="R158" i="32" a="1"/>
  <c r="R158" i="32" s="1"/>
  <c r="R159" i="32" a="1"/>
  <c r="R159" i="32" s="1"/>
  <c r="R160" i="32" a="1"/>
  <c r="R160" i="32" s="1"/>
  <c r="R161" i="32" a="1"/>
  <c r="R161" i="32" s="1"/>
  <c r="R162" i="32" a="1"/>
  <c r="R162" i="32" s="1"/>
  <c r="R163" i="32" a="1"/>
  <c r="R163" i="32" s="1"/>
  <c r="R164" i="32" a="1"/>
  <c r="R164" i="32" s="1"/>
  <c r="R165" i="32" a="1"/>
  <c r="R165" i="32" s="1"/>
  <c r="R166" i="32" a="1"/>
  <c r="R166" i="32" s="1"/>
  <c r="R167" i="32" a="1"/>
  <c r="R167" i="32" s="1"/>
  <c r="R168" i="32" a="1"/>
  <c r="R168" i="32" s="1"/>
  <c r="R169" i="32" a="1"/>
  <c r="R169" i="32" s="1"/>
  <c r="R170" i="32" a="1"/>
  <c r="R170" i="32" s="1"/>
  <c r="R171" i="32" a="1"/>
  <c r="R171" i="32" s="1"/>
  <c r="R172" i="32" a="1"/>
  <c r="R172" i="32" s="1"/>
  <c r="R173" i="32" a="1"/>
  <c r="R173" i="32" s="1"/>
  <c r="R174" i="32" a="1"/>
  <c r="R174" i="32" s="1"/>
  <c r="R175" i="32" a="1"/>
  <c r="R175" i="32" s="1"/>
  <c r="R176" i="32" a="1"/>
  <c r="R176" i="32" s="1"/>
  <c r="R177" i="32" a="1"/>
  <c r="R177" i="32" s="1"/>
  <c r="R178" i="32" a="1"/>
  <c r="R178" i="32" s="1"/>
  <c r="R179" i="32" a="1"/>
  <c r="R179" i="32" s="1"/>
  <c r="R180" i="32" a="1"/>
  <c r="R180" i="32" s="1"/>
  <c r="R181" i="32" a="1"/>
  <c r="R181" i="32" s="1"/>
  <c r="R182" i="32" a="1"/>
  <c r="R182" i="32" s="1"/>
  <c r="R183" i="32" a="1"/>
  <c r="R183" i="32" s="1"/>
  <c r="R184" i="32" a="1"/>
  <c r="R184" i="32" s="1"/>
  <c r="R185" i="32" a="1"/>
  <c r="R185" i="32" s="1"/>
  <c r="R186" i="32" a="1"/>
  <c r="R186" i="32" s="1"/>
  <c r="R187" i="32" a="1"/>
  <c r="R187" i="32" s="1"/>
  <c r="R188" i="32" a="1"/>
  <c r="R188" i="32" s="1"/>
  <c r="R189" i="32" a="1"/>
  <c r="R189" i="32" s="1"/>
  <c r="R190" i="32" a="1"/>
  <c r="R190" i="32" s="1"/>
  <c r="R191" i="32" a="1"/>
  <c r="R191" i="32" s="1"/>
  <c r="R192" i="32" a="1"/>
  <c r="R192" i="32" s="1"/>
  <c r="R193" i="32" a="1"/>
  <c r="R193" i="32" s="1"/>
  <c r="T11" i="32" a="1"/>
  <c r="T11" i="32" s="1"/>
  <c r="T12" i="32" a="1"/>
  <c r="T12" i="32" s="1"/>
  <c r="T13" i="32" a="1"/>
  <c r="T13" i="32" s="1"/>
  <c r="T14" i="32" a="1"/>
  <c r="T14" i="32" s="1"/>
  <c r="T15" i="32" a="1"/>
  <c r="T15" i="32" s="1"/>
  <c r="T16" i="32" a="1"/>
  <c r="T16" i="32" s="1"/>
  <c r="T17" i="32" a="1"/>
  <c r="T17" i="32" s="1"/>
  <c r="T18" i="32" a="1"/>
  <c r="T18" i="32" s="1"/>
  <c r="T19" i="32" a="1"/>
  <c r="T19" i="32" s="1"/>
  <c r="T20" i="32" a="1"/>
  <c r="T20" i="32" s="1"/>
  <c r="T21" i="32" a="1"/>
  <c r="T21" i="32" s="1"/>
  <c r="T22" i="32" a="1"/>
  <c r="T22" i="32" s="1"/>
  <c r="T23" i="32" a="1"/>
  <c r="T23" i="32" s="1"/>
  <c r="T24" i="32" a="1"/>
  <c r="T24" i="32" s="1"/>
  <c r="T25" i="32" a="1"/>
  <c r="T25" i="32" s="1"/>
  <c r="T26" i="32" a="1"/>
  <c r="T26" i="32" s="1"/>
  <c r="T27" i="32" a="1"/>
  <c r="T27" i="32" s="1"/>
  <c r="T28" i="32" a="1"/>
  <c r="T28" i="32" s="1"/>
  <c r="T29" i="32" a="1"/>
  <c r="T29" i="32" s="1"/>
  <c r="T30" i="32" a="1"/>
  <c r="T30" i="32" s="1"/>
  <c r="T31" i="32" a="1"/>
  <c r="T31" i="32" s="1"/>
  <c r="T32" i="32" a="1"/>
  <c r="T32" i="32" s="1"/>
  <c r="T33" i="32" a="1"/>
  <c r="T33" i="32" s="1"/>
  <c r="T34" i="32" a="1"/>
  <c r="T34" i="32" s="1"/>
  <c r="T35" i="32" a="1"/>
  <c r="T35" i="32" s="1"/>
  <c r="T36" i="32" a="1"/>
  <c r="T36" i="32" s="1"/>
  <c r="T37" i="32" a="1"/>
  <c r="T37" i="32" s="1"/>
  <c r="T38" i="32" a="1"/>
  <c r="T38" i="32" s="1"/>
  <c r="T39" i="32" a="1"/>
  <c r="T39" i="32" s="1"/>
  <c r="T40" i="32" a="1"/>
  <c r="T40" i="32" s="1"/>
  <c r="T41" i="32" a="1"/>
  <c r="T41" i="32" s="1"/>
  <c r="T42" i="32" a="1"/>
  <c r="T42" i="32" s="1"/>
  <c r="T43" i="32" a="1"/>
  <c r="T43" i="32" s="1"/>
  <c r="T44" i="32" a="1"/>
  <c r="T44" i="32" s="1"/>
  <c r="T45" i="32" a="1"/>
  <c r="T45" i="32" s="1"/>
  <c r="T46" i="32" a="1"/>
  <c r="T46" i="32" s="1"/>
  <c r="T47" i="32" a="1"/>
  <c r="T47" i="32" s="1"/>
  <c r="T48" i="32" a="1"/>
  <c r="T48" i="32" s="1"/>
  <c r="T49" i="32" a="1"/>
  <c r="T49" i="32" s="1"/>
  <c r="T50" i="32" a="1"/>
  <c r="T50" i="32" s="1"/>
  <c r="T51" i="32" a="1"/>
  <c r="T51" i="32" s="1"/>
  <c r="T52" i="32" a="1"/>
  <c r="T52" i="32" s="1"/>
  <c r="T53" i="32" a="1"/>
  <c r="T53" i="32" s="1"/>
  <c r="T54" i="32" a="1"/>
  <c r="T54" i="32"/>
  <c r="T55" i="32" a="1"/>
  <c r="T55" i="32" s="1"/>
  <c r="T56" i="32" a="1"/>
  <c r="T56" i="32" s="1"/>
  <c r="T57" i="32" a="1"/>
  <c r="T57" i="32" s="1"/>
  <c r="T58" i="32" a="1"/>
  <c r="T58" i="32" s="1"/>
  <c r="T59" i="32" a="1"/>
  <c r="T59" i="32" s="1"/>
  <c r="T60" i="32" a="1"/>
  <c r="T60" i="32" s="1"/>
  <c r="T61" i="32" a="1"/>
  <c r="T61" i="32" s="1"/>
  <c r="T62" i="32" a="1"/>
  <c r="T62" i="32" s="1"/>
  <c r="T63" i="32" a="1"/>
  <c r="T63" i="32" s="1"/>
  <c r="T64" i="32" a="1"/>
  <c r="T64" i="32" s="1"/>
  <c r="T65" i="32" a="1"/>
  <c r="T65" i="32" s="1"/>
  <c r="T66" i="32" a="1"/>
  <c r="T66" i="32" s="1"/>
  <c r="T67" i="32" a="1"/>
  <c r="T67" i="32" s="1"/>
  <c r="T68" i="32" a="1"/>
  <c r="T68" i="32" s="1"/>
  <c r="T69" i="32" a="1"/>
  <c r="T69" i="32" s="1"/>
  <c r="T70" i="32" a="1"/>
  <c r="T70" i="32" s="1"/>
  <c r="T71" i="32" a="1"/>
  <c r="T71" i="32" s="1"/>
  <c r="T72" i="32" a="1"/>
  <c r="T72" i="32" s="1"/>
  <c r="T73" i="32" a="1"/>
  <c r="T73" i="32" s="1"/>
  <c r="T74" i="32" a="1"/>
  <c r="T74" i="32" s="1"/>
  <c r="T75" i="32" a="1"/>
  <c r="T75" i="32" s="1"/>
  <c r="T76" i="32" a="1"/>
  <c r="T76" i="32" s="1"/>
  <c r="T77" i="32" a="1"/>
  <c r="T77" i="32" s="1"/>
  <c r="T78" i="32" a="1"/>
  <c r="T78" i="32" s="1"/>
  <c r="T79" i="32" a="1"/>
  <c r="T79" i="32" s="1"/>
  <c r="T80" i="32" a="1"/>
  <c r="T80" i="32" s="1"/>
  <c r="T81" i="32" a="1"/>
  <c r="T81" i="32" s="1"/>
  <c r="T82" i="32" a="1"/>
  <c r="T82" i="32" s="1"/>
  <c r="T83" i="32" a="1"/>
  <c r="T83" i="32" s="1"/>
  <c r="T84" i="32" a="1"/>
  <c r="T84" i="32" s="1"/>
  <c r="T85" i="32" a="1"/>
  <c r="T85" i="32" s="1"/>
  <c r="T86" i="32" a="1"/>
  <c r="T86" i="32" s="1"/>
  <c r="T87" i="32" a="1"/>
  <c r="T87" i="32" s="1"/>
  <c r="T88" i="32" a="1"/>
  <c r="T88" i="32" s="1"/>
  <c r="T89" i="32" a="1"/>
  <c r="T89" i="32" s="1"/>
  <c r="T90" i="32" a="1"/>
  <c r="T90" i="32" s="1"/>
  <c r="T91" i="32" a="1"/>
  <c r="T91" i="32" s="1"/>
  <c r="T92" i="32" a="1"/>
  <c r="T92" i="32" s="1"/>
  <c r="T93" i="32" a="1"/>
  <c r="T93" i="32" s="1"/>
  <c r="T94" i="32" a="1"/>
  <c r="T94" i="32" s="1"/>
  <c r="T95" i="32" a="1"/>
  <c r="T95" i="32" s="1"/>
  <c r="T96" i="32" a="1"/>
  <c r="T96" i="32" s="1"/>
  <c r="T97" i="32" a="1"/>
  <c r="T97" i="32" s="1"/>
  <c r="T98" i="32" a="1"/>
  <c r="T98" i="32" s="1"/>
  <c r="T99" i="32" a="1"/>
  <c r="T99" i="32" s="1"/>
  <c r="T100" i="32" a="1"/>
  <c r="T100" i="32" s="1"/>
  <c r="T101" i="32" a="1"/>
  <c r="T101" i="32" s="1"/>
  <c r="T102" i="32" a="1"/>
  <c r="T102" i="32" s="1"/>
  <c r="T103" i="32" a="1"/>
  <c r="T103" i="32" s="1"/>
  <c r="T104" i="32" a="1"/>
  <c r="T104" i="32" s="1"/>
  <c r="T105" i="32" a="1"/>
  <c r="T105" i="32" s="1"/>
  <c r="T106" i="32" a="1"/>
  <c r="T106" i="32" s="1"/>
  <c r="T107" i="32" a="1"/>
  <c r="T107" i="32" s="1"/>
  <c r="T108" i="32" a="1"/>
  <c r="T108" i="32" s="1"/>
  <c r="T109" i="32" a="1"/>
  <c r="T109" i="32" s="1"/>
  <c r="T110" i="32" a="1"/>
  <c r="T110" i="32" s="1"/>
  <c r="T111" i="32" a="1"/>
  <c r="T111" i="32" s="1"/>
  <c r="T112" i="32" a="1"/>
  <c r="T112" i="32" s="1"/>
  <c r="T113" i="32" a="1"/>
  <c r="T113" i="32" s="1"/>
  <c r="T114" i="32" a="1"/>
  <c r="T114" i="32" s="1"/>
  <c r="T115" i="32" a="1"/>
  <c r="T115" i="32" s="1"/>
  <c r="T116" i="32" a="1"/>
  <c r="T116" i="32" s="1"/>
  <c r="T117" i="32" a="1"/>
  <c r="T117" i="32" s="1"/>
  <c r="T118" i="32" a="1"/>
  <c r="T118" i="32" s="1"/>
  <c r="T119" i="32" a="1"/>
  <c r="T119" i="32" s="1"/>
  <c r="T120" i="32" a="1"/>
  <c r="T120" i="32" s="1"/>
  <c r="T121" i="32" a="1"/>
  <c r="T121" i="32" s="1"/>
  <c r="T122" i="32" a="1"/>
  <c r="T122" i="32" s="1"/>
  <c r="T123" i="32" a="1"/>
  <c r="T123" i="32" s="1"/>
  <c r="T124" i="32" a="1"/>
  <c r="T124" i="32" s="1"/>
  <c r="T125" i="32" a="1"/>
  <c r="T125" i="32" s="1"/>
  <c r="T126" i="32" a="1"/>
  <c r="T126" i="32" s="1"/>
  <c r="T127" i="32" a="1"/>
  <c r="T127" i="32" s="1"/>
  <c r="T128" i="32" a="1"/>
  <c r="T128" i="32" s="1"/>
  <c r="T129" i="32" a="1"/>
  <c r="T129" i="32" s="1"/>
  <c r="T130" i="32" a="1"/>
  <c r="T130" i="32" s="1"/>
  <c r="T131" i="32" a="1"/>
  <c r="T131" i="32" s="1"/>
  <c r="T132" i="32" a="1"/>
  <c r="T132" i="32" s="1"/>
  <c r="T133" i="32" a="1"/>
  <c r="T133" i="32" s="1"/>
  <c r="T134" i="32" a="1"/>
  <c r="T134" i="32" s="1"/>
  <c r="T135" i="32" a="1"/>
  <c r="T135" i="32" s="1"/>
  <c r="T136" i="32" a="1"/>
  <c r="T136" i="32" s="1"/>
  <c r="T137" i="32" a="1"/>
  <c r="T137" i="32" s="1"/>
  <c r="T138" i="32" a="1"/>
  <c r="T138" i="32" s="1"/>
  <c r="T139" i="32" a="1"/>
  <c r="T139" i="32" s="1"/>
  <c r="T140" i="32" a="1"/>
  <c r="T140" i="32" s="1"/>
  <c r="T141" i="32" a="1"/>
  <c r="T141" i="32" s="1"/>
  <c r="T142" i="32" a="1"/>
  <c r="T142" i="32" s="1"/>
  <c r="T143" i="32" a="1"/>
  <c r="T143" i="32" s="1"/>
  <c r="T144" i="32" a="1"/>
  <c r="T144" i="32" s="1"/>
  <c r="T145" i="32" a="1"/>
  <c r="T145" i="32" s="1"/>
  <c r="T146" i="32" a="1"/>
  <c r="T146" i="32" s="1"/>
  <c r="T147" i="32" a="1"/>
  <c r="T147" i="32" s="1"/>
  <c r="T148" i="32" a="1"/>
  <c r="T148" i="32" s="1"/>
  <c r="T149" i="32" a="1"/>
  <c r="T149" i="32" s="1"/>
  <c r="T150" i="32" a="1"/>
  <c r="T150" i="32" s="1"/>
  <c r="T151" i="32" a="1"/>
  <c r="T151" i="32" s="1"/>
  <c r="T152" i="32" a="1"/>
  <c r="T152" i="32" s="1"/>
  <c r="T153" i="32" a="1"/>
  <c r="T153" i="32" s="1"/>
  <c r="T154" i="32" a="1"/>
  <c r="T154" i="32" s="1"/>
  <c r="T155" i="32" a="1"/>
  <c r="T155" i="32" s="1"/>
  <c r="T156" i="32" a="1"/>
  <c r="T156" i="32" s="1"/>
  <c r="T157" i="32" a="1"/>
  <c r="T157" i="32" s="1"/>
  <c r="T158" i="32" a="1"/>
  <c r="T158" i="32" s="1"/>
  <c r="T159" i="32" a="1"/>
  <c r="T159" i="32" s="1"/>
  <c r="T160" i="32" a="1"/>
  <c r="T160" i="32" s="1"/>
  <c r="T161" i="32" a="1"/>
  <c r="T161" i="32" s="1"/>
  <c r="T162" i="32" a="1"/>
  <c r="T162" i="32" s="1"/>
  <c r="T163" i="32" a="1"/>
  <c r="T163" i="32" s="1"/>
  <c r="T164" i="32" a="1"/>
  <c r="T164" i="32" s="1"/>
  <c r="T165" i="32" a="1"/>
  <c r="T165" i="32" s="1"/>
  <c r="T166" i="32" a="1"/>
  <c r="T166" i="32" s="1"/>
  <c r="T167" i="32" a="1"/>
  <c r="T167" i="32" s="1"/>
  <c r="T168" i="32" a="1"/>
  <c r="T168" i="32" s="1"/>
  <c r="T169" i="32" a="1"/>
  <c r="T169" i="32" s="1"/>
  <c r="T170" i="32" a="1"/>
  <c r="T170" i="32" s="1"/>
  <c r="T171" i="32" a="1"/>
  <c r="T171" i="32" s="1"/>
  <c r="T172" i="32" a="1"/>
  <c r="T172" i="32" s="1"/>
  <c r="T173" i="32" a="1"/>
  <c r="T173" i="32" s="1"/>
  <c r="T174" i="32" a="1"/>
  <c r="T174" i="32" s="1"/>
  <c r="T175" i="32" a="1"/>
  <c r="T175" i="32" s="1"/>
  <c r="T176" i="32" a="1"/>
  <c r="T176" i="32" s="1"/>
  <c r="T177" i="32" a="1"/>
  <c r="T177" i="32" s="1"/>
  <c r="T178" i="32" a="1"/>
  <c r="T178" i="32" s="1"/>
  <c r="T179" i="32" a="1"/>
  <c r="T179" i="32" s="1"/>
  <c r="T180" i="32" a="1"/>
  <c r="T180" i="32" s="1"/>
  <c r="T181" i="32" a="1"/>
  <c r="T181" i="32" s="1"/>
  <c r="T182" i="32" a="1"/>
  <c r="T182" i="32" s="1"/>
  <c r="T183" i="32" a="1"/>
  <c r="T183" i="32" s="1"/>
  <c r="T184" i="32" a="1"/>
  <c r="T184" i="32" s="1"/>
  <c r="T185" i="32" a="1"/>
  <c r="T185" i="32" s="1"/>
  <c r="T186" i="32" a="1"/>
  <c r="T186" i="32" s="1"/>
  <c r="T187" i="32" a="1"/>
  <c r="T187" i="32" s="1"/>
  <c r="T188" i="32" a="1"/>
  <c r="T188" i="32" s="1"/>
  <c r="T189" i="32" a="1"/>
  <c r="T189" i="32" s="1"/>
  <c r="T190" i="32" a="1"/>
  <c r="T190" i="32" s="1"/>
  <c r="T191" i="32" a="1"/>
  <c r="T191" i="32" s="1"/>
  <c r="T192" i="32" a="1"/>
  <c r="T192" i="32" s="1"/>
  <c r="T193" i="32" a="1"/>
  <c r="T193" i="32" s="1"/>
  <c r="V11" i="32" a="1"/>
  <c r="V11" i="32" s="1"/>
  <c r="V12" i="32" a="1"/>
  <c r="V12" i="32" s="1"/>
  <c r="V13" i="32" a="1"/>
  <c r="V13" i="32" s="1"/>
  <c r="V14" i="32" a="1"/>
  <c r="V14" i="32" s="1"/>
  <c r="V15" i="32" a="1"/>
  <c r="V15" i="32" s="1"/>
  <c r="V16" i="32" a="1"/>
  <c r="V16" i="32" s="1"/>
  <c r="V17" i="32" a="1"/>
  <c r="V17" i="32" s="1"/>
  <c r="V18" i="32" a="1"/>
  <c r="V18" i="32" s="1"/>
  <c r="V19" i="32" a="1"/>
  <c r="V19" i="32" s="1"/>
  <c r="V20" i="32" a="1"/>
  <c r="V20" i="32" s="1"/>
  <c r="V21" i="32" a="1"/>
  <c r="V21" i="32" s="1"/>
  <c r="V22" i="32" a="1"/>
  <c r="V22" i="32" s="1"/>
  <c r="V23" i="32" a="1"/>
  <c r="V23" i="32" s="1"/>
  <c r="V24" i="32" a="1"/>
  <c r="V24" i="32" s="1"/>
  <c r="V25" i="32" a="1"/>
  <c r="V25" i="32" s="1"/>
  <c r="V26" i="32" a="1"/>
  <c r="V26" i="32" s="1"/>
  <c r="V27" i="32" a="1"/>
  <c r="V27" i="32" s="1"/>
  <c r="V28" i="32" a="1"/>
  <c r="V28" i="32" s="1"/>
  <c r="V29" i="32" a="1"/>
  <c r="V29" i="32" s="1"/>
  <c r="V30" i="32" a="1"/>
  <c r="V30" i="32" s="1"/>
  <c r="V31" i="32" a="1"/>
  <c r="V31" i="32" s="1"/>
  <c r="V32" i="32" a="1"/>
  <c r="V32" i="32" s="1"/>
  <c r="V33" i="32" a="1"/>
  <c r="V33" i="32" s="1"/>
  <c r="V34" i="32" a="1"/>
  <c r="V34" i="32" s="1"/>
  <c r="V35" i="32" a="1"/>
  <c r="V35" i="32" s="1"/>
  <c r="V36" i="32" a="1"/>
  <c r="V36" i="32" s="1"/>
  <c r="V37" i="32" a="1"/>
  <c r="V37" i="32" s="1"/>
  <c r="V38" i="32" a="1"/>
  <c r="V38" i="32" s="1"/>
  <c r="V39" i="32" a="1"/>
  <c r="V39" i="32" s="1"/>
  <c r="V40" i="32" a="1"/>
  <c r="V40" i="32" s="1"/>
  <c r="V41" i="32" a="1"/>
  <c r="V41" i="32" s="1"/>
  <c r="V42" i="32" a="1"/>
  <c r="V42" i="32" s="1"/>
  <c r="V43" i="32" a="1"/>
  <c r="V43" i="32" s="1"/>
  <c r="V44" i="32" a="1"/>
  <c r="V44" i="32" s="1"/>
  <c r="V45" i="32" a="1"/>
  <c r="V45" i="32" s="1"/>
  <c r="V46" i="32" a="1"/>
  <c r="V46" i="32" s="1"/>
  <c r="V47" i="32" a="1"/>
  <c r="V47" i="32" s="1"/>
  <c r="V48" i="32" a="1"/>
  <c r="V48" i="32" s="1"/>
  <c r="V49" i="32" a="1"/>
  <c r="V49" i="32" s="1"/>
  <c r="V50" i="32" a="1"/>
  <c r="V50" i="32" s="1"/>
  <c r="V51" i="32" a="1"/>
  <c r="V51" i="32" s="1"/>
  <c r="V52" i="32" a="1"/>
  <c r="V52" i="32" s="1"/>
  <c r="V53" i="32" a="1"/>
  <c r="V53" i="32" s="1"/>
  <c r="V54" i="32" a="1"/>
  <c r="V54" i="32" s="1"/>
  <c r="V55" i="32" a="1"/>
  <c r="V55" i="32" s="1"/>
  <c r="V56" i="32" a="1"/>
  <c r="V56" i="32" s="1"/>
  <c r="V57" i="32" a="1"/>
  <c r="V57" i="32" s="1"/>
  <c r="V58" i="32" a="1"/>
  <c r="V58" i="32" s="1"/>
  <c r="V59" i="32" a="1"/>
  <c r="V59" i="32" s="1"/>
  <c r="V60" i="32" a="1"/>
  <c r="V60" i="32" s="1"/>
  <c r="V61" i="32" a="1"/>
  <c r="V61" i="32" s="1"/>
  <c r="V62" i="32" a="1"/>
  <c r="V62" i="32" s="1"/>
  <c r="V63" i="32" a="1"/>
  <c r="V63" i="32" s="1"/>
  <c r="V64" i="32" a="1"/>
  <c r="V64" i="32" s="1"/>
  <c r="V65" i="32" a="1"/>
  <c r="V65" i="32" s="1"/>
  <c r="V66" i="32" a="1"/>
  <c r="V66" i="32" s="1"/>
  <c r="V67" i="32" a="1"/>
  <c r="V67" i="32" s="1"/>
  <c r="V68" i="32" a="1"/>
  <c r="V68" i="32" s="1"/>
  <c r="V69" i="32" a="1"/>
  <c r="V69" i="32" s="1"/>
  <c r="V70" i="32" a="1"/>
  <c r="V70" i="32" s="1"/>
  <c r="V71" i="32" a="1"/>
  <c r="V71" i="32" s="1"/>
  <c r="V72" i="32" a="1"/>
  <c r="V72" i="32" s="1"/>
  <c r="V73" i="32" a="1"/>
  <c r="V73" i="32" s="1"/>
  <c r="V74" i="32" a="1"/>
  <c r="V74" i="32" s="1"/>
  <c r="V75" i="32" a="1"/>
  <c r="V75" i="32" s="1"/>
  <c r="V76" i="32" a="1"/>
  <c r="V76" i="32" s="1"/>
  <c r="V77" i="32" a="1"/>
  <c r="V77" i="32" s="1"/>
  <c r="V78" i="32" a="1"/>
  <c r="V78" i="32" s="1"/>
  <c r="V79" i="32" a="1"/>
  <c r="V79" i="32" s="1"/>
  <c r="V80" i="32" a="1"/>
  <c r="V80" i="32" s="1"/>
  <c r="V81" i="32" a="1"/>
  <c r="V81" i="32" s="1"/>
  <c r="V82" i="32" a="1"/>
  <c r="V82" i="32" s="1"/>
  <c r="V83" i="32" a="1"/>
  <c r="V83" i="32" s="1"/>
  <c r="V84" i="32" a="1"/>
  <c r="V84" i="32" s="1"/>
  <c r="V85" i="32" a="1"/>
  <c r="V85" i="32" s="1"/>
  <c r="V86" i="32" a="1"/>
  <c r="V86" i="32" s="1"/>
  <c r="V87" i="32" a="1"/>
  <c r="V87" i="32" s="1"/>
  <c r="V88" i="32" a="1"/>
  <c r="V88" i="32" s="1"/>
  <c r="V89" i="32" a="1"/>
  <c r="V89" i="32" s="1"/>
  <c r="V90" i="32" a="1"/>
  <c r="V90" i="32" s="1"/>
  <c r="V91" i="32" a="1"/>
  <c r="V91" i="32" s="1"/>
  <c r="V92" i="32" a="1"/>
  <c r="V92" i="32" s="1"/>
  <c r="V93" i="32" a="1"/>
  <c r="V93" i="32" s="1"/>
  <c r="V94" i="32" a="1"/>
  <c r="V94" i="32" s="1"/>
  <c r="V95" i="32" a="1"/>
  <c r="V95" i="32" s="1"/>
  <c r="V96" i="32" a="1"/>
  <c r="V96" i="32" s="1"/>
  <c r="V97" i="32" a="1"/>
  <c r="V97" i="32" s="1"/>
  <c r="V98" i="32" a="1"/>
  <c r="V98" i="32" s="1"/>
  <c r="V99" i="32" a="1"/>
  <c r="V99" i="32" s="1"/>
  <c r="V100" i="32" a="1"/>
  <c r="V100" i="32" s="1"/>
  <c r="V101" i="32" a="1"/>
  <c r="V101" i="32" s="1"/>
  <c r="V102" i="32" a="1"/>
  <c r="V102" i="32" s="1"/>
  <c r="V103" i="32" a="1"/>
  <c r="V103" i="32" s="1"/>
  <c r="V104" i="32" a="1"/>
  <c r="V104" i="32" s="1"/>
  <c r="V105" i="32" a="1"/>
  <c r="V105" i="32" s="1"/>
  <c r="V106" i="32" a="1"/>
  <c r="V106" i="32" s="1"/>
  <c r="V107" i="32" a="1"/>
  <c r="V107" i="32" s="1"/>
  <c r="V108" i="32" a="1"/>
  <c r="V108" i="32" s="1"/>
  <c r="V109" i="32" a="1"/>
  <c r="V109" i="32" s="1"/>
  <c r="V110" i="32" a="1"/>
  <c r="V110" i="32" s="1"/>
  <c r="V111" i="32" a="1"/>
  <c r="V111" i="32" s="1"/>
  <c r="V112" i="32" a="1"/>
  <c r="V112" i="32" s="1"/>
  <c r="V113" i="32" a="1"/>
  <c r="V113" i="32" s="1"/>
  <c r="V114" i="32" a="1"/>
  <c r="V114" i="32" s="1"/>
  <c r="V115" i="32" a="1"/>
  <c r="V115" i="32" s="1"/>
  <c r="V116" i="32" a="1"/>
  <c r="V116" i="32" s="1"/>
  <c r="V117" i="32" a="1"/>
  <c r="V117" i="32" s="1"/>
  <c r="V118" i="32" a="1"/>
  <c r="V118" i="32" s="1"/>
  <c r="V119" i="32" a="1"/>
  <c r="V119" i="32" s="1"/>
  <c r="V120" i="32" a="1"/>
  <c r="V120" i="32" s="1"/>
  <c r="V121" i="32" a="1"/>
  <c r="V121" i="32" s="1"/>
  <c r="V122" i="32" a="1"/>
  <c r="V122" i="32" s="1"/>
  <c r="V123" i="32" a="1"/>
  <c r="V123" i="32" s="1"/>
  <c r="V124" i="32" a="1"/>
  <c r="V124" i="32" s="1"/>
  <c r="V125" i="32" a="1"/>
  <c r="V125" i="32" s="1"/>
  <c r="V126" i="32" a="1"/>
  <c r="V126" i="32" s="1"/>
  <c r="V127" i="32" a="1"/>
  <c r="V127" i="32" s="1"/>
  <c r="V128" i="32" a="1"/>
  <c r="V128" i="32" s="1"/>
  <c r="V129" i="32" a="1"/>
  <c r="V129" i="32" s="1"/>
  <c r="V130" i="32" a="1"/>
  <c r="V130" i="32" s="1"/>
  <c r="V131" i="32" a="1"/>
  <c r="V131" i="32" s="1"/>
  <c r="V132" i="32" a="1"/>
  <c r="V132" i="32" s="1"/>
  <c r="V133" i="32" a="1"/>
  <c r="V133" i="32" s="1"/>
  <c r="V134" i="32" a="1"/>
  <c r="V134" i="32" s="1"/>
  <c r="V135" i="32" a="1"/>
  <c r="V135" i="32" s="1"/>
  <c r="V136" i="32" a="1"/>
  <c r="V136" i="32" s="1"/>
  <c r="V137" i="32" a="1"/>
  <c r="V137" i="32" s="1"/>
  <c r="V138" i="32" a="1"/>
  <c r="V138" i="32" s="1"/>
  <c r="V139" i="32" a="1"/>
  <c r="V139" i="32" s="1"/>
  <c r="V140" i="32" a="1"/>
  <c r="V140" i="32" s="1"/>
  <c r="V141" i="32" a="1"/>
  <c r="V141" i="32" s="1"/>
  <c r="V142" i="32" a="1"/>
  <c r="V142" i="32" s="1"/>
  <c r="V143" i="32" a="1"/>
  <c r="V143" i="32" s="1"/>
  <c r="V144" i="32" a="1"/>
  <c r="V144" i="32" s="1"/>
  <c r="V145" i="32" a="1"/>
  <c r="V145" i="32" s="1"/>
  <c r="V146" i="32" a="1"/>
  <c r="V146" i="32" s="1"/>
  <c r="V147" i="32" a="1"/>
  <c r="V147" i="32" s="1"/>
  <c r="V148" i="32" a="1"/>
  <c r="V148" i="32" s="1"/>
  <c r="V149" i="32" a="1"/>
  <c r="V149" i="32" s="1"/>
  <c r="V150" i="32" a="1"/>
  <c r="V150" i="32" s="1"/>
  <c r="V151" i="32" a="1"/>
  <c r="V151" i="32" s="1"/>
  <c r="V152" i="32" a="1"/>
  <c r="V152" i="32" s="1"/>
  <c r="V153" i="32" a="1"/>
  <c r="V153" i="32" s="1"/>
  <c r="V154" i="32" a="1"/>
  <c r="V154" i="32" s="1"/>
  <c r="V155" i="32" a="1"/>
  <c r="V155" i="32" s="1"/>
  <c r="V156" i="32" a="1"/>
  <c r="V156" i="32" s="1"/>
  <c r="V157" i="32" a="1"/>
  <c r="V157" i="32" s="1"/>
  <c r="V158" i="32" a="1"/>
  <c r="V158" i="32" s="1"/>
  <c r="V159" i="32" a="1"/>
  <c r="V159" i="32" s="1"/>
  <c r="V160" i="32" a="1"/>
  <c r="V160" i="32" s="1"/>
  <c r="V161" i="32" a="1"/>
  <c r="V161" i="32"/>
  <c r="V162" i="32" a="1"/>
  <c r="V162" i="32" s="1"/>
  <c r="V163" i="32" a="1"/>
  <c r="V163" i="32" s="1"/>
  <c r="V164" i="32" a="1"/>
  <c r="V164" i="32" s="1"/>
  <c r="V165" i="32" a="1"/>
  <c r="V165" i="32" s="1"/>
  <c r="V166" i="32" a="1"/>
  <c r="V166" i="32" s="1"/>
  <c r="V167" i="32" a="1"/>
  <c r="V167" i="32" s="1"/>
  <c r="V168" i="32" a="1"/>
  <c r="V168" i="32" s="1"/>
  <c r="V169" i="32" a="1"/>
  <c r="V169" i="32" s="1"/>
  <c r="V170" i="32" a="1"/>
  <c r="V170" i="32" s="1"/>
  <c r="V171" i="32" a="1"/>
  <c r="V171" i="32"/>
  <c r="V172" i="32" a="1"/>
  <c r="V172" i="32" s="1"/>
  <c r="V173" i="32" a="1"/>
  <c r="V173" i="32" s="1"/>
  <c r="V174" i="32" a="1"/>
  <c r="V174" i="32" s="1"/>
  <c r="V175" i="32" a="1"/>
  <c r="V175" i="32" s="1"/>
  <c r="V176" i="32" a="1"/>
  <c r="V176" i="32" s="1"/>
  <c r="V177" i="32" a="1"/>
  <c r="V177" i="32" s="1"/>
  <c r="V178" i="32" a="1"/>
  <c r="V178" i="32" s="1"/>
  <c r="V179" i="32" a="1"/>
  <c r="V179" i="32" s="1"/>
  <c r="V180" i="32" a="1"/>
  <c r="V180" i="32" s="1"/>
  <c r="V181" i="32" a="1"/>
  <c r="V181" i="32" s="1"/>
  <c r="V182" i="32" a="1"/>
  <c r="V182" i="32" s="1"/>
  <c r="V183" i="32" a="1"/>
  <c r="V183" i="32" s="1"/>
  <c r="V184" i="32" a="1"/>
  <c r="V184" i="32" s="1"/>
  <c r="V185" i="32" a="1"/>
  <c r="V185" i="32" s="1"/>
  <c r="V186" i="32" a="1"/>
  <c r="V186" i="32" s="1"/>
  <c r="V187" i="32" a="1"/>
  <c r="V187" i="32" s="1"/>
  <c r="V188" i="32" a="1"/>
  <c r="V188" i="32" s="1"/>
  <c r="V189" i="32" a="1"/>
  <c r="V189" i="32" s="1"/>
  <c r="V190" i="32" a="1"/>
  <c r="V190" i="32" s="1"/>
  <c r="V191" i="32" a="1"/>
  <c r="V191" i="32" s="1"/>
  <c r="V192" i="32" a="1"/>
  <c r="V192" i="32" s="1"/>
  <c r="V193" i="32" a="1"/>
  <c r="V193" i="32" s="1"/>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O41" i="4"/>
  <c r="O42" i="4"/>
  <c r="O43" i="4"/>
  <c r="O44" i="4"/>
  <c r="O45" i="4"/>
  <c r="O46" i="4"/>
  <c r="O47" i="4"/>
  <c r="O48" i="4"/>
  <c r="O49" i="4"/>
  <c r="O50" i="4"/>
  <c r="O51" i="4"/>
  <c r="O52" i="4"/>
  <c r="O53" i="4"/>
  <c r="O54" i="4"/>
  <c r="O55" i="4"/>
  <c r="O56" i="4"/>
  <c r="O57" i="4"/>
  <c r="O58" i="4"/>
  <c r="O59" i="4"/>
  <c r="O60" i="4"/>
  <c r="O61" i="4"/>
  <c r="P41" i="4"/>
  <c r="P42" i="4"/>
  <c r="P43" i="4"/>
  <c r="P44" i="4"/>
  <c r="P45" i="4"/>
  <c r="P46" i="4"/>
  <c r="P47" i="4"/>
  <c r="P48" i="4"/>
  <c r="P49" i="4"/>
  <c r="P50" i="4"/>
  <c r="P51" i="4"/>
  <c r="P52" i="4"/>
  <c r="P53" i="4"/>
  <c r="P54" i="4"/>
  <c r="P55" i="4"/>
  <c r="P56" i="4"/>
  <c r="P57" i="4"/>
  <c r="P58" i="4"/>
  <c r="P59" i="4"/>
  <c r="P60" i="4"/>
  <c r="P61" i="4"/>
  <c r="Q41" i="4"/>
  <c r="Q42" i="4"/>
  <c r="Q43" i="4"/>
  <c r="Q44" i="4"/>
  <c r="Q45" i="4"/>
  <c r="Q46" i="4"/>
  <c r="Q47" i="4"/>
  <c r="Q48" i="4"/>
  <c r="Q49" i="4"/>
  <c r="Q50" i="4"/>
  <c r="Q51" i="4"/>
  <c r="Q52" i="4"/>
  <c r="Q53" i="4"/>
  <c r="Q54" i="4"/>
  <c r="Q55" i="4"/>
  <c r="Q56" i="4"/>
  <c r="Q57" i="4"/>
  <c r="Q58" i="4"/>
  <c r="Q59" i="4"/>
  <c r="Q60" i="4"/>
  <c r="Q61" i="4"/>
  <c r="T41" i="4"/>
  <c r="T42" i="4"/>
  <c r="T43" i="4"/>
  <c r="T44" i="4"/>
  <c r="T45" i="4"/>
  <c r="T46" i="4"/>
  <c r="T47" i="4"/>
  <c r="T48" i="4"/>
  <c r="T49" i="4"/>
  <c r="T50" i="4"/>
  <c r="T51" i="4"/>
  <c r="T52" i="4"/>
  <c r="T53" i="4"/>
  <c r="T54" i="4"/>
  <c r="T55" i="4"/>
  <c r="T56" i="4"/>
  <c r="T57" i="4"/>
  <c r="T58" i="4"/>
  <c r="T59" i="4"/>
  <c r="T60" i="4"/>
  <c r="T61" i="4"/>
  <c r="U41" i="4"/>
  <c r="U42" i="4"/>
  <c r="U43" i="4"/>
  <c r="U44" i="4"/>
  <c r="U45" i="4"/>
  <c r="U46" i="4"/>
  <c r="U47" i="4"/>
  <c r="U48" i="4"/>
  <c r="U49" i="4"/>
  <c r="U50" i="4"/>
  <c r="U51" i="4"/>
  <c r="U52" i="4"/>
  <c r="U53" i="4"/>
  <c r="U54" i="4"/>
  <c r="U55" i="4"/>
  <c r="U56" i="4"/>
  <c r="U57" i="4"/>
  <c r="U58" i="4"/>
  <c r="U59" i="4"/>
  <c r="U60" i="4"/>
  <c r="U61" i="4"/>
  <c r="V41" i="4"/>
  <c r="V42" i="4"/>
  <c r="V43" i="4"/>
  <c r="V44" i="4"/>
  <c r="V45" i="4"/>
  <c r="V46" i="4"/>
  <c r="V47" i="4"/>
  <c r="V48" i="4"/>
  <c r="V49" i="4"/>
  <c r="V50" i="4"/>
  <c r="V51" i="4"/>
  <c r="V52" i="4"/>
  <c r="V53" i="4"/>
  <c r="V54" i="4"/>
  <c r="V55" i="4"/>
  <c r="V56" i="4"/>
  <c r="V57" i="4"/>
  <c r="V58" i="4"/>
  <c r="V59" i="4"/>
  <c r="V60" i="4"/>
  <c r="V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U1354" i="62" l="1"/>
  <c r="U1319" i="62"/>
  <c r="U1339" i="62"/>
  <c r="U1304" i="62"/>
  <c r="U1266" i="62"/>
  <c r="U1286" i="62"/>
  <c r="U1248" i="62"/>
  <c r="U1210" i="62"/>
  <c r="U1230" i="62"/>
  <c r="U1192" i="62"/>
  <c r="U1154" i="62"/>
  <c r="U1116" i="62"/>
  <c r="U1136" i="62"/>
  <c r="U1098" i="62"/>
  <c r="U1060" i="62"/>
  <c r="U1080" i="62"/>
  <c r="U1042" i="62"/>
  <c r="U1004" i="62"/>
  <c r="U1024" i="62"/>
  <c r="U986" i="62"/>
  <c r="U948" i="62"/>
  <c r="U968" i="62"/>
  <c r="U930" i="62"/>
  <c r="U892" i="62"/>
  <c r="U854" i="62"/>
  <c r="U874" i="62"/>
  <c r="U836" i="62"/>
  <c r="U798" i="62"/>
  <c r="U818" i="62"/>
  <c r="U780" i="62"/>
  <c r="U742" i="62"/>
  <c r="U762" i="62"/>
  <c r="U724" i="62"/>
  <c r="U686" i="62"/>
  <c r="U706" i="62"/>
  <c r="U668" i="62"/>
  <c r="U630" i="62"/>
  <c r="U650" i="62"/>
  <c r="U612" i="62"/>
  <c r="U574" i="62"/>
  <c r="U536" i="62"/>
  <c r="U556" i="62"/>
  <c r="U1346" i="62"/>
  <c r="U1366" i="62"/>
  <c r="U1331" i="62"/>
  <c r="U1296" i="62"/>
  <c r="U1316" i="62"/>
  <c r="U1278" i="62"/>
  <c r="U1240" i="62"/>
  <c r="U1202" i="62"/>
  <c r="U1222" i="62"/>
  <c r="U1184" i="62"/>
  <c r="U1146" i="62"/>
  <c r="U1166" i="62"/>
  <c r="U1128" i="62"/>
  <c r="U1090" i="62"/>
  <c r="U1110" i="62"/>
  <c r="U1352" i="62"/>
  <c r="U1372" i="62"/>
  <c r="U1337" i="62"/>
  <c r="U1302" i="62"/>
  <c r="U1264" i="62"/>
  <c r="U1284" i="62"/>
  <c r="U1246" i="62"/>
  <c r="U1208" i="62"/>
  <c r="U1228" i="62"/>
  <c r="U1190" i="62"/>
  <c r="U1152" i="62"/>
  <c r="U1172" i="62"/>
  <c r="U1134" i="62"/>
  <c r="U1096" i="62"/>
  <c r="U1058" i="62"/>
  <c r="U1078" i="62"/>
  <c r="U1040" i="62"/>
  <c r="U1002" i="62"/>
  <c r="U1022" i="62"/>
  <c r="U984" i="62"/>
  <c r="U946" i="62"/>
  <c r="U966" i="62"/>
  <c r="U928" i="62"/>
  <c r="U890" i="62"/>
  <c r="U910" i="62"/>
  <c r="U872" i="62"/>
  <c r="U834" i="62"/>
  <c r="U796" i="62"/>
  <c r="U816" i="62"/>
  <c r="U778" i="62"/>
  <c r="U1358" i="62"/>
  <c r="U1326" i="62"/>
  <c r="U1294" i="62"/>
  <c r="U1260" i="62"/>
  <c r="U1283" i="62"/>
  <c r="U1250" i="62"/>
  <c r="U1215" i="62"/>
  <c r="U1180" i="62"/>
  <c r="U1145" i="62"/>
  <c r="U1169" i="62"/>
  <c r="U1135" i="62"/>
  <c r="U1101" i="62"/>
  <c r="U1066" i="62"/>
  <c r="U1030" i="62"/>
  <c r="U1052" i="62"/>
  <c r="U1016" i="62"/>
  <c r="U980" i="62"/>
  <c r="U944" i="62"/>
  <c r="U967" i="62"/>
  <c r="U932" i="62"/>
  <c r="U896" i="62"/>
  <c r="U860" i="62"/>
  <c r="U882" i="62"/>
  <c r="U846" i="62"/>
  <c r="U810" i="62"/>
  <c r="U774" i="62"/>
  <c r="U738" i="62"/>
  <c r="U759" i="62"/>
  <c r="U722" i="62"/>
  <c r="U685" i="62"/>
  <c r="U707" i="62"/>
  <c r="U670" i="62"/>
  <c r="U633" i="62"/>
  <c r="U596" i="62"/>
  <c r="U617" i="62"/>
  <c r="U580" i="62"/>
  <c r="U543" i="62"/>
  <c r="U506" i="62"/>
  <c r="U526" i="62"/>
  <c r="U488" i="62"/>
  <c r="U450" i="62"/>
  <c r="U470" i="62"/>
  <c r="U432" i="62"/>
  <c r="U394" i="62"/>
  <c r="U414" i="62"/>
  <c r="U376" i="62"/>
  <c r="U338" i="62"/>
  <c r="U358" i="62"/>
  <c r="U320" i="62"/>
  <c r="U282" i="62"/>
  <c r="U302" i="62"/>
  <c r="U264" i="62"/>
  <c r="U226" i="62"/>
  <c r="U188" i="62"/>
  <c r="U208" i="62"/>
  <c r="U170" i="62"/>
  <c r="U132" i="62"/>
  <c r="U152" i="62"/>
  <c r="U114" i="62"/>
  <c r="V1349" i="62"/>
  <c r="V1369" i="62"/>
  <c r="V1334" i="62"/>
  <c r="V1299" i="62"/>
  <c r="V1261" i="62"/>
  <c r="V1281" i="62"/>
  <c r="V1243" i="62"/>
  <c r="V1205" i="62"/>
  <c r="V1225" i="62"/>
  <c r="V1187" i="62"/>
  <c r="V1149" i="62"/>
  <c r="V1169" i="62"/>
  <c r="V1131" i="62"/>
  <c r="V1093" i="62"/>
  <c r="V1113" i="62"/>
  <c r="V1075" i="62"/>
  <c r="V1037" i="62"/>
  <c r="V999" i="62"/>
  <c r="V1019" i="62"/>
  <c r="V981" i="62"/>
  <c r="V943" i="62"/>
  <c r="V963" i="62"/>
  <c r="V925" i="62"/>
  <c r="V887" i="62"/>
  <c r="V907" i="62"/>
  <c r="V869" i="62"/>
  <c r="V831" i="62"/>
  <c r="V851" i="62"/>
  <c r="V813" i="62"/>
  <c r="V775" i="62"/>
  <c r="V795" i="62"/>
  <c r="V757" i="62"/>
  <c r="V719" i="62"/>
  <c r="V681" i="62"/>
  <c r="V701" i="62"/>
  <c r="V663" i="62"/>
  <c r="V625" i="62"/>
  <c r="V645" i="62"/>
  <c r="V607" i="62"/>
  <c r="V569" i="62"/>
  <c r="V589" i="62"/>
  <c r="V551" i="62"/>
  <c r="V513" i="62"/>
  <c r="V533" i="62"/>
  <c r="V495" i="62"/>
  <c r="V457" i="62"/>
  <c r="V419" i="62"/>
  <c r="V439" i="62"/>
  <c r="V401" i="62"/>
  <c r="V363" i="62"/>
  <c r="V383" i="62"/>
  <c r="V345" i="62"/>
  <c r="V307" i="62"/>
  <c r="V327" i="62"/>
  <c r="V289" i="62"/>
  <c r="V251" i="62"/>
  <c r="V271" i="62"/>
  <c r="V233" i="62"/>
  <c r="U1348" i="62"/>
  <c r="U1371" i="62"/>
  <c r="U1341" i="62"/>
  <c r="U1309" i="62"/>
  <c r="U1274" i="62"/>
  <c r="U1239" i="62"/>
  <c r="U1205" i="62"/>
  <c r="U1229" i="62"/>
  <c r="U1195" i="62"/>
  <c r="U1160" i="62"/>
  <c r="U1125" i="62"/>
  <c r="U1091" i="62"/>
  <c r="U1114" i="62"/>
  <c r="U1079" i="62"/>
  <c r="U1044" i="62"/>
  <c r="U1008" i="62"/>
  <c r="U972" i="62"/>
  <c r="U994" i="62"/>
  <c r="U958" i="62"/>
  <c r="U922" i="62"/>
  <c r="U886" i="62"/>
  <c r="U908" i="62"/>
  <c r="U873" i="62"/>
  <c r="U838" i="62"/>
  <c r="U802" i="62"/>
  <c r="U824" i="62"/>
  <c r="U788" i="62"/>
  <c r="U751" i="62"/>
  <c r="U714" i="62"/>
  <c r="U735" i="62"/>
  <c r="U698" i="62"/>
  <c r="U661" i="62"/>
  <c r="U624" i="62"/>
  <c r="U645" i="62"/>
  <c r="U608" i="62"/>
  <c r="U571" i="62"/>
  <c r="U592" i="62"/>
  <c r="U555" i="62"/>
  <c r="U518" i="62"/>
  <c r="U480" i="62"/>
  <c r="U500" i="62"/>
  <c r="U462" i="62"/>
  <c r="U424" i="62"/>
  <c r="U444" i="62"/>
  <c r="U406" i="62"/>
  <c r="U368" i="62"/>
  <c r="U388" i="62"/>
  <c r="U350" i="62"/>
  <c r="U312" i="62"/>
  <c r="U274" i="62"/>
  <c r="U294" i="62"/>
  <c r="U256" i="62"/>
  <c r="U218" i="62"/>
  <c r="U238" i="62"/>
  <c r="U200" i="62"/>
  <c r="U162" i="62"/>
  <c r="U182" i="62"/>
  <c r="U144" i="62"/>
  <c r="U106" i="62"/>
  <c r="U126" i="62"/>
  <c r="V1361" i="62"/>
  <c r="V1326" i="62"/>
  <c r="V1291" i="62"/>
  <c r="V1311" i="62"/>
  <c r="V1273" i="62"/>
  <c r="V1235" i="62"/>
  <c r="V1255" i="62"/>
  <c r="V1217" i="62"/>
  <c r="V1179" i="62"/>
  <c r="V1199" i="62"/>
  <c r="V1161" i="62"/>
  <c r="V1123" i="62"/>
  <c r="V1143" i="62"/>
  <c r="V1105" i="62"/>
  <c r="V1067" i="62"/>
  <c r="V1029" i="62"/>
  <c r="V1049" i="62"/>
  <c r="V1011" i="62"/>
  <c r="V973" i="62"/>
  <c r="V993" i="62"/>
  <c r="V955" i="62"/>
  <c r="V917" i="62"/>
  <c r="V937" i="62"/>
  <c r="V899" i="62"/>
  <c r="V861" i="62"/>
  <c r="V881" i="62"/>
  <c r="V843" i="62"/>
  <c r="V805" i="62"/>
  <c r="V767" i="62"/>
  <c r="V787" i="62"/>
  <c r="V749" i="62"/>
  <c r="V711" i="62"/>
  <c r="V731" i="62"/>
  <c r="V693" i="62"/>
  <c r="V655" i="62"/>
  <c r="V675" i="62"/>
  <c r="V637" i="62"/>
  <c r="V599" i="62"/>
  <c r="V619" i="62"/>
  <c r="V581" i="62"/>
  <c r="V543" i="62"/>
  <c r="V563" i="62"/>
  <c r="V525" i="62"/>
  <c r="V487" i="62"/>
  <c r="V449" i="62"/>
  <c r="U1349" i="62"/>
  <c r="U1318" i="62"/>
  <c r="U1342" i="62"/>
  <c r="U1310" i="62"/>
  <c r="U1275" i="62"/>
  <c r="U1241" i="62"/>
  <c r="U1206" i="62"/>
  <c r="U1173" i="62"/>
  <c r="U1196" i="62"/>
  <c r="U1161" i="62"/>
  <c r="U1126" i="62"/>
  <c r="U1092" i="62"/>
  <c r="U1057" i="62"/>
  <c r="U1081" i="62"/>
  <c r="U1045" i="62"/>
  <c r="U1009" i="62"/>
  <c r="U973" i="62"/>
  <c r="U995" i="62"/>
  <c r="U959" i="62"/>
  <c r="U923" i="62"/>
  <c r="U887" i="62"/>
  <c r="U909" i="62"/>
  <c r="U875" i="62"/>
  <c r="U839" i="62"/>
  <c r="U803" i="62"/>
  <c r="U767" i="62"/>
  <c r="U789" i="62"/>
  <c r="U752" i="62"/>
  <c r="U715" i="62"/>
  <c r="U736" i="62"/>
  <c r="U699" i="62"/>
  <c r="U662" i="62"/>
  <c r="U625" i="62"/>
  <c r="U646" i="62"/>
  <c r="U609" i="62"/>
  <c r="U572" i="62"/>
  <c r="U535" i="62"/>
  <c r="U557" i="62"/>
  <c r="U519" i="62"/>
  <c r="U481" i="62"/>
  <c r="U501" i="62"/>
  <c r="U463" i="62"/>
  <c r="U425" i="62"/>
  <c r="U445" i="62"/>
  <c r="U407" i="62"/>
  <c r="U369" i="62"/>
  <c r="U389" i="62"/>
  <c r="U351" i="62"/>
  <c r="U313" i="62"/>
  <c r="U275" i="62"/>
  <c r="U295" i="62"/>
  <c r="U257" i="62"/>
  <c r="U219" i="62"/>
  <c r="U239" i="62"/>
  <c r="U201" i="62"/>
  <c r="U163" i="62"/>
  <c r="U183" i="62"/>
  <c r="U145" i="62"/>
  <c r="U107" i="62"/>
  <c r="U127" i="62"/>
  <c r="V1362" i="62"/>
  <c r="V1327" i="62"/>
  <c r="V1292" i="62"/>
  <c r="V1312" i="62"/>
  <c r="V1274" i="62"/>
  <c r="V1236" i="62"/>
  <c r="V1256" i="62"/>
  <c r="V1218" i="62"/>
  <c r="V1180" i="62"/>
  <c r="V1200" i="62"/>
  <c r="V1162" i="62"/>
  <c r="V1124" i="62"/>
  <c r="V1086" i="62"/>
  <c r="V1106" i="62"/>
  <c r="V1068" i="62"/>
  <c r="V1030" i="62"/>
  <c r="V1050" i="62"/>
  <c r="V1012" i="62"/>
  <c r="V974" i="62"/>
  <c r="V994" i="62"/>
  <c r="V956" i="62"/>
  <c r="V918" i="62"/>
  <c r="V938" i="62"/>
  <c r="V900" i="62"/>
  <c r="V862" i="62"/>
  <c r="V882" i="62"/>
  <c r="V844" i="62"/>
  <c r="V806" i="62"/>
  <c r="V768" i="62"/>
  <c r="V788" i="62"/>
  <c r="V750" i="62"/>
  <c r="V712" i="62"/>
  <c r="V732" i="62"/>
  <c r="V694" i="62"/>
  <c r="V656" i="62"/>
  <c r="V676" i="62"/>
  <c r="V638" i="62"/>
  <c r="V600" i="62"/>
  <c r="V620" i="62"/>
  <c r="V582" i="62"/>
  <c r="V544" i="62"/>
  <c r="V506" i="62"/>
  <c r="V526" i="62"/>
  <c r="V488" i="62"/>
  <c r="V450" i="62"/>
  <c r="V470" i="62"/>
  <c r="V432" i="62"/>
  <c r="V394" i="62"/>
  <c r="V414" i="62"/>
  <c r="V376" i="62"/>
  <c r="V338" i="62"/>
  <c r="V358" i="62"/>
  <c r="V320" i="62"/>
  <c r="V282" i="62"/>
  <c r="V302" i="62"/>
  <c r="U1356" i="62"/>
  <c r="U1324" i="62"/>
  <c r="U1292" i="62"/>
  <c r="U1315" i="62"/>
  <c r="U1281" i="62"/>
  <c r="U1247" i="62"/>
  <c r="U1213" i="62"/>
  <c r="U1178" i="62"/>
  <c r="U1201" i="62"/>
  <c r="U1167" i="62"/>
  <c r="U1132" i="62"/>
  <c r="U1099" i="62"/>
  <c r="U1064" i="62"/>
  <c r="U1028" i="62"/>
  <c r="U1050" i="62"/>
  <c r="U1014" i="62"/>
  <c r="U978" i="62"/>
  <c r="U942" i="62"/>
  <c r="U964" i="62"/>
  <c r="U929" i="62"/>
  <c r="U894" i="62"/>
  <c r="U858" i="62"/>
  <c r="U880" i="62"/>
  <c r="U844" i="62"/>
  <c r="U808" i="62"/>
  <c r="U772" i="62"/>
  <c r="U794" i="62"/>
  <c r="U757" i="62"/>
  <c r="U720" i="62"/>
  <c r="U683" i="62"/>
  <c r="U704" i="62"/>
  <c r="U667" i="62"/>
  <c r="U631" i="62"/>
  <c r="U594" i="62"/>
  <c r="U615" i="62"/>
  <c r="U578" i="62"/>
  <c r="U541" i="62"/>
  <c r="U562" i="62"/>
  <c r="U524" i="62"/>
  <c r="U486" i="62"/>
  <c r="U448" i="62"/>
  <c r="U468" i="62"/>
  <c r="U430" i="62"/>
  <c r="U392" i="62"/>
  <c r="U412" i="62"/>
  <c r="U374" i="62"/>
  <c r="U336" i="62"/>
  <c r="U356" i="62"/>
  <c r="U318" i="62"/>
  <c r="U280" i="62"/>
  <c r="U300" i="62"/>
  <c r="U262" i="62"/>
  <c r="U224" i="62"/>
  <c r="U244" i="62"/>
  <c r="U206" i="62"/>
  <c r="U168" i="62"/>
  <c r="U130" i="62"/>
  <c r="U150" i="62"/>
  <c r="U112" i="62"/>
  <c r="V1347" i="62"/>
  <c r="V1367" i="62"/>
  <c r="V1332" i="62"/>
  <c r="V1297" i="62"/>
  <c r="V1317" i="62"/>
  <c r="V1279" i="62"/>
  <c r="V1241" i="62"/>
  <c r="V1203" i="62"/>
  <c r="V1223" i="62"/>
  <c r="V1185" i="62"/>
  <c r="V1147" i="62"/>
  <c r="V1167" i="62"/>
  <c r="V1129" i="62"/>
  <c r="V1091" i="62"/>
  <c r="V1111" i="62"/>
  <c r="V1073" i="62"/>
  <c r="V1035" i="62"/>
  <c r="V1055" i="62"/>
  <c r="V1017" i="62"/>
  <c r="V979" i="62"/>
  <c r="V941" i="62"/>
  <c r="V961" i="62"/>
  <c r="V923" i="62"/>
  <c r="V885" i="62"/>
  <c r="V905" i="62"/>
  <c r="V867" i="62"/>
  <c r="V829" i="62"/>
  <c r="V849" i="62"/>
  <c r="V811" i="62"/>
  <c r="V773" i="62"/>
  <c r="V793" i="62"/>
  <c r="V755" i="62"/>
  <c r="V717" i="62"/>
  <c r="V737" i="62"/>
  <c r="V699" i="62"/>
  <c r="V661" i="62"/>
  <c r="V623" i="62"/>
  <c r="V643" i="62"/>
  <c r="V605" i="62"/>
  <c r="V567" i="62"/>
  <c r="V587" i="62"/>
  <c r="V549" i="62"/>
  <c r="V511" i="62"/>
  <c r="V531" i="62"/>
  <c r="V493" i="62"/>
  <c r="U1355" i="62"/>
  <c r="U1329" i="62"/>
  <c r="U1303" i="62"/>
  <c r="U1273" i="62"/>
  <c r="U1245" i="62"/>
  <c r="U1218" i="62"/>
  <c r="U1188" i="62"/>
  <c r="U1159" i="62"/>
  <c r="U1131" i="62"/>
  <c r="U1104" i="62"/>
  <c r="U1073" i="62"/>
  <c r="U1043" i="62"/>
  <c r="U1013" i="62"/>
  <c r="U983" i="62"/>
  <c r="U953" i="62"/>
  <c r="U921" i="62"/>
  <c r="U893" i="62"/>
  <c r="U863" i="62"/>
  <c r="U831" i="62"/>
  <c r="U801" i="62"/>
  <c r="U771" i="62"/>
  <c r="U741" i="62"/>
  <c r="U709" i="62"/>
  <c r="U734" i="62"/>
  <c r="U703" i="62"/>
  <c r="U673" i="62"/>
  <c r="U640" i="62"/>
  <c r="U607" i="62"/>
  <c r="U577" i="62"/>
  <c r="U546" i="62"/>
  <c r="U513" i="62"/>
  <c r="U479" i="62"/>
  <c r="U505" i="62"/>
  <c r="U473" i="62"/>
  <c r="U439" i="62"/>
  <c r="U405" i="62"/>
  <c r="U373" i="62"/>
  <c r="U341" i="62"/>
  <c r="U307" i="62"/>
  <c r="U331" i="62"/>
  <c r="U299" i="62"/>
  <c r="U267" i="62"/>
  <c r="U233" i="62"/>
  <c r="U199" i="62"/>
  <c r="U167" i="62"/>
  <c r="U135" i="62"/>
  <c r="U101" i="62"/>
  <c r="U125" i="62"/>
  <c r="V1366" i="62"/>
  <c r="V1337" i="62"/>
  <c r="V1306" i="62"/>
  <c r="V1272" i="62"/>
  <c r="V1240" i="62"/>
  <c r="V1208" i="62"/>
  <c r="V1174" i="62"/>
  <c r="V1198" i="62"/>
  <c r="V1166" i="62"/>
  <c r="V1134" i="62"/>
  <c r="V1100" i="62"/>
  <c r="V1066" i="62"/>
  <c r="V1034" i="62"/>
  <c r="V1002" i="62"/>
  <c r="V1026" i="62"/>
  <c r="V992" i="62"/>
  <c r="V960" i="62"/>
  <c r="V928" i="62"/>
  <c r="V894" i="62"/>
  <c r="V860" i="62"/>
  <c r="V828" i="62"/>
  <c r="V796" i="62"/>
  <c r="V820" i="62"/>
  <c r="V786" i="62"/>
  <c r="V754" i="62"/>
  <c r="V722" i="62"/>
  <c r="V688" i="62"/>
  <c r="V654" i="62"/>
  <c r="V622" i="62"/>
  <c r="V648" i="62"/>
  <c r="V614" i="62"/>
  <c r="V580" i="62"/>
  <c r="V548" i="62"/>
  <c r="V516" i="62"/>
  <c r="V482" i="62"/>
  <c r="V448" i="62"/>
  <c r="V472" i="62"/>
  <c r="V436" i="62"/>
  <c r="V400" i="62"/>
  <c r="V365" i="62"/>
  <c r="V387" i="62"/>
  <c r="V351" i="62"/>
  <c r="V315" i="62"/>
  <c r="V279" i="62"/>
  <c r="V301" i="62"/>
  <c r="V265" i="62"/>
  <c r="V228" i="62"/>
  <c r="V191" i="62"/>
  <c r="V211" i="62"/>
  <c r="V173" i="62"/>
  <c r="V135" i="62"/>
  <c r="V155" i="62"/>
  <c r="V117" i="62"/>
  <c r="W1352" i="62"/>
  <c r="W1372" i="62"/>
  <c r="W1337" i="62"/>
  <c r="W1302" i="62"/>
  <c r="W1264" i="62"/>
  <c r="W1284" i="62"/>
  <c r="W1246" i="62"/>
  <c r="W1208" i="62"/>
  <c r="W1228" i="62"/>
  <c r="W1190" i="62"/>
  <c r="W1152" i="62"/>
  <c r="W1172" i="62"/>
  <c r="W1134" i="62"/>
  <c r="W1096" i="62"/>
  <c r="W1058" i="62"/>
  <c r="W1078" i="62"/>
  <c r="W1040" i="62"/>
  <c r="W1002" i="62"/>
  <c r="W1022" i="62"/>
  <c r="W984" i="62"/>
  <c r="W946" i="62"/>
  <c r="W966" i="62"/>
  <c r="W928" i="62"/>
  <c r="W890" i="62"/>
  <c r="W910" i="62"/>
  <c r="W872" i="62"/>
  <c r="W834" i="62"/>
  <c r="W796" i="62"/>
  <c r="W816" i="62"/>
  <c r="W778" i="62"/>
  <c r="W740" i="62"/>
  <c r="W760" i="62"/>
  <c r="W722" i="62"/>
  <c r="W684" i="62"/>
  <c r="W704" i="62"/>
  <c r="W666" i="62"/>
  <c r="W628" i="62"/>
  <c r="W648" i="62"/>
  <c r="W610" i="62"/>
  <c r="W572" i="62"/>
  <c r="W592" i="62"/>
  <c r="W554" i="62"/>
  <c r="W516" i="62"/>
  <c r="W478" i="62"/>
  <c r="W498" i="62"/>
  <c r="W460" i="62"/>
  <c r="W422" i="62"/>
  <c r="W442" i="62"/>
  <c r="W404" i="62"/>
  <c r="W366" i="62"/>
  <c r="W386" i="62"/>
  <c r="W348" i="62"/>
  <c r="W310" i="62"/>
  <c r="W330" i="62"/>
  <c r="W292" i="62"/>
  <c r="W254" i="62"/>
  <c r="W216" i="62"/>
  <c r="W236" i="62"/>
  <c r="W198" i="62"/>
  <c r="W160" i="62"/>
  <c r="W180" i="62"/>
  <c r="W142" i="62"/>
  <c r="W104" i="62"/>
  <c r="W124" i="62"/>
  <c r="U1370" i="62"/>
  <c r="U1291" i="62"/>
  <c r="U1263" i="62"/>
  <c r="U1234" i="62"/>
  <c r="U1204" i="62"/>
  <c r="U1177" i="62"/>
  <c r="U1149" i="62"/>
  <c r="U1120" i="62"/>
  <c r="U1089" i="62"/>
  <c r="U1063" i="62"/>
  <c r="U1033" i="62"/>
  <c r="U1001" i="62"/>
  <c r="U971" i="62"/>
  <c r="U941" i="62"/>
  <c r="U913" i="62"/>
  <c r="U939" i="62"/>
  <c r="U907" i="62"/>
  <c r="U879" i="62"/>
  <c r="U849" i="62"/>
  <c r="U819" i="62"/>
  <c r="U787" i="62"/>
  <c r="U756" i="62"/>
  <c r="U726" i="62"/>
  <c r="U693" i="62"/>
  <c r="U660" i="62"/>
  <c r="U629" i="62"/>
  <c r="U599" i="62"/>
  <c r="U566" i="62"/>
  <c r="U591" i="62"/>
  <c r="U561" i="62"/>
  <c r="U529" i="62"/>
  <c r="U495" i="62"/>
  <c r="U461" i="62"/>
  <c r="U429" i="62"/>
  <c r="U397" i="62"/>
  <c r="U363" i="62"/>
  <c r="U387" i="62"/>
  <c r="U355" i="62"/>
  <c r="U323" i="62"/>
  <c r="U289" i="62"/>
  <c r="U255" i="62"/>
  <c r="U223" i="62"/>
  <c r="U191" i="62"/>
  <c r="U215" i="62"/>
  <c r="U181" i="62"/>
  <c r="U149" i="62"/>
  <c r="U117" i="62"/>
  <c r="V1356" i="62"/>
  <c r="V1325" i="62"/>
  <c r="V1296" i="62"/>
  <c r="V1264" i="62"/>
  <c r="V1288" i="62"/>
  <c r="V1254" i="62"/>
  <c r="V1222" i="62"/>
  <c r="V1190" i="62"/>
  <c r="V1156" i="62"/>
  <c r="V1122" i="62"/>
  <c r="V1090" i="62"/>
  <c r="V1058" i="62"/>
  <c r="V1082" i="62"/>
  <c r="V1048" i="62"/>
  <c r="V1016" i="62"/>
  <c r="V984" i="62"/>
  <c r="V950" i="62"/>
  <c r="V916" i="62"/>
  <c r="V884" i="62"/>
  <c r="V910" i="62"/>
  <c r="V876" i="62"/>
  <c r="V842" i="62"/>
  <c r="V810" i="62"/>
  <c r="V778" i="62"/>
  <c r="V744" i="62"/>
  <c r="V710" i="62"/>
  <c r="V736" i="62"/>
  <c r="V704" i="62"/>
  <c r="V670" i="62"/>
  <c r="V636" i="62"/>
  <c r="V604" i="62"/>
  <c r="V572" i="62"/>
  <c r="V538" i="62"/>
  <c r="V562" i="62"/>
  <c r="V530" i="62"/>
  <c r="V498" i="62"/>
  <c r="V463" i="62"/>
  <c r="V427" i="62"/>
  <c r="V391" i="62"/>
  <c r="V413" i="62"/>
  <c r="V378" i="62"/>
  <c r="V342" i="62"/>
  <c r="V306" i="62"/>
  <c r="V329" i="62"/>
  <c r="V293" i="62"/>
  <c r="V257" i="62"/>
  <c r="V220" i="62"/>
  <c r="V241" i="62"/>
  <c r="V203" i="62"/>
  <c r="V165" i="62"/>
  <c r="V185" i="62"/>
  <c r="V147" i="62"/>
  <c r="V109" i="62"/>
  <c r="W1344" i="62"/>
  <c r="W1364" i="62"/>
  <c r="W1329" i="62"/>
  <c r="W1294" i="62"/>
  <c r="W1314" i="62"/>
  <c r="W1276" i="62"/>
  <c r="W1238" i="62"/>
  <c r="W1258" i="62"/>
  <c r="W1220" i="62"/>
  <c r="W1182" i="62"/>
  <c r="W1144" i="62"/>
  <c r="W1164" i="62"/>
  <c r="W1126" i="62"/>
  <c r="W1088" i="62"/>
  <c r="W1108" i="62"/>
  <c r="W1070" i="62"/>
  <c r="W1032" i="62"/>
  <c r="W1052" i="62"/>
  <c r="W1014" i="62"/>
  <c r="W976" i="62"/>
  <c r="W996" i="62"/>
  <c r="W958" i="62"/>
  <c r="W920" i="62"/>
  <c r="W940" i="62"/>
  <c r="W902" i="62"/>
  <c r="W864" i="62"/>
  <c r="W826" i="62"/>
  <c r="W846" i="62"/>
  <c r="W808" i="62"/>
  <c r="W770" i="62"/>
  <c r="W790" i="62"/>
  <c r="W752" i="62"/>
  <c r="W714" i="62"/>
  <c r="W734" i="62"/>
  <c r="W696" i="62"/>
  <c r="U1320" i="62"/>
  <c r="U1293" i="62"/>
  <c r="U1265" i="62"/>
  <c r="U1235" i="62"/>
  <c r="U1207" i="62"/>
  <c r="U1179" i="62"/>
  <c r="U1150" i="62"/>
  <c r="U1121" i="62"/>
  <c r="U1093" i="62"/>
  <c r="U1065" i="62"/>
  <c r="U1034" i="62"/>
  <c r="U1003" i="62"/>
  <c r="U974" i="62"/>
  <c r="U943" i="62"/>
  <c r="U914" i="62"/>
  <c r="U940" i="62"/>
  <c r="U911" i="62"/>
  <c r="U881" i="62"/>
  <c r="U850" i="62"/>
  <c r="U820" i="62"/>
  <c r="U790" i="62"/>
  <c r="U758" i="62"/>
  <c r="U727" i="62"/>
  <c r="U694" i="62"/>
  <c r="U663" i="62"/>
  <c r="U632" i="62"/>
  <c r="U600" i="62"/>
  <c r="U567" i="62"/>
  <c r="U537" i="62"/>
  <c r="U563" i="62"/>
  <c r="U530" i="62"/>
  <c r="U496" i="62"/>
  <c r="U464" i="62"/>
  <c r="U431" i="62"/>
  <c r="U398" i="62"/>
  <c r="U364" i="62"/>
  <c r="U332" i="62"/>
  <c r="U357" i="62"/>
  <c r="U324" i="62"/>
  <c r="U290" i="62"/>
  <c r="U258" i="62"/>
  <c r="U225" i="62"/>
  <c r="U192" i="62"/>
  <c r="U158" i="62"/>
  <c r="U184" i="62"/>
  <c r="U151" i="62"/>
  <c r="U118" i="62"/>
  <c r="V1357" i="62"/>
  <c r="V1328" i="62"/>
  <c r="V1298" i="62"/>
  <c r="V1265" i="62"/>
  <c r="V1231" i="62"/>
  <c r="V1257" i="62"/>
  <c r="V1224" i="62"/>
  <c r="V1191" i="62"/>
  <c r="V1157" i="62"/>
  <c r="V1125" i="62"/>
  <c r="V1092" i="62"/>
  <c r="V1059" i="62"/>
  <c r="V1083" i="62"/>
  <c r="V1051" i="62"/>
  <c r="V1018" i="62"/>
  <c r="V985" i="62"/>
  <c r="V951" i="62"/>
  <c r="V919" i="62"/>
  <c r="V886" i="62"/>
  <c r="V911" i="62"/>
  <c r="V877" i="62"/>
  <c r="V845" i="62"/>
  <c r="V812" i="62"/>
  <c r="V779" i="62"/>
  <c r="V745" i="62"/>
  <c r="V713" i="62"/>
  <c r="V680" i="62"/>
  <c r="V705" i="62"/>
  <c r="V671" i="62"/>
  <c r="V639" i="62"/>
  <c r="V606" i="62"/>
  <c r="V573" i="62"/>
  <c r="V539" i="62"/>
  <c r="V507" i="62"/>
  <c r="V532" i="62"/>
  <c r="V499" i="62"/>
  <c r="V464" i="62"/>
  <c r="V428" i="62"/>
  <c r="V392" i="62"/>
  <c r="V415" i="62"/>
  <c r="V379" i="62"/>
  <c r="V343" i="62"/>
  <c r="V308" i="62"/>
  <c r="V330" i="62"/>
  <c r="V294" i="62"/>
  <c r="V258" i="62"/>
  <c r="V221" i="62"/>
  <c r="V242" i="62"/>
  <c r="V204" i="62"/>
  <c r="V166" i="62"/>
  <c r="V186" i="62"/>
  <c r="V148" i="62"/>
  <c r="V110" i="62"/>
  <c r="W1345" i="62"/>
  <c r="W1365" i="62"/>
  <c r="W1330" i="62"/>
  <c r="W1295" i="62"/>
  <c r="W1315" i="62"/>
  <c r="W1277" i="62"/>
  <c r="W1239" i="62"/>
  <c r="W1259" i="62"/>
  <c r="W1221" i="62"/>
  <c r="W1183" i="62"/>
  <c r="W1145" i="62"/>
  <c r="W1165" i="62"/>
  <c r="W1127" i="62"/>
  <c r="W1089" i="62"/>
  <c r="W1109" i="62"/>
  <c r="W1071" i="62"/>
  <c r="W1033" i="62"/>
  <c r="W1053" i="62"/>
  <c r="W1015" i="62"/>
  <c r="W977" i="62"/>
  <c r="W997" i="62"/>
  <c r="W959" i="62"/>
  <c r="W921" i="62"/>
  <c r="W883" i="62"/>
  <c r="W903" i="62"/>
  <c r="W865" i="62"/>
  <c r="W827" i="62"/>
  <c r="W847" i="62"/>
  <c r="W809" i="62"/>
  <c r="W771" i="62"/>
  <c r="W791" i="62"/>
  <c r="W753" i="62"/>
  <c r="W715" i="62"/>
  <c r="W735" i="62"/>
  <c r="W697" i="62"/>
  <c r="W659" i="62"/>
  <c r="W679" i="62"/>
  <c r="W641" i="62"/>
  <c r="W603" i="62"/>
  <c r="W565" i="62"/>
  <c r="W585" i="62"/>
  <c r="W547" i="62"/>
  <c r="W509" i="62"/>
  <c r="W529" i="62"/>
  <c r="W491" i="62"/>
  <c r="W453" i="62"/>
  <c r="W473" i="62"/>
  <c r="W435" i="62"/>
  <c r="W397" i="62"/>
  <c r="W417" i="62"/>
  <c r="W379" i="62"/>
  <c r="W341" i="62"/>
  <c r="W303" i="62"/>
  <c r="W323" i="62"/>
  <c r="W285" i="62"/>
  <c r="W247" i="62"/>
  <c r="W267" i="62"/>
  <c r="W229" i="62"/>
  <c r="W191" i="62"/>
  <c r="W211" i="62"/>
  <c r="W173" i="62"/>
  <c r="W135" i="62"/>
  <c r="U1351" i="62"/>
  <c r="U1327" i="62"/>
  <c r="U1300" i="62"/>
  <c r="U1271" i="62"/>
  <c r="U1243" i="62"/>
  <c r="U1216" i="62"/>
  <c r="U1186" i="62"/>
  <c r="U1157" i="62"/>
  <c r="U1129" i="62"/>
  <c r="U1102" i="62"/>
  <c r="U1071" i="62"/>
  <c r="U1039" i="62"/>
  <c r="U1011" i="62"/>
  <c r="U981" i="62"/>
  <c r="U951" i="62"/>
  <c r="U919" i="62"/>
  <c r="U889" i="62"/>
  <c r="U861" i="62"/>
  <c r="U829" i="62"/>
  <c r="U799" i="62"/>
  <c r="U769" i="62"/>
  <c r="U739" i="62"/>
  <c r="U765" i="62"/>
  <c r="U732" i="62"/>
  <c r="U701" i="62"/>
  <c r="U671" i="62"/>
  <c r="U638" i="62"/>
  <c r="U605" i="62"/>
  <c r="U575" i="62"/>
  <c r="U544" i="62"/>
  <c r="U511" i="62"/>
  <c r="U477" i="62"/>
  <c r="U503" i="62"/>
  <c r="U471" i="62"/>
  <c r="U437" i="62"/>
  <c r="U403" i="62"/>
  <c r="U371" i="62"/>
  <c r="U339" i="62"/>
  <c r="U305" i="62"/>
  <c r="U329" i="62"/>
  <c r="U297" i="62"/>
  <c r="U265" i="62"/>
  <c r="U231" i="62"/>
  <c r="U197" i="62"/>
  <c r="U165" i="62"/>
  <c r="U133" i="62"/>
  <c r="U157" i="62"/>
  <c r="U123" i="62"/>
  <c r="V1364" i="62"/>
  <c r="V1335" i="62"/>
  <c r="V1304" i="62"/>
  <c r="V1270" i="62"/>
  <c r="V1238" i="62"/>
  <c r="V1206" i="62"/>
  <c r="V1230" i="62"/>
  <c r="V1196" i="62"/>
  <c r="V1164" i="62"/>
  <c r="V1132" i="62"/>
  <c r="V1098" i="62"/>
  <c r="V1064" i="62"/>
  <c r="V1032" i="62"/>
  <c r="V1000" i="62"/>
  <c r="V1024" i="62"/>
  <c r="V990" i="62"/>
  <c r="V958" i="62"/>
  <c r="V926" i="62"/>
  <c r="V892" i="62"/>
  <c r="V858" i="62"/>
  <c r="V826" i="62"/>
  <c r="V852" i="62"/>
  <c r="V818" i="62"/>
  <c r="V784" i="62"/>
  <c r="V752" i="62"/>
  <c r="V720" i="62"/>
  <c r="V686" i="62"/>
  <c r="V652" i="62"/>
  <c r="V678" i="62"/>
  <c r="V646" i="62"/>
  <c r="V612" i="62"/>
  <c r="V578" i="62"/>
  <c r="V546" i="62"/>
  <c r="V514" i="62"/>
  <c r="V480" i="62"/>
  <c r="V504" i="62"/>
  <c r="V469" i="62"/>
  <c r="V434" i="62"/>
  <c r="V398" i="62"/>
  <c r="V362" i="62"/>
  <c r="V385" i="62"/>
  <c r="V349" i="62"/>
  <c r="V313" i="62"/>
  <c r="V277" i="62"/>
  <c r="V299" i="62"/>
  <c r="V263" i="62"/>
  <c r="V226" i="62"/>
  <c r="V189" i="62"/>
  <c r="V209" i="62"/>
  <c r="V171" i="62"/>
  <c r="V133" i="62"/>
  <c r="V153" i="62"/>
  <c r="V115" i="62"/>
  <c r="W1350" i="62"/>
  <c r="W1370" i="62"/>
  <c r="W1335" i="62"/>
  <c r="W1300" i="62"/>
  <c r="W1262" i="62"/>
  <c r="W1282" i="62"/>
  <c r="W1244" i="62"/>
  <c r="W1206" i="62"/>
  <c r="W1226" i="62"/>
  <c r="W1188" i="62"/>
  <c r="W1150" i="62"/>
  <c r="W1170" i="62"/>
  <c r="W1132" i="62"/>
  <c r="W1094" i="62"/>
  <c r="W1114" i="62"/>
  <c r="W1076" i="62"/>
  <c r="W1038" i="62"/>
  <c r="W1000" i="62"/>
  <c r="W1020" i="62"/>
  <c r="W982" i="62"/>
  <c r="W944" i="62"/>
  <c r="W964" i="62"/>
  <c r="W926" i="62"/>
  <c r="W888" i="62"/>
  <c r="W908" i="62"/>
  <c r="W870" i="62"/>
  <c r="W832" i="62"/>
  <c r="W852" i="62"/>
  <c r="W814" i="62"/>
  <c r="W776" i="62"/>
  <c r="W738" i="62"/>
  <c r="W758" i="62"/>
  <c r="W720" i="62"/>
  <c r="W682" i="62"/>
  <c r="W702" i="62"/>
  <c r="U1322" i="62"/>
  <c r="U1305" i="62"/>
  <c r="U1282" i="62"/>
  <c r="U1258" i="62"/>
  <c r="U1182" i="62"/>
  <c r="U1162" i="62"/>
  <c r="U1140" i="62"/>
  <c r="U1059" i="62"/>
  <c r="U1036" i="62"/>
  <c r="U1015" i="62"/>
  <c r="U990" i="62"/>
  <c r="U965" i="62"/>
  <c r="U884" i="62"/>
  <c r="U864" i="62"/>
  <c r="U840" i="62"/>
  <c r="U814" i="62"/>
  <c r="U792" i="62"/>
  <c r="U710" i="62"/>
  <c r="U684" i="62"/>
  <c r="U657" i="62"/>
  <c r="U635" i="62"/>
  <c r="U610" i="62"/>
  <c r="U584" i="62"/>
  <c r="U558" i="62"/>
  <c r="U532" i="62"/>
  <c r="U449" i="62"/>
  <c r="U420" i="62"/>
  <c r="U393" i="62"/>
  <c r="U366" i="62"/>
  <c r="U342" i="62"/>
  <c r="U314" i="62"/>
  <c r="U286" i="62"/>
  <c r="U260" i="62"/>
  <c r="U234" i="62"/>
  <c r="U207" i="62"/>
  <c r="U178" i="62"/>
  <c r="U154" i="62"/>
  <c r="U128" i="62"/>
  <c r="V1318" i="62"/>
  <c r="V1293" i="62"/>
  <c r="V1267" i="62"/>
  <c r="V1242" i="62"/>
  <c r="V1213" i="62"/>
  <c r="V1186" i="62"/>
  <c r="V1159" i="62"/>
  <c r="V1135" i="62"/>
  <c r="V1107" i="62"/>
  <c r="V1079" i="62"/>
  <c r="V1053" i="62"/>
  <c r="V1027" i="62"/>
  <c r="V942" i="62"/>
  <c r="V913" i="62"/>
  <c r="V889" i="62"/>
  <c r="V863" i="62"/>
  <c r="V835" i="62"/>
  <c r="V807" i="62"/>
  <c r="V781" i="62"/>
  <c r="V756" i="62"/>
  <c r="V727" i="62"/>
  <c r="V700" i="62"/>
  <c r="V673" i="62"/>
  <c r="V649" i="62"/>
  <c r="V621" i="62"/>
  <c r="V535" i="62"/>
  <c r="V509" i="62"/>
  <c r="V483" i="62"/>
  <c r="V455" i="62"/>
  <c r="V424" i="62"/>
  <c r="V395" i="62"/>
  <c r="V366" i="62"/>
  <c r="V334" i="62"/>
  <c r="V303" i="62"/>
  <c r="V274" i="62"/>
  <c r="V245" i="62"/>
  <c r="V270" i="62"/>
  <c r="V238" i="62"/>
  <c r="V206" i="62"/>
  <c r="V174" i="62"/>
  <c r="V140" i="62"/>
  <c r="V106" i="62"/>
  <c r="W1347" i="62"/>
  <c r="W1318" i="62"/>
  <c r="W1342" i="62"/>
  <c r="W1311" i="62"/>
  <c r="W1279" i="62"/>
  <c r="W1247" i="62"/>
  <c r="W1213" i="62"/>
  <c r="W1179" i="62"/>
  <c r="W1147" i="62"/>
  <c r="W1115" i="62"/>
  <c r="W1139" i="62"/>
  <c r="W1105" i="62"/>
  <c r="W1073" i="62"/>
  <c r="W1041" i="62"/>
  <c r="W1007" i="62"/>
  <c r="W973" i="62"/>
  <c r="W941" i="62"/>
  <c r="W967" i="62"/>
  <c r="W933" i="62"/>
  <c r="W899" i="62"/>
  <c r="W867" i="62"/>
  <c r="W835" i="62"/>
  <c r="W801" i="62"/>
  <c r="W767" i="62"/>
  <c r="W793" i="62"/>
  <c r="W761" i="62"/>
  <c r="W727" i="62"/>
  <c r="W693" i="62"/>
  <c r="W660" i="62"/>
  <c r="W624" i="62"/>
  <c r="W646" i="62"/>
  <c r="W611" i="62"/>
  <c r="W575" i="62"/>
  <c r="W539" i="62"/>
  <c r="W561" i="62"/>
  <c r="W525" i="62"/>
  <c r="W489" i="62"/>
  <c r="W454" i="62"/>
  <c r="W476" i="62"/>
  <c r="W440" i="62"/>
  <c r="W405" i="62"/>
  <c r="W369" i="62"/>
  <c r="W333" i="62"/>
  <c r="W355" i="62"/>
  <c r="W319" i="62"/>
  <c r="W283" i="62"/>
  <c r="W248" i="62"/>
  <c r="W270" i="62"/>
  <c r="W234" i="62"/>
  <c r="W199" i="62"/>
  <c r="W163" i="62"/>
  <c r="W185" i="62"/>
  <c r="W149" i="62"/>
  <c r="W112" i="62"/>
  <c r="X1348" i="62"/>
  <c r="X1368" i="62"/>
  <c r="X1333" i="62"/>
  <c r="X1298" i="62"/>
  <c r="X1260" i="62"/>
  <c r="X1280" i="62"/>
  <c r="X1242" i="62"/>
  <c r="X1204" i="62"/>
  <c r="X1224" i="62"/>
  <c r="X1186" i="62"/>
  <c r="X1148" i="62"/>
  <c r="X1168" i="62"/>
  <c r="X1130" i="62"/>
  <c r="X1092" i="62"/>
  <c r="X1112" i="62"/>
  <c r="X1074" i="62"/>
  <c r="X1036" i="62"/>
  <c r="X1056" i="62"/>
  <c r="X1018" i="62"/>
  <c r="X980" i="62"/>
  <c r="X942" i="62"/>
  <c r="X962" i="62"/>
  <c r="X924" i="62"/>
  <c r="X886" i="62"/>
  <c r="X906" i="62"/>
  <c r="X868" i="62"/>
  <c r="X830" i="62"/>
  <c r="X850" i="62"/>
  <c r="X812" i="62"/>
  <c r="X774" i="62"/>
  <c r="X794" i="62"/>
  <c r="X756" i="62"/>
  <c r="X718" i="62"/>
  <c r="X680" i="62"/>
  <c r="X700" i="62"/>
  <c r="X662" i="62"/>
  <c r="X624" i="62"/>
  <c r="X644" i="62"/>
  <c r="X606" i="62"/>
  <c r="X568" i="62"/>
  <c r="X588" i="62"/>
  <c r="X550" i="62"/>
  <c r="X512" i="62"/>
  <c r="X532" i="62"/>
  <c r="X494" i="62"/>
  <c r="X456" i="62"/>
  <c r="X476" i="62"/>
  <c r="X438" i="62"/>
  <c r="X400" i="62"/>
  <c r="X362" i="62"/>
  <c r="X382" i="62"/>
  <c r="X344" i="62"/>
  <c r="X306" i="62"/>
  <c r="X326" i="62"/>
  <c r="X288" i="62"/>
  <c r="X250" i="62"/>
  <c r="X270" i="62"/>
  <c r="X232" i="62"/>
  <c r="X194" i="62"/>
  <c r="X214" i="62"/>
  <c r="X176" i="62"/>
  <c r="X138" i="62"/>
  <c r="X100" i="62"/>
  <c r="X120" i="62"/>
  <c r="U1323" i="62"/>
  <c r="U1306" i="62"/>
  <c r="U1285" i="62"/>
  <c r="U1259" i="62"/>
  <c r="U1183" i="62"/>
  <c r="U1163" i="62"/>
  <c r="U1141" i="62"/>
  <c r="U1061" i="62"/>
  <c r="U1037" i="62"/>
  <c r="U1017" i="62"/>
  <c r="U991" i="62"/>
  <c r="U969" i="62"/>
  <c r="U885" i="62"/>
  <c r="U865" i="62"/>
  <c r="U841" i="62"/>
  <c r="U815" i="62"/>
  <c r="U793" i="62"/>
  <c r="U711" i="62"/>
  <c r="U687" i="62"/>
  <c r="U658" i="62"/>
  <c r="U636" i="62"/>
  <c r="U611" i="62"/>
  <c r="U585" i="62"/>
  <c r="U559" i="62"/>
  <c r="U533" i="62"/>
  <c r="U451" i="62"/>
  <c r="U421" i="62"/>
  <c r="U395" i="62"/>
  <c r="U367" i="62"/>
  <c r="U343" i="62"/>
  <c r="U315" i="62"/>
  <c r="U287" i="62"/>
  <c r="U261" i="62"/>
  <c r="U235" i="62"/>
  <c r="U209" i="62"/>
  <c r="U179" i="62"/>
  <c r="U155" i="62"/>
  <c r="V1344" i="62"/>
  <c r="V1319" i="62"/>
  <c r="V1294" i="62"/>
  <c r="V1268" i="62"/>
  <c r="V1244" i="62"/>
  <c r="V1214" i="62"/>
  <c r="V1188" i="62"/>
  <c r="V1160" i="62"/>
  <c r="V1136" i="62"/>
  <c r="V1108" i="62"/>
  <c r="V1080" i="62"/>
  <c r="V1054" i="62"/>
  <c r="V970" i="62"/>
  <c r="V944" i="62"/>
  <c r="V914" i="62"/>
  <c r="V890" i="62"/>
  <c r="V864" i="62"/>
  <c r="V836" i="62"/>
  <c r="V808" i="62"/>
  <c r="V782" i="62"/>
  <c r="U1325" i="62"/>
  <c r="U1307" i="62"/>
  <c r="U1287" i="62"/>
  <c r="U1203" i="62"/>
  <c r="U1185" i="62"/>
  <c r="U1164" i="62"/>
  <c r="U1142" i="62"/>
  <c r="U1062" i="62"/>
  <c r="U1038" i="62"/>
  <c r="U1018" i="62"/>
  <c r="U992" i="62"/>
  <c r="U912" i="62"/>
  <c r="U888" i="62"/>
  <c r="U866" i="62"/>
  <c r="U842" i="62"/>
  <c r="U817" i="62"/>
  <c r="U795" i="62"/>
  <c r="U712" i="62"/>
  <c r="U688" i="62"/>
  <c r="U659" i="62"/>
  <c r="U637" i="62"/>
  <c r="U613" i="62"/>
  <c r="U586" i="62"/>
  <c r="U560" i="62"/>
  <c r="U534" i="62"/>
  <c r="U452" i="62"/>
  <c r="U422" i="62"/>
  <c r="U396" i="62"/>
  <c r="U370" i="62"/>
  <c r="U344" i="62"/>
  <c r="U316" i="62"/>
  <c r="U288" i="62"/>
  <c r="U263" i="62"/>
  <c r="U236" i="62"/>
  <c r="U210" i="62"/>
  <c r="U180" i="62"/>
  <c r="U156" i="62"/>
  <c r="V1345" i="62"/>
  <c r="V1320" i="62"/>
  <c r="V1295" i="62"/>
  <c r="V1269" i="62"/>
  <c r="V1245" i="62"/>
  <c r="V1215" i="62"/>
  <c r="V1189" i="62"/>
  <c r="V1163" i="62"/>
  <c r="V1137" i="62"/>
  <c r="V1109" i="62"/>
  <c r="V1081" i="62"/>
  <c r="V1056" i="62"/>
  <c r="V971" i="62"/>
  <c r="V945" i="62"/>
  <c r="V915" i="62"/>
  <c r="U1362" i="62"/>
  <c r="U1343" i="62"/>
  <c r="U1268" i="62"/>
  <c r="U1249" i="62"/>
  <c r="U1224" i="62"/>
  <c r="U1144" i="62"/>
  <c r="U1123" i="62"/>
  <c r="U1105" i="62"/>
  <c r="U1082" i="62"/>
  <c r="U1056" i="62"/>
  <c r="U976" i="62"/>
  <c r="U954" i="62"/>
  <c r="U931" i="62"/>
  <c r="U904" i="62"/>
  <c r="U826" i="62"/>
  <c r="U804" i="62"/>
  <c r="U779" i="62"/>
  <c r="U753" i="62"/>
  <c r="U729" i="62"/>
  <c r="U705" i="62"/>
  <c r="U678" i="62"/>
  <c r="U595" i="62"/>
  <c r="U569" i="62"/>
  <c r="U547" i="62"/>
  <c r="U520" i="62"/>
  <c r="U492" i="62"/>
  <c r="U466" i="62"/>
  <c r="U440" i="62"/>
  <c r="U413" i="62"/>
  <c r="U384" i="62"/>
  <c r="U360" i="62"/>
  <c r="U276" i="62"/>
  <c r="U248" i="62"/>
  <c r="U220" i="62"/>
  <c r="U194" i="62"/>
  <c r="U169" i="62"/>
  <c r="U140" i="62"/>
  <c r="U113" i="62"/>
  <c r="V1359" i="62"/>
  <c r="V1338" i="62"/>
  <c r="V1313" i="62"/>
  <c r="V1285" i="62"/>
  <c r="V1259" i="62"/>
  <c r="V1175" i="62"/>
  <c r="V1148" i="62"/>
  <c r="V1119" i="62"/>
  <c r="V1095" i="62"/>
  <c r="V1069" i="62"/>
  <c r="V1041" i="62"/>
  <c r="V1013" i="62"/>
  <c r="V987" i="62"/>
  <c r="V962" i="62"/>
  <c r="V933" i="62"/>
  <c r="V906" i="62"/>
  <c r="V879" i="62"/>
  <c r="V797" i="62"/>
  <c r="V769" i="62"/>
  <c r="V741" i="62"/>
  <c r="V715" i="62"/>
  <c r="V689" i="62"/>
  <c r="V662" i="62"/>
  <c r="V633" i="62"/>
  <c r="V609" i="62"/>
  <c r="V583" i="62"/>
  <c r="V555" i="62"/>
  <c r="V527" i="62"/>
  <c r="V501" i="62"/>
  <c r="V473" i="62"/>
  <c r="V442" i="62"/>
  <c r="V410" i="62"/>
  <c r="V381" i="62"/>
  <c r="V352" i="62"/>
  <c r="V321" i="62"/>
  <c r="V290" i="62"/>
  <c r="V260" i="62"/>
  <c r="V229" i="62"/>
  <c r="V196" i="62"/>
  <c r="V162" i="62"/>
  <c r="V130" i="62"/>
  <c r="V156" i="62"/>
  <c r="V122" i="62"/>
  <c r="W1361" i="62"/>
  <c r="W1332" i="62"/>
  <c r="W1303" i="62"/>
  <c r="W1269" i="62"/>
  <c r="W1235" i="62"/>
  <c r="W1203" i="62"/>
  <c r="W1229" i="62"/>
  <c r="W1195" i="62"/>
  <c r="W1161" i="62"/>
  <c r="W1129" i="62"/>
  <c r="W1097" i="62"/>
  <c r="W1063" i="62"/>
  <c r="W1029" i="62"/>
  <c r="W1055" i="62"/>
  <c r="W1023" i="62"/>
  <c r="W989" i="62"/>
  <c r="W955" i="62"/>
  <c r="W923" i="62"/>
  <c r="W891" i="62"/>
  <c r="W857" i="62"/>
  <c r="W881" i="62"/>
  <c r="W849" i="62"/>
  <c r="W817" i="62"/>
  <c r="W783" i="62"/>
  <c r="W749" i="62"/>
  <c r="W717" i="62"/>
  <c r="W685" i="62"/>
  <c r="W651" i="62"/>
  <c r="W673" i="62"/>
  <c r="W637" i="62"/>
  <c r="W601" i="62"/>
  <c r="W566" i="62"/>
  <c r="W588" i="62"/>
  <c r="W552" i="62"/>
  <c r="W517" i="62"/>
  <c r="W481" i="62"/>
  <c r="W503" i="62"/>
  <c r="W467" i="62"/>
  <c r="W431" i="62"/>
  <c r="W395" i="62"/>
  <c r="W418" i="62"/>
  <c r="W382" i="62"/>
  <c r="W346" i="62"/>
  <c r="W311" i="62"/>
  <c r="W275" i="62"/>
  <c r="W297" i="62"/>
  <c r="W261" i="62"/>
  <c r="W225" i="62"/>
  <c r="W189" i="62"/>
  <c r="W212" i="62"/>
  <c r="W176" i="62"/>
  <c r="W140" i="62"/>
  <c r="W103" i="62"/>
  <c r="W125" i="62"/>
  <c r="X1360" i="62"/>
  <c r="X1325" i="62"/>
  <c r="X1290" i="62"/>
  <c r="X1310" i="62"/>
  <c r="X1272" i="62"/>
  <c r="X1234" i="62"/>
  <c r="X1254" i="62"/>
  <c r="X1216" i="62"/>
  <c r="X1178" i="62"/>
  <c r="X1198" i="62"/>
  <c r="X1160" i="62"/>
  <c r="X1122" i="62"/>
  <c r="X1142" i="62"/>
  <c r="X1104" i="62"/>
  <c r="X1066" i="62"/>
  <c r="X1028" i="62"/>
  <c r="X1048" i="62"/>
  <c r="X1010" i="62"/>
  <c r="X972" i="62"/>
  <c r="X992" i="62"/>
  <c r="X954" i="62"/>
  <c r="X916" i="62"/>
  <c r="X936" i="62"/>
  <c r="X898" i="62"/>
  <c r="X860" i="62"/>
  <c r="X880" i="62"/>
  <c r="X842" i="62"/>
  <c r="X804" i="62"/>
  <c r="X824" i="62"/>
  <c r="X786" i="62"/>
  <c r="X748" i="62"/>
  <c r="X710" i="62"/>
  <c r="X730" i="62"/>
  <c r="X692" i="62"/>
  <c r="X654" i="62"/>
  <c r="X674" i="62"/>
  <c r="X636" i="62"/>
  <c r="X598" i="62"/>
  <c r="X618" i="62"/>
  <c r="X580" i="62"/>
  <c r="X542" i="62"/>
  <c r="X562" i="62"/>
  <c r="X524" i="62"/>
  <c r="X486" i="62"/>
  <c r="X448" i="62"/>
  <c r="X468" i="62"/>
  <c r="X430" i="62"/>
  <c r="X392" i="62"/>
  <c r="X412" i="62"/>
  <c r="X374" i="62"/>
  <c r="X336" i="62"/>
  <c r="X356" i="62"/>
  <c r="X318" i="62"/>
  <c r="X280" i="62"/>
  <c r="X300" i="62"/>
  <c r="X262" i="62"/>
  <c r="X224" i="62"/>
  <c r="X244" i="62"/>
  <c r="X206" i="62"/>
  <c r="X168" i="62"/>
  <c r="X130" i="62"/>
  <c r="X150" i="62"/>
  <c r="X112" i="62"/>
  <c r="U1363" i="62"/>
  <c r="U1289" i="62"/>
  <c r="U1269" i="62"/>
  <c r="U1251" i="62"/>
  <c r="U1225" i="62"/>
  <c r="U1147" i="62"/>
  <c r="U1124" i="62"/>
  <c r="U1106" i="62"/>
  <c r="U1083" i="62"/>
  <c r="U999" i="62"/>
  <c r="U977" i="62"/>
  <c r="U955" i="62"/>
  <c r="U933" i="62"/>
  <c r="U905" i="62"/>
  <c r="U827" i="62"/>
  <c r="U805" i="62"/>
  <c r="U781" i="62"/>
  <c r="U754" i="62"/>
  <c r="U730" i="62"/>
  <c r="U708" i="62"/>
  <c r="U679" i="62"/>
  <c r="U597" i="62"/>
  <c r="U570" i="62"/>
  <c r="U548" i="62"/>
  <c r="U521" i="62"/>
  <c r="U493" i="62"/>
  <c r="U467" i="62"/>
  <c r="U441" i="62"/>
  <c r="U415" i="62"/>
  <c r="U385" i="62"/>
  <c r="U303" i="62"/>
  <c r="U277" i="62"/>
  <c r="U249" i="62"/>
  <c r="U221" i="62"/>
  <c r="U195" i="62"/>
  <c r="U171" i="62"/>
  <c r="U141" i="62"/>
  <c r="U115" i="62"/>
  <c r="V1360" i="62"/>
  <c r="V1339" i="62"/>
  <c r="V1314" i="62"/>
  <c r="V1286" i="62"/>
  <c r="V1202" i="62"/>
  <c r="V1176" i="62"/>
  <c r="V1150" i="62"/>
  <c r="V1120" i="62"/>
  <c r="V1096" i="62"/>
  <c r="V1070" i="62"/>
  <c r="V1042" i="62"/>
  <c r="V1014" i="62"/>
  <c r="V988" i="62"/>
  <c r="V964" i="62"/>
  <c r="V934" i="62"/>
  <c r="V908" i="62"/>
  <c r="V880" i="62"/>
  <c r="V798" i="62"/>
  <c r="V770" i="62"/>
  <c r="V742" i="62"/>
  <c r="V716" i="62"/>
  <c r="V690" i="62"/>
  <c r="V664" i="62"/>
  <c r="V634" i="62"/>
  <c r="V610" i="62"/>
  <c r="V584" i="62"/>
  <c r="V556" i="62"/>
  <c r="V528" i="62"/>
  <c r="V502" i="62"/>
  <c r="V474" i="62"/>
  <c r="V443" i="62"/>
  <c r="V411" i="62"/>
  <c r="V382" i="62"/>
  <c r="V353" i="62"/>
  <c r="V322" i="62"/>
  <c r="V291" i="62"/>
  <c r="V261" i="62"/>
  <c r="V230" i="62"/>
  <c r="V197" i="62"/>
  <c r="V163" i="62"/>
  <c r="V131" i="62"/>
  <c r="V157" i="62"/>
  <c r="V123" i="62"/>
  <c r="W1362" i="62"/>
  <c r="W1333" i="62"/>
  <c r="W1304" i="62"/>
  <c r="W1270" i="62"/>
  <c r="W1236" i="62"/>
  <c r="W1204" i="62"/>
  <c r="W1230" i="62"/>
  <c r="W1196" i="62"/>
  <c r="W1162" i="62"/>
  <c r="W1130" i="62"/>
  <c r="W1098" i="62"/>
  <c r="W1064" i="62"/>
  <c r="W1030" i="62"/>
  <c r="W1056" i="62"/>
  <c r="W1024" i="62"/>
  <c r="W990" i="62"/>
  <c r="W956" i="62"/>
  <c r="W924" i="62"/>
  <c r="W892" i="62"/>
  <c r="W858" i="62"/>
  <c r="W882" i="62"/>
  <c r="W850" i="62"/>
  <c r="W818" i="62"/>
  <c r="W784" i="62"/>
  <c r="W750" i="62"/>
  <c r="W718" i="62"/>
  <c r="W686" i="62"/>
  <c r="W652" i="62"/>
  <c r="W674" i="62"/>
  <c r="W638" i="62"/>
  <c r="W602" i="62"/>
  <c r="W567" i="62"/>
  <c r="W589" i="62"/>
  <c r="W553" i="62"/>
  <c r="W518" i="62"/>
  <c r="W482" i="62"/>
  <c r="W504" i="62"/>
  <c r="W468" i="62"/>
  <c r="W432" i="62"/>
  <c r="W396" i="62"/>
  <c r="W361" i="62"/>
  <c r="W383" i="62"/>
  <c r="W347" i="62"/>
  <c r="W312" i="62"/>
  <c r="W276" i="62"/>
  <c r="W298" i="62"/>
  <c r="W262" i="62"/>
  <c r="W226" i="62"/>
  <c r="W190" i="62"/>
  <c r="W213" i="62"/>
  <c r="W177" i="62"/>
  <c r="W141" i="62"/>
  <c r="W105" i="62"/>
  <c r="W126" i="62"/>
  <c r="X1361" i="62"/>
  <c r="X1326" i="62"/>
  <c r="X1291" i="62"/>
  <c r="X1311" i="62"/>
  <c r="X1273" i="62"/>
  <c r="X1235" i="62"/>
  <c r="X1255" i="62"/>
  <c r="X1217" i="62"/>
  <c r="X1179" i="62"/>
  <c r="X1199" i="62"/>
  <c r="X1161" i="62"/>
  <c r="X1123" i="62"/>
  <c r="X1143" i="62"/>
  <c r="X1105" i="62"/>
  <c r="X1067" i="62"/>
  <c r="X1029" i="62"/>
  <c r="X1049" i="62"/>
  <c r="X1011" i="62"/>
  <c r="X973" i="62"/>
  <c r="X993" i="62"/>
  <c r="X955" i="62"/>
  <c r="X917" i="62"/>
  <c r="X937" i="62"/>
  <c r="X899" i="62"/>
  <c r="X861" i="62"/>
  <c r="X881" i="62"/>
  <c r="X843" i="62"/>
  <c r="X805" i="62"/>
  <c r="X767" i="62"/>
  <c r="X787" i="62"/>
  <c r="X749" i="62"/>
  <c r="X711" i="62"/>
  <c r="X731" i="62"/>
  <c r="X693" i="62"/>
  <c r="X655" i="62"/>
  <c r="X675" i="62"/>
  <c r="X637" i="62"/>
  <c r="X599" i="62"/>
  <c r="X619" i="62"/>
  <c r="X581" i="62"/>
  <c r="X543" i="62"/>
  <c r="X563" i="62"/>
  <c r="X525" i="62"/>
  <c r="X487" i="62"/>
  <c r="X449" i="62"/>
  <c r="X469" i="62"/>
  <c r="X431" i="62"/>
  <c r="X393" i="62"/>
  <c r="X413" i="62"/>
  <c r="X375" i="62"/>
  <c r="X337" i="62"/>
  <c r="X357" i="62"/>
  <c r="X319" i="62"/>
  <c r="X281" i="62"/>
  <c r="X301" i="62"/>
  <c r="X263" i="62"/>
  <c r="X225" i="62"/>
  <c r="X187" i="62"/>
  <c r="X207" i="62"/>
  <c r="X169" i="62"/>
  <c r="X131" i="62"/>
  <c r="X151" i="62"/>
  <c r="X113" i="62"/>
  <c r="U1367" i="62"/>
  <c r="U1297" i="62"/>
  <c r="U1276" i="62"/>
  <c r="U1254" i="62"/>
  <c r="U1174" i="62"/>
  <c r="U1153" i="62"/>
  <c r="U1133" i="62"/>
  <c r="U1109" i="62"/>
  <c r="U1029" i="62"/>
  <c r="U1006" i="62"/>
  <c r="U985" i="62"/>
  <c r="U960" i="62"/>
  <c r="U936" i="62"/>
  <c r="U856" i="62"/>
  <c r="U832" i="62"/>
  <c r="U809" i="62"/>
  <c r="U784" i="62"/>
  <c r="U761" i="62"/>
  <c r="U737" i="62"/>
  <c r="U653" i="62"/>
  <c r="U626" i="62"/>
  <c r="U602" i="62"/>
  <c r="U579" i="62"/>
  <c r="U551" i="62"/>
  <c r="U525" i="62"/>
  <c r="U498" i="62"/>
  <c r="U474" i="62"/>
  <c r="U446" i="62"/>
  <c r="U418" i="62"/>
  <c r="U334" i="62"/>
  <c r="U308" i="62"/>
  <c r="U281" i="62"/>
  <c r="U252" i="62"/>
  <c r="U228" i="62"/>
  <c r="U202" i="62"/>
  <c r="U174" i="62"/>
  <c r="U146" i="62"/>
  <c r="U120" i="62"/>
  <c r="V1368" i="62"/>
  <c r="V1342" i="62"/>
  <c r="V1260" i="62"/>
  <c r="V1233" i="62"/>
  <c r="V1209" i="62"/>
  <c r="V1181" i="62"/>
  <c r="V1153" i="62"/>
  <c r="V1127" i="62"/>
  <c r="V1101" i="62"/>
  <c r="V1074" i="62"/>
  <c r="V1045" i="62"/>
  <c r="V1021" i="62"/>
  <c r="V995" i="62"/>
  <c r="V967" i="62"/>
  <c r="V939" i="62"/>
  <c r="V855" i="62"/>
  <c r="V830" i="62"/>
  <c r="V801" i="62"/>
  <c r="V774" i="62"/>
  <c r="V747" i="62"/>
  <c r="U1368" i="62"/>
  <c r="U1298" i="62"/>
  <c r="U1277" i="62"/>
  <c r="U1255" i="62"/>
  <c r="U1175" i="62"/>
  <c r="U1155" i="62"/>
  <c r="U1137" i="62"/>
  <c r="U1111" i="62"/>
  <c r="U1031" i="62"/>
  <c r="U1007" i="62"/>
  <c r="U987" i="62"/>
  <c r="U961" i="62"/>
  <c r="U937" i="62"/>
  <c r="U857" i="62"/>
  <c r="U833" i="62"/>
  <c r="U811" i="62"/>
  <c r="U785" i="62"/>
  <c r="U763" i="62"/>
  <c r="U680" i="62"/>
  <c r="U654" i="62"/>
  <c r="U627" i="62"/>
  <c r="U603" i="62"/>
  <c r="U581" i="62"/>
  <c r="U552" i="62"/>
  <c r="U527" i="62"/>
  <c r="U499" i="62"/>
  <c r="U475" i="62"/>
  <c r="U447" i="62"/>
  <c r="U361" i="62"/>
  <c r="U335" i="62"/>
  <c r="U309" i="62"/>
  <c r="U283" i="62"/>
  <c r="U253" i="62"/>
  <c r="U229" i="62"/>
  <c r="U203" i="62"/>
  <c r="U175" i="62"/>
  <c r="U147" i="62"/>
  <c r="U121" i="62"/>
  <c r="V1370" i="62"/>
  <c r="V1343" i="62"/>
  <c r="V1262" i="62"/>
  <c r="V1234" i="62"/>
  <c r="V1210" i="62"/>
  <c r="V1182" i="62"/>
  <c r="V1154" i="62"/>
  <c r="V1128" i="62"/>
  <c r="V1102" i="62"/>
  <c r="V1076" i="62"/>
  <c r="V1046" i="62"/>
  <c r="V1022" i="62"/>
  <c r="V996" i="62"/>
  <c r="V968" i="62"/>
  <c r="U1369" i="62"/>
  <c r="U1299" i="62"/>
  <c r="U1279" i="62"/>
  <c r="U1256" i="62"/>
  <c r="U1176" i="62"/>
  <c r="U1156" i="62"/>
  <c r="U1138" i="62"/>
  <c r="U1112" i="62"/>
  <c r="U1032" i="62"/>
  <c r="U1010" i="62"/>
  <c r="U988" i="62"/>
  <c r="U962" i="62"/>
  <c r="U938" i="62"/>
  <c r="U859" i="62"/>
  <c r="U835" i="62"/>
  <c r="U812" i="62"/>
  <c r="U786" i="62"/>
  <c r="U764" i="62"/>
  <c r="U681" i="62"/>
  <c r="U655" i="62"/>
  <c r="U628" i="62"/>
  <c r="U604" i="62"/>
  <c r="U582" i="62"/>
  <c r="U553" i="62"/>
  <c r="U528" i="62"/>
  <c r="U502" i="62"/>
  <c r="U476" i="62"/>
  <c r="U390" i="62"/>
  <c r="U362" i="62"/>
  <c r="U337" i="62"/>
  <c r="U310" i="62"/>
  <c r="U284" i="62"/>
  <c r="U254" i="62"/>
  <c r="U230" i="62"/>
  <c r="U204" i="62"/>
  <c r="U176" i="62"/>
  <c r="U148" i="62"/>
  <c r="U122" i="62"/>
  <c r="V1371" i="62"/>
  <c r="V1289" i="62"/>
  <c r="V1263" i="62"/>
  <c r="V1237" i="62"/>
  <c r="V1211" i="62"/>
  <c r="V1183" i="62"/>
  <c r="V1155" i="62"/>
  <c r="V1130" i="62"/>
  <c r="V1103" i="62"/>
  <c r="V1077" i="62"/>
  <c r="V1047" i="62"/>
  <c r="V1023" i="62"/>
  <c r="V997" i="62"/>
  <c r="V969" i="62"/>
  <c r="V883" i="62"/>
  <c r="V857" i="62"/>
  <c r="V833" i="62"/>
  <c r="V803" i="62"/>
  <c r="V777" i="62"/>
  <c r="V751" i="62"/>
  <c r="V725" i="62"/>
  <c r="V697" i="62"/>
  <c r="V669" i="62"/>
  <c r="V644" i="62"/>
  <c r="V617" i="62"/>
  <c r="V591" i="62"/>
  <c r="V561" i="62"/>
  <c r="V479" i="62"/>
  <c r="V453" i="62"/>
  <c r="V422" i="62"/>
  <c r="V390" i="62"/>
  <c r="V361" i="62"/>
  <c r="V332" i="62"/>
  <c r="V359" i="62"/>
  <c r="V328" i="62"/>
  <c r="V298" i="62"/>
  <c r="V268" i="62"/>
  <c r="V236" i="62"/>
  <c r="V202" i="62"/>
  <c r="V170" i="62"/>
  <c r="V138" i="62"/>
  <c r="V104" i="62"/>
  <c r="V128" i="62"/>
  <c r="W1369" i="62"/>
  <c r="W1340" i="62"/>
  <c r="W1309" i="62"/>
  <c r="W1275" i="62"/>
  <c r="W1243" i="62"/>
  <c r="W1211" i="62"/>
  <c r="W1177" i="62"/>
  <c r="W1201" i="62"/>
  <c r="W1169" i="62"/>
  <c r="W1137" i="62"/>
  <c r="W1103" i="62"/>
  <c r="W1069" i="62"/>
  <c r="W1037" i="62"/>
  <c r="W1005" i="62"/>
  <c r="W971" i="62"/>
  <c r="W995" i="62"/>
  <c r="W963" i="62"/>
  <c r="W931" i="62"/>
  <c r="W897" i="62"/>
  <c r="W863" i="62"/>
  <c r="W831" i="62"/>
  <c r="W799" i="62"/>
  <c r="W823" i="62"/>
  <c r="W789" i="62"/>
  <c r="W757" i="62"/>
  <c r="W725" i="62"/>
  <c r="W691" i="62"/>
  <c r="W657" i="62"/>
  <c r="W622" i="62"/>
  <c r="W644" i="62"/>
  <c r="W608" i="62"/>
  <c r="W573" i="62"/>
  <c r="W537" i="62"/>
  <c r="W559" i="62"/>
  <c r="W523" i="62"/>
  <c r="W487" i="62"/>
  <c r="W451" i="62"/>
  <c r="W474" i="62"/>
  <c r="W438" i="62"/>
  <c r="W402" i="62"/>
  <c r="W367" i="62"/>
  <c r="W389" i="62"/>
  <c r="W353" i="62"/>
  <c r="W317" i="62"/>
  <c r="W281" i="62"/>
  <c r="W245" i="62"/>
  <c r="W268" i="62"/>
  <c r="W232" i="62"/>
  <c r="W196" i="62"/>
  <c r="W161" i="62"/>
  <c r="W183" i="62"/>
  <c r="W147" i="62"/>
  <c r="W110" i="62"/>
  <c r="X1346" i="62"/>
  <c r="X1366" i="62"/>
  <c r="X1331" i="62"/>
  <c r="X1296" i="62"/>
  <c r="X1316" i="62"/>
  <c r="X1278" i="62"/>
  <c r="X1240" i="62"/>
  <c r="X1202" i="62"/>
  <c r="X1222" i="62"/>
  <c r="X1184" i="62"/>
  <c r="X1146" i="62"/>
  <c r="X1166" i="62"/>
  <c r="X1128" i="62"/>
  <c r="X1090" i="62"/>
  <c r="X1110" i="62"/>
  <c r="X1072" i="62"/>
  <c r="X1034" i="62"/>
  <c r="X1054" i="62"/>
  <c r="X1016" i="62"/>
  <c r="X978" i="62"/>
  <c r="X998" i="62"/>
  <c r="X960" i="62"/>
  <c r="X922" i="62"/>
  <c r="X884" i="62"/>
  <c r="X904" i="62"/>
  <c r="X866" i="62"/>
  <c r="X828" i="62"/>
  <c r="X848" i="62"/>
  <c r="X810" i="62"/>
  <c r="X772" i="62"/>
  <c r="X792" i="62"/>
  <c r="X754" i="62"/>
  <c r="X716" i="62"/>
  <c r="X736" i="62"/>
  <c r="X698" i="62"/>
  <c r="X660" i="62"/>
  <c r="X622" i="62"/>
  <c r="X642" i="62"/>
  <c r="X604" i="62"/>
  <c r="X566" i="62"/>
  <c r="X586" i="62"/>
  <c r="X548" i="62"/>
  <c r="X510" i="62"/>
  <c r="X530" i="62"/>
  <c r="X492" i="62"/>
  <c r="X454" i="62"/>
  <c r="X474" i="62"/>
  <c r="X436" i="62"/>
  <c r="X398" i="62"/>
  <c r="X418" i="62"/>
  <c r="X380" i="62"/>
  <c r="X342" i="62"/>
  <c r="X304" i="62"/>
  <c r="X324" i="62"/>
  <c r="X286" i="62"/>
  <c r="X248" i="62"/>
  <c r="X268" i="62"/>
  <c r="X230" i="62"/>
  <c r="X192" i="62"/>
  <c r="X212" i="62"/>
  <c r="X174" i="62"/>
  <c r="X136" i="62"/>
  <c r="X156" i="62"/>
  <c r="X118" i="62"/>
  <c r="U1332" i="62"/>
  <c r="U1272" i="62"/>
  <c r="U1220" i="62"/>
  <c r="U1170" i="62"/>
  <c r="U1108" i="62"/>
  <c r="U1053" i="62"/>
  <c r="U997" i="62"/>
  <c r="U935" i="62"/>
  <c r="U877" i="62"/>
  <c r="U823" i="62"/>
  <c r="U760" i="62"/>
  <c r="U697" i="62"/>
  <c r="U642" i="62"/>
  <c r="U576" i="62"/>
  <c r="U515" i="62"/>
  <c r="U455" i="62"/>
  <c r="U443" i="62"/>
  <c r="U381" i="62"/>
  <c r="U321" i="62"/>
  <c r="U251" i="62"/>
  <c r="U189" i="62"/>
  <c r="U129" i="62"/>
  <c r="U119" i="62"/>
  <c r="V1331" i="62"/>
  <c r="V1276" i="62"/>
  <c r="V1207" i="62"/>
  <c r="V1144" i="62"/>
  <c r="V1140" i="62"/>
  <c r="V1072" i="62"/>
  <c r="V1008" i="62"/>
  <c r="V948" i="62"/>
  <c r="V936" i="62"/>
  <c r="V870" i="62"/>
  <c r="V853" i="62"/>
  <c r="V785" i="62"/>
  <c r="V765" i="62"/>
  <c r="V691" i="62"/>
  <c r="V672" i="62"/>
  <c r="V595" i="62"/>
  <c r="V575" i="62"/>
  <c r="V557" i="62"/>
  <c r="V481" i="62"/>
  <c r="V460" i="62"/>
  <c r="V437" i="62"/>
  <c r="V412" i="62"/>
  <c r="V333" i="62"/>
  <c r="V310" i="62"/>
  <c r="V285" i="62"/>
  <c r="V262" i="62"/>
  <c r="V237" i="62"/>
  <c r="V212" i="62"/>
  <c r="V182" i="62"/>
  <c r="V100" i="62"/>
  <c r="W1346" i="62"/>
  <c r="W1322" i="62"/>
  <c r="W1297" i="62"/>
  <c r="W1271" i="62"/>
  <c r="W1245" i="62"/>
  <c r="W1217" i="62"/>
  <c r="W1191" i="62"/>
  <c r="W1163" i="62"/>
  <c r="W1138" i="62"/>
  <c r="W1111" i="62"/>
  <c r="W1083" i="62"/>
  <c r="W999" i="62"/>
  <c r="W972" i="62"/>
  <c r="W947" i="62"/>
  <c r="W917" i="62"/>
  <c r="W893" i="62"/>
  <c r="W866" i="62"/>
  <c r="W839" i="62"/>
  <c r="W811" i="62"/>
  <c r="W785" i="62"/>
  <c r="W759" i="62"/>
  <c r="W731" i="62"/>
  <c r="W705" i="62"/>
  <c r="W675" i="62"/>
  <c r="W645" i="62"/>
  <c r="W615" i="62"/>
  <c r="W583" i="62"/>
  <c r="W555" i="62"/>
  <c r="W524" i="62"/>
  <c r="W494" i="62"/>
  <c r="W463" i="62"/>
  <c r="W433" i="62"/>
  <c r="W403" i="62"/>
  <c r="W373" i="62"/>
  <c r="W342" i="62"/>
  <c r="W313" i="62"/>
  <c r="W282" i="62"/>
  <c r="W252" i="62"/>
  <c r="W221" i="62"/>
  <c r="W192" i="62"/>
  <c r="W162" i="62"/>
  <c r="W131" i="62"/>
  <c r="W157" i="62"/>
  <c r="W127" i="62"/>
  <c r="X1367" i="62"/>
  <c r="X1337" i="62"/>
  <c r="X1306" i="62"/>
  <c r="X1274" i="62"/>
  <c r="X1241" i="62"/>
  <c r="X1208" i="62"/>
  <c r="X1174" i="62"/>
  <c r="X1200" i="62"/>
  <c r="X1167" i="62"/>
  <c r="X1134" i="62"/>
  <c r="X1100" i="62"/>
  <c r="X1068" i="62"/>
  <c r="X1035" i="62"/>
  <c r="X1002" i="62"/>
  <c r="X1026" i="62"/>
  <c r="X994" i="62"/>
  <c r="X961" i="62"/>
  <c r="X928" i="62"/>
  <c r="X894" i="62"/>
  <c r="X862" i="62"/>
  <c r="X829" i="62"/>
  <c r="X796" i="62"/>
  <c r="X820" i="62"/>
  <c r="X788" i="62"/>
  <c r="X755" i="62"/>
  <c r="X722" i="62"/>
  <c r="X688" i="62"/>
  <c r="X656" i="62"/>
  <c r="X623" i="62"/>
  <c r="X648" i="62"/>
  <c r="X614" i="62"/>
  <c r="X582" i="62"/>
  <c r="X549" i="62"/>
  <c r="X516" i="62"/>
  <c r="X482" i="62"/>
  <c r="X450" i="62"/>
  <c r="X475" i="62"/>
  <c r="X442" i="62"/>
  <c r="X408" i="62"/>
  <c r="X376" i="62"/>
  <c r="X343" i="62"/>
  <c r="X310" i="62"/>
  <c r="X276" i="62"/>
  <c r="X302" i="62"/>
  <c r="X269" i="62"/>
  <c r="X236" i="62"/>
  <c r="X202" i="62"/>
  <c r="X170" i="62"/>
  <c r="X137" i="62"/>
  <c r="X104" i="62"/>
  <c r="X128" i="62"/>
  <c r="U1333" i="62"/>
  <c r="U1280" i="62"/>
  <c r="U1221" i="62"/>
  <c r="U1171" i="62"/>
  <c r="U1113" i="62"/>
  <c r="U1054" i="62"/>
  <c r="U998" i="62"/>
  <c r="U883" i="62"/>
  <c r="U878" i="62"/>
  <c r="U768" i="62"/>
  <c r="U766" i="62"/>
  <c r="U700" i="62"/>
  <c r="U643" i="62"/>
  <c r="U583" i="62"/>
  <c r="U516" i="62"/>
  <c r="U456" i="62"/>
  <c r="U391" i="62"/>
  <c r="U382" i="62"/>
  <c r="U322" i="62"/>
  <c r="U259" i="62"/>
  <c r="U190" i="62"/>
  <c r="U131" i="62"/>
  <c r="U124" i="62"/>
  <c r="V1333" i="62"/>
  <c r="V1277" i="62"/>
  <c r="V1212" i="62"/>
  <c r="V1145" i="62"/>
  <c r="V1141" i="62"/>
  <c r="V1078" i="62"/>
  <c r="V1009" i="62"/>
  <c r="V949" i="62"/>
  <c r="V940" i="62"/>
  <c r="V871" i="62"/>
  <c r="V799" i="62"/>
  <c r="V789" i="62"/>
  <c r="V766" i="62"/>
  <c r="V692" i="62"/>
  <c r="V674" i="62"/>
  <c r="V596" i="62"/>
  <c r="V576" i="62"/>
  <c r="V558" i="62"/>
  <c r="V484" i="62"/>
  <c r="V461" i="62"/>
  <c r="V438" i="62"/>
  <c r="V416" i="62"/>
  <c r="V335" i="62"/>
  <c r="V311" i="62"/>
  <c r="V286" i="62"/>
  <c r="V264" i="62"/>
  <c r="V239" i="62"/>
  <c r="V213" i="62"/>
  <c r="V183" i="62"/>
  <c r="V101" i="62"/>
  <c r="W1348" i="62"/>
  <c r="W1323" i="62"/>
  <c r="W1298" i="62"/>
  <c r="W1272" i="62"/>
  <c r="W1248" i="62"/>
  <c r="W1218" i="62"/>
  <c r="W1192" i="62"/>
  <c r="W1166" i="62"/>
  <c r="W1140" i="62"/>
  <c r="W1112" i="62"/>
  <c r="W1084" i="62"/>
  <c r="W1001" i="62"/>
  <c r="W974" i="62"/>
  <c r="U1334" i="62"/>
  <c r="U1288" i="62"/>
  <c r="U1223" i="62"/>
  <c r="U1115" i="62"/>
  <c r="U1067" i="62"/>
  <c r="U1055" i="62"/>
  <c r="U945" i="62"/>
  <c r="U891" i="62"/>
  <c r="U825" i="62"/>
  <c r="U770" i="62"/>
  <c r="U713" i="62"/>
  <c r="U702" i="62"/>
  <c r="U644" i="62"/>
  <c r="U587" i="62"/>
  <c r="U517" i="62"/>
  <c r="U457" i="62"/>
  <c r="U399" i="62"/>
  <c r="U383" i="62"/>
  <c r="U325" i="62"/>
  <c r="U266" i="62"/>
  <c r="U193" i="62"/>
  <c r="U134" i="62"/>
  <c r="V1346" i="62"/>
  <c r="V1336" i="62"/>
  <c r="V1278" i="62"/>
  <c r="V1216" i="62"/>
  <c r="V1146" i="62"/>
  <c r="V1142" i="62"/>
  <c r="V1084" i="62"/>
  <c r="V1010" i="62"/>
  <c r="V952" i="62"/>
  <c r="V888" i="62"/>
  <c r="V872" i="62"/>
  <c r="V800" i="62"/>
  <c r="V790" i="62"/>
  <c r="V709" i="62"/>
  <c r="V695" i="62"/>
  <c r="V677" i="62"/>
  <c r="V597" i="62"/>
  <c r="V577" i="62"/>
  <c r="V559" i="62"/>
  <c r="V485" i="62"/>
  <c r="V462" i="62"/>
  <c r="V440" i="62"/>
  <c r="V417" i="62"/>
  <c r="V336" i="62"/>
  <c r="V312" i="62"/>
  <c r="V287" i="62"/>
  <c r="V266" i="62"/>
  <c r="V240" i="62"/>
  <c r="V214" i="62"/>
  <c r="V184" i="62"/>
  <c r="V102" i="62"/>
  <c r="W1349" i="62"/>
  <c r="W1324" i="62"/>
  <c r="W1299" i="62"/>
  <c r="W1273" i="62"/>
  <c r="W1249" i="62"/>
  <c r="W1219" i="62"/>
  <c r="W1193" i="62"/>
  <c r="W1167" i="62"/>
  <c r="U1335" i="62"/>
  <c r="U1231" i="62"/>
  <c r="U1226" i="62"/>
  <c r="U1117" i="62"/>
  <c r="U1068" i="62"/>
  <c r="U1000" i="62"/>
  <c r="U947" i="62"/>
  <c r="U895" i="62"/>
  <c r="U828" i="62"/>
  <c r="U773" i="62"/>
  <c r="U716" i="62"/>
  <c r="U651" i="62"/>
  <c r="U647" i="62"/>
  <c r="U588" i="62"/>
  <c r="U522" i="62"/>
  <c r="U458" i="62"/>
  <c r="U400" i="62"/>
  <c r="U386" i="62"/>
  <c r="U326" i="62"/>
  <c r="U268" i="62"/>
  <c r="U196" i="62"/>
  <c r="U136" i="62"/>
  <c r="V1348" i="62"/>
  <c r="V1340" i="62"/>
  <c r="V1280" i="62"/>
  <c r="V1219" i="62"/>
  <c r="V1151" i="62"/>
  <c r="V1087" i="62"/>
  <c r="V1085" i="62"/>
  <c r="V1015" i="62"/>
  <c r="V953" i="62"/>
  <c r="V891" i="62"/>
  <c r="V873" i="62"/>
  <c r="V802" i="62"/>
  <c r="V791" i="62"/>
  <c r="V714" i="62"/>
  <c r="V696" i="62"/>
  <c r="V679" i="62"/>
  <c r="V598" i="62"/>
  <c r="V579" i="62"/>
  <c r="V560" i="62"/>
  <c r="V486" i="62"/>
  <c r="V465" i="62"/>
  <c r="V441" i="62"/>
  <c r="V418" i="62"/>
  <c r="V337" i="62"/>
  <c r="V314" i="62"/>
  <c r="V288" i="62"/>
  <c r="V267" i="62"/>
  <c r="V243" i="62"/>
  <c r="V215" i="62"/>
  <c r="V129" i="62"/>
  <c r="V103" i="62"/>
  <c r="W1351" i="62"/>
  <c r="W1325" i="62"/>
  <c r="W1301" i="62"/>
  <c r="W1274" i="62"/>
  <c r="W1250" i="62"/>
  <c r="W1222" i="62"/>
  <c r="W1194" i="62"/>
  <c r="U1336" i="62"/>
  <c r="U1232" i="62"/>
  <c r="U1227" i="62"/>
  <c r="U1118" i="62"/>
  <c r="U1069" i="62"/>
  <c r="U1005" i="62"/>
  <c r="U949" i="62"/>
  <c r="U897" i="62"/>
  <c r="U830" i="62"/>
  <c r="U775" i="62"/>
  <c r="U717" i="62"/>
  <c r="U652" i="62"/>
  <c r="U648" i="62"/>
  <c r="U589" i="62"/>
  <c r="U523" i="62"/>
  <c r="U459" i="62"/>
  <c r="U401" i="62"/>
  <c r="U333" i="62"/>
  <c r="U327" i="62"/>
  <c r="U269" i="62"/>
  <c r="U198" i="62"/>
  <c r="U137" i="62"/>
  <c r="V1350" i="62"/>
  <c r="V1341" i="62"/>
  <c r="V1282" i="62"/>
  <c r="V1220" i="62"/>
  <c r="V1152" i="62"/>
  <c r="V1088" i="62"/>
  <c r="V1028" i="62"/>
  <c r="V1020" i="62"/>
  <c r="V954" i="62"/>
  <c r="V893" i="62"/>
  <c r="V874" i="62"/>
  <c r="V804" i="62"/>
  <c r="V792" i="62"/>
  <c r="V718" i="62"/>
  <c r="V698" i="62"/>
  <c r="V624" i="62"/>
  <c r="V601" i="62"/>
  <c r="V585" i="62"/>
  <c r="V508" i="62"/>
  <c r="V489" i="62"/>
  <c r="V466" i="62"/>
  <c r="V444" i="62"/>
  <c r="V364" i="62"/>
  <c r="V339" i="62"/>
  <c r="V316" i="62"/>
  <c r="V292" i="62"/>
  <c r="V269" i="62"/>
  <c r="V244" i="62"/>
  <c r="V158" i="62"/>
  <c r="V132" i="62"/>
  <c r="V105" i="62"/>
  <c r="W1353" i="62"/>
  <c r="W1326" i="62"/>
  <c r="W1305" i="62"/>
  <c r="W1278" i="62"/>
  <c r="W1251" i="62"/>
  <c r="W1223" i="62"/>
  <c r="W1197" i="62"/>
  <c r="W1171" i="62"/>
  <c r="W1143" i="62"/>
  <c r="W1059" i="62"/>
  <c r="W1031" i="62"/>
  <c r="W1006" i="62"/>
  <c r="W979" i="62"/>
  <c r="U1338" i="62"/>
  <c r="U1233" i="62"/>
  <c r="U1181" i="62"/>
  <c r="U1119" i="62"/>
  <c r="U1070" i="62"/>
  <c r="U1012" i="62"/>
  <c r="U950" i="62"/>
  <c r="U898" i="62"/>
  <c r="U837" i="62"/>
  <c r="U776" i="62"/>
  <c r="U718" i="62"/>
  <c r="U656" i="62"/>
  <c r="U649" i="62"/>
  <c r="U590" i="62"/>
  <c r="U531" i="62"/>
  <c r="U460" i="62"/>
  <c r="U402" i="62"/>
  <c r="U340" i="62"/>
  <c r="U328" i="62"/>
  <c r="U270" i="62"/>
  <c r="U205" i="62"/>
  <c r="U138" i="62"/>
  <c r="V1351" i="62"/>
  <c r="V1290" i="62"/>
  <c r="V1283" i="62"/>
  <c r="V1221" i="62"/>
  <c r="V1158" i="62"/>
  <c r="V1089" i="62"/>
  <c r="V1031" i="62"/>
  <c r="V1025" i="62"/>
  <c r="V957" i="62"/>
  <c r="V895" i="62"/>
  <c r="V875" i="62"/>
  <c r="V809" i="62"/>
  <c r="V794" i="62"/>
  <c r="V721" i="62"/>
  <c r="V702" i="62"/>
  <c r="V626" i="62"/>
  <c r="V602" i="62"/>
  <c r="V586" i="62"/>
  <c r="V510" i="62"/>
  <c r="V490" i="62"/>
  <c r="V467" i="62"/>
  <c r="V445" i="62"/>
  <c r="V367" i="62"/>
  <c r="V340" i="62"/>
  <c r="V317" i="62"/>
  <c r="V295" i="62"/>
  <c r="V272" i="62"/>
  <c r="V187" i="62"/>
  <c r="V159" i="62"/>
  <c r="V134" i="62"/>
  <c r="V107" i="62"/>
  <c r="W1354" i="62"/>
  <c r="W1327" i="62"/>
  <c r="W1306" i="62"/>
  <c r="W1280" i="62"/>
  <c r="W1252" i="62"/>
  <c r="W1224" i="62"/>
  <c r="W1198" i="62"/>
  <c r="W1116" i="62"/>
  <c r="W1086" i="62"/>
  <c r="U1344" i="62"/>
  <c r="U1340" i="62"/>
  <c r="U1236" i="62"/>
  <c r="U1187" i="62"/>
  <c r="U1122" i="62"/>
  <c r="U1072" i="62"/>
  <c r="U1019" i="62"/>
  <c r="U952" i="62"/>
  <c r="U899" i="62"/>
  <c r="U843" i="62"/>
  <c r="U777" i="62"/>
  <c r="U719" i="62"/>
  <c r="U664" i="62"/>
  <c r="U593" i="62"/>
  <c r="U538" i="62"/>
  <c r="U478" i="62"/>
  <c r="U465" i="62"/>
  <c r="U404" i="62"/>
  <c r="U345" i="62"/>
  <c r="U330" i="62"/>
  <c r="U271" i="62"/>
  <c r="U211" i="62"/>
  <c r="U139" i="62"/>
  <c r="V1352" i="62"/>
  <c r="V1300" i="62"/>
  <c r="V1284" i="62"/>
  <c r="V1226" i="62"/>
  <c r="V1165" i="62"/>
  <c r="V1094" i="62"/>
  <c r="V1033" i="62"/>
  <c r="V972" i="62"/>
  <c r="V959" i="62"/>
  <c r="V896" i="62"/>
  <c r="V878" i="62"/>
  <c r="V814" i="62"/>
  <c r="V738" i="62"/>
  <c r="V723" i="62"/>
  <c r="V703" i="62"/>
  <c r="V627" i="62"/>
  <c r="V603" i="62"/>
  <c r="V588" i="62"/>
  <c r="V512" i="62"/>
  <c r="V491" i="62"/>
  <c r="V468" i="62"/>
  <c r="V446" i="62"/>
  <c r="V368" i="62"/>
  <c r="V341" i="62"/>
  <c r="V318" i="62"/>
  <c r="V296" i="62"/>
  <c r="V273" i="62"/>
  <c r="V188" i="62"/>
  <c r="V160" i="62"/>
  <c r="V136" i="62"/>
  <c r="V108" i="62"/>
  <c r="W1355" i="62"/>
  <c r="W1328" i="62"/>
  <c r="W1307" i="62"/>
  <c r="W1281" i="62"/>
  <c r="W1253" i="62"/>
  <c r="W1225" i="62"/>
  <c r="W1199" i="62"/>
  <c r="W1117" i="62"/>
  <c r="W1087" i="62"/>
  <c r="U1350" i="62"/>
  <c r="U1301" i="62"/>
  <c r="U1242" i="62"/>
  <c r="U1193" i="62"/>
  <c r="U1139" i="62"/>
  <c r="U1076" i="62"/>
  <c r="U1023" i="62"/>
  <c r="U963" i="62"/>
  <c r="U902" i="62"/>
  <c r="U848" i="62"/>
  <c r="U791" i="62"/>
  <c r="U725" i="62"/>
  <c r="U669" i="62"/>
  <c r="U606" i="62"/>
  <c r="U542" i="62"/>
  <c r="U484" i="62"/>
  <c r="U419" i="62"/>
  <c r="U410" i="62"/>
  <c r="U348" i="62"/>
  <c r="U285" i="62"/>
  <c r="U216" i="62"/>
  <c r="U214" i="62"/>
  <c r="U153" i="62"/>
  <c r="V1355" i="62"/>
  <c r="V1303" i="62"/>
  <c r="V1239" i="62"/>
  <c r="V1229" i="62"/>
  <c r="V1171" i="62"/>
  <c r="V1104" i="62"/>
  <c r="V1039" i="62"/>
  <c r="V977" i="62"/>
  <c r="V912" i="62"/>
  <c r="V901" i="62"/>
  <c r="V832" i="62"/>
  <c r="V817" i="62"/>
  <c r="V743" i="62"/>
  <c r="V728" i="62"/>
  <c r="V708" i="62"/>
  <c r="V630" i="62"/>
  <c r="V613" i="62"/>
  <c r="V536" i="62"/>
  <c r="V518" i="62"/>
  <c r="V496" i="62"/>
  <c r="V476" i="62"/>
  <c r="V396" i="62"/>
  <c r="V371" i="62"/>
  <c r="V347" i="62"/>
  <c r="V324" i="62"/>
  <c r="V246" i="62"/>
  <c r="V218" i="62"/>
  <c r="V193" i="62"/>
  <c r="V167" i="62"/>
  <c r="V141" i="62"/>
  <c r="V113" i="62"/>
  <c r="W1358" i="62"/>
  <c r="W1336" i="62"/>
  <c r="W1312" i="62"/>
  <c r="W1286" i="62"/>
  <c r="W1256" i="62"/>
  <c r="W1174" i="62"/>
  <c r="W1148" i="62"/>
  <c r="W1120" i="62"/>
  <c r="W1092" i="62"/>
  <c r="U1357" i="62"/>
  <c r="U1311" i="62"/>
  <c r="U1252" i="62"/>
  <c r="U1197" i="62"/>
  <c r="U1086" i="62"/>
  <c r="U1084" i="62"/>
  <c r="U1026" i="62"/>
  <c r="U916" i="62"/>
  <c r="U906" i="62"/>
  <c r="U852" i="62"/>
  <c r="U743" i="62"/>
  <c r="U731" i="62"/>
  <c r="U674" i="62"/>
  <c r="U616" i="62"/>
  <c r="U549" i="62"/>
  <c r="U487" i="62"/>
  <c r="U426" i="62"/>
  <c r="U416" i="62"/>
  <c r="U352" i="62"/>
  <c r="U292" i="62"/>
  <c r="U222" i="62"/>
  <c r="U160" i="62"/>
  <c r="U102" i="62"/>
  <c r="V1363" i="62"/>
  <c r="V1307" i="62"/>
  <c r="V1247" i="62"/>
  <c r="V1177" i="62"/>
  <c r="V1115" i="62"/>
  <c r="V1112" i="62"/>
  <c r="V1043" i="62"/>
  <c r="V980" i="62"/>
  <c r="V921" i="62"/>
  <c r="V903" i="62"/>
  <c r="V837" i="62"/>
  <c r="V821" i="62"/>
  <c r="V748" i="62"/>
  <c r="V730" i="62"/>
  <c r="V653" i="62"/>
  <c r="V632" i="62"/>
  <c r="V616" i="62"/>
  <c r="V540" i="62"/>
  <c r="V520" i="62"/>
  <c r="V500" i="62"/>
  <c r="V421" i="62"/>
  <c r="V399" i="62"/>
  <c r="V373" i="62"/>
  <c r="V350" i="62"/>
  <c r="V326" i="62"/>
  <c r="V248" i="62"/>
  <c r="V222" i="62"/>
  <c r="V195" i="62"/>
  <c r="V169" i="62"/>
  <c r="V143" i="62"/>
  <c r="V116" i="62"/>
  <c r="W1360" i="62"/>
  <c r="W1339" i="62"/>
  <c r="W1316" i="62"/>
  <c r="W1288" i="62"/>
  <c r="W1202" i="62"/>
  <c r="W1176" i="62"/>
  <c r="W1151" i="62"/>
  <c r="W1122" i="62"/>
  <c r="W1095" i="62"/>
  <c r="W1068" i="62"/>
  <c r="W1044" i="62"/>
  <c r="W1016" i="62"/>
  <c r="W988" i="62"/>
  <c r="U1359" i="62"/>
  <c r="U1312" i="62"/>
  <c r="U1253" i="62"/>
  <c r="U1198" i="62"/>
  <c r="U1087" i="62"/>
  <c r="U1085" i="62"/>
  <c r="U1027" i="62"/>
  <c r="U917" i="62"/>
  <c r="U855" i="62"/>
  <c r="U853" i="62"/>
  <c r="U744" i="62"/>
  <c r="U733" i="62"/>
  <c r="U675" i="62"/>
  <c r="U618" i="62"/>
  <c r="U550" i="62"/>
  <c r="U489" i="62"/>
  <c r="U427" i="62"/>
  <c r="U417" i="62"/>
  <c r="U353" i="62"/>
  <c r="U293" i="62"/>
  <c r="U227" i="62"/>
  <c r="U161" i="62"/>
  <c r="U103" i="62"/>
  <c r="V1365" i="62"/>
  <c r="V1308" i="62"/>
  <c r="V1248" i="62"/>
  <c r="V1178" i="62"/>
  <c r="V1116" i="62"/>
  <c r="V1114" i="62"/>
  <c r="V1044" i="62"/>
  <c r="V982" i="62"/>
  <c r="V922" i="62"/>
  <c r="V904" i="62"/>
  <c r="V838" i="62"/>
  <c r="V822" i="62"/>
  <c r="V753" i="62"/>
  <c r="V733" i="62"/>
  <c r="V657" i="62"/>
  <c r="V635" i="62"/>
  <c r="V618" i="62"/>
  <c r="V541" i="62"/>
  <c r="V521" i="62"/>
  <c r="V503" i="62"/>
  <c r="V423" i="62"/>
  <c r="V402" i="62"/>
  <c r="V374" i="62"/>
  <c r="V354" i="62"/>
  <c r="V331" i="62"/>
  <c r="V249" i="62"/>
  <c r="V223" i="62"/>
  <c r="V198" i="62"/>
  <c r="V172" i="62"/>
  <c r="V144" i="62"/>
  <c r="V118" i="62"/>
  <c r="W1363" i="62"/>
  <c r="W1341" i="62"/>
  <c r="W1317" i="62"/>
  <c r="W1231" i="62"/>
  <c r="W1205" i="62"/>
  <c r="W1178" i="62"/>
  <c r="W1153" i="62"/>
  <c r="W1123" i="62"/>
  <c r="W1099" i="62"/>
  <c r="W1072" i="62"/>
  <c r="W1045" i="62"/>
  <c r="W1017" i="62"/>
  <c r="W991" i="62"/>
  <c r="W965" i="62"/>
  <c r="W937" i="62"/>
  <c r="W911" i="62"/>
  <c r="W825" i="62"/>
  <c r="W800" i="62"/>
  <c r="W773" i="62"/>
  <c r="W745" i="62"/>
  <c r="W719" i="62"/>
  <c r="W692" i="62"/>
  <c r="W664" i="62"/>
  <c r="W633" i="62"/>
  <c r="W604" i="62"/>
  <c r="W574" i="62"/>
  <c r="W543" i="62"/>
  <c r="W512" i="62"/>
  <c r="W483" i="62"/>
  <c r="W452" i="62"/>
  <c r="W423" i="62"/>
  <c r="W391" i="62"/>
  <c r="W362" i="62"/>
  <c r="W332" i="62"/>
  <c r="W359" i="62"/>
  <c r="W328" i="62"/>
  <c r="W299" i="62"/>
  <c r="W269" i="62"/>
  <c r="W239" i="62"/>
  <c r="W207" i="62"/>
  <c r="W178" i="62"/>
  <c r="W148" i="62"/>
  <c r="W116" i="62"/>
  <c r="X1356" i="62"/>
  <c r="X1327" i="62"/>
  <c r="X1297" i="62"/>
  <c r="X1264" i="62"/>
  <c r="X1288" i="62"/>
  <c r="X1256" i="62"/>
  <c r="X1223" i="62"/>
  <c r="X1190" i="62"/>
  <c r="X1156" i="62"/>
  <c r="X1124" i="62"/>
  <c r="X1091" i="62"/>
  <c r="X1058" i="62"/>
  <c r="X1082" i="62"/>
  <c r="X1050" i="62"/>
  <c r="X1017" i="62"/>
  <c r="X984" i="62"/>
  <c r="X950" i="62"/>
  <c r="X918" i="62"/>
  <c r="X885" i="62"/>
  <c r="X910" i="62"/>
  <c r="X876" i="62"/>
  <c r="X844" i="62"/>
  <c r="X811" i="62"/>
  <c r="X778" i="62"/>
  <c r="X744" i="62"/>
  <c r="X712" i="62"/>
  <c r="X737" i="62"/>
  <c r="X704" i="62"/>
  <c r="X670" i="62"/>
  <c r="X638" i="62"/>
  <c r="X605" i="62"/>
  <c r="X572" i="62"/>
  <c r="X538" i="62"/>
  <c r="X506" i="62"/>
  <c r="X531" i="62"/>
  <c r="X498" i="62"/>
  <c r="X464" i="62"/>
  <c r="X432" i="62"/>
  <c r="X399" i="62"/>
  <c r="X366" i="62"/>
  <c r="X332" i="62"/>
  <c r="X358" i="62"/>
  <c r="X325" i="62"/>
  <c r="X292" i="62"/>
  <c r="X258" i="62"/>
  <c r="X226" i="62"/>
  <c r="X193" i="62"/>
  <c r="X160" i="62"/>
  <c r="X184" i="62"/>
  <c r="X152" i="62"/>
  <c r="X119" i="62"/>
  <c r="U1360" i="62"/>
  <c r="U1313" i="62"/>
  <c r="U1257" i="62"/>
  <c r="U1199" i="62"/>
  <c r="U1088" i="62"/>
  <c r="U1035" i="62"/>
  <c r="U970" i="62"/>
  <c r="U918" i="62"/>
  <c r="U862" i="62"/>
  <c r="U797" i="62"/>
  <c r="U745" i="62"/>
  <c r="U682" i="62"/>
  <c r="U676" i="62"/>
  <c r="U619" i="62"/>
  <c r="U554" i="62"/>
  <c r="U490" i="62"/>
  <c r="U428" i="62"/>
  <c r="U365" i="62"/>
  <c r="U354" i="62"/>
  <c r="U296" i="62"/>
  <c r="U232" i="62"/>
  <c r="U164" i="62"/>
  <c r="U104" i="62"/>
  <c r="V1372" i="62"/>
  <c r="V1309" i="62"/>
  <c r="V1249" i="62"/>
  <c r="V1184" i="62"/>
  <c r="V1117" i="62"/>
  <c r="V1057" i="62"/>
  <c r="V1052" i="62"/>
  <c r="V983" i="62"/>
  <c r="V924" i="62"/>
  <c r="V909" i="62"/>
  <c r="V839" i="62"/>
  <c r="V823" i="62"/>
  <c r="V758" i="62"/>
  <c r="V734" i="62"/>
  <c r="V658" i="62"/>
  <c r="V640" i="62"/>
  <c r="V564" i="62"/>
  <c r="V542" i="62"/>
  <c r="V522" i="62"/>
  <c r="V505" i="62"/>
  <c r="V425" i="62"/>
  <c r="V403" i="62"/>
  <c r="V375" i="62"/>
  <c r="V355" i="62"/>
  <c r="V275" i="62"/>
  <c r="V250" i="62"/>
  <c r="V224" i="62"/>
  <c r="V199" i="62"/>
  <c r="V175" i="62"/>
  <c r="V145" i="62"/>
  <c r="V119" i="62"/>
  <c r="W1366" i="62"/>
  <c r="W1343" i="62"/>
  <c r="W1260" i="62"/>
  <c r="W1232" i="62"/>
  <c r="W1207" i="62"/>
  <c r="W1180" i="62"/>
  <c r="W1154" i="62"/>
  <c r="W1124" i="62"/>
  <c r="W1100" i="62"/>
  <c r="W1074" i="62"/>
  <c r="W1046" i="62"/>
  <c r="W1018" i="62"/>
  <c r="W992" i="62"/>
  <c r="W968" i="62"/>
  <c r="W938" i="62"/>
  <c r="W854" i="62"/>
  <c r="W828" i="62"/>
  <c r="W802" i="62"/>
  <c r="W774" i="62"/>
  <c r="W746" i="62"/>
  <c r="W721" i="62"/>
  <c r="W694" i="62"/>
  <c r="W665" i="62"/>
  <c r="W634" i="62"/>
  <c r="W605" i="62"/>
  <c r="W576" i="62"/>
  <c r="W544" i="62"/>
  <c r="W513" i="62"/>
  <c r="W484" i="62"/>
  <c r="W455" i="62"/>
  <c r="W424" i="62"/>
  <c r="W392" i="62"/>
  <c r="W363" i="62"/>
  <c r="W334" i="62"/>
  <c r="W360" i="62"/>
  <c r="W329" i="62"/>
  <c r="W300" i="62"/>
  <c r="W271" i="62"/>
  <c r="W240" i="62"/>
  <c r="W208" i="62"/>
  <c r="W179" i="62"/>
  <c r="W150" i="62"/>
  <c r="W117" i="62"/>
  <c r="X1357" i="62"/>
  <c r="X1328" i="62"/>
  <c r="X1299" i="62"/>
  <c r="X1265" i="62"/>
  <c r="X1231" i="62"/>
  <c r="X1257" i="62"/>
  <c r="X1225" i="62"/>
  <c r="X1191" i="62"/>
  <c r="X1157" i="62"/>
  <c r="X1125" i="62"/>
  <c r="X1093" i="62"/>
  <c r="X1059" i="62"/>
  <c r="X1083" i="62"/>
  <c r="X1051" i="62"/>
  <c r="X1019" i="62"/>
  <c r="X985" i="62"/>
  <c r="X951" i="62"/>
  <c r="X919" i="62"/>
  <c r="X887" i="62"/>
  <c r="X911" i="62"/>
  <c r="X877" i="62"/>
  <c r="X845" i="62"/>
  <c r="X813" i="62"/>
  <c r="X779" i="62"/>
  <c r="X745" i="62"/>
  <c r="X713" i="62"/>
  <c r="X681" i="62"/>
  <c r="X705" i="62"/>
  <c r="X671" i="62"/>
  <c r="X639" i="62"/>
  <c r="X607" i="62"/>
  <c r="X573" i="62"/>
  <c r="X539" i="62"/>
  <c r="X507" i="62"/>
  <c r="X533" i="62"/>
  <c r="X499" i="62"/>
  <c r="X465" i="62"/>
  <c r="X433" i="62"/>
  <c r="X401" i="62"/>
  <c r="X367" i="62"/>
  <c r="X333" i="62"/>
  <c r="X359" i="62"/>
  <c r="X327" i="62"/>
  <c r="X293" i="62"/>
  <c r="X259" i="62"/>
  <c r="X227" i="62"/>
  <c r="X195" i="62"/>
  <c r="X161" i="62"/>
  <c r="X185" i="62"/>
  <c r="X153" i="62"/>
  <c r="X121" i="62"/>
  <c r="U1361" i="62"/>
  <c r="U1314" i="62"/>
  <c r="U1209" i="62"/>
  <c r="U1200" i="62"/>
  <c r="U1094" i="62"/>
  <c r="U1041" i="62"/>
  <c r="U975" i="62"/>
  <c r="U920" i="62"/>
  <c r="U867" i="62"/>
  <c r="U800" i="62"/>
  <c r="U746" i="62"/>
  <c r="U689" i="62"/>
  <c r="U677" i="62"/>
  <c r="U620" i="62"/>
  <c r="U507" i="62"/>
  <c r="U491" i="62"/>
  <c r="U433" i="62"/>
  <c r="U372" i="62"/>
  <c r="U359" i="62"/>
  <c r="U298" i="62"/>
  <c r="U237" i="62"/>
  <c r="U166" i="62"/>
  <c r="U105" i="62"/>
  <c r="V1321" i="62"/>
  <c r="V1310" i="62"/>
  <c r="V1250" i="62"/>
  <c r="V1192" i="62"/>
  <c r="V1118" i="62"/>
  <c r="V1060" i="62"/>
  <c r="V1001" i="62"/>
  <c r="V986" i="62"/>
  <c r="V927" i="62"/>
  <c r="V854" i="62"/>
  <c r="V840" i="62"/>
  <c r="V824" i="62"/>
  <c r="V759" i="62"/>
  <c r="V735" i="62"/>
  <c r="V659" i="62"/>
  <c r="V641" i="62"/>
  <c r="V565" i="62"/>
  <c r="V545" i="62"/>
  <c r="V523" i="62"/>
  <c r="V451" i="62"/>
  <c r="V426" i="62"/>
  <c r="V404" i="62"/>
  <c r="V377" i="62"/>
  <c r="V356" i="62"/>
  <c r="V276" i="62"/>
  <c r="V252" i="62"/>
  <c r="V225" i="62"/>
  <c r="V200" i="62"/>
  <c r="V176" i="62"/>
  <c r="V146" i="62"/>
  <c r="V120" i="62"/>
  <c r="W1367" i="62"/>
  <c r="W1289" i="62"/>
  <c r="W1261" i="62"/>
  <c r="W1233" i="62"/>
  <c r="W1209" i="62"/>
  <c r="W1181" i="62"/>
  <c r="W1155" i="62"/>
  <c r="W1125" i="62"/>
  <c r="W1101" i="62"/>
  <c r="W1075" i="62"/>
  <c r="W1047" i="62"/>
  <c r="W1019" i="62"/>
  <c r="W993" i="62"/>
  <c r="U1364" i="62"/>
  <c r="U1317" i="62"/>
  <c r="U1211" i="62"/>
  <c r="U1148" i="62"/>
  <c r="U1095" i="62"/>
  <c r="U1046" i="62"/>
  <c r="U979" i="62"/>
  <c r="U924" i="62"/>
  <c r="U868" i="62"/>
  <c r="U806" i="62"/>
  <c r="U747" i="62"/>
  <c r="U690" i="62"/>
  <c r="U622" i="62"/>
  <c r="U621" i="62"/>
  <c r="U508" i="62"/>
  <c r="U494" i="62"/>
  <c r="U434" i="62"/>
  <c r="U375" i="62"/>
  <c r="U304" i="62"/>
  <c r="U301" i="62"/>
  <c r="U240" i="62"/>
  <c r="U172" i="62"/>
  <c r="U108" i="62"/>
  <c r="V1322" i="62"/>
  <c r="V1315" i="62"/>
  <c r="V1251" i="62"/>
  <c r="V1193" i="62"/>
  <c r="V1121" i="62"/>
  <c r="V1061" i="62"/>
  <c r="V1003" i="62"/>
  <c r="V989" i="62"/>
  <c r="V929" i="62"/>
  <c r="V856" i="62"/>
  <c r="V841" i="62"/>
  <c r="V771" i="62"/>
  <c r="V760" i="62"/>
  <c r="V682" i="62"/>
  <c r="V660" i="62"/>
  <c r="V642" i="62"/>
  <c r="V566" i="62"/>
  <c r="V547" i="62"/>
  <c r="V524" i="62"/>
  <c r="V452" i="62"/>
  <c r="V429" i="62"/>
  <c r="V405" i="62"/>
  <c r="V380" i="62"/>
  <c r="V357" i="62"/>
  <c r="V278" i="62"/>
  <c r="V253" i="62"/>
  <c r="V227" i="62"/>
  <c r="V201" i="62"/>
  <c r="V177" i="62"/>
  <c r="V149" i="62"/>
  <c r="V121" i="62"/>
  <c r="W1368" i="62"/>
  <c r="W1290" i="62"/>
  <c r="W1263" i="62"/>
  <c r="W1234" i="62"/>
  <c r="W1210" i="62"/>
  <c r="W1184" i="62"/>
  <c r="W1156" i="62"/>
  <c r="W1128" i="62"/>
  <c r="W1102" i="62"/>
  <c r="W1077" i="62"/>
  <c r="W1048" i="62"/>
  <c r="W1021" i="62"/>
  <c r="W994" i="62"/>
  <c r="W912" i="62"/>
  <c r="W884" i="62"/>
  <c r="W856" i="62"/>
  <c r="W830" i="62"/>
  <c r="W804" i="62"/>
  <c r="W777" i="62"/>
  <c r="W748" i="62"/>
  <c r="W724" i="62"/>
  <c r="W698" i="62"/>
  <c r="W668" i="62"/>
  <c r="U1365" i="62"/>
  <c r="U1261" i="62"/>
  <c r="U1212" i="62"/>
  <c r="U1151" i="62"/>
  <c r="U1097" i="62"/>
  <c r="U1047" i="62"/>
  <c r="U982" i="62"/>
  <c r="U925" i="62"/>
  <c r="U869" i="62"/>
  <c r="U807" i="62"/>
  <c r="U748" i="62"/>
  <c r="U691" i="62"/>
  <c r="U623" i="62"/>
  <c r="U564" i="62"/>
  <c r="U509" i="62"/>
  <c r="U497" i="62"/>
  <c r="U435" i="62"/>
  <c r="U377" i="62"/>
  <c r="U306" i="62"/>
  <c r="U245" i="62"/>
  <c r="U241" i="62"/>
  <c r="U173" i="62"/>
  <c r="U109" i="62"/>
  <c r="V1323" i="62"/>
  <c r="V1316" i="62"/>
  <c r="V1252" i="62"/>
  <c r="V1194" i="62"/>
  <c r="V1126" i="62"/>
  <c r="V1062" i="62"/>
  <c r="V1004" i="62"/>
  <c r="V991" i="62"/>
  <c r="V930" i="62"/>
  <c r="V859" i="62"/>
  <c r="V846" i="62"/>
  <c r="V772" i="62"/>
  <c r="V761" i="62"/>
  <c r="V683" i="62"/>
  <c r="V665" i="62"/>
  <c r="V647" i="62"/>
  <c r="V568" i="62"/>
  <c r="V550" i="62"/>
  <c r="V529" i="62"/>
  <c r="V454" i="62"/>
  <c r="V430" i="62"/>
  <c r="V406" i="62"/>
  <c r="V384" i="62"/>
  <c r="V360" i="62"/>
  <c r="V280" i="62"/>
  <c r="V254" i="62"/>
  <c r="V231" i="62"/>
  <c r="V205" i="62"/>
  <c r="V178" i="62"/>
  <c r="V150" i="62"/>
  <c r="V124" i="62"/>
  <c r="W1371" i="62"/>
  <c r="W1291" i="62"/>
  <c r="W1265" i="62"/>
  <c r="W1237" i="62"/>
  <c r="W1212" i="62"/>
  <c r="W1185" i="62"/>
  <c r="W1157" i="62"/>
  <c r="W1131" i="62"/>
  <c r="W1104" i="62"/>
  <c r="W1079" i="62"/>
  <c r="W1049" i="62"/>
  <c r="W1025" i="62"/>
  <c r="W998" i="62"/>
  <c r="U1321" i="62"/>
  <c r="U1262" i="62"/>
  <c r="U1214" i="62"/>
  <c r="U1158" i="62"/>
  <c r="U1100" i="62"/>
  <c r="U1048" i="62"/>
  <c r="U989" i="62"/>
  <c r="U926" i="62"/>
  <c r="U870" i="62"/>
  <c r="U813" i="62"/>
  <c r="U749" i="62"/>
  <c r="U692" i="62"/>
  <c r="U634" i="62"/>
  <c r="U565" i="62"/>
  <c r="U510" i="62"/>
  <c r="U504" i="62"/>
  <c r="U436" i="62"/>
  <c r="U378" i="62"/>
  <c r="U311" i="62"/>
  <c r="U246" i="62"/>
  <c r="U242" i="62"/>
  <c r="U177" i="62"/>
  <c r="U110" i="62"/>
  <c r="V1324" i="62"/>
  <c r="V1266" i="62"/>
  <c r="V1253" i="62"/>
  <c r="V1195" i="62"/>
  <c r="V1133" i="62"/>
  <c r="V1063" i="62"/>
  <c r="V1005" i="62"/>
  <c r="V998" i="62"/>
  <c r="V931" i="62"/>
  <c r="V865" i="62"/>
  <c r="V847" i="62"/>
  <c r="V776" i="62"/>
  <c r="V762" i="62"/>
  <c r="V684" i="62"/>
  <c r="V666" i="62"/>
  <c r="V650" i="62"/>
  <c r="V570" i="62"/>
  <c r="V552" i="62"/>
  <c r="V534" i="62"/>
  <c r="V456" i="62"/>
  <c r="V431" i="62"/>
  <c r="V407" i="62"/>
  <c r="V386" i="62"/>
  <c r="V304" i="62"/>
  <c r="V281" i="62"/>
  <c r="V255" i="62"/>
  <c r="V232" i="62"/>
  <c r="V207" i="62"/>
  <c r="V179" i="62"/>
  <c r="V151" i="62"/>
  <c r="V125" i="62"/>
  <c r="W1319" i="62"/>
  <c r="W1292" i="62"/>
  <c r="W1266" i="62"/>
  <c r="W1240" i="62"/>
  <c r="W1214" i="62"/>
  <c r="W1186" i="62"/>
  <c r="W1158" i="62"/>
  <c r="W1133" i="62"/>
  <c r="W1106" i="62"/>
  <c r="W1080" i="62"/>
  <c r="W1050" i="62"/>
  <c r="W1026" i="62"/>
  <c r="W942" i="62"/>
  <c r="U1328" i="62"/>
  <c r="U1267" i="62"/>
  <c r="U1217" i="62"/>
  <c r="U1165" i="62"/>
  <c r="U1103" i="62"/>
  <c r="U1049" i="62"/>
  <c r="U993" i="62"/>
  <c r="U927" i="62"/>
  <c r="U871" i="62"/>
  <c r="U821" i="62"/>
  <c r="U750" i="62"/>
  <c r="U695" i="62"/>
  <c r="U639" i="62"/>
  <c r="U568" i="62"/>
  <c r="U512" i="62"/>
  <c r="U453" i="62"/>
  <c r="U438" i="62"/>
  <c r="U379" i="62"/>
  <c r="U317" i="62"/>
  <c r="U247" i="62"/>
  <c r="U243" i="62"/>
  <c r="U185" i="62"/>
  <c r="U111" i="62"/>
  <c r="V1329" i="62"/>
  <c r="V1271" i="62"/>
  <c r="V1258" i="62"/>
  <c r="V1197" i="62"/>
  <c r="V1138" i="62"/>
  <c r="V1065" i="62"/>
  <c r="V1006" i="62"/>
  <c r="V946" i="62"/>
  <c r="V932" i="62"/>
  <c r="V866" i="62"/>
  <c r="V848" i="62"/>
  <c r="V780" i="62"/>
  <c r="V763" i="62"/>
  <c r="V685" i="62"/>
  <c r="V667" i="62"/>
  <c r="V593" i="62"/>
  <c r="V571" i="62"/>
  <c r="V553" i="62"/>
  <c r="V477" i="62"/>
  <c r="V458" i="62"/>
  <c r="V433" i="62"/>
  <c r="V408" i="62"/>
  <c r="V388" i="62"/>
  <c r="V305" i="62"/>
  <c r="V283" i="62"/>
  <c r="V256" i="62"/>
  <c r="V234" i="62"/>
  <c r="V208" i="62"/>
  <c r="V180" i="62"/>
  <c r="V152" i="62"/>
  <c r="V126" i="62"/>
  <c r="W1320" i="62"/>
  <c r="W1293" i="62"/>
  <c r="W1267" i="62"/>
  <c r="W1241" i="62"/>
  <c r="W1215" i="62"/>
  <c r="W1187" i="62"/>
  <c r="W1159" i="62"/>
  <c r="W1135" i="62"/>
  <c r="W1107" i="62"/>
  <c r="W1081" i="62"/>
  <c r="W1051" i="62"/>
  <c r="W1027" i="62"/>
  <c r="W943" i="62"/>
  <c r="W915" i="62"/>
  <c r="W887" i="62"/>
  <c r="W861" i="62"/>
  <c r="W837" i="62"/>
  <c r="W807" i="62"/>
  <c r="W781" i="62"/>
  <c r="W755" i="62"/>
  <c r="W729" i="62"/>
  <c r="W701" i="62"/>
  <c r="W671" i="62"/>
  <c r="W642" i="62"/>
  <c r="W613" i="62"/>
  <c r="W581" i="62"/>
  <c r="W550" i="62"/>
  <c r="W521" i="62"/>
  <c r="W492" i="62"/>
  <c r="W461" i="62"/>
  <c r="W429" i="62"/>
  <c r="W400" i="62"/>
  <c r="W371" i="62"/>
  <c r="W339" i="62"/>
  <c r="W308" i="62"/>
  <c r="W279" i="62"/>
  <c r="W250" i="62"/>
  <c r="W219" i="62"/>
  <c r="W187" i="62"/>
  <c r="W158" i="62"/>
  <c r="W129" i="62"/>
  <c r="W155" i="62"/>
  <c r="W122" i="62"/>
  <c r="X1364" i="62"/>
  <c r="X1335" i="62"/>
  <c r="X1304" i="62"/>
  <c r="X1270" i="62"/>
  <c r="X1238" i="62"/>
  <c r="X1206" i="62"/>
  <c r="X1230" i="62"/>
  <c r="X1196" i="62"/>
  <c r="X1164" i="62"/>
  <c r="X1132" i="62"/>
  <c r="X1098" i="62"/>
  <c r="X1064" i="62"/>
  <c r="X1032" i="62"/>
  <c r="X1000" i="62"/>
  <c r="X1024" i="62"/>
  <c r="X990" i="62"/>
  <c r="X958" i="62"/>
  <c r="X926" i="62"/>
  <c r="X892" i="62"/>
  <c r="X858" i="62"/>
  <c r="X826" i="62"/>
  <c r="X852" i="62"/>
  <c r="X818" i="62"/>
  <c r="X784" i="62"/>
  <c r="X752" i="62"/>
  <c r="X720" i="62"/>
  <c r="X686" i="62"/>
  <c r="X652" i="62"/>
  <c r="X678" i="62"/>
  <c r="X646" i="62"/>
  <c r="X612" i="62"/>
  <c r="X578" i="62"/>
  <c r="X546" i="62"/>
  <c r="X514" i="62"/>
  <c r="X480" i="62"/>
  <c r="X504" i="62"/>
  <c r="X472" i="62"/>
  <c r="X440" i="62"/>
  <c r="X406" i="62"/>
  <c r="X372" i="62"/>
  <c r="X340" i="62"/>
  <c r="X308" i="62"/>
  <c r="X274" i="62"/>
  <c r="X298" i="62"/>
  <c r="X266" i="62"/>
  <c r="X234" i="62"/>
  <c r="X200" i="62"/>
  <c r="X166" i="62"/>
  <c r="X134" i="62"/>
  <c r="X102" i="62"/>
  <c r="X126" i="62"/>
  <c r="U1107" i="62"/>
  <c r="U822" i="62"/>
  <c r="U514" i="62"/>
  <c r="U250" i="62"/>
  <c r="V1275" i="62"/>
  <c r="V1007" i="62"/>
  <c r="V783" i="62"/>
  <c r="V574" i="62"/>
  <c r="V409" i="62"/>
  <c r="V235" i="62"/>
  <c r="W1321" i="62"/>
  <c r="W1189" i="62"/>
  <c r="W1062" i="62"/>
  <c r="W1012" i="62"/>
  <c r="W960" i="62"/>
  <c r="W886" i="62"/>
  <c r="W873" i="62"/>
  <c r="W853" i="62"/>
  <c r="W780" i="62"/>
  <c r="W765" i="62"/>
  <c r="W688" i="62"/>
  <c r="W670" i="62"/>
  <c r="W650" i="62"/>
  <c r="W564" i="62"/>
  <c r="W542" i="62"/>
  <c r="W520" i="62"/>
  <c r="W497" i="62"/>
  <c r="W472" i="62"/>
  <c r="W390" i="62"/>
  <c r="W370" i="62"/>
  <c r="W345" i="62"/>
  <c r="W322" i="62"/>
  <c r="W296" i="62"/>
  <c r="W218" i="62"/>
  <c r="W195" i="62"/>
  <c r="W170" i="62"/>
  <c r="W146" i="62"/>
  <c r="W121" i="62"/>
  <c r="X1371" i="62"/>
  <c r="X1289" i="62"/>
  <c r="X1263" i="62"/>
  <c r="X1237" i="62"/>
  <c r="X1211" i="62"/>
  <c r="X1183" i="62"/>
  <c r="X1155" i="62"/>
  <c r="X1131" i="62"/>
  <c r="X1103" i="62"/>
  <c r="X1077" i="62"/>
  <c r="X1047" i="62"/>
  <c r="X1023" i="62"/>
  <c r="X997" i="62"/>
  <c r="X969" i="62"/>
  <c r="X883" i="62"/>
  <c r="X857" i="62"/>
  <c r="X833" i="62"/>
  <c r="X803" i="62"/>
  <c r="X777" i="62"/>
  <c r="X751" i="62"/>
  <c r="X725" i="62"/>
  <c r="X697" i="62"/>
  <c r="X669" i="62"/>
  <c r="X645" i="62"/>
  <c r="X617" i="62"/>
  <c r="X591" i="62"/>
  <c r="X561" i="62"/>
  <c r="X479" i="62"/>
  <c r="X453" i="62"/>
  <c r="X425" i="62"/>
  <c r="X397" i="62"/>
  <c r="X371" i="62"/>
  <c r="X347" i="62"/>
  <c r="X317" i="62"/>
  <c r="X291" i="62"/>
  <c r="X265" i="62"/>
  <c r="X239" i="62"/>
  <c r="X211" i="62"/>
  <c r="X183" i="62"/>
  <c r="X101" i="62"/>
  <c r="U1345" i="62"/>
  <c r="U1074" i="62"/>
  <c r="U782" i="62"/>
  <c r="U482" i="62"/>
  <c r="U272" i="62"/>
  <c r="V1287" i="62"/>
  <c r="V975" i="62"/>
  <c r="V739" i="62"/>
  <c r="V590" i="62"/>
  <c r="V369" i="62"/>
  <c r="V190" i="62"/>
  <c r="W1331" i="62"/>
  <c r="W1200" i="62"/>
  <c r="W1065" i="62"/>
  <c r="W1013" i="62"/>
  <c r="W961" i="62"/>
  <c r="W889" i="62"/>
  <c r="W874" i="62"/>
  <c r="W797" i="62"/>
  <c r="W782" i="62"/>
  <c r="W766" i="62"/>
  <c r="W689" i="62"/>
  <c r="W672" i="62"/>
  <c r="W593" i="62"/>
  <c r="W568" i="62"/>
  <c r="W545" i="62"/>
  <c r="W522" i="62"/>
  <c r="W499" i="62"/>
  <c r="W475" i="62"/>
  <c r="W393" i="62"/>
  <c r="W372" i="62"/>
  <c r="W349" i="62"/>
  <c r="W324" i="62"/>
  <c r="W301" i="62"/>
  <c r="W220" i="62"/>
  <c r="W197" i="62"/>
  <c r="W171" i="62"/>
  <c r="W151" i="62"/>
  <c r="W123" i="62"/>
  <c r="X1372" i="62"/>
  <c r="X1292" i="62"/>
  <c r="X1266" i="62"/>
  <c r="X1239" i="62"/>
  <c r="X1212" i="62"/>
  <c r="X1185" i="62"/>
  <c r="X1158" i="62"/>
  <c r="X1133" i="62"/>
  <c r="X1106" i="62"/>
  <c r="X1078" i="62"/>
  <c r="X1052" i="62"/>
  <c r="X1025" i="62"/>
  <c r="X941" i="62"/>
  <c r="X912" i="62"/>
  <c r="X888" i="62"/>
  <c r="X859" i="62"/>
  <c r="X834" i="62"/>
  <c r="X806" i="62"/>
  <c r="X780" i="62"/>
  <c r="X753" i="62"/>
  <c r="X726" i="62"/>
  <c r="X699" i="62"/>
  <c r="X672" i="62"/>
  <c r="X647" i="62"/>
  <c r="X620" i="62"/>
  <c r="X592" i="62"/>
  <c r="X508" i="62"/>
  <c r="X481" i="62"/>
  <c r="X455" i="62"/>
  <c r="X426" i="62"/>
  <c r="X402" i="62"/>
  <c r="X373" i="62"/>
  <c r="X348" i="62"/>
  <c r="X320" i="62"/>
  <c r="X294" i="62"/>
  <c r="X267" i="62"/>
  <c r="X240" i="62"/>
  <c r="X213" i="62"/>
  <c r="X186" i="62"/>
  <c r="X103" i="62"/>
  <c r="U1347" i="62"/>
  <c r="U1075" i="62"/>
  <c r="U783" i="62"/>
  <c r="U483" i="62"/>
  <c r="U273" i="62"/>
  <c r="V1232" i="62"/>
  <c r="V976" i="62"/>
  <c r="V740" i="62"/>
  <c r="V592" i="62"/>
  <c r="V370" i="62"/>
  <c r="V192" i="62"/>
  <c r="W1334" i="62"/>
  <c r="W1146" i="62"/>
  <c r="W1066" i="62"/>
  <c r="W970" i="62"/>
  <c r="W962" i="62"/>
  <c r="W894" i="62"/>
  <c r="W875" i="62"/>
  <c r="W798" i="62"/>
  <c r="W786" i="62"/>
  <c r="W709" i="62"/>
  <c r="W690" i="62"/>
  <c r="W676" i="62"/>
  <c r="W594" i="62"/>
  <c r="W569" i="62"/>
  <c r="W546" i="62"/>
  <c r="W526" i="62"/>
  <c r="W500" i="62"/>
  <c r="W419" i="62"/>
  <c r="W394" i="62"/>
  <c r="W374" i="62"/>
  <c r="W350" i="62"/>
  <c r="W325" i="62"/>
  <c r="W302" i="62"/>
  <c r="W222" i="62"/>
  <c r="W200" i="62"/>
  <c r="W172" i="62"/>
  <c r="W152" i="62"/>
  <c r="W128" i="62"/>
  <c r="X1318" i="62"/>
  <c r="X1293" i="62"/>
  <c r="X1267" i="62"/>
  <c r="X1243" i="62"/>
  <c r="X1213" i="62"/>
  <c r="X1187" i="62"/>
  <c r="X1159" i="62"/>
  <c r="X1135" i="62"/>
  <c r="X1107" i="62"/>
  <c r="X1079" i="62"/>
  <c r="X1053" i="62"/>
  <c r="X1027" i="62"/>
  <c r="X943" i="62"/>
  <c r="X913" i="62"/>
  <c r="X889" i="62"/>
  <c r="X863" i="62"/>
  <c r="X835" i="62"/>
  <c r="X807" i="62"/>
  <c r="X781" i="62"/>
  <c r="X757" i="62"/>
  <c r="X727" i="62"/>
  <c r="X701" i="62"/>
  <c r="X673" i="62"/>
  <c r="X649" i="62"/>
  <c r="X621" i="62"/>
  <c r="X535" i="62"/>
  <c r="X509" i="62"/>
  <c r="X483" i="62"/>
  <c r="X457" i="62"/>
  <c r="X427" i="62"/>
  <c r="X403" i="62"/>
  <c r="X377" i="62"/>
  <c r="X349" i="62"/>
  <c r="X321" i="62"/>
  <c r="X295" i="62"/>
  <c r="X271" i="62"/>
  <c r="X241" i="62"/>
  <c r="X215" i="62"/>
  <c r="X129" i="62"/>
  <c r="X105" i="62"/>
  <c r="U1353" i="62"/>
  <c r="U1077" i="62"/>
  <c r="U740" i="62"/>
  <c r="U485" i="62"/>
  <c r="U217" i="62"/>
  <c r="V1246" i="62"/>
  <c r="V978" i="62"/>
  <c r="V746" i="62"/>
  <c r="V537" i="62"/>
  <c r="V372" i="62"/>
  <c r="V194" i="62"/>
  <c r="W1338" i="62"/>
  <c r="W1149" i="62"/>
  <c r="W1067" i="62"/>
  <c r="W975" i="62"/>
  <c r="W969" i="62"/>
  <c r="W895" i="62"/>
  <c r="W876" i="62"/>
  <c r="W803" i="62"/>
  <c r="W787" i="62"/>
  <c r="W710" i="62"/>
  <c r="W695" i="62"/>
  <c r="W677" i="62"/>
  <c r="W595" i="62"/>
  <c r="W570" i="62"/>
  <c r="W548" i="62"/>
  <c r="W527" i="62"/>
  <c r="W501" i="62"/>
  <c r="W420" i="62"/>
  <c r="W398" i="62"/>
  <c r="W375" i="62"/>
  <c r="W351" i="62"/>
  <c r="W326" i="62"/>
  <c r="W246" i="62"/>
  <c r="W223" i="62"/>
  <c r="W201" i="62"/>
  <c r="W174" i="62"/>
  <c r="W153" i="62"/>
  <c r="X1344" i="62"/>
  <c r="X1319" i="62"/>
  <c r="X1294" i="62"/>
  <c r="X1268" i="62"/>
  <c r="X1244" i="62"/>
  <c r="X1214" i="62"/>
  <c r="X1188" i="62"/>
  <c r="X1162" i="62"/>
  <c r="X1136" i="62"/>
  <c r="X1108" i="62"/>
  <c r="X1080" i="62"/>
  <c r="X1055" i="62"/>
  <c r="X970" i="62"/>
  <c r="X944" i="62"/>
  <c r="X914" i="62"/>
  <c r="X890" i="62"/>
  <c r="X864" i="62"/>
  <c r="X836" i="62"/>
  <c r="X808" i="62"/>
  <c r="X782" i="62"/>
  <c r="X758" i="62"/>
  <c r="X728" i="62"/>
  <c r="X702" i="62"/>
  <c r="X676" i="62"/>
  <c r="X650" i="62"/>
  <c r="X564" i="62"/>
  <c r="X536" i="62"/>
  <c r="X511" i="62"/>
  <c r="X484" i="62"/>
  <c r="X458" i="62"/>
  <c r="X428" i="62"/>
  <c r="X404" i="62"/>
  <c r="X378" i="62"/>
  <c r="X350" i="62"/>
  <c r="X322" i="62"/>
  <c r="X296" i="62"/>
  <c r="X272" i="62"/>
  <c r="X242" i="62"/>
  <c r="X158" i="62"/>
  <c r="X132" i="62"/>
  <c r="X106" i="62"/>
  <c r="U1330" i="62"/>
  <c r="U1051" i="62"/>
  <c r="U755" i="62"/>
  <c r="U454" i="62"/>
  <c r="U187" i="62"/>
  <c r="V1204" i="62"/>
  <c r="V947" i="62"/>
  <c r="V764" i="62"/>
  <c r="V554" i="62"/>
  <c r="V389" i="62"/>
  <c r="V210" i="62"/>
  <c r="W1296" i="62"/>
  <c r="W1160" i="62"/>
  <c r="W1082" i="62"/>
  <c r="W978" i="62"/>
  <c r="W913" i="62"/>
  <c r="W896" i="62"/>
  <c r="W877" i="62"/>
  <c r="W805" i="62"/>
  <c r="W788" i="62"/>
  <c r="W711" i="62"/>
  <c r="W699" i="62"/>
  <c r="W678" i="62"/>
  <c r="W596" i="62"/>
  <c r="W571" i="62"/>
  <c r="W549" i="62"/>
  <c r="W528" i="62"/>
  <c r="W502" i="62"/>
  <c r="W421" i="62"/>
  <c r="W399" i="62"/>
  <c r="W376" i="62"/>
  <c r="W352" i="62"/>
  <c r="W327" i="62"/>
  <c r="W249" i="62"/>
  <c r="W224" i="62"/>
  <c r="W202" i="62"/>
  <c r="W175" i="62"/>
  <c r="W154" i="62"/>
  <c r="X1345" i="62"/>
  <c r="X1320" i="62"/>
  <c r="X1295" i="62"/>
  <c r="X1269" i="62"/>
  <c r="X1245" i="62"/>
  <c r="X1215" i="62"/>
  <c r="X1189" i="62"/>
  <c r="X1163" i="62"/>
  <c r="X1137" i="62"/>
  <c r="X1109" i="62"/>
  <c r="X1081" i="62"/>
  <c r="X999" i="62"/>
  <c r="X971" i="62"/>
  <c r="X945" i="62"/>
  <c r="X915" i="62"/>
  <c r="X891" i="62"/>
  <c r="X865" i="62"/>
  <c r="X837" i="62"/>
  <c r="X809" i="62"/>
  <c r="X783" i="62"/>
  <c r="X759" i="62"/>
  <c r="X729" i="62"/>
  <c r="X703" i="62"/>
  <c r="X677" i="62"/>
  <c r="X593" i="62"/>
  <c r="X565" i="62"/>
  <c r="X537" i="62"/>
  <c r="X513" i="62"/>
  <c r="X485" i="62"/>
  <c r="X459" i="62"/>
  <c r="X429" i="62"/>
  <c r="X405" i="62"/>
  <c r="X379" i="62"/>
  <c r="X351" i="62"/>
  <c r="X323" i="62"/>
  <c r="X297" i="62"/>
  <c r="X273" i="62"/>
  <c r="X243" i="62"/>
  <c r="X159" i="62"/>
  <c r="X133" i="62"/>
  <c r="X107" i="62"/>
  <c r="U1290" i="62"/>
  <c r="U1020" i="62"/>
  <c r="U721" i="62"/>
  <c r="U469" i="62"/>
  <c r="U212" i="62"/>
  <c r="V1227" i="62"/>
  <c r="V965" i="62"/>
  <c r="V724" i="62"/>
  <c r="V515" i="62"/>
  <c r="V344" i="62"/>
  <c r="V161" i="62"/>
  <c r="W1308" i="62"/>
  <c r="W1168" i="62"/>
  <c r="W1085" i="62"/>
  <c r="W980" i="62"/>
  <c r="W914" i="62"/>
  <c r="W898" i="62"/>
  <c r="W878" i="62"/>
  <c r="W806" i="62"/>
  <c r="W792" i="62"/>
  <c r="W712" i="62"/>
  <c r="W700" i="62"/>
  <c r="W623" i="62"/>
  <c r="W597" i="62"/>
  <c r="W577" i="62"/>
  <c r="W551" i="62"/>
  <c r="W530" i="62"/>
  <c r="W505" i="62"/>
  <c r="W425" i="62"/>
  <c r="W401" i="62"/>
  <c r="W377" i="62"/>
  <c r="W354" i="62"/>
  <c r="W331" i="62"/>
  <c r="W251" i="62"/>
  <c r="W227" i="62"/>
  <c r="W203" i="62"/>
  <c r="W181" i="62"/>
  <c r="W156" i="62"/>
  <c r="X1347" i="62"/>
  <c r="X1321" i="62"/>
  <c r="X1300" i="62"/>
  <c r="X1271" i="62"/>
  <c r="X1246" i="62"/>
  <c r="X1218" i="62"/>
  <c r="X1192" i="62"/>
  <c r="X1165" i="62"/>
  <c r="X1138" i="62"/>
  <c r="X1111" i="62"/>
  <c r="X1084" i="62"/>
  <c r="X1001" i="62"/>
  <c r="X974" i="62"/>
  <c r="X946" i="62"/>
  <c r="X920" i="62"/>
  <c r="X893" i="62"/>
  <c r="X867" i="62"/>
  <c r="X838" i="62"/>
  <c r="X814" i="62"/>
  <c r="X785" i="62"/>
  <c r="X760" i="62"/>
  <c r="X732" i="62"/>
  <c r="X706" i="62"/>
  <c r="X679" i="62"/>
  <c r="X594" i="62"/>
  <c r="X567" i="62"/>
  <c r="X540" i="62"/>
  <c r="X515" i="62"/>
  <c r="X488" i="62"/>
  <c r="X460" i="62"/>
  <c r="X434" i="62"/>
  <c r="X407" i="62"/>
  <c r="X381" i="62"/>
  <c r="X352" i="62"/>
  <c r="X328" i="62"/>
  <c r="X299" i="62"/>
  <c r="X216" i="62"/>
  <c r="X188" i="62"/>
  <c r="X162" i="62"/>
  <c r="X135" i="62"/>
  <c r="X108" i="62"/>
  <c r="U1295" i="62"/>
  <c r="U1021" i="62"/>
  <c r="U723" i="62"/>
  <c r="U472" i="62"/>
  <c r="U213" i="62"/>
  <c r="V1228" i="62"/>
  <c r="V966" i="62"/>
  <c r="V726" i="62"/>
  <c r="V517" i="62"/>
  <c r="V346" i="62"/>
  <c r="V164" i="62"/>
  <c r="W1310" i="62"/>
  <c r="W1118" i="62"/>
  <c r="W1028" i="62"/>
  <c r="W981" i="62"/>
  <c r="W916" i="62"/>
  <c r="W900" i="62"/>
  <c r="W879" i="62"/>
  <c r="W810" i="62"/>
  <c r="W794" i="62"/>
  <c r="W713" i="62"/>
  <c r="W703" i="62"/>
  <c r="W625" i="62"/>
  <c r="W598" i="62"/>
  <c r="W578" i="62"/>
  <c r="W556" i="62"/>
  <c r="W531" i="62"/>
  <c r="W448" i="62"/>
  <c r="W426" i="62"/>
  <c r="W406" i="62"/>
  <c r="W378" i="62"/>
  <c r="W356" i="62"/>
  <c r="W274" i="62"/>
  <c r="W253" i="62"/>
  <c r="W228" i="62"/>
  <c r="W204" i="62"/>
  <c r="W182" i="62"/>
  <c r="W100" i="62"/>
  <c r="X1349" i="62"/>
  <c r="X1322" i="62"/>
  <c r="X1301" i="62"/>
  <c r="X1275" i="62"/>
  <c r="X1247" i="62"/>
  <c r="X1219" i="62"/>
  <c r="X1193" i="62"/>
  <c r="X1169" i="62"/>
  <c r="X1139" i="62"/>
  <c r="X1113" i="62"/>
  <c r="X1085" i="62"/>
  <c r="X1003" i="62"/>
  <c r="X975" i="62"/>
  <c r="X947" i="62"/>
  <c r="X921" i="62"/>
  <c r="X895" i="62"/>
  <c r="X869" i="62"/>
  <c r="X839" i="62"/>
  <c r="X815" i="62"/>
  <c r="X789" i="62"/>
  <c r="X761" i="62"/>
  <c r="X733" i="62"/>
  <c r="X707" i="62"/>
  <c r="X625" i="62"/>
  <c r="X595" i="62"/>
  <c r="X569" i="62"/>
  <c r="X541" i="62"/>
  <c r="X517" i="62"/>
  <c r="X489" i="62"/>
  <c r="X461" i="62"/>
  <c r="X435" i="62"/>
  <c r="X409" i="62"/>
  <c r="X383" i="62"/>
  <c r="X353" i="62"/>
  <c r="X329" i="62"/>
  <c r="X245" i="62"/>
  <c r="X217" i="62"/>
  <c r="X189" i="62"/>
  <c r="X163" i="62"/>
  <c r="X139" i="62"/>
  <c r="X109" i="62"/>
  <c r="U1308" i="62"/>
  <c r="U1025" i="62"/>
  <c r="U728" i="62"/>
  <c r="U423" i="62"/>
  <c r="U159" i="62"/>
  <c r="V1173" i="62"/>
  <c r="V920" i="62"/>
  <c r="V729" i="62"/>
  <c r="V519" i="62"/>
  <c r="V348" i="62"/>
  <c r="V168" i="62"/>
  <c r="W1313" i="62"/>
  <c r="W1119" i="62"/>
  <c r="W1034" i="62"/>
  <c r="W983" i="62"/>
  <c r="W918" i="62"/>
  <c r="W901" i="62"/>
  <c r="W880" i="62"/>
  <c r="W812" i="62"/>
  <c r="W795" i="62"/>
  <c r="W716" i="62"/>
  <c r="W706" i="62"/>
  <c r="W626" i="62"/>
  <c r="W599" i="62"/>
  <c r="W579" i="62"/>
  <c r="W557" i="62"/>
  <c r="W532" i="62"/>
  <c r="W449" i="62"/>
  <c r="W427" i="62"/>
  <c r="W407" i="62"/>
  <c r="W380" i="62"/>
  <c r="W357" i="62"/>
  <c r="W277" i="62"/>
  <c r="W255" i="62"/>
  <c r="W230" i="62"/>
  <c r="W205" i="62"/>
  <c r="W184" i="62"/>
  <c r="W101" i="62"/>
  <c r="X1350" i="62"/>
  <c r="X1323" i="62"/>
  <c r="X1302" i="62"/>
  <c r="X1276" i="62"/>
  <c r="X1248" i="62"/>
  <c r="X1220" i="62"/>
  <c r="X1194" i="62"/>
  <c r="X1170" i="62"/>
  <c r="X1140" i="62"/>
  <c r="X1114" i="62"/>
  <c r="X1030" i="62"/>
  <c r="X1004" i="62"/>
  <c r="X976" i="62"/>
  <c r="X948" i="62"/>
  <c r="X923" i="62"/>
  <c r="X896" i="62"/>
  <c r="X870" i="62"/>
  <c r="X840" i="62"/>
  <c r="X816" i="62"/>
  <c r="X790" i="62"/>
  <c r="X762" i="62"/>
  <c r="X734" i="62"/>
  <c r="X708" i="62"/>
  <c r="X626" i="62"/>
  <c r="X596" i="62"/>
  <c r="X570" i="62"/>
  <c r="X544" i="62"/>
  <c r="X518" i="62"/>
  <c r="X490" i="62"/>
  <c r="X462" i="62"/>
  <c r="X437" i="62"/>
  <c r="X410" i="62"/>
  <c r="X384" i="62"/>
  <c r="X354" i="62"/>
  <c r="X330" i="62"/>
  <c r="X246" i="62"/>
  <c r="X218" i="62"/>
  <c r="X190" i="62"/>
  <c r="X164" i="62"/>
  <c r="X140" i="62"/>
  <c r="X110" i="62"/>
  <c r="U1270" i="62"/>
  <c r="U996" i="62"/>
  <c r="U696" i="62"/>
  <c r="U442" i="62"/>
  <c r="U186" i="62"/>
  <c r="V1201" i="62"/>
  <c r="V935" i="62"/>
  <c r="V687" i="62"/>
  <c r="V478" i="62"/>
  <c r="V309" i="62"/>
  <c r="V181" i="62"/>
  <c r="W1268" i="62"/>
  <c r="W1121" i="62"/>
  <c r="W1035" i="62"/>
  <c r="W985" i="62"/>
  <c r="W919" i="62"/>
  <c r="W904" i="62"/>
  <c r="W829" i="62"/>
  <c r="W813" i="62"/>
  <c r="W739" i="62"/>
  <c r="W723" i="62"/>
  <c r="W707" i="62"/>
  <c r="W627" i="62"/>
  <c r="W600" i="62"/>
  <c r="W580" i="62"/>
  <c r="W558" i="62"/>
  <c r="W533" i="62"/>
  <c r="W450" i="62"/>
  <c r="W428" i="62"/>
  <c r="W408" i="62"/>
  <c r="W381" i="62"/>
  <c r="W358" i="62"/>
  <c r="W278" i="62"/>
  <c r="W256" i="62"/>
  <c r="W231" i="62"/>
  <c r="W206" i="62"/>
  <c r="W186" i="62"/>
  <c r="W102" i="62"/>
  <c r="X1351" i="62"/>
  <c r="X1324" i="62"/>
  <c r="X1303" i="62"/>
  <c r="X1277" i="62"/>
  <c r="X1249" i="62"/>
  <c r="X1221" i="62"/>
  <c r="X1195" i="62"/>
  <c r="X1171" i="62"/>
  <c r="X1141" i="62"/>
  <c r="X1057" i="62"/>
  <c r="X1031" i="62"/>
  <c r="X1005" i="62"/>
  <c r="X977" i="62"/>
  <c r="X949" i="62"/>
  <c r="X925" i="62"/>
  <c r="X897" i="62"/>
  <c r="X871" i="62"/>
  <c r="X841" i="62"/>
  <c r="X817" i="62"/>
  <c r="X791" i="62"/>
  <c r="X763" i="62"/>
  <c r="X735" i="62"/>
  <c r="X651" i="62"/>
  <c r="X627" i="62"/>
  <c r="X597" i="62"/>
  <c r="X571" i="62"/>
  <c r="X545" i="62"/>
  <c r="X519" i="62"/>
  <c r="X491" i="62"/>
  <c r="X463" i="62"/>
  <c r="X439" i="62"/>
  <c r="X411" i="62"/>
  <c r="X385" i="62"/>
  <c r="X355" i="62"/>
  <c r="X331" i="62"/>
  <c r="X247" i="62"/>
  <c r="X219" i="62"/>
  <c r="X191" i="62"/>
  <c r="X165" i="62"/>
  <c r="X141" i="62"/>
  <c r="X111" i="62"/>
  <c r="U1237" i="62"/>
  <c r="U956" i="62"/>
  <c r="U665" i="62"/>
  <c r="U408" i="62"/>
  <c r="U142" i="62"/>
  <c r="V1168" i="62"/>
  <c r="V897" i="62"/>
  <c r="V706" i="62"/>
  <c r="V492" i="62"/>
  <c r="V319" i="62"/>
  <c r="V137" i="62"/>
  <c r="W1283" i="62"/>
  <c r="W1136" i="62"/>
  <c r="W1036" i="62"/>
  <c r="W986" i="62"/>
  <c r="W922" i="62"/>
  <c r="W905" i="62"/>
  <c r="W833" i="62"/>
  <c r="W815" i="62"/>
  <c r="W741" i="62"/>
  <c r="W726" i="62"/>
  <c r="W708" i="62"/>
  <c r="W629" i="62"/>
  <c r="W606" i="62"/>
  <c r="W582" i="62"/>
  <c r="W560" i="62"/>
  <c r="W534" i="62"/>
  <c r="W456" i="62"/>
  <c r="W430" i="62"/>
  <c r="W409" i="62"/>
  <c r="W384" i="62"/>
  <c r="W304" i="62"/>
  <c r="W280" i="62"/>
  <c r="W257" i="62"/>
  <c r="W233" i="62"/>
  <c r="W209" i="62"/>
  <c r="W130" i="62"/>
  <c r="W106" i="62"/>
  <c r="X1352" i="62"/>
  <c r="X1329" i="62"/>
  <c r="X1305" i="62"/>
  <c r="X1279" i="62"/>
  <c r="X1250" i="62"/>
  <c r="X1226" i="62"/>
  <c r="X1197" i="62"/>
  <c r="X1172" i="62"/>
  <c r="X1086" i="62"/>
  <c r="X1060" i="62"/>
  <c r="X1033" i="62"/>
  <c r="X1006" i="62"/>
  <c r="X979" i="62"/>
  <c r="X952" i="62"/>
  <c r="X927" i="62"/>
  <c r="X900" i="62"/>
  <c r="X872" i="62"/>
  <c r="X846" i="62"/>
  <c r="X819" i="62"/>
  <c r="X793" i="62"/>
  <c r="X764" i="62"/>
  <c r="X682" i="62"/>
  <c r="X653" i="62"/>
  <c r="X628" i="62"/>
  <c r="X600" i="62"/>
  <c r="X574" i="62"/>
  <c r="X547" i="62"/>
  <c r="X520" i="62"/>
  <c r="X493" i="62"/>
  <c r="X466" i="62"/>
  <c r="X441" i="62"/>
  <c r="X414" i="62"/>
  <c r="X386" i="62"/>
  <c r="X360" i="62"/>
  <c r="X275" i="62"/>
  <c r="X249" i="62"/>
  <c r="X220" i="62"/>
  <c r="X196" i="62"/>
  <c r="X167" i="62"/>
  <c r="X142" i="62"/>
  <c r="X114" i="62"/>
  <c r="U1238" i="62"/>
  <c r="U957" i="62"/>
  <c r="U666" i="62"/>
  <c r="U409" i="62"/>
  <c r="U143" i="62"/>
  <c r="V1170" i="62"/>
  <c r="V898" i="62"/>
  <c r="V707" i="62"/>
  <c r="V494" i="62"/>
  <c r="V323" i="62"/>
  <c r="V139" i="62"/>
  <c r="W1285" i="62"/>
  <c r="W1141" i="62"/>
  <c r="W1039" i="62"/>
  <c r="W987" i="62"/>
  <c r="W925" i="62"/>
  <c r="W906" i="62"/>
  <c r="W836" i="62"/>
  <c r="W819" i="62"/>
  <c r="W742" i="62"/>
  <c r="W728" i="62"/>
  <c r="W653" i="62"/>
  <c r="W630" i="62"/>
  <c r="W607" i="62"/>
  <c r="W584" i="62"/>
  <c r="W562" i="62"/>
  <c r="W477" i="62"/>
  <c r="W457" i="62"/>
  <c r="W434" i="62"/>
  <c r="W410" i="62"/>
  <c r="W385" i="62"/>
  <c r="W305" i="62"/>
  <c r="W284" i="62"/>
  <c r="W258" i="62"/>
  <c r="W235" i="62"/>
  <c r="W210" i="62"/>
  <c r="W132" i="62"/>
  <c r="W107" i="62"/>
  <c r="X1353" i="62"/>
  <c r="X1330" i="62"/>
  <c r="X1307" i="62"/>
  <c r="X1281" i="62"/>
  <c r="X1251" i="62"/>
  <c r="X1227" i="62"/>
  <c r="X1201" i="62"/>
  <c r="X1115" i="62"/>
  <c r="X1087" i="62"/>
  <c r="X1061" i="62"/>
  <c r="X1037" i="62"/>
  <c r="X1007" i="62"/>
  <c r="X981" i="62"/>
  <c r="X953" i="62"/>
  <c r="X929" i="62"/>
  <c r="X901" i="62"/>
  <c r="X873" i="62"/>
  <c r="X847" i="62"/>
  <c r="X821" i="62"/>
  <c r="X795" i="62"/>
  <c r="X765" i="62"/>
  <c r="X683" i="62"/>
  <c r="X657" i="62"/>
  <c r="X629" i="62"/>
  <c r="X601" i="62"/>
  <c r="X575" i="62"/>
  <c r="X551" i="62"/>
  <c r="X521" i="62"/>
  <c r="X495" i="62"/>
  <c r="X467" i="62"/>
  <c r="X443" i="62"/>
  <c r="X415" i="62"/>
  <c r="X387" i="62"/>
  <c r="X303" i="62"/>
  <c r="X277" i="62"/>
  <c r="X251" i="62"/>
  <c r="X221" i="62"/>
  <c r="X197" i="62"/>
  <c r="X171" i="62"/>
  <c r="X143" i="62"/>
  <c r="X115" i="62"/>
  <c r="U1244" i="62"/>
  <c r="U915" i="62"/>
  <c r="U672" i="62"/>
  <c r="U411" i="62"/>
  <c r="U100" i="62"/>
  <c r="V1172" i="62"/>
  <c r="V902" i="62"/>
  <c r="V651" i="62"/>
  <c r="V497" i="62"/>
  <c r="V325" i="62"/>
  <c r="V142" i="62"/>
  <c r="W1287" i="62"/>
  <c r="W1142" i="62"/>
  <c r="W1042" i="62"/>
  <c r="W945" i="62"/>
  <c r="W927" i="62"/>
  <c r="W907" i="62"/>
  <c r="W838" i="62"/>
  <c r="W820" i="62"/>
  <c r="W743" i="62"/>
  <c r="W730" i="62"/>
  <c r="W654" i="62"/>
  <c r="W631" i="62"/>
  <c r="W609" i="62"/>
  <c r="W586" i="62"/>
  <c r="W563" i="62"/>
  <c r="W479" i="62"/>
  <c r="W458" i="62"/>
  <c r="W436" i="62"/>
  <c r="W411" i="62"/>
  <c r="W387" i="62"/>
  <c r="W306" i="62"/>
  <c r="W286" i="62"/>
  <c r="W259" i="62"/>
  <c r="W237" i="62"/>
  <c r="W214" i="62"/>
  <c r="W133" i="62"/>
  <c r="W108" i="62"/>
  <c r="X1354" i="62"/>
  <c r="X1332" i="62"/>
  <c r="X1308" i="62"/>
  <c r="X1282" i="62"/>
  <c r="X1252" i="62"/>
  <c r="X1228" i="62"/>
  <c r="X1144" i="62"/>
  <c r="X1116" i="62"/>
  <c r="X1088" i="62"/>
  <c r="X1062" i="62"/>
  <c r="X1038" i="62"/>
  <c r="X1008" i="62"/>
  <c r="X982" i="62"/>
  <c r="X956" i="62"/>
  <c r="X930" i="62"/>
  <c r="X902" i="62"/>
  <c r="X874" i="62"/>
  <c r="X849" i="62"/>
  <c r="X822" i="62"/>
  <c r="X738" i="62"/>
  <c r="X766" i="62"/>
  <c r="X684" i="62"/>
  <c r="X658" i="62"/>
  <c r="X630" i="62"/>
  <c r="X602" i="62"/>
  <c r="X576" i="62"/>
  <c r="X552" i="62"/>
  <c r="X522" i="62"/>
  <c r="X496" i="62"/>
  <c r="X470" i="62"/>
  <c r="X444" i="62"/>
  <c r="X416" i="62"/>
  <c r="X388" i="62"/>
  <c r="X305" i="62"/>
  <c r="X278" i="62"/>
  <c r="X252" i="62"/>
  <c r="X222" i="62"/>
  <c r="X198" i="62"/>
  <c r="X172" i="62"/>
  <c r="X144" i="62"/>
  <c r="X116" i="62"/>
  <c r="U1219" i="62"/>
  <c r="U934" i="62"/>
  <c r="U641" i="62"/>
  <c r="U380" i="62"/>
  <c r="U116" i="62"/>
  <c r="V1139" i="62"/>
  <c r="V868" i="62"/>
  <c r="V668" i="62"/>
  <c r="V459" i="62"/>
  <c r="V284" i="62"/>
  <c r="V154" i="62"/>
  <c r="W1242" i="62"/>
  <c r="W1090" i="62"/>
  <c r="W1043" i="62"/>
  <c r="W948" i="62"/>
  <c r="W929" i="62"/>
  <c r="W909" i="62"/>
  <c r="W840" i="62"/>
  <c r="W821" i="62"/>
  <c r="W744" i="62"/>
  <c r="W732" i="62"/>
  <c r="W655" i="62"/>
  <c r="W632" i="62"/>
  <c r="W612" i="62"/>
  <c r="W587" i="62"/>
  <c r="W506" i="62"/>
  <c r="W480" i="62"/>
  <c r="W459" i="62"/>
  <c r="W437" i="62"/>
  <c r="W412" i="62"/>
  <c r="W388" i="62"/>
  <c r="W307" i="62"/>
  <c r="W287" i="62"/>
  <c r="W260" i="62"/>
  <c r="W238" i="62"/>
  <c r="W215" i="62"/>
  <c r="W134" i="62"/>
  <c r="W109" i="62"/>
  <c r="X1355" i="62"/>
  <c r="X1334" i="62"/>
  <c r="X1309" i="62"/>
  <c r="X1283" i="62"/>
  <c r="X1253" i="62"/>
  <c r="X1229" i="62"/>
  <c r="X1145" i="62"/>
  <c r="X1117" i="62"/>
  <c r="X1089" i="62"/>
  <c r="X1063" i="62"/>
  <c r="X1039" i="62"/>
  <c r="X1009" i="62"/>
  <c r="X983" i="62"/>
  <c r="X957" i="62"/>
  <c r="X931" i="62"/>
  <c r="X903" i="62"/>
  <c r="X875" i="62"/>
  <c r="X851" i="62"/>
  <c r="X823" i="62"/>
  <c r="X739" i="62"/>
  <c r="X709" i="62"/>
  <c r="X685" i="62"/>
  <c r="X659" i="62"/>
  <c r="X631" i="62"/>
  <c r="X603" i="62"/>
  <c r="X577" i="62"/>
  <c r="X553" i="62"/>
  <c r="X523" i="62"/>
  <c r="X497" i="62"/>
  <c r="X471" i="62"/>
  <c r="X445" i="62"/>
  <c r="X417" i="62"/>
  <c r="X389" i="62"/>
  <c r="X307" i="62"/>
  <c r="X279" i="62"/>
  <c r="X253" i="62"/>
  <c r="X223" i="62"/>
  <c r="X199" i="62"/>
  <c r="X173" i="62"/>
  <c r="X145" i="62"/>
  <c r="X117" i="62"/>
  <c r="U1189" i="62"/>
  <c r="U900" i="62"/>
  <c r="U598" i="62"/>
  <c r="U346" i="62"/>
  <c r="V1353" i="62"/>
  <c r="V1097" i="62"/>
  <c r="V825" i="62"/>
  <c r="V628" i="62"/>
  <c r="V471" i="62"/>
  <c r="V297" i="62"/>
  <c r="V111" i="62"/>
  <c r="W1254" i="62"/>
  <c r="W1091" i="62"/>
  <c r="W1054" i="62"/>
  <c r="W949" i="62"/>
  <c r="W930" i="62"/>
  <c r="W855" i="62"/>
  <c r="W841" i="62"/>
  <c r="W822" i="62"/>
  <c r="W747" i="62"/>
  <c r="W733" i="62"/>
  <c r="W656" i="62"/>
  <c r="W635" i="62"/>
  <c r="W614" i="62"/>
  <c r="W590" i="62"/>
  <c r="W507" i="62"/>
  <c r="W485" i="62"/>
  <c r="W462" i="62"/>
  <c r="W439" i="62"/>
  <c r="W413" i="62"/>
  <c r="W335" i="62"/>
  <c r="W309" i="62"/>
  <c r="W288" i="62"/>
  <c r="W263" i="62"/>
  <c r="W241" i="62"/>
  <c r="W159" i="62"/>
  <c r="W136" i="62"/>
  <c r="W111" i="62"/>
  <c r="X1358" i="62"/>
  <c r="X1336" i="62"/>
  <c r="X1312" i="62"/>
  <c r="X1284" i="62"/>
  <c r="X1258" i="62"/>
  <c r="X1173" i="62"/>
  <c r="X1147" i="62"/>
  <c r="X1118" i="62"/>
  <c r="X1094" i="62"/>
  <c r="X1065" i="62"/>
  <c r="X1040" i="62"/>
  <c r="X1012" i="62"/>
  <c r="X986" i="62"/>
  <c r="X959" i="62"/>
  <c r="X932" i="62"/>
  <c r="X905" i="62"/>
  <c r="X878" i="62"/>
  <c r="X853" i="62"/>
  <c r="X768" i="62"/>
  <c r="X740" i="62"/>
  <c r="X714" i="62"/>
  <c r="X687" i="62"/>
  <c r="X661" i="62"/>
  <c r="X632" i="62"/>
  <c r="X608" i="62"/>
  <c r="X579" i="62"/>
  <c r="X554" i="62"/>
  <c r="X526" i="62"/>
  <c r="X500" i="62"/>
  <c r="X473" i="62"/>
  <c r="X446" i="62"/>
  <c r="X361" i="62"/>
  <c r="X334" i="62"/>
  <c r="X309" i="62"/>
  <c r="X282" i="62"/>
  <c r="X254" i="62"/>
  <c r="X228" i="62"/>
  <c r="X201" i="62"/>
  <c r="X175" i="62"/>
  <c r="X146" i="62"/>
  <c r="X122" i="62"/>
  <c r="U1191" i="62"/>
  <c r="U901" i="62"/>
  <c r="U601" i="62"/>
  <c r="U347" i="62"/>
  <c r="V1354" i="62"/>
  <c r="V1099" i="62"/>
  <c r="V827" i="62"/>
  <c r="V629" i="62"/>
  <c r="V475" i="62"/>
  <c r="V300" i="62"/>
  <c r="V112" i="62"/>
  <c r="W1255" i="62"/>
  <c r="W1093" i="62"/>
  <c r="W1003" i="62"/>
  <c r="W950" i="62"/>
  <c r="W932" i="62"/>
  <c r="W859" i="62"/>
  <c r="W842" i="62"/>
  <c r="W824" i="62"/>
  <c r="W751" i="62"/>
  <c r="W736" i="62"/>
  <c r="W658" i="62"/>
  <c r="W636" i="62"/>
  <c r="W616" i="62"/>
  <c r="W591" i="62"/>
  <c r="W508" i="62"/>
  <c r="W486" i="62"/>
  <c r="W464" i="62"/>
  <c r="W441" i="62"/>
  <c r="W414" i="62"/>
  <c r="W336" i="62"/>
  <c r="W314" i="62"/>
  <c r="W289" i="62"/>
  <c r="W264" i="62"/>
  <c r="W242" i="62"/>
  <c r="W164" i="62"/>
  <c r="W137" i="62"/>
  <c r="W113" i="62"/>
  <c r="X1359" i="62"/>
  <c r="X1338" i="62"/>
  <c r="X1313" i="62"/>
  <c r="X1285" i="62"/>
  <c r="X1259" i="62"/>
  <c r="X1175" i="62"/>
  <c r="X1149" i="62"/>
  <c r="X1119" i="62"/>
  <c r="X1095" i="62"/>
  <c r="X1069" i="62"/>
  <c r="X1041" i="62"/>
  <c r="X1013" i="62"/>
  <c r="X987" i="62"/>
  <c r="X963" i="62"/>
  <c r="X933" i="62"/>
  <c r="X907" i="62"/>
  <c r="X879" i="62"/>
  <c r="X797" i="62"/>
  <c r="X769" i="62"/>
  <c r="X741" i="62"/>
  <c r="X715" i="62"/>
  <c r="X689" i="62"/>
  <c r="X663" i="62"/>
  <c r="X633" i="62"/>
  <c r="X609" i="62"/>
  <c r="X583" i="62"/>
  <c r="X555" i="62"/>
  <c r="X527" i="62"/>
  <c r="X501" i="62"/>
  <c r="X419" i="62"/>
  <c r="X447" i="62"/>
  <c r="X363" i="62"/>
  <c r="X335" i="62"/>
  <c r="X311" i="62"/>
  <c r="X283" i="62"/>
  <c r="X255" i="62"/>
  <c r="X229" i="62"/>
  <c r="X203" i="62"/>
  <c r="X177" i="62"/>
  <c r="X147" i="62"/>
  <c r="X123" i="62"/>
  <c r="U1194" i="62"/>
  <c r="U903" i="62"/>
  <c r="U614" i="62"/>
  <c r="U349" i="62"/>
  <c r="V1358" i="62"/>
  <c r="V1110" i="62"/>
  <c r="V834" i="62"/>
  <c r="V631" i="62"/>
  <c r="V420" i="62"/>
  <c r="V247" i="62"/>
  <c r="V114" i="62"/>
  <c r="W1257" i="62"/>
  <c r="W1110" i="62"/>
  <c r="W1004" i="62"/>
  <c r="W951" i="62"/>
  <c r="W934" i="62"/>
  <c r="W860" i="62"/>
  <c r="W843" i="62"/>
  <c r="W768" i="62"/>
  <c r="W754" i="62"/>
  <c r="W737" i="62"/>
  <c r="W661" i="62"/>
  <c r="W639" i="62"/>
  <c r="W617" i="62"/>
  <c r="W535" i="62"/>
  <c r="W510" i="62"/>
  <c r="W488" i="62"/>
  <c r="W465" i="62"/>
  <c r="W443" i="62"/>
  <c r="W415" i="62"/>
  <c r="W337" i="62"/>
  <c r="W315" i="62"/>
  <c r="W290" i="62"/>
  <c r="W265" i="62"/>
  <c r="W243" i="62"/>
  <c r="W165" i="62"/>
  <c r="W138" i="62"/>
  <c r="W114" i="62"/>
  <c r="X1362" i="62"/>
  <c r="X1339" i="62"/>
  <c r="X1314" i="62"/>
  <c r="X1286" i="62"/>
  <c r="X1203" i="62"/>
  <c r="X1176" i="62"/>
  <c r="X1150" i="62"/>
  <c r="X1120" i="62"/>
  <c r="X1096" i="62"/>
  <c r="X1070" i="62"/>
  <c r="X1042" i="62"/>
  <c r="X1014" i="62"/>
  <c r="X988" i="62"/>
  <c r="X964" i="62"/>
  <c r="X934" i="62"/>
  <c r="X908" i="62"/>
  <c r="X882" i="62"/>
  <c r="X798" i="62"/>
  <c r="X770" i="62"/>
  <c r="X742" i="62"/>
  <c r="X717" i="62"/>
  <c r="X690" i="62"/>
  <c r="X664" i="62"/>
  <c r="X634" i="62"/>
  <c r="X610" i="62"/>
  <c r="X584" i="62"/>
  <c r="X556" i="62"/>
  <c r="X528" i="62"/>
  <c r="X502" i="62"/>
  <c r="X420" i="62"/>
  <c r="X390" i="62"/>
  <c r="X364" i="62"/>
  <c r="X338" i="62"/>
  <c r="X312" i="62"/>
  <c r="X284" i="62"/>
  <c r="X256" i="62"/>
  <c r="X231" i="62"/>
  <c r="X204" i="62"/>
  <c r="X178" i="62"/>
  <c r="X148" i="62"/>
  <c r="X124" i="62"/>
  <c r="X557" i="62"/>
  <c r="U1168" i="62"/>
  <c r="U876" i="62"/>
  <c r="U573" i="62"/>
  <c r="U319" i="62"/>
  <c r="V1330" i="62"/>
  <c r="V1071" i="62"/>
  <c r="V850" i="62"/>
  <c r="V594" i="62"/>
  <c r="V435" i="62"/>
  <c r="V259" i="62"/>
  <c r="V127" i="62"/>
  <c r="W1216" i="62"/>
  <c r="W1113" i="62"/>
  <c r="W1008" i="62"/>
  <c r="W952" i="62"/>
  <c r="W935" i="62"/>
  <c r="W862" i="62"/>
  <c r="W844" i="62"/>
  <c r="W769" i="62"/>
  <c r="W756" i="62"/>
  <c r="W680" i="62"/>
  <c r="W662" i="62"/>
  <c r="W640" i="62"/>
  <c r="W618" i="62"/>
  <c r="W536" i="62"/>
  <c r="W511" i="62"/>
  <c r="W490" i="62"/>
  <c r="W466" i="62"/>
  <c r="W444" i="62"/>
  <c r="W416" i="62"/>
  <c r="W338" i="62"/>
  <c r="W316" i="62"/>
  <c r="W291" i="62"/>
  <c r="W266" i="62"/>
  <c r="W244" i="62"/>
  <c r="W166" i="62"/>
  <c r="W139" i="62"/>
  <c r="W115" i="62"/>
  <c r="X1363" i="62"/>
  <c r="X1340" i="62"/>
  <c r="X1315" i="62"/>
  <c r="X1287" i="62"/>
  <c r="X1205" i="62"/>
  <c r="X1177" i="62"/>
  <c r="X1151" i="62"/>
  <c r="X1121" i="62"/>
  <c r="X1097" i="62"/>
  <c r="X1071" i="62"/>
  <c r="X1043" i="62"/>
  <c r="X1015" i="62"/>
  <c r="X989" i="62"/>
  <c r="X965" i="62"/>
  <c r="X935" i="62"/>
  <c r="X909" i="62"/>
  <c r="X825" i="62"/>
  <c r="X799" i="62"/>
  <c r="X771" i="62"/>
  <c r="X743" i="62"/>
  <c r="X719" i="62"/>
  <c r="X691" i="62"/>
  <c r="X665" i="62"/>
  <c r="X635" i="62"/>
  <c r="X611" i="62"/>
  <c r="X585" i="62"/>
  <c r="X529" i="62"/>
  <c r="X503" i="62"/>
  <c r="X421" i="62"/>
  <c r="X391" i="62"/>
  <c r="X365" i="62"/>
  <c r="X339" i="62"/>
  <c r="X313" i="62"/>
  <c r="X285" i="62"/>
  <c r="X257" i="62"/>
  <c r="X233" i="62"/>
  <c r="X205" i="62"/>
  <c r="X179" i="62"/>
  <c r="X149" i="62"/>
  <c r="X125" i="62"/>
  <c r="U1127" i="62"/>
  <c r="U845" i="62"/>
  <c r="U539" i="62"/>
  <c r="U278" i="62"/>
  <c r="V1301" i="62"/>
  <c r="V1036" i="62"/>
  <c r="V815" i="62"/>
  <c r="V608" i="62"/>
  <c r="V447" i="62"/>
  <c r="V216" i="62"/>
  <c r="W1356" i="62"/>
  <c r="W1227" i="62"/>
  <c r="W1057" i="62"/>
  <c r="W1009" i="62"/>
  <c r="W953" i="62"/>
  <c r="W936" i="62"/>
  <c r="W868" i="62"/>
  <c r="W845" i="62"/>
  <c r="W772" i="62"/>
  <c r="W762" i="62"/>
  <c r="W681" i="62"/>
  <c r="W663" i="62"/>
  <c r="W643" i="62"/>
  <c r="W619" i="62"/>
  <c r="W538" i="62"/>
  <c r="W514" i="62"/>
  <c r="W493" i="62"/>
  <c r="W469" i="62"/>
  <c r="W445" i="62"/>
  <c r="W364" i="62"/>
  <c r="W340" i="62"/>
  <c r="W318" i="62"/>
  <c r="W293" i="62"/>
  <c r="W272" i="62"/>
  <c r="W188" i="62"/>
  <c r="W167" i="62"/>
  <c r="W143" i="62"/>
  <c r="W118" i="62"/>
  <c r="X1365" i="62"/>
  <c r="X1341" i="62"/>
  <c r="X1317" i="62"/>
  <c r="X1232" i="62"/>
  <c r="X1207" i="62"/>
  <c r="X1180" i="62"/>
  <c r="X1152" i="62"/>
  <c r="X1126" i="62"/>
  <c r="X1099" i="62"/>
  <c r="X1073" i="62"/>
  <c r="X1044" i="62"/>
  <c r="X1020" i="62"/>
  <c r="X991" i="62"/>
  <c r="X966" i="62"/>
  <c r="X938" i="62"/>
  <c r="X854" i="62"/>
  <c r="X827" i="62"/>
  <c r="X800" i="62"/>
  <c r="X773" i="62"/>
  <c r="X746" i="62"/>
  <c r="X721" i="62"/>
  <c r="X694" i="62"/>
  <c r="X666" i="62"/>
  <c r="X640" i="62"/>
  <c r="X613" i="62"/>
  <c r="X587" i="62"/>
  <c r="X558" i="62"/>
  <c r="X534" i="62"/>
  <c r="X505" i="62"/>
  <c r="X422" i="62"/>
  <c r="X394" i="62"/>
  <c r="X368" i="62"/>
  <c r="X341" i="62"/>
  <c r="X314" i="62"/>
  <c r="X287" i="62"/>
  <c r="X260" i="62"/>
  <c r="X235" i="62"/>
  <c r="X208" i="62"/>
  <c r="X180" i="62"/>
  <c r="X154" i="62"/>
  <c r="X127" i="62"/>
  <c r="W851" i="62"/>
  <c r="U1130" i="62"/>
  <c r="U847" i="62"/>
  <c r="U540" i="62"/>
  <c r="U279" i="62"/>
  <c r="V1302" i="62"/>
  <c r="V1038" i="62"/>
  <c r="V816" i="62"/>
  <c r="V611" i="62"/>
  <c r="V393" i="62"/>
  <c r="V217" i="62"/>
  <c r="W1357" i="62"/>
  <c r="W1173" i="62"/>
  <c r="W1060" i="62"/>
  <c r="W1010" i="62"/>
  <c r="W954" i="62"/>
  <c r="W939" i="62"/>
  <c r="W869" i="62"/>
  <c r="W848" i="62"/>
  <c r="W775" i="62"/>
  <c r="W763" i="62"/>
  <c r="W683" i="62"/>
  <c r="W667" i="62"/>
  <c r="W647" i="62"/>
  <c r="W620" i="62"/>
  <c r="W540" i="62"/>
  <c r="W515" i="62"/>
  <c r="W495" i="62"/>
  <c r="W470" i="62"/>
  <c r="W446" i="62"/>
  <c r="W365" i="62"/>
  <c r="W343" i="62"/>
  <c r="W320" i="62"/>
  <c r="W294" i="62"/>
  <c r="W273" i="62"/>
  <c r="W193" i="62"/>
  <c r="W168" i="62"/>
  <c r="W144" i="62"/>
  <c r="W119" i="62"/>
  <c r="X1369" i="62"/>
  <c r="X1342" i="62"/>
  <c r="X1261" i="62"/>
  <c r="X1233" i="62"/>
  <c r="X1209" i="62"/>
  <c r="X1181" i="62"/>
  <c r="X1153" i="62"/>
  <c r="X1127" i="62"/>
  <c r="X1101" i="62"/>
  <c r="X1075" i="62"/>
  <c r="X1045" i="62"/>
  <c r="X1021" i="62"/>
  <c r="X995" i="62"/>
  <c r="X967" i="62"/>
  <c r="X939" i="62"/>
  <c r="X855" i="62"/>
  <c r="X831" i="62"/>
  <c r="X801" i="62"/>
  <c r="X775" i="62"/>
  <c r="X747" i="62"/>
  <c r="X723" i="62"/>
  <c r="X695" i="62"/>
  <c r="X667" i="62"/>
  <c r="X641" i="62"/>
  <c r="X615" i="62"/>
  <c r="X589" i="62"/>
  <c r="X559" i="62"/>
  <c r="X477" i="62"/>
  <c r="X451" i="62"/>
  <c r="X423" i="62"/>
  <c r="X395" i="62"/>
  <c r="X369" i="62"/>
  <c r="X345" i="62"/>
  <c r="X315" i="62"/>
  <c r="X289" i="62"/>
  <c r="X261" i="62"/>
  <c r="X237" i="62"/>
  <c r="X209" i="62"/>
  <c r="X181" i="62"/>
  <c r="X155" i="62"/>
  <c r="U1143" i="62"/>
  <c r="U851" i="62"/>
  <c r="U545" i="62"/>
  <c r="U291" i="62"/>
  <c r="V1305" i="62"/>
  <c r="V1040" i="62"/>
  <c r="V819" i="62"/>
  <c r="V615" i="62"/>
  <c r="V397" i="62"/>
  <c r="V219" i="62"/>
  <c r="W1359" i="62"/>
  <c r="W1175" i="62"/>
  <c r="W1061" i="62"/>
  <c r="W1011" i="62"/>
  <c r="W957" i="62"/>
  <c r="W885" i="62"/>
  <c r="W871" i="62"/>
  <c r="W779" i="62"/>
  <c r="W764" i="62"/>
  <c r="W687" i="62"/>
  <c r="W669" i="62"/>
  <c r="W649" i="62"/>
  <c r="W621" i="62"/>
  <c r="W541" i="62"/>
  <c r="W519" i="62"/>
  <c r="W496" i="62"/>
  <c r="W471" i="62"/>
  <c r="W447" i="62"/>
  <c r="W368" i="62"/>
  <c r="W344" i="62"/>
  <c r="W321" i="62"/>
  <c r="W295" i="62"/>
  <c r="W217" i="62"/>
  <c r="W194" i="62"/>
  <c r="W169" i="62"/>
  <c r="W145" i="62"/>
  <c r="W120" i="62"/>
  <c r="X1370" i="62"/>
  <c r="X1343" i="62"/>
  <c r="X1262" i="62"/>
  <c r="X1236" i="62"/>
  <c r="X1210" i="62"/>
  <c r="X1182" i="62"/>
  <c r="X1154" i="62"/>
  <c r="X1129" i="62"/>
  <c r="X1102" i="62"/>
  <c r="X1076" i="62"/>
  <c r="X1046" i="62"/>
  <c r="X1022" i="62"/>
  <c r="X996" i="62"/>
  <c r="X968" i="62"/>
  <c r="X940" i="62"/>
  <c r="X856" i="62"/>
  <c r="X832" i="62"/>
  <c r="X802" i="62"/>
  <c r="X776" i="62"/>
  <c r="X750" i="62"/>
  <c r="X724" i="62"/>
  <c r="X696" i="62"/>
  <c r="X668" i="62"/>
  <c r="X643" i="62"/>
  <c r="X616" i="62"/>
  <c r="X590" i="62"/>
  <c r="X560" i="62"/>
  <c r="X478" i="62"/>
  <c r="X452" i="62"/>
  <c r="X424" i="62"/>
  <c r="X396" i="62"/>
  <c r="X370" i="62"/>
  <c r="X346" i="62"/>
  <c r="X316" i="62"/>
  <c r="X290" i="62"/>
  <c r="X264" i="62"/>
  <c r="X238" i="62"/>
  <c r="X210" i="62"/>
  <c r="X182" i="62"/>
  <c r="X157" i="62"/>
  <c r="S47" i="4"/>
  <c r="S55" i="4"/>
  <c r="S71" i="4"/>
  <c r="R36" i="4"/>
  <c r="R16" i="4"/>
  <c r="R56" i="4"/>
  <c r="R49" i="4"/>
  <c r="R48" i="4"/>
  <c r="R98" i="4"/>
  <c r="R115" i="4"/>
  <c r="R95" i="4"/>
  <c r="S74" i="4"/>
  <c r="R60" i="4"/>
  <c r="S39" i="4"/>
  <c r="R19" i="4"/>
  <c r="R63" i="4"/>
  <c r="S27" i="4"/>
  <c r="R82" i="4"/>
  <c r="R107" i="4"/>
  <c r="R83" i="4"/>
  <c r="R28" i="4"/>
  <c r="S106" i="4"/>
  <c r="R62" i="4"/>
  <c r="R59" i="4"/>
  <c r="S101" i="4"/>
  <c r="S77" i="4"/>
  <c r="S43" i="4"/>
  <c r="S76" i="4"/>
  <c r="R21" i="4"/>
  <c r="S22" i="4"/>
  <c r="S100" i="4"/>
  <c r="S99" i="4"/>
  <c r="S75" i="4"/>
  <c r="R40" i="4"/>
  <c r="R20" i="4"/>
  <c r="R58" i="4"/>
  <c r="S105" i="4"/>
  <c r="R26" i="4"/>
  <c r="R81" i="4"/>
  <c r="R46" i="4"/>
  <c r="S103" i="4"/>
  <c r="S79" i="4"/>
  <c r="R45" i="4"/>
  <c r="S24" i="4"/>
  <c r="R104" i="4"/>
  <c r="R80" i="4"/>
  <c r="R25" i="4"/>
  <c r="R102" i="4"/>
  <c r="R78" i="4"/>
  <c r="S44" i="4"/>
  <c r="S23" i="4"/>
  <c r="R42" i="4"/>
  <c r="R61" i="4"/>
  <c r="R41" i="4"/>
  <c r="R38" i="4"/>
  <c r="R18" i="4"/>
  <c r="R97" i="4"/>
  <c r="S57" i="4"/>
  <c r="S72" i="4"/>
  <c r="R94" i="4"/>
  <c r="S70" i="4"/>
  <c r="R35" i="4"/>
  <c r="R15" i="4"/>
  <c r="S17" i="4"/>
  <c r="R89" i="4"/>
  <c r="R69" i="4"/>
  <c r="S34" i="4"/>
  <c r="S14" i="4"/>
  <c r="S73" i="4"/>
  <c r="R116" i="4"/>
  <c r="R93" i="4"/>
  <c r="S92" i="4"/>
  <c r="R88" i="4"/>
  <c r="R68" i="4"/>
  <c r="R54" i="4"/>
  <c r="R33" i="4"/>
  <c r="R13" i="4"/>
  <c r="R117" i="4"/>
  <c r="R96" i="4"/>
  <c r="S112" i="4"/>
  <c r="S111" i="4"/>
  <c r="R91" i="4"/>
  <c r="R87" i="4"/>
  <c r="R67" i="4"/>
  <c r="R53" i="4"/>
  <c r="R32" i="4"/>
  <c r="R114" i="4"/>
  <c r="R110" i="4"/>
  <c r="R90" i="4"/>
  <c r="R86" i="4"/>
  <c r="S66" i="4"/>
  <c r="R52" i="4"/>
  <c r="R31" i="4"/>
  <c r="R113" i="4"/>
  <c r="S109" i="4"/>
  <c r="R85" i="4"/>
  <c r="S65" i="4"/>
  <c r="R51" i="4"/>
  <c r="R30" i="4"/>
  <c r="S37" i="4"/>
  <c r="R108" i="4"/>
  <c r="R84" i="4"/>
  <c r="R64" i="4"/>
  <c r="S50" i="4"/>
  <c r="R29" i="4"/>
  <c r="R47" i="4"/>
  <c r="S31" i="4"/>
  <c r="R43" i="4"/>
  <c r="S56" i="4"/>
  <c r="S117" i="4"/>
  <c r="S25" i="4"/>
  <c r="S21" i="4"/>
  <c r="S20" i="4"/>
  <c r="S18" i="4"/>
  <c r="R34" i="4"/>
  <c r="S97" i="4"/>
  <c r="R27" i="4"/>
  <c r="S29" i="4"/>
  <c r="S28" i="4"/>
  <c r="S26" i="4"/>
  <c r="S58" i="4"/>
  <c r="S19" i="4"/>
  <c r="R39" i="4"/>
  <c r="R37" i="4"/>
  <c r="R79" i="4"/>
  <c r="R72" i="4"/>
  <c r="S40" i="4"/>
  <c r="R17" i="4"/>
  <c r="S38" i="4"/>
  <c r="R14" i="4"/>
  <c r="S49" i="4"/>
  <c r="S89" i="4"/>
  <c r="S46" i="4"/>
  <c r="S36" i="4"/>
  <c r="S16" i="4"/>
  <c r="R24" i="4"/>
  <c r="S88" i="4"/>
  <c r="S35" i="4"/>
  <c r="S15" i="4"/>
  <c r="R23" i="4"/>
  <c r="R57" i="4"/>
  <c r="R22" i="4"/>
  <c r="S64" i="4"/>
  <c r="S33" i="4"/>
  <c r="S13" i="4"/>
  <c r="S63" i="4"/>
  <c r="R50" i="4"/>
  <c r="S32" i="4"/>
  <c r="R76" i="4"/>
  <c r="S30" i="4"/>
  <c r="R74" i="4"/>
  <c r="R44" i="4"/>
  <c r="S91" i="4"/>
  <c r="R112" i="4"/>
  <c r="R111" i="4"/>
  <c r="S86" i="4"/>
  <c r="R73" i="4"/>
  <c r="S54" i="4"/>
  <c r="R55" i="4"/>
  <c r="S85" i="4"/>
  <c r="S53" i="4"/>
  <c r="S84" i="4"/>
  <c r="R71" i="4"/>
  <c r="S52" i="4"/>
  <c r="S83" i="4"/>
  <c r="R66" i="4"/>
  <c r="S51" i="4"/>
  <c r="R65" i="4"/>
  <c r="S48" i="4"/>
  <c r="S69" i="4"/>
  <c r="S68" i="4"/>
  <c r="S104" i="4"/>
  <c r="S45" i="4"/>
  <c r="S42" i="4"/>
  <c r="S61" i="4"/>
  <c r="S41" i="4"/>
  <c r="S60" i="4"/>
  <c r="S59" i="4"/>
  <c r="R77" i="4"/>
  <c r="S87" i="4"/>
  <c r="S67" i="4"/>
  <c r="R75" i="4"/>
  <c r="S82" i="4"/>
  <c r="S62" i="4"/>
  <c r="R70" i="4"/>
  <c r="S81" i="4"/>
  <c r="S80" i="4"/>
  <c r="S78" i="4"/>
  <c r="R109" i="4"/>
  <c r="R106" i="4"/>
  <c r="R105" i="4"/>
  <c r="R101" i="4"/>
  <c r="R99" i="4"/>
  <c r="S107" i="4"/>
  <c r="S102" i="4"/>
  <c r="R92" i="4"/>
  <c r="S98" i="4"/>
  <c r="S116" i="4"/>
  <c r="S115" i="4"/>
  <c r="S95" i="4"/>
  <c r="R103" i="4"/>
  <c r="S96" i="4"/>
  <c r="S114" i="4"/>
  <c r="S94" i="4"/>
  <c r="S113" i="4"/>
  <c r="S93" i="4"/>
  <c r="R100" i="4"/>
  <c r="S110" i="4"/>
  <c r="S90" i="4"/>
  <c r="S108" i="4"/>
  <c r="C52" i="62" a="1"/>
  <c r="C52" i="62" l="1"/>
  <c r="O140" i="4"/>
  <c r="O141" i="4"/>
  <c r="O142" i="4"/>
  <c r="O143" i="4"/>
  <c r="O144" i="4"/>
  <c r="O145" i="4"/>
  <c r="P140" i="4"/>
  <c r="P141" i="4"/>
  <c r="P142" i="4"/>
  <c r="P143" i="4"/>
  <c r="P144" i="4"/>
  <c r="P145" i="4"/>
  <c r="Q140" i="4"/>
  <c r="Q141" i="4"/>
  <c r="Q142" i="4"/>
  <c r="Q143" i="4"/>
  <c r="Q144" i="4"/>
  <c r="Q145" i="4"/>
  <c r="T140" i="4"/>
  <c r="T141" i="4"/>
  <c r="T142" i="4"/>
  <c r="T143" i="4"/>
  <c r="T144" i="4"/>
  <c r="T145" i="4"/>
  <c r="U140" i="4"/>
  <c r="U141" i="4"/>
  <c r="U142" i="4"/>
  <c r="U143" i="4"/>
  <c r="U144" i="4"/>
  <c r="U145" i="4"/>
  <c r="V140" i="4"/>
  <c r="V141" i="4"/>
  <c r="V142" i="4"/>
  <c r="V143" i="4"/>
  <c r="V144" i="4"/>
  <c r="V145" i="4"/>
  <c r="O118" i="4"/>
  <c r="O119" i="4"/>
  <c r="O120" i="4"/>
  <c r="O121" i="4"/>
  <c r="O122" i="4"/>
  <c r="O123" i="4"/>
  <c r="O124" i="4"/>
  <c r="O125" i="4"/>
  <c r="O126" i="4"/>
  <c r="O127" i="4"/>
  <c r="O128" i="4"/>
  <c r="O129" i="4"/>
  <c r="O130" i="4"/>
  <c r="O131" i="4"/>
  <c r="O132" i="4"/>
  <c r="O133" i="4"/>
  <c r="O134" i="4"/>
  <c r="O135" i="4"/>
  <c r="O136" i="4"/>
  <c r="O137" i="4"/>
  <c r="O138" i="4"/>
  <c r="O139" i="4"/>
  <c r="P118" i="4"/>
  <c r="P119" i="4"/>
  <c r="P120" i="4"/>
  <c r="P121" i="4"/>
  <c r="P122" i="4"/>
  <c r="P123" i="4"/>
  <c r="P124" i="4"/>
  <c r="P125" i="4"/>
  <c r="P126" i="4"/>
  <c r="P127" i="4"/>
  <c r="P128" i="4"/>
  <c r="P129" i="4"/>
  <c r="P130" i="4"/>
  <c r="P131" i="4"/>
  <c r="P132" i="4"/>
  <c r="P133" i="4"/>
  <c r="P134" i="4"/>
  <c r="P135" i="4"/>
  <c r="P136" i="4"/>
  <c r="P137" i="4"/>
  <c r="P138" i="4"/>
  <c r="P139" i="4"/>
  <c r="Q118" i="4"/>
  <c r="Q119" i="4"/>
  <c r="Q120" i="4"/>
  <c r="Q121" i="4"/>
  <c r="Q122" i="4"/>
  <c r="Q123" i="4"/>
  <c r="Q124" i="4"/>
  <c r="Q125" i="4"/>
  <c r="Q126" i="4"/>
  <c r="Q127" i="4"/>
  <c r="Q128" i="4"/>
  <c r="Q129" i="4"/>
  <c r="Q130" i="4"/>
  <c r="Q131" i="4"/>
  <c r="Q132" i="4"/>
  <c r="Q133" i="4"/>
  <c r="Q134" i="4"/>
  <c r="Q135" i="4"/>
  <c r="Q136" i="4"/>
  <c r="Q137" i="4"/>
  <c r="Q138" i="4"/>
  <c r="Q139" i="4"/>
  <c r="T118" i="4"/>
  <c r="T119" i="4"/>
  <c r="T120" i="4"/>
  <c r="T121" i="4"/>
  <c r="T122" i="4"/>
  <c r="T123" i="4"/>
  <c r="T124" i="4"/>
  <c r="T125" i="4"/>
  <c r="T126" i="4"/>
  <c r="T127" i="4"/>
  <c r="T128" i="4"/>
  <c r="T129" i="4"/>
  <c r="T130" i="4"/>
  <c r="T131" i="4"/>
  <c r="T132" i="4"/>
  <c r="T133" i="4"/>
  <c r="T134" i="4"/>
  <c r="T135" i="4"/>
  <c r="T136" i="4"/>
  <c r="T137" i="4"/>
  <c r="T138" i="4"/>
  <c r="T139" i="4"/>
  <c r="U118" i="4"/>
  <c r="U119" i="4"/>
  <c r="U120" i="4"/>
  <c r="U121" i="4"/>
  <c r="U122" i="4"/>
  <c r="U123" i="4"/>
  <c r="U124" i="4"/>
  <c r="U125" i="4"/>
  <c r="U126" i="4"/>
  <c r="U127" i="4"/>
  <c r="U128" i="4"/>
  <c r="U129" i="4"/>
  <c r="U130" i="4"/>
  <c r="U131" i="4"/>
  <c r="U132" i="4"/>
  <c r="U133" i="4"/>
  <c r="U134" i="4"/>
  <c r="U135" i="4"/>
  <c r="U136" i="4"/>
  <c r="U137" i="4"/>
  <c r="U138" i="4"/>
  <c r="U139" i="4"/>
  <c r="V118" i="4"/>
  <c r="V119" i="4"/>
  <c r="V120" i="4"/>
  <c r="V121" i="4"/>
  <c r="V122" i="4"/>
  <c r="V123" i="4"/>
  <c r="V124" i="4"/>
  <c r="V125" i="4"/>
  <c r="V126" i="4"/>
  <c r="V127" i="4"/>
  <c r="V128" i="4"/>
  <c r="V129" i="4"/>
  <c r="V130" i="4"/>
  <c r="V131" i="4"/>
  <c r="V132" i="4"/>
  <c r="V133" i="4"/>
  <c r="V134" i="4"/>
  <c r="V135" i="4"/>
  <c r="V136" i="4"/>
  <c r="V137" i="4"/>
  <c r="V138" i="4"/>
  <c r="V139"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AB7" i="54"/>
  <c r="AB6" i="54"/>
  <c r="L6" i="54"/>
  <c r="L7" i="54" s="1"/>
  <c r="I7" i="54" s="1"/>
  <c r="AB5" i="54"/>
  <c r="AB4" i="54"/>
  <c r="R134" i="4" l="1"/>
  <c r="R135" i="4"/>
  <c r="S132" i="4"/>
  <c r="R156" i="4"/>
  <c r="R163" i="4"/>
  <c r="R131" i="4"/>
  <c r="S129" i="4"/>
  <c r="S130" i="4"/>
  <c r="R166" i="4"/>
  <c r="S121" i="4"/>
  <c r="R162" i="4"/>
  <c r="R139" i="4"/>
  <c r="R119" i="4"/>
  <c r="AA29" i="54"/>
  <c r="AA49" i="54"/>
  <c r="AA69" i="54"/>
  <c r="AA89" i="54"/>
  <c r="AA109" i="54"/>
  <c r="AA129" i="54"/>
  <c r="AA149" i="54"/>
  <c r="AA169" i="54"/>
  <c r="AA189" i="54"/>
  <c r="AB26" i="54"/>
  <c r="AB46" i="54"/>
  <c r="AB66" i="54"/>
  <c r="AB86" i="54"/>
  <c r="AB106" i="54"/>
  <c r="AB126" i="54"/>
  <c r="AB146" i="54"/>
  <c r="AB166" i="54"/>
  <c r="AB186" i="54"/>
  <c r="AC23" i="54"/>
  <c r="AC43" i="54"/>
  <c r="AC63" i="54"/>
  <c r="AC83" i="54"/>
  <c r="AC103" i="54"/>
  <c r="AC123" i="54"/>
  <c r="AC143" i="54"/>
  <c r="AC163" i="54"/>
  <c r="AC183" i="54"/>
  <c r="AB188" i="54"/>
  <c r="AA30" i="54"/>
  <c r="AA50" i="54"/>
  <c r="AA70" i="54"/>
  <c r="AA90" i="54"/>
  <c r="AA110" i="54"/>
  <c r="AA130" i="54"/>
  <c r="AA150" i="54"/>
  <c r="AA170" i="54"/>
  <c r="AA190" i="54"/>
  <c r="AB27" i="54"/>
  <c r="AB47" i="54"/>
  <c r="AB67" i="54"/>
  <c r="AB87" i="54"/>
  <c r="AB107" i="54"/>
  <c r="AB127" i="54"/>
  <c r="AB147" i="54"/>
  <c r="AB167" i="54"/>
  <c r="AB187" i="54"/>
  <c r="AC24" i="54"/>
  <c r="AC44" i="54"/>
  <c r="AC64" i="54"/>
  <c r="AC84" i="54"/>
  <c r="AC104" i="54"/>
  <c r="AC124" i="54"/>
  <c r="AC144" i="54"/>
  <c r="AC164" i="54"/>
  <c r="AC184" i="54"/>
  <c r="AA11" i="54"/>
  <c r="AA31" i="54"/>
  <c r="AA71" i="54"/>
  <c r="AA91" i="54"/>
  <c r="AA111" i="54"/>
  <c r="AA131" i="54"/>
  <c r="AA171" i="54"/>
  <c r="AA191" i="54"/>
  <c r="AB48" i="54"/>
  <c r="AB68" i="54"/>
  <c r="AB108" i="54"/>
  <c r="AB148" i="54"/>
  <c r="AC25" i="54"/>
  <c r="AC65" i="54"/>
  <c r="AC105" i="54"/>
  <c r="AC145" i="54"/>
  <c r="AC185" i="54"/>
  <c r="AA51" i="54"/>
  <c r="AA151" i="54"/>
  <c r="AB28" i="54"/>
  <c r="AB88" i="54"/>
  <c r="AB128" i="54"/>
  <c r="AB168" i="54"/>
  <c r="AC45" i="54"/>
  <c r="AC85" i="54"/>
  <c r="AC125" i="54"/>
  <c r="AC165" i="54"/>
  <c r="AA12" i="54"/>
  <c r="AA32" i="54"/>
  <c r="AA52" i="54"/>
  <c r="AA72" i="54"/>
  <c r="AA92" i="54"/>
  <c r="AA112" i="54"/>
  <c r="AA132" i="54"/>
  <c r="AA152" i="54"/>
  <c r="AA172" i="54"/>
  <c r="AA192" i="54"/>
  <c r="AB29" i="54"/>
  <c r="AB49" i="54"/>
  <c r="AB69" i="54"/>
  <c r="AB89" i="54"/>
  <c r="AB109" i="54"/>
  <c r="AB129" i="54"/>
  <c r="AB149" i="54"/>
  <c r="AB169" i="54"/>
  <c r="AB189" i="54"/>
  <c r="AC26" i="54"/>
  <c r="AC46" i="54"/>
  <c r="AC66" i="54"/>
  <c r="AC86" i="54"/>
  <c r="AC106" i="54"/>
  <c r="AC126" i="54"/>
  <c r="AC146" i="54"/>
  <c r="AC166" i="54"/>
  <c r="AC186" i="54"/>
  <c r="AA33" i="54"/>
  <c r="AA73" i="54"/>
  <c r="AA113" i="54"/>
  <c r="AA153" i="54"/>
  <c r="AA193" i="54"/>
  <c r="AB50" i="54"/>
  <c r="AB90" i="54"/>
  <c r="AB130" i="54"/>
  <c r="AB150" i="54"/>
  <c r="AB190" i="54"/>
  <c r="AC47" i="54"/>
  <c r="AC87" i="54"/>
  <c r="AC127" i="54"/>
  <c r="AC167" i="54"/>
  <c r="AA13" i="54"/>
  <c r="AA53" i="54"/>
  <c r="AA93" i="54"/>
  <c r="AA133" i="54"/>
  <c r="AA173" i="54"/>
  <c r="AB30" i="54"/>
  <c r="AB70" i="54"/>
  <c r="AB110" i="54"/>
  <c r="AB170" i="54"/>
  <c r="AC27" i="54"/>
  <c r="AC67" i="54"/>
  <c r="AC107" i="54"/>
  <c r="AC147" i="54"/>
  <c r="AC187" i="54"/>
  <c r="AA14" i="54"/>
  <c r="AA34" i="54"/>
  <c r="AA54" i="54"/>
  <c r="AA74" i="54"/>
  <c r="AA94" i="54"/>
  <c r="AA114" i="54"/>
  <c r="AA134" i="54"/>
  <c r="AA154" i="54"/>
  <c r="AA174" i="54"/>
  <c r="AB11" i="54"/>
  <c r="AB31" i="54"/>
  <c r="AB51" i="54"/>
  <c r="AB71" i="54"/>
  <c r="AB91" i="54"/>
  <c r="AB111" i="54"/>
  <c r="AB131" i="54"/>
  <c r="AB151" i="54"/>
  <c r="AB171" i="54"/>
  <c r="AB191" i="54"/>
  <c r="AC28" i="54"/>
  <c r="AC48" i="54"/>
  <c r="AC68" i="54"/>
  <c r="AC88" i="54"/>
  <c r="AC108" i="54"/>
  <c r="AC128" i="54"/>
  <c r="AC148" i="54"/>
  <c r="AC168" i="54"/>
  <c r="AC188" i="54"/>
  <c r="AA75" i="54"/>
  <c r="AA115" i="54"/>
  <c r="AA155" i="54"/>
  <c r="AB12" i="54"/>
  <c r="AB52" i="54"/>
  <c r="AB92" i="54"/>
  <c r="AB132" i="54"/>
  <c r="AB172" i="54"/>
  <c r="AC29" i="54"/>
  <c r="AC49" i="54"/>
  <c r="AC89" i="54"/>
  <c r="AC129" i="54"/>
  <c r="AC149" i="54"/>
  <c r="AA15" i="54"/>
  <c r="AA35" i="54"/>
  <c r="AA55" i="54"/>
  <c r="AA95" i="54"/>
  <c r="AA135" i="54"/>
  <c r="AA175" i="54"/>
  <c r="AB32" i="54"/>
  <c r="AB72" i="54"/>
  <c r="AB112" i="54"/>
  <c r="AB152" i="54"/>
  <c r="AB192" i="54"/>
  <c r="AC69" i="54"/>
  <c r="AC109" i="54"/>
  <c r="AC169" i="54"/>
  <c r="AA16" i="54"/>
  <c r="AA36" i="54"/>
  <c r="AA56" i="54"/>
  <c r="AA76" i="54"/>
  <c r="AA96" i="54"/>
  <c r="AA116" i="54"/>
  <c r="AA136" i="54"/>
  <c r="AA156" i="54"/>
  <c r="AA176" i="54"/>
  <c r="AB13" i="54"/>
  <c r="AB33" i="54"/>
  <c r="AB53" i="54"/>
  <c r="AB73" i="54"/>
  <c r="AB93" i="54"/>
  <c r="AB113" i="54"/>
  <c r="AB133" i="54"/>
  <c r="AB153" i="54"/>
  <c r="AB173" i="54"/>
  <c r="AB193" i="54"/>
  <c r="AC30" i="54"/>
  <c r="AC50" i="54"/>
  <c r="AC70" i="54"/>
  <c r="AC90" i="54"/>
  <c r="AC110" i="54"/>
  <c r="AC130" i="54"/>
  <c r="AC150" i="54"/>
  <c r="AC170" i="54"/>
  <c r="AC190" i="54"/>
  <c r="AA177" i="54"/>
  <c r="AB94" i="54"/>
  <c r="AB134" i="54"/>
  <c r="AC11" i="54"/>
  <c r="AC51" i="54"/>
  <c r="AC91" i="54"/>
  <c r="AC131" i="54"/>
  <c r="AC171" i="54"/>
  <c r="AA17" i="54"/>
  <c r="AA37" i="54"/>
  <c r="AA57" i="54"/>
  <c r="AA77" i="54"/>
  <c r="AA97" i="54"/>
  <c r="AA117" i="54"/>
  <c r="AA137" i="54"/>
  <c r="AA157" i="54"/>
  <c r="AB14" i="54"/>
  <c r="AB34" i="54"/>
  <c r="AB54" i="54"/>
  <c r="AB74" i="54"/>
  <c r="AB114" i="54"/>
  <c r="AB154" i="54"/>
  <c r="AB174" i="54"/>
  <c r="AC31" i="54"/>
  <c r="AC71" i="54"/>
  <c r="AC111" i="54"/>
  <c r="AC151" i="54"/>
  <c r="AC191" i="54"/>
  <c r="AA18" i="54"/>
  <c r="AA38" i="54"/>
  <c r="AA58" i="54"/>
  <c r="AA78" i="54"/>
  <c r="AA98" i="54"/>
  <c r="AA118" i="54"/>
  <c r="AA138" i="54"/>
  <c r="AA158" i="54"/>
  <c r="AA178" i="54"/>
  <c r="AB15" i="54"/>
  <c r="AB35" i="54"/>
  <c r="AB55" i="54"/>
  <c r="AB75" i="54"/>
  <c r="AB95" i="54"/>
  <c r="AB115" i="54"/>
  <c r="AB135" i="54"/>
  <c r="AB155" i="54"/>
  <c r="AB175" i="54"/>
  <c r="AC12" i="54"/>
  <c r="AC32" i="54"/>
  <c r="AC52" i="54"/>
  <c r="AC72" i="54"/>
  <c r="AC92" i="54"/>
  <c r="AC112" i="54"/>
  <c r="AC132" i="54"/>
  <c r="AC152" i="54"/>
  <c r="AC172" i="54"/>
  <c r="AC192" i="54"/>
  <c r="AA20" i="54"/>
  <c r="AA40" i="54"/>
  <c r="AA60" i="54"/>
  <c r="AA80" i="54"/>
  <c r="AA100" i="54"/>
  <c r="AA120" i="54"/>
  <c r="AA140" i="54"/>
  <c r="AA160" i="54"/>
  <c r="AA180" i="54"/>
  <c r="AB17" i="54"/>
  <c r="AB37" i="54"/>
  <c r="AB57" i="54"/>
  <c r="AB77" i="54"/>
  <c r="AB97" i="54"/>
  <c r="AB117" i="54"/>
  <c r="AB137" i="54"/>
  <c r="AB157" i="54"/>
  <c r="AB177" i="54"/>
  <c r="AC14" i="54"/>
  <c r="AC34" i="54"/>
  <c r="AC54" i="54"/>
  <c r="AC74" i="54"/>
  <c r="AC94" i="54"/>
  <c r="AC114" i="54"/>
  <c r="AC134" i="54"/>
  <c r="AC154" i="54"/>
  <c r="AC174" i="54"/>
  <c r="AA22" i="54"/>
  <c r="AA42" i="54"/>
  <c r="AA62" i="54"/>
  <c r="AA82" i="54"/>
  <c r="AA102" i="54"/>
  <c r="AA122" i="54"/>
  <c r="AA142" i="54"/>
  <c r="AA162" i="54"/>
  <c r="AA182" i="54"/>
  <c r="AB19" i="54"/>
  <c r="AB39" i="54"/>
  <c r="AB59" i="54"/>
  <c r="AB79" i="54"/>
  <c r="AB99" i="54"/>
  <c r="AB119" i="54"/>
  <c r="AB139" i="54"/>
  <c r="AB159" i="54"/>
  <c r="AB179" i="54"/>
  <c r="AC16" i="54"/>
  <c r="AC36" i="54"/>
  <c r="AC56" i="54"/>
  <c r="AC76" i="54"/>
  <c r="AC96" i="54"/>
  <c r="AC116" i="54"/>
  <c r="AC136" i="54"/>
  <c r="AC156" i="54"/>
  <c r="AC176" i="54"/>
  <c r="AA23" i="54"/>
  <c r="AA43" i="54"/>
  <c r="AA63" i="54"/>
  <c r="AA83" i="54"/>
  <c r="AA103" i="54"/>
  <c r="AA123" i="54"/>
  <c r="AA143" i="54"/>
  <c r="AA163" i="54"/>
  <c r="AA183" i="54"/>
  <c r="AB20" i="54"/>
  <c r="AB40" i="54"/>
  <c r="AB60" i="54"/>
  <c r="AB80" i="54"/>
  <c r="AB100" i="54"/>
  <c r="AB120" i="54"/>
  <c r="AB140" i="54"/>
  <c r="AB160" i="54"/>
  <c r="AB180" i="54"/>
  <c r="AC17" i="54"/>
  <c r="AC37" i="54"/>
  <c r="AC57" i="54"/>
  <c r="AC77" i="54"/>
  <c r="AC97" i="54"/>
  <c r="AC117" i="54"/>
  <c r="AC137" i="54"/>
  <c r="AC157" i="54"/>
  <c r="AC177" i="54"/>
  <c r="AA24" i="54"/>
  <c r="AA44" i="54"/>
  <c r="AA64" i="54"/>
  <c r="AA84" i="54"/>
  <c r="AA104" i="54"/>
  <c r="AA124" i="54"/>
  <c r="AA144" i="54"/>
  <c r="AA164" i="54"/>
  <c r="AA184" i="54"/>
  <c r="AB21" i="54"/>
  <c r="AB41" i="54"/>
  <c r="AB61" i="54"/>
  <c r="AB81" i="54"/>
  <c r="AB101" i="54"/>
  <c r="AB121" i="54"/>
  <c r="AB141" i="54"/>
  <c r="AB161" i="54"/>
  <c r="AB181" i="54"/>
  <c r="AC18" i="54"/>
  <c r="AC38" i="54"/>
  <c r="AC58" i="54"/>
  <c r="AC78" i="54"/>
  <c r="AC98" i="54"/>
  <c r="AC118" i="54"/>
  <c r="AC138" i="54"/>
  <c r="AC158" i="54"/>
  <c r="AC178" i="54"/>
  <c r="AA46" i="54"/>
  <c r="AA86" i="54"/>
  <c r="AA106" i="54"/>
  <c r="AA146" i="54"/>
  <c r="AA186" i="54"/>
  <c r="AB43" i="54"/>
  <c r="AB83" i="54"/>
  <c r="AB123" i="54"/>
  <c r="AB143" i="54"/>
  <c r="AC20" i="54"/>
  <c r="AC60" i="54"/>
  <c r="AC100" i="54"/>
  <c r="AC140" i="54"/>
  <c r="AA25" i="54"/>
  <c r="AA45" i="54"/>
  <c r="AA65" i="54"/>
  <c r="AA85" i="54"/>
  <c r="AA105" i="54"/>
  <c r="AA125" i="54"/>
  <c r="AA145" i="54"/>
  <c r="AA165" i="54"/>
  <c r="AA185" i="54"/>
  <c r="AB22" i="54"/>
  <c r="AB42" i="54"/>
  <c r="AB62" i="54"/>
  <c r="AB82" i="54"/>
  <c r="AB102" i="54"/>
  <c r="AB122" i="54"/>
  <c r="AB142" i="54"/>
  <c r="AB162" i="54"/>
  <c r="AB182" i="54"/>
  <c r="AC19" i="54"/>
  <c r="AC39" i="54"/>
  <c r="AC59" i="54"/>
  <c r="AC79" i="54"/>
  <c r="AC99" i="54"/>
  <c r="AC119" i="54"/>
  <c r="AC139" i="54"/>
  <c r="AC159" i="54"/>
  <c r="AC179" i="54"/>
  <c r="AA26" i="54"/>
  <c r="AA126" i="54"/>
  <c r="AA166" i="54"/>
  <c r="AB23" i="54"/>
  <c r="AB63" i="54"/>
  <c r="AB103" i="54"/>
  <c r="AB163" i="54"/>
  <c r="AB183" i="54"/>
  <c r="AC40" i="54"/>
  <c r="AC80" i="54"/>
  <c r="AC120" i="54"/>
  <c r="AC180" i="54"/>
  <c r="AA66" i="54"/>
  <c r="AC160" i="54"/>
  <c r="AA27" i="54"/>
  <c r="AA127" i="54"/>
  <c r="AB44" i="54"/>
  <c r="AB144" i="54"/>
  <c r="AC61" i="54"/>
  <c r="AC161" i="54"/>
  <c r="AA28" i="54"/>
  <c r="AA128" i="54"/>
  <c r="AB45" i="54"/>
  <c r="AB145" i="54"/>
  <c r="AC62" i="54"/>
  <c r="AC162" i="54"/>
  <c r="AC81" i="54"/>
  <c r="AB65" i="54"/>
  <c r="AA39" i="54"/>
  <c r="AA139" i="54"/>
  <c r="AB56" i="54"/>
  <c r="AB156" i="54"/>
  <c r="AC73" i="54"/>
  <c r="AC173" i="54"/>
  <c r="AA47" i="54"/>
  <c r="AA147" i="54"/>
  <c r="AB164" i="54"/>
  <c r="AC181" i="54"/>
  <c r="AA121" i="54"/>
  <c r="AA41" i="54"/>
  <c r="AA141" i="54"/>
  <c r="AB58" i="54"/>
  <c r="AB158" i="54"/>
  <c r="AC75" i="54"/>
  <c r="AC175" i="54"/>
  <c r="AB64" i="54"/>
  <c r="AA148" i="54"/>
  <c r="AB165" i="54"/>
  <c r="AC182" i="54"/>
  <c r="AA48" i="54"/>
  <c r="AC82" i="54"/>
  <c r="AA59" i="54"/>
  <c r="AA159" i="54"/>
  <c r="AB76" i="54"/>
  <c r="AB176" i="54"/>
  <c r="AC93" i="54"/>
  <c r="AC189" i="54"/>
  <c r="AA61" i="54"/>
  <c r="AA161" i="54"/>
  <c r="AB78" i="54"/>
  <c r="AB178" i="54"/>
  <c r="AC95" i="54"/>
  <c r="AC193" i="54"/>
  <c r="AA67" i="54"/>
  <c r="AA167" i="54"/>
  <c r="AB84" i="54"/>
  <c r="AB184" i="54"/>
  <c r="AC101" i="54"/>
  <c r="AA68" i="54"/>
  <c r="AA168" i="54"/>
  <c r="AB85" i="54"/>
  <c r="AB185" i="54"/>
  <c r="AC102" i="54"/>
  <c r="AA79" i="54"/>
  <c r="AA179" i="54"/>
  <c r="AB96" i="54"/>
  <c r="AC13" i="54"/>
  <c r="AC113" i="54"/>
  <c r="AB138" i="54"/>
  <c r="AA81" i="54"/>
  <c r="AA181" i="54"/>
  <c r="AB98" i="54"/>
  <c r="AC15" i="54"/>
  <c r="AC115" i="54"/>
  <c r="AA87" i="54"/>
  <c r="AA187" i="54"/>
  <c r="AB104" i="54"/>
  <c r="AC21" i="54"/>
  <c r="AC121" i="54"/>
  <c r="AA21" i="54"/>
  <c r="AC155" i="54"/>
  <c r="AA88" i="54"/>
  <c r="AA188" i="54"/>
  <c r="AB105" i="54"/>
  <c r="AC22" i="54"/>
  <c r="AC122" i="54"/>
  <c r="AA99" i="54"/>
  <c r="AB16" i="54"/>
  <c r="AB116" i="54"/>
  <c r="AC33" i="54"/>
  <c r="AC133" i="54"/>
  <c r="AA101" i="54"/>
  <c r="AB18" i="54"/>
  <c r="AB118" i="54"/>
  <c r="AC35" i="54"/>
  <c r="AC135" i="54"/>
  <c r="AA108" i="54"/>
  <c r="AB25" i="54"/>
  <c r="AB125" i="54"/>
  <c r="AC142" i="54"/>
  <c r="AA19" i="54"/>
  <c r="AA119" i="54"/>
  <c r="AB36" i="54"/>
  <c r="AC53" i="54"/>
  <c r="AA107" i="54"/>
  <c r="AB24" i="54"/>
  <c r="AB124" i="54"/>
  <c r="AC41" i="54"/>
  <c r="AC141" i="54"/>
  <c r="AB38" i="54"/>
  <c r="AC42" i="54"/>
  <c r="AC153" i="54"/>
  <c r="AB136" i="54"/>
  <c r="AC55" i="54"/>
  <c r="S161" i="4"/>
  <c r="R142" i="4"/>
  <c r="S141" i="4"/>
  <c r="S140" i="4"/>
  <c r="R154" i="4"/>
  <c r="S173" i="4"/>
  <c r="S153" i="4"/>
  <c r="S169" i="4"/>
  <c r="S149" i="4"/>
  <c r="R158" i="4"/>
  <c r="R136" i="4"/>
  <c r="R171" i="4"/>
  <c r="R151" i="4"/>
  <c r="R124" i="4"/>
  <c r="S120" i="4"/>
  <c r="S145" i="4"/>
  <c r="S160" i="4"/>
  <c r="R138" i="4"/>
  <c r="R118" i="4"/>
  <c r="R144" i="4"/>
  <c r="S159" i="4"/>
  <c r="R137" i="4"/>
  <c r="R143" i="4"/>
  <c r="R157" i="4"/>
  <c r="S155" i="4"/>
  <c r="R133" i="4"/>
  <c r="S172" i="4"/>
  <c r="S152" i="4"/>
  <c r="S170" i="4"/>
  <c r="S150" i="4"/>
  <c r="S128" i="4"/>
  <c r="R127" i="4"/>
  <c r="S168" i="4"/>
  <c r="S148" i="4"/>
  <c r="R126" i="4"/>
  <c r="R167" i="4"/>
  <c r="R147" i="4"/>
  <c r="R125" i="4"/>
  <c r="R165" i="4"/>
  <c r="R123" i="4"/>
  <c r="R164" i="4"/>
  <c r="R122" i="4"/>
  <c r="R168" i="4"/>
  <c r="R172" i="4"/>
  <c r="R152" i="4"/>
  <c r="R148" i="4"/>
  <c r="S122" i="4"/>
  <c r="R130" i="4"/>
  <c r="R141" i="4"/>
  <c r="S139" i="4"/>
  <c r="S131" i="4"/>
  <c r="R129" i="4"/>
  <c r="S166" i="4"/>
  <c r="R150" i="4"/>
  <c r="S144" i="4"/>
  <c r="R149" i="4"/>
  <c r="S143" i="4"/>
  <c r="R145" i="4"/>
  <c r="R140" i="4"/>
  <c r="R128" i="4"/>
  <c r="R121" i="4"/>
  <c r="R120" i="4"/>
  <c r="S135" i="4"/>
  <c r="S167" i="4"/>
  <c r="S165" i="4"/>
  <c r="S142" i="4"/>
  <c r="S147" i="4"/>
  <c r="R173" i="4"/>
  <c r="S119" i="4"/>
  <c r="R132" i="4"/>
  <c r="S127" i="4"/>
  <c r="S164" i="4"/>
  <c r="S126" i="4"/>
  <c r="S163" i="4"/>
  <c r="S125" i="4"/>
  <c r="S162" i="4"/>
  <c r="S124" i="4"/>
  <c r="S158" i="4"/>
  <c r="S123" i="4"/>
  <c r="S138" i="4"/>
  <c r="S118" i="4"/>
  <c r="R170" i="4"/>
  <c r="S137" i="4"/>
  <c r="R169" i="4"/>
  <c r="S136" i="4"/>
  <c r="S134" i="4"/>
  <c r="S133" i="4"/>
  <c r="R155" i="4"/>
  <c r="R153" i="4"/>
  <c r="S157" i="4"/>
  <c r="S156" i="4"/>
  <c r="S154" i="4"/>
  <c r="R161" i="4"/>
  <c r="R160" i="4"/>
  <c r="R159" i="4"/>
  <c r="S171" i="4"/>
  <c r="S151" i="4"/>
  <c r="D13" i="50"/>
  <c r="D12" i="50"/>
  <c r="O146" i="4"/>
  <c r="P146" i="4"/>
  <c r="Q146" i="4"/>
  <c r="T146" i="4"/>
  <c r="U146" i="4"/>
  <c r="V146" i="4"/>
  <c r="D15" i="50" l="1"/>
  <c r="D14" i="50"/>
  <c r="R146" i="4"/>
  <c r="S146" i="4"/>
  <c r="AA7" i="51"/>
  <c r="AA6" i="51"/>
  <c r="N6" i="51"/>
  <c r="N7" i="51" s="1"/>
  <c r="J7" i="51" s="1"/>
  <c r="AA5" i="51"/>
  <c r="AA4" i="51"/>
  <c r="Z14" i="51" l="1"/>
  <c r="Z34" i="51"/>
  <c r="Z54" i="51"/>
  <c r="Z74" i="51"/>
  <c r="Z94" i="51"/>
  <c r="Z114" i="51"/>
  <c r="Z134" i="51"/>
  <c r="Z154" i="51"/>
  <c r="Z174" i="51"/>
  <c r="AA11" i="51"/>
  <c r="AA31" i="51"/>
  <c r="AA51" i="51"/>
  <c r="AA71" i="51"/>
  <c r="AA91" i="51"/>
  <c r="AA111" i="51"/>
  <c r="AA131" i="51"/>
  <c r="AA151" i="51"/>
  <c r="AA171" i="51"/>
  <c r="AA191" i="51"/>
  <c r="Z16" i="51"/>
  <c r="Z36" i="51"/>
  <c r="Z56" i="51"/>
  <c r="Z76" i="51"/>
  <c r="Z96" i="51"/>
  <c r="Z116" i="51"/>
  <c r="Z136" i="51"/>
  <c r="Z156" i="51"/>
  <c r="Z176" i="51"/>
  <c r="AA13" i="51"/>
  <c r="AA33" i="51"/>
  <c r="AA53" i="51"/>
  <c r="AA73" i="51"/>
  <c r="AA93" i="51"/>
  <c r="AA113" i="51"/>
  <c r="AA133" i="51"/>
  <c r="Z22" i="51"/>
  <c r="Z42" i="51"/>
  <c r="Z62" i="51"/>
  <c r="Z82" i="51"/>
  <c r="Z102" i="51"/>
  <c r="Z122" i="51"/>
  <c r="Z142" i="51"/>
  <c r="Z162" i="51"/>
  <c r="Z182" i="51"/>
  <c r="AA19" i="51"/>
  <c r="AA39" i="51"/>
  <c r="AA59" i="51"/>
  <c r="AA79" i="51"/>
  <c r="AA99" i="51"/>
  <c r="AA119" i="51"/>
  <c r="AA139" i="51"/>
  <c r="AA159" i="51"/>
  <c r="AA179" i="51"/>
  <c r="AB16" i="51"/>
  <c r="AB36" i="51"/>
  <c r="AB56" i="51"/>
  <c r="AB76" i="51"/>
  <c r="AB96" i="51"/>
  <c r="AB116" i="51"/>
  <c r="AB136" i="51"/>
  <c r="AB156" i="51"/>
  <c r="AB176" i="51"/>
  <c r="Z26" i="51"/>
  <c r="Z46" i="51"/>
  <c r="Z66" i="51"/>
  <c r="Z86" i="51"/>
  <c r="Z106" i="51"/>
  <c r="Z126" i="51"/>
  <c r="Z146" i="51"/>
  <c r="Z166" i="51"/>
  <c r="Z186" i="51"/>
  <c r="AA23" i="51"/>
  <c r="AA43" i="51"/>
  <c r="AA63" i="51"/>
  <c r="AA83" i="51"/>
  <c r="AA103" i="51"/>
  <c r="AA123" i="51"/>
  <c r="AA143" i="51"/>
  <c r="AA163" i="51"/>
  <c r="AA183" i="51"/>
  <c r="AB20" i="51"/>
  <c r="AB40" i="51"/>
  <c r="AB60" i="51"/>
  <c r="AB80" i="51"/>
  <c r="AB100" i="51"/>
  <c r="AB120" i="51"/>
  <c r="AB140" i="51"/>
  <c r="AB160" i="51"/>
  <c r="AB180" i="51"/>
  <c r="Z11" i="51"/>
  <c r="Z37" i="51"/>
  <c r="Z61" i="51"/>
  <c r="Z87" i="51"/>
  <c r="Z111" i="51"/>
  <c r="Z137" i="51"/>
  <c r="Z161" i="51"/>
  <c r="Z187" i="51"/>
  <c r="AA28" i="51"/>
  <c r="AA54" i="51"/>
  <c r="AA78" i="51"/>
  <c r="AA104" i="51"/>
  <c r="AA128" i="51"/>
  <c r="AA153" i="51"/>
  <c r="AA176" i="51"/>
  <c r="AB17" i="51"/>
  <c r="AB39" i="51"/>
  <c r="AB62" i="51"/>
  <c r="AB84" i="51"/>
  <c r="AB106" i="51"/>
  <c r="AB128" i="51"/>
  <c r="AB150" i="51"/>
  <c r="AB172" i="51"/>
  <c r="AA137" i="51"/>
  <c r="Z12" i="51"/>
  <c r="Z38" i="51"/>
  <c r="Z63" i="51"/>
  <c r="Z88" i="51"/>
  <c r="Z112" i="51"/>
  <c r="Z138" i="51"/>
  <c r="Z163" i="51"/>
  <c r="Z188" i="51"/>
  <c r="AA29" i="51"/>
  <c r="AA55" i="51"/>
  <c r="AA80" i="51"/>
  <c r="AA105" i="51"/>
  <c r="AA129" i="51"/>
  <c r="AA154" i="51"/>
  <c r="AA177" i="51"/>
  <c r="AB18" i="51"/>
  <c r="AB41" i="51"/>
  <c r="AB63" i="51"/>
  <c r="AB85" i="51"/>
  <c r="AB107" i="51"/>
  <c r="AB129" i="51"/>
  <c r="AB151" i="51"/>
  <c r="AB173" i="51"/>
  <c r="AB25" i="51"/>
  <c r="Z13" i="51"/>
  <c r="Z39" i="51"/>
  <c r="Z64" i="51"/>
  <c r="Z89" i="51"/>
  <c r="Z113" i="51"/>
  <c r="Z139" i="51"/>
  <c r="Z164" i="51"/>
  <c r="Z189" i="51"/>
  <c r="AA30" i="51"/>
  <c r="AA56" i="51"/>
  <c r="AA81" i="51"/>
  <c r="AA106" i="51"/>
  <c r="AA130" i="51"/>
  <c r="AA155" i="51"/>
  <c r="AA178" i="51"/>
  <c r="AB19" i="51"/>
  <c r="AB42" i="51"/>
  <c r="AB64" i="51"/>
  <c r="AB86" i="51"/>
  <c r="AB108" i="51"/>
  <c r="AB130" i="51"/>
  <c r="AB152" i="51"/>
  <c r="AB174" i="51"/>
  <c r="AA161" i="51"/>
  <c r="Z15" i="51"/>
  <c r="Z40" i="51"/>
  <c r="Z65" i="51"/>
  <c r="Z90" i="51"/>
  <c r="Z115" i="51"/>
  <c r="Z140" i="51"/>
  <c r="Z165" i="51"/>
  <c r="Z190" i="51"/>
  <c r="AA32" i="51"/>
  <c r="AA57" i="51"/>
  <c r="AA82" i="51"/>
  <c r="AA107" i="51"/>
  <c r="AA132" i="51"/>
  <c r="AA156" i="51"/>
  <c r="AA180" i="51"/>
  <c r="AB21" i="51"/>
  <c r="AB43" i="51"/>
  <c r="AB65" i="51"/>
  <c r="AB87" i="51"/>
  <c r="AB109" i="51"/>
  <c r="AB131" i="51"/>
  <c r="AB153" i="51"/>
  <c r="AB175" i="51"/>
  <c r="AB69" i="51"/>
  <c r="Z17" i="51"/>
  <c r="Z41" i="51"/>
  <c r="Z67" i="51"/>
  <c r="Z91" i="51"/>
  <c r="Z117" i="51"/>
  <c r="Z141" i="51"/>
  <c r="Z167" i="51"/>
  <c r="Z191" i="51"/>
  <c r="AA34" i="51"/>
  <c r="AA58" i="51"/>
  <c r="AA84" i="51"/>
  <c r="AA108" i="51"/>
  <c r="AA134" i="51"/>
  <c r="AA157" i="51"/>
  <c r="AA181" i="51"/>
  <c r="AB22" i="51"/>
  <c r="AB44" i="51"/>
  <c r="AB66" i="51"/>
  <c r="AB88" i="51"/>
  <c r="AB110" i="51"/>
  <c r="AB132" i="51"/>
  <c r="AB154" i="51"/>
  <c r="AB177" i="51"/>
  <c r="AB47" i="51"/>
  <c r="Z18" i="51"/>
  <c r="Z43" i="51"/>
  <c r="Z68" i="51"/>
  <c r="Z92" i="51"/>
  <c r="Z118" i="51"/>
  <c r="Z143" i="51"/>
  <c r="Z168" i="51"/>
  <c r="Z192" i="51"/>
  <c r="AA35" i="51"/>
  <c r="AA60" i="51"/>
  <c r="AA85" i="51"/>
  <c r="AA109" i="51"/>
  <c r="AA135" i="51"/>
  <c r="AA158" i="51"/>
  <c r="AA182" i="51"/>
  <c r="AB23" i="51"/>
  <c r="AB45" i="51"/>
  <c r="AB67" i="51"/>
  <c r="AB89" i="51"/>
  <c r="AB111" i="51"/>
  <c r="AB133" i="51"/>
  <c r="AB155" i="51"/>
  <c r="AB178" i="51"/>
  <c r="AB91" i="51"/>
  <c r="Z19" i="51"/>
  <c r="Z44" i="51"/>
  <c r="Z69" i="51"/>
  <c r="Z93" i="51"/>
  <c r="Z119" i="51"/>
  <c r="Z144" i="51"/>
  <c r="Z169" i="51"/>
  <c r="Z193" i="51"/>
  <c r="AA36" i="51"/>
  <c r="AA61" i="51"/>
  <c r="AA86" i="51"/>
  <c r="AA110" i="51"/>
  <c r="AA136" i="51"/>
  <c r="AA160" i="51"/>
  <c r="AA184" i="51"/>
  <c r="AB24" i="51"/>
  <c r="AB46" i="51"/>
  <c r="AB68" i="51"/>
  <c r="AB90" i="51"/>
  <c r="AB112" i="51"/>
  <c r="AB134" i="51"/>
  <c r="AB157" i="51"/>
  <c r="AB179" i="51"/>
  <c r="AB113" i="51"/>
  <c r="Z20" i="51"/>
  <c r="Z45" i="51"/>
  <c r="Z70" i="51"/>
  <c r="Z95" i="51"/>
  <c r="Z120" i="51"/>
  <c r="Z145" i="51"/>
  <c r="Z170" i="51"/>
  <c r="AA12" i="51"/>
  <c r="AA37" i="51"/>
  <c r="AA62" i="51"/>
  <c r="AA87" i="51"/>
  <c r="AA112" i="51"/>
  <c r="AA185" i="51"/>
  <c r="AB135" i="51"/>
  <c r="AB158" i="51"/>
  <c r="AB181" i="51"/>
  <c r="AA102" i="51"/>
  <c r="Z21" i="51"/>
  <c r="Z47" i="51"/>
  <c r="Z71" i="51"/>
  <c r="Z97" i="51"/>
  <c r="Z121" i="51"/>
  <c r="Z147" i="51"/>
  <c r="Z171" i="51"/>
  <c r="AA14" i="51"/>
  <c r="AA38" i="51"/>
  <c r="AA64" i="51"/>
  <c r="AA88" i="51"/>
  <c r="AA114" i="51"/>
  <c r="AA138" i="51"/>
  <c r="AA162" i="51"/>
  <c r="AA186" i="51"/>
  <c r="AB26" i="51"/>
  <c r="AB48" i="51"/>
  <c r="AB70" i="51"/>
  <c r="AB92" i="51"/>
  <c r="AB114" i="51"/>
  <c r="AB137" i="51"/>
  <c r="AB159" i="51"/>
  <c r="AB182" i="51"/>
  <c r="Z23" i="51"/>
  <c r="Z48" i="51"/>
  <c r="Z72" i="51"/>
  <c r="Z98" i="51"/>
  <c r="Z123" i="51"/>
  <c r="Z148" i="51"/>
  <c r="Z172" i="51"/>
  <c r="AA15" i="51"/>
  <c r="AA40" i="51"/>
  <c r="AA65" i="51"/>
  <c r="AA89" i="51"/>
  <c r="AA115" i="51"/>
  <c r="AA140" i="51"/>
  <c r="AA164" i="51"/>
  <c r="AA187" i="51"/>
  <c r="AB27" i="51"/>
  <c r="AB49" i="51"/>
  <c r="AB71" i="51"/>
  <c r="AB93" i="51"/>
  <c r="AB115" i="51"/>
  <c r="AB138" i="51"/>
  <c r="AB161" i="51"/>
  <c r="AB183" i="51"/>
  <c r="Z160" i="51"/>
  <c r="AA175" i="51"/>
  <c r="AB149" i="51"/>
  <c r="Z24" i="51"/>
  <c r="Z49" i="51"/>
  <c r="Z73" i="51"/>
  <c r="Z99" i="51"/>
  <c r="Z124" i="51"/>
  <c r="Z149" i="51"/>
  <c r="Z173" i="51"/>
  <c r="AA16" i="51"/>
  <c r="AA41" i="51"/>
  <c r="AA66" i="51"/>
  <c r="AA90" i="51"/>
  <c r="AA116" i="51"/>
  <c r="AA141" i="51"/>
  <c r="AA165" i="51"/>
  <c r="AA188" i="51"/>
  <c r="AB28" i="51"/>
  <c r="AB50" i="51"/>
  <c r="AB72" i="51"/>
  <c r="AB94" i="51"/>
  <c r="AB117" i="51"/>
  <c r="AB139" i="51"/>
  <c r="AB162" i="51"/>
  <c r="AB184" i="51"/>
  <c r="Z60" i="51"/>
  <c r="Z85" i="51"/>
  <c r="Z185" i="51"/>
  <c r="AA77" i="51"/>
  <c r="AA152" i="51"/>
  <c r="AB38" i="51"/>
  <c r="AB127" i="51"/>
  <c r="Z25" i="51"/>
  <c r="Z50" i="51"/>
  <c r="Z75" i="51"/>
  <c r="Z100" i="51"/>
  <c r="Z125" i="51"/>
  <c r="Z150" i="51"/>
  <c r="Z175" i="51"/>
  <c r="AA17" i="51"/>
  <c r="AA42" i="51"/>
  <c r="AA67" i="51"/>
  <c r="AA92" i="51"/>
  <c r="AA117" i="51"/>
  <c r="AA142" i="51"/>
  <c r="AA166" i="51"/>
  <c r="AA189" i="51"/>
  <c r="AB29" i="51"/>
  <c r="AB51" i="51"/>
  <c r="AB73" i="51"/>
  <c r="AB95" i="51"/>
  <c r="AB118" i="51"/>
  <c r="AB141" i="51"/>
  <c r="AB163" i="51"/>
  <c r="AB185" i="51"/>
  <c r="AB102" i="51"/>
  <c r="AB105" i="51"/>
  <c r="Z27" i="51"/>
  <c r="Z51" i="51"/>
  <c r="Z77" i="51"/>
  <c r="Z101" i="51"/>
  <c r="Z127" i="51"/>
  <c r="Z151" i="51"/>
  <c r="Z177" i="51"/>
  <c r="AA18" i="51"/>
  <c r="AA44" i="51"/>
  <c r="AA68" i="51"/>
  <c r="AA94" i="51"/>
  <c r="AA118" i="51"/>
  <c r="AA144" i="51"/>
  <c r="AA167" i="51"/>
  <c r="AA190" i="51"/>
  <c r="AB30" i="51"/>
  <c r="AB52" i="51"/>
  <c r="AB74" i="51"/>
  <c r="AB97" i="51"/>
  <c r="AB119" i="51"/>
  <c r="AB142" i="51"/>
  <c r="AB164" i="51"/>
  <c r="AB186" i="51"/>
  <c r="AB124" i="51"/>
  <c r="AB193" i="51"/>
  <c r="Z28" i="51"/>
  <c r="Z52" i="51"/>
  <c r="Z78" i="51"/>
  <c r="Z103" i="51"/>
  <c r="Z128" i="51"/>
  <c r="Z152" i="51"/>
  <c r="Z178" i="51"/>
  <c r="AA20" i="51"/>
  <c r="AA45" i="51"/>
  <c r="AA69" i="51"/>
  <c r="AA95" i="51"/>
  <c r="AA120" i="51"/>
  <c r="AA145" i="51"/>
  <c r="AA168" i="51"/>
  <c r="AA192" i="51"/>
  <c r="AB31" i="51"/>
  <c r="AB53" i="51"/>
  <c r="AB75" i="51"/>
  <c r="AB98" i="51"/>
  <c r="AB121" i="51"/>
  <c r="AB143" i="51"/>
  <c r="AB165" i="51"/>
  <c r="AB187" i="51"/>
  <c r="AB190" i="51"/>
  <c r="Z110" i="51"/>
  <c r="AB83" i="51"/>
  <c r="Z29" i="51"/>
  <c r="Z53" i="51"/>
  <c r="Z79" i="51"/>
  <c r="Z104" i="51"/>
  <c r="Z129" i="51"/>
  <c r="Z153" i="51"/>
  <c r="Z179" i="51"/>
  <c r="AA21" i="51"/>
  <c r="AA46" i="51"/>
  <c r="AA70" i="51"/>
  <c r="AA96" i="51"/>
  <c r="AA121" i="51"/>
  <c r="AA146" i="51"/>
  <c r="AA169" i="51"/>
  <c r="AA193" i="51"/>
  <c r="AB32" i="51"/>
  <c r="AB54" i="51"/>
  <c r="AB77" i="51"/>
  <c r="AB99" i="51"/>
  <c r="AB122" i="51"/>
  <c r="AB144" i="51"/>
  <c r="AB166" i="51"/>
  <c r="AB188" i="51"/>
  <c r="AB79" i="51"/>
  <c r="AA127" i="51"/>
  <c r="Z30" i="51"/>
  <c r="Z55" i="51"/>
  <c r="Z80" i="51"/>
  <c r="Z105" i="51"/>
  <c r="Z130" i="51"/>
  <c r="Z155" i="51"/>
  <c r="Z180" i="51"/>
  <c r="AA22" i="51"/>
  <c r="AA47" i="51"/>
  <c r="AA72" i="51"/>
  <c r="AA97" i="51"/>
  <c r="AA122" i="51"/>
  <c r="AA147" i="51"/>
  <c r="AA170" i="51"/>
  <c r="AB11" i="51"/>
  <c r="AB33" i="51"/>
  <c r="AB55" i="51"/>
  <c r="AB78" i="51"/>
  <c r="AB101" i="51"/>
  <c r="AB123" i="51"/>
  <c r="AB145" i="51"/>
  <c r="AB167" i="51"/>
  <c r="AB189" i="51"/>
  <c r="AB146" i="51"/>
  <c r="Z31" i="51"/>
  <c r="Z57" i="51"/>
  <c r="Z81" i="51"/>
  <c r="Z107" i="51"/>
  <c r="Z131" i="51"/>
  <c r="Z157" i="51"/>
  <c r="Z181" i="51"/>
  <c r="AA24" i="51"/>
  <c r="AA48" i="51"/>
  <c r="AA74" i="51"/>
  <c r="AA98" i="51"/>
  <c r="AA124" i="51"/>
  <c r="AA148" i="51"/>
  <c r="AA172" i="51"/>
  <c r="AB12" i="51"/>
  <c r="AB34" i="51"/>
  <c r="AB57" i="51"/>
  <c r="AB168" i="51"/>
  <c r="Z35" i="51"/>
  <c r="AA52" i="51"/>
  <c r="AB15" i="51"/>
  <c r="AB171" i="51"/>
  <c r="Z32" i="51"/>
  <c r="Z58" i="51"/>
  <c r="Z83" i="51"/>
  <c r="Z108" i="51"/>
  <c r="Z132" i="51"/>
  <c r="Z158" i="51"/>
  <c r="Z183" i="51"/>
  <c r="AA25" i="51"/>
  <c r="AA49" i="51"/>
  <c r="AA75" i="51"/>
  <c r="AA100" i="51"/>
  <c r="AA125" i="51"/>
  <c r="AA149" i="51"/>
  <c r="AA173" i="51"/>
  <c r="AB13" i="51"/>
  <c r="AB35" i="51"/>
  <c r="AB58" i="51"/>
  <c r="AB81" i="51"/>
  <c r="AB103" i="51"/>
  <c r="AB125" i="51"/>
  <c r="AB147" i="51"/>
  <c r="AB169" i="51"/>
  <c r="AB191" i="51"/>
  <c r="AA27" i="51"/>
  <c r="Z33" i="51"/>
  <c r="Z59" i="51"/>
  <c r="Z84" i="51"/>
  <c r="Z109" i="51"/>
  <c r="Z133" i="51"/>
  <c r="Z159" i="51"/>
  <c r="Z184" i="51"/>
  <c r="AA26" i="51"/>
  <c r="AA50" i="51"/>
  <c r="AA76" i="51"/>
  <c r="AA101" i="51"/>
  <c r="AA126" i="51"/>
  <c r="AA150" i="51"/>
  <c r="AA174" i="51"/>
  <c r="AB14" i="51"/>
  <c r="AB37" i="51"/>
  <c r="AB59" i="51"/>
  <c r="AB82" i="51"/>
  <c r="AB104" i="51"/>
  <c r="AB126" i="51"/>
  <c r="AB148" i="51"/>
  <c r="AB170" i="51"/>
  <c r="AB192" i="51"/>
  <c r="Z135" i="51"/>
  <c r="AB61" i="51"/>
  <c r="W7" i="50"/>
  <c r="W6" i="50"/>
  <c r="N6" i="50"/>
  <c r="N7" i="50" s="1"/>
  <c r="J7" i="50" s="1"/>
  <c r="W5" i="50"/>
  <c r="W4" i="50"/>
  <c r="V52" i="50" l="1"/>
  <c r="V72" i="50"/>
  <c r="V92" i="50"/>
  <c r="V112" i="50"/>
  <c r="V132" i="50"/>
  <c r="V152" i="50"/>
  <c r="V172" i="50"/>
  <c r="V192" i="50"/>
  <c r="V212" i="50"/>
  <c r="V232" i="50"/>
  <c r="W69" i="50"/>
  <c r="W89" i="50"/>
  <c r="W109" i="50"/>
  <c r="W129" i="50"/>
  <c r="W149" i="50"/>
  <c r="W169" i="50"/>
  <c r="W189" i="50"/>
  <c r="W209" i="50"/>
  <c r="W229" i="50"/>
  <c r="X66" i="50"/>
  <c r="X86" i="50"/>
  <c r="X106" i="50"/>
  <c r="X126" i="50"/>
  <c r="X146" i="50"/>
  <c r="X166" i="50"/>
  <c r="X186" i="50"/>
  <c r="X206" i="50"/>
  <c r="X226" i="50"/>
  <c r="V53" i="50"/>
  <c r="V73" i="50"/>
  <c r="V93" i="50"/>
  <c r="V113" i="50"/>
  <c r="V133" i="50"/>
  <c r="V153" i="50"/>
  <c r="V173" i="50"/>
  <c r="V193" i="50"/>
  <c r="V213" i="50"/>
  <c r="W50" i="50"/>
  <c r="W70" i="50"/>
  <c r="W90" i="50"/>
  <c r="W110" i="50"/>
  <c r="W130" i="50"/>
  <c r="W150" i="50"/>
  <c r="W170" i="50"/>
  <c r="W190" i="50"/>
  <c r="W210" i="50"/>
  <c r="W230" i="50"/>
  <c r="X67" i="50"/>
  <c r="X87" i="50"/>
  <c r="X107" i="50"/>
  <c r="X127" i="50"/>
  <c r="X147" i="50"/>
  <c r="X167" i="50"/>
  <c r="X187" i="50"/>
  <c r="X207" i="50"/>
  <c r="X227" i="50"/>
  <c r="V54" i="50"/>
  <c r="V74" i="50"/>
  <c r="V94" i="50"/>
  <c r="V114" i="50"/>
  <c r="V134" i="50"/>
  <c r="V154" i="50"/>
  <c r="V174" i="50"/>
  <c r="V194" i="50"/>
  <c r="V214" i="50"/>
  <c r="W51" i="50"/>
  <c r="W71" i="50"/>
  <c r="W91" i="50"/>
  <c r="W111" i="50"/>
  <c r="W131" i="50"/>
  <c r="W151" i="50"/>
  <c r="W171" i="50"/>
  <c r="W191" i="50"/>
  <c r="W211" i="50"/>
  <c r="W231" i="50"/>
  <c r="X68" i="50"/>
  <c r="X88" i="50"/>
  <c r="X108" i="50"/>
  <c r="X128" i="50"/>
  <c r="X148" i="50"/>
  <c r="X168" i="50"/>
  <c r="X188" i="50"/>
  <c r="X208" i="50"/>
  <c r="X228" i="50"/>
  <c r="V55" i="50"/>
  <c r="V75" i="50"/>
  <c r="V95" i="50"/>
  <c r="V115" i="50"/>
  <c r="V135" i="50"/>
  <c r="V155" i="50"/>
  <c r="V175" i="50"/>
  <c r="V195" i="50"/>
  <c r="V215" i="50"/>
  <c r="W52" i="50"/>
  <c r="W72" i="50"/>
  <c r="W92" i="50"/>
  <c r="W112" i="50"/>
  <c r="W132" i="50"/>
  <c r="W152" i="50"/>
  <c r="W172" i="50"/>
  <c r="W192" i="50"/>
  <c r="W212" i="50"/>
  <c r="W232" i="50"/>
  <c r="X69" i="50"/>
  <c r="X89" i="50"/>
  <c r="X109" i="50"/>
  <c r="X129" i="50"/>
  <c r="X149" i="50"/>
  <c r="X169" i="50"/>
  <c r="X189" i="50"/>
  <c r="X209" i="50"/>
  <c r="X229" i="50"/>
  <c r="V56" i="50"/>
  <c r="V76" i="50"/>
  <c r="V96" i="50"/>
  <c r="V116" i="50"/>
  <c r="V136" i="50"/>
  <c r="V156" i="50"/>
  <c r="V176" i="50"/>
  <c r="V196" i="50"/>
  <c r="V216" i="50"/>
  <c r="W53" i="50"/>
  <c r="W73" i="50"/>
  <c r="W93" i="50"/>
  <c r="W113" i="50"/>
  <c r="W133" i="50"/>
  <c r="W153" i="50"/>
  <c r="W173" i="50"/>
  <c r="W193" i="50"/>
  <c r="W213" i="50"/>
  <c r="X50" i="50"/>
  <c r="X70" i="50"/>
  <c r="X90" i="50"/>
  <c r="X110" i="50"/>
  <c r="X130" i="50"/>
  <c r="X150" i="50"/>
  <c r="X170" i="50"/>
  <c r="X190" i="50"/>
  <c r="X210" i="50"/>
  <c r="X230" i="50"/>
  <c r="V57" i="50"/>
  <c r="V77" i="50"/>
  <c r="V97" i="50"/>
  <c r="V117" i="50"/>
  <c r="V137" i="50"/>
  <c r="V157" i="50"/>
  <c r="V177" i="50"/>
  <c r="V197" i="50"/>
  <c r="V217" i="50"/>
  <c r="W54" i="50"/>
  <c r="W74" i="50"/>
  <c r="W94" i="50"/>
  <c r="W114" i="50"/>
  <c r="W134" i="50"/>
  <c r="W154" i="50"/>
  <c r="W174" i="50"/>
  <c r="W194" i="50"/>
  <c r="W214" i="50"/>
  <c r="X51" i="50"/>
  <c r="X71" i="50"/>
  <c r="X91" i="50"/>
  <c r="X111" i="50"/>
  <c r="X131" i="50"/>
  <c r="X151" i="50"/>
  <c r="X171" i="50"/>
  <c r="X191" i="50"/>
  <c r="X211" i="50"/>
  <c r="X231" i="50"/>
  <c r="V58" i="50"/>
  <c r="V78" i="50"/>
  <c r="V98" i="50"/>
  <c r="V118" i="50"/>
  <c r="V138" i="50"/>
  <c r="V158" i="50"/>
  <c r="V178" i="50"/>
  <c r="V198" i="50"/>
  <c r="V218" i="50"/>
  <c r="W55" i="50"/>
  <c r="W75" i="50"/>
  <c r="W95" i="50"/>
  <c r="W115" i="50"/>
  <c r="W135" i="50"/>
  <c r="W155" i="50"/>
  <c r="W175" i="50"/>
  <c r="W195" i="50"/>
  <c r="W215" i="50"/>
  <c r="X52" i="50"/>
  <c r="X72" i="50"/>
  <c r="X92" i="50"/>
  <c r="X112" i="50"/>
  <c r="X132" i="50"/>
  <c r="X152" i="50"/>
  <c r="X172" i="50"/>
  <c r="X192" i="50"/>
  <c r="X212" i="50"/>
  <c r="X232" i="50"/>
  <c r="V59" i="50"/>
  <c r="V79" i="50"/>
  <c r="V99" i="50"/>
  <c r="V119" i="50"/>
  <c r="V139" i="50"/>
  <c r="V159" i="50"/>
  <c r="V179" i="50"/>
  <c r="V199" i="50"/>
  <c r="V219" i="50"/>
  <c r="W56" i="50"/>
  <c r="W76" i="50"/>
  <c r="W96" i="50"/>
  <c r="W116" i="50"/>
  <c r="W136" i="50"/>
  <c r="W156" i="50"/>
  <c r="W176" i="50"/>
  <c r="W196" i="50"/>
  <c r="W216" i="50"/>
  <c r="X53" i="50"/>
  <c r="X73" i="50"/>
  <c r="X93" i="50"/>
  <c r="X113" i="50"/>
  <c r="X133" i="50"/>
  <c r="X153" i="50"/>
  <c r="X173" i="50"/>
  <c r="X193" i="50"/>
  <c r="X213" i="50"/>
  <c r="V200" i="50"/>
  <c r="V220" i="50"/>
  <c r="W57" i="50"/>
  <c r="V60" i="50"/>
  <c r="V80" i="50"/>
  <c r="V100" i="50"/>
  <c r="V120" i="50"/>
  <c r="V140" i="50"/>
  <c r="V160" i="50"/>
  <c r="V61" i="50"/>
  <c r="V81" i="50"/>
  <c r="V101" i="50"/>
  <c r="V121" i="50"/>
  <c r="V141" i="50"/>
  <c r="V161" i="50"/>
  <c r="V181" i="50"/>
  <c r="V201" i="50"/>
  <c r="V221" i="50"/>
  <c r="W58" i="50"/>
  <c r="W78" i="50"/>
  <c r="W98" i="50"/>
  <c r="W118" i="50"/>
  <c r="W138" i="50"/>
  <c r="W158" i="50"/>
  <c r="W178" i="50"/>
  <c r="W198" i="50"/>
  <c r="W218" i="50"/>
  <c r="X55" i="50"/>
  <c r="X75" i="50"/>
  <c r="X95" i="50"/>
  <c r="X115" i="50"/>
  <c r="X135" i="50"/>
  <c r="X155" i="50"/>
  <c r="X175" i="50"/>
  <c r="X195" i="50"/>
  <c r="X215" i="50"/>
  <c r="V62" i="50"/>
  <c r="V82" i="50"/>
  <c r="V102" i="50"/>
  <c r="V122" i="50"/>
  <c r="V142" i="50"/>
  <c r="V162" i="50"/>
  <c r="V182" i="50"/>
  <c r="V202" i="50"/>
  <c r="V222" i="50"/>
  <c r="W59" i="50"/>
  <c r="W79" i="50"/>
  <c r="W99" i="50"/>
  <c r="W119" i="50"/>
  <c r="W139" i="50"/>
  <c r="W159" i="50"/>
  <c r="W179" i="50"/>
  <c r="W199" i="50"/>
  <c r="W219" i="50"/>
  <c r="X56" i="50"/>
  <c r="X76" i="50"/>
  <c r="X96" i="50"/>
  <c r="X116" i="50"/>
  <c r="X136" i="50"/>
  <c r="X156" i="50"/>
  <c r="X176" i="50"/>
  <c r="X196" i="50"/>
  <c r="X216" i="50"/>
  <c r="V63" i="50"/>
  <c r="V83" i="50"/>
  <c r="V103" i="50"/>
  <c r="V123" i="50"/>
  <c r="V143" i="50"/>
  <c r="V163" i="50"/>
  <c r="V183" i="50"/>
  <c r="V203" i="50"/>
  <c r="V223" i="50"/>
  <c r="W60" i="50"/>
  <c r="W80" i="50"/>
  <c r="W100" i="50"/>
  <c r="W120" i="50"/>
  <c r="W140" i="50"/>
  <c r="W160" i="50"/>
  <c r="W180" i="50"/>
  <c r="W200" i="50"/>
  <c r="W220" i="50"/>
  <c r="X57" i="50"/>
  <c r="X77" i="50"/>
  <c r="X97" i="50"/>
  <c r="X117" i="50"/>
  <c r="X137" i="50"/>
  <c r="X157" i="50"/>
  <c r="X177" i="50"/>
  <c r="X197" i="50"/>
  <c r="X217" i="50"/>
  <c r="V65" i="50"/>
  <c r="V85" i="50"/>
  <c r="V105" i="50"/>
  <c r="V125" i="50"/>
  <c r="V145" i="50"/>
  <c r="V165" i="50"/>
  <c r="V185" i="50"/>
  <c r="V205" i="50"/>
  <c r="V225" i="50"/>
  <c r="W62" i="50"/>
  <c r="W82" i="50"/>
  <c r="W102" i="50"/>
  <c r="W122" i="50"/>
  <c r="W142" i="50"/>
  <c r="W162" i="50"/>
  <c r="W182" i="50"/>
  <c r="W202" i="50"/>
  <c r="W222" i="50"/>
  <c r="X59" i="50"/>
  <c r="X79" i="50"/>
  <c r="X99" i="50"/>
  <c r="X119" i="50"/>
  <c r="X139" i="50"/>
  <c r="X159" i="50"/>
  <c r="X179" i="50"/>
  <c r="X199" i="50"/>
  <c r="X219" i="50"/>
  <c r="V66" i="50"/>
  <c r="V86" i="50"/>
  <c r="V106" i="50"/>
  <c r="V126" i="50"/>
  <c r="V146" i="50"/>
  <c r="V166" i="50"/>
  <c r="V186" i="50"/>
  <c r="V206" i="50"/>
  <c r="V226" i="50"/>
  <c r="W63" i="50"/>
  <c r="W83" i="50"/>
  <c r="W103" i="50"/>
  <c r="W123" i="50"/>
  <c r="W143" i="50"/>
  <c r="W163" i="50"/>
  <c r="W183" i="50"/>
  <c r="W203" i="50"/>
  <c r="W223" i="50"/>
  <c r="X60" i="50"/>
  <c r="X80" i="50"/>
  <c r="X100" i="50"/>
  <c r="X120" i="50"/>
  <c r="X140" i="50"/>
  <c r="X160" i="50"/>
  <c r="X180" i="50"/>
  <c r="X200" i="50"/>
  <c r="X220" i="50"/>
  <c r="V67" i="50"/>
  <c r="V87" i="50"/>
  <c r="V107" i="50"/>
  <c r="V127" i="50"/>
  <c r="V147" i="50"/>
  <c r="V167" i="50"/>
  <c r="V187" i="50"/>
  <c r="V207" i="50"/>
  <c r="V227" i="50"/>
  <c r="W64" i="50"/>
  <c r="W84" i="50"/>
  <c r="W104" i="50"/>
  <c r="W124" i="50"/>
  <c r="W144" i="50"/>
  <c r="W164" i="50"/>
  <c r="W184" i="50"/>
  <c r="W204" i="50"/>
  <c r="W224" i="50"/>
  <c r="X61" i="50"/>
  <c r="X81" i="50"/>
  <c r="X101" i="50"/>
  <c r="X121" i="50"/>
  <c r="X141" i="50"/>
  <c r="X161" i="50"/>
  <c r="X181" i="50"/>
  <c r="X201" i="50"/>
  <c r="X221" i="50"/>
  <c r="V68" i="50"/>
  <c r="V88" i="50"/>
  <c r="V108" i="50"/>
  <c r="V128" i="50"/>
  <c r="V148" i="50"/>
  <c r="V168" i="50"/>
  <c r="V188" i="50"/>
  <c r="V208" i="50"/>
  <c r="V228" i="50"/>
  <c r="W65" i="50"/>
  <c r="W85" i="50"/>
  <c r="W105" i="50"/>
  <c r="W125" i="50"/>
  <c r="W145" i="50"/>
  <c r="W165" i="50"/>
  <c r="W185" i="50"/>
  <c r="W205" i="50"/>
  <c r="W225" i="50"/>
  <c r="X62" i="50"/>
  <c r="X82" i="50"/>
  <c r="X102" i="50"/>
  <c r="X122" i="50"/>
  <c r="X142" i="50"/>
  <c r="X162" i="50"/>
  <c r="X182" i="50"/>
  <c r="X202" i="50"/>
  <c r="X222" i="50"/>
  <c r="V69" i="50"/>
  <c r="V89" i="50"/>
  <c r="V109" i="50"/>
  <c r="V129" i="50"/>
  <c r="V149" i="50"/>
  <c r="V169" i="50"/>
  <c r="V189" i="50"/>
  <c r="V209" i="50"/>
  <c r="V229" i="50"/>
  <c r="W66" i="50"/>
  <c r="W86" i="50"/>
  <c r="W106" i="50"/>
  <c r="W126" i="50"/>
  <c r="W146" i="50"/>
  <c r="W166" i="50"/>
  <c r="W186" i="50"/>
  <c r="W206" i="50"/>
  <c r="W226" i="50"/>
  <c r="X63" i="50"/>
  <c r="X83" i="50"/>
  <c r="X103" i="50"/>
  <c r="X123" i="50"/>
  <c r="X143" i="50"/>
  <c r="X163" i="50"/>
  <c r="X183" i="50"/>
  <c r="X203" i="50"/>
  <c r="X223" i="50"/>
  <c r="V50" i="50"/>
  <c r="V70" i="50"/>
  <c r="V90" i="50"/>
  <c r="V110" i="50"/>
  <c r="V130" i="50"/>
  <c r="V150" i="50"/>
  <c r="V170" i="50"/>
  <c r="V190" i="50"/>
  <c r="V210" i="50"/>
  <c r="V230" i="50"/>
  <c r="W67" i="50"/>
  <c r="W87" i="50"/>
  <c r="W107" i="50"/>
  <c r="W127" i="50"/>
  <c r="W147" i="50"/>
  <c r="W167" i="50"/>
  <c r="W187" i="50"/>
  <c r="W207" i="50"/>
  <c r="W227" i="50"/>
  <c r="X64" i="50"/>
  <c r="X84" i="50"/>
  <c r="X104" i="50"/>
  <c r="X124" i="50"/>
  <c r="X144" i="50"/>
  <c r="X164" i="50"/>
  <c r="X184" i="50"/>
  <c r="X204" i="50"/>
  <c r="X224" i="50"/>
  <c r="V144" i="50"/>
  <c r="W121" i="50"/>
  <c r="X74" i="50"/>
  <c r="X205" i="50"/>
  <c r="X78" i="50"/>
  <c r="V151" i="50"/>
  <c r="W128" i="50"/>
  <c r="X214" i="50"/>
  <c r="V164" i="50"/>
  <c r="W137" i="50"/>
  <c r="X85" i="50"/>
  <c r="X218" i="50"/>
  <c r="V171" i="50"/>
  <c r="W141" i="50"/>
  <c r="X94" i="50"/>
  <c r="X225" i="50"/>
  <c r="V180" i="50"/>
  <c r="W148" i="50"/>
  <c r="X98" i="50"/>
  <c r="V184" i="50"/>
  <c r="W157" i="50"/>
  <c r="X105" i="50"/>
  <c r="V191" i="50"/>
  <c r="W161" i="50"/>
  <c r="X114" i="50"/>
  <c r="V204" i="50"/>
  <c r="W168" i="50"/>
  <c r="X118" i="50"/>
  <c r="V211" i="50"/>
  <c r="W177" i="50"/>
  <c r="X125" i="50"/>
  <c r="V224" i="50"/>
  <c r="W181" i="50"/>
  <c r="X134" i="50"/>
  <c r="V231" i="50"/>
  <c r="W188" i="50"/>
  <c r="X138" i="50"/>
  <c r="V64" i="50"/>
  <c r="W68" i="50"/>
  <c r="W201" i="50"/>
  <c r="X154" i="50"/>
  <c r="W228" i="50"/>
  <c r="X198" i="50"/>
  <c r="V51" i="50"/>
  <c r="W61" i="50"/>
  <c r="W197" i="50"/>
  <c r="X145" i="50"/>
  <c r="X178" i="50"/>
  <c r="W108" i="50"/>
  <c r="W117" i="50"/>
  <c r="X65" i="50"/>
  <c r="V71" i="50"/>
  <c r="W77" i="50"/>
  <c r="W208" i="50"/>
  <c r="X158" i="50"/>
  <c r="V124" i="50"/>
  <c r="V84" i="50"/>
  <c r="W81" i="50"/>
  <c r="W217" i="50"/>
  <c r="X165" i="50"/>
  <c r="V104" i="50"/>
  <c r="W97" i="50"/>
  <c r="X194" i="50"/>
  <c r="V131" i="50"/>
  <c r="V91" i="50"/>
  <c r="W88" i="50"/>
  <c r="W221" i="50"/>
  <c r="X174" i="50"/>
  <c r="V111" i="50"/>
  <c r="W101" i="50"/>
  <c r="X54" i="50"/>
  <c r="X185" i="50"/>
  <c r="X58" i="50"/>
  <c r="X5" i="32"/>
  <c r="O6" i="32" l="1"/>
  <c r="O7" i="32" s="1"/>
  <c r="J7" i="32" s="1"/>
  <c r="X7" i="32"/>
  <c r="X6" i="32"/>
  <c r="X4" i="32"/>
  <c r="W28" i="32" l="1"/>
  <c r="W48" i="32"/>
  <c r="W68" i="32"/>
  <c r="W88" i="32"/>
  <c r="W108" i="32"/>
  <c r="W128" i="32"/>
  <c r="W148" i="32"/>
  <c r="W168" i="32"/>
  <c r="W188" i="32"/>
  <c r="X25" i="32"/>
  <c r="X45" i="32"/>
  <c r="X65" i="32"/>
  <c r="X85" i="32"/>
  <c r="X105" i="32"/>
  <c r="X125" i="32"/>
  <c r="X145" i="32"/>
  <c r="X165" i="32"/>
  <c r="X185" i="32"/>
  <c r="Y22" i="32"/>
  <c r="Y42" i="32"/>
  <c r="Y62" i="32"/>
  <c r="Y82" i="32"/>
  <c r="Y102" i="32"/>
  <c r="Y122" i="32"/>
  <c r="Y142" i="32"/>
  <c r="Y162" i="32"/>
  <c r="Y182" i="32"/>
  <c r="W30" i="32"/>
  <c r="W50" i="32"/>
  <c r="W70" i="32"/>
  <c r="W90" i="32"/>
  <c r="W110" i="32"/>
  <c r="W130" i="32"/>
  <c r="W150" i="32"/>
  <c r="W170" i="32"/>
  <c r="W190" i="32"/>
  <c r="X27" i="32"/>
  <c r="X47" i="32"/>
  <c r="X67" i="32"/>
  <c r="X87" i="32"/>
  <c r="X107" i="32"/>
  <c r="X127" i="32"/>
  <c r="X147" i="32"/>
  <c r="X167" i="32"/>
  <c r="X187" i="32"/>
  <c r="Y24" i="32"/>
  <c r="Y44" i="32"/>
  <c r="Y64" i="32"/>
  <c r="Y84" i="32"/>
  <c r="Y104" i="32"/>
  <c r="Y124" i="32"/>
  <c r="Y144" i="32"/>
  <c r="Y164" i="32"/>
  <c r="Y184" i="32"/>
  <c r="W11" i="32"/>
  <c r="W12" i="32"/>
  <c r="W32" i="32"/>
  <c r="W52" i="32"/>
  <c r="W72" i="32"/>
  <c r="W92" i="32"/>
  <c r="W112" i="32"/>
  <c r="W132" i="32"/>
  <c r="W152" i="32"/>
  <c r="W172" i="32"/>
  <c r="W192" i="32"/>
  <c r="X29" i="32"/>
  <c r="X49" i="32"/>
  <c r="X69" i="32"/>
  <c r="X89" i="32"/>
  <c r="X109" i="32"/>
  <c r="X129" i="32"/>
  <c r="X149" i="32"/>
  <c r="X169" i="32"/>
  <c r="X189" i="32"/>
  <c r="Y26" i="32"/>
  <c r="Y46" i="32"/>
  <c r="Y66" i="32"/>
  <c r="Y86" i="32"/>
  <c r="Y106" i="32"/>
  <c r="Y126" i="32"/>
  <c r="Y146" i="32"/>
  <c r="Y166" i="32"/>
  <c r="Y186" i="32"/>
  <c r="W14" i="32"/>
  <c r="W34" i="32"/>
  <c r="W54" i="32"/>
  <c r="W74" i="32"/>
  <c r="W94" i="32"/>
  <c r="W114" i="32"/>
  <c r="W134" i="32"/>
  <c r="W154" i="32"/>
  <c r="W174" i="32"/>
  <c r="X11" i="32"/>
  <c r="X31" i="32"/>
  <c r="X51" i="32"/>
  <c r="X71" i="32"/>
  <c r="X91" i="32"/>
  <c r="X111" i="32"/>
  <c r="X131" i="32"/>
  <c r="X151" i="32"/>
  <c r="X171" i="32"/>
  <c r="X191" i="32"/>
  <c r="Y28" i="32"/>
  <c r="Y48" i="32"/>
  <c r="Y68" i="32"/>
  <c r="Y88" i="32"/>
  <c r="Y108" i="32"/>
  <c r="Y128" i="32"/>
  <c r="Y148" i="32"/>
  <c r="Y168" i="32"/>
  <c r="Y188" i="32"/>
  <c r="W16" i="32"/>
  <c r="W36" i="32"/>
  <c r="W56" i="32"/>
  <c r="W76" i="32"/>
  <c r="W96" i="32"/>
  <c r="W116" i="32"/>
  <c r="W136" i="32"/>
  <c r="W156" i="32"/>
  <c r="W176" i="32"/>
  <c r="X13" i="32"/>
  <c r="X33" i="32"/>
  <c r="X53" i="32"/>
  <c r="X73" i="32"/>
  <c r="X93" i="32"/>
  <c r="X113" i="32"/>
  <c r="X133" i="32"/>
  <c r="X153" i="32"/>
  <c r="X173" i="32"/>
  <c r="X193" i="32"/>
  <c r="Y30" i="32"/>
  <c r="Y50" i="32"/>
  <c r="Y70" i="32"/>
  <c r="Y90" i="32"/>
  <c r="Y110" i="32"/>
  <c r="Y130" i="32"/>
  <c r="Y150" i="32"/>
  <c r="Y170" i="32"/>
  <c r="Y190" i="32"/>
  <c r="W18" i="32"/>
  <c r="W38" i="32"/>
  <c r="W58" i="32"/>
  <c r="W78" i="32"/>
  <c r="W98" i="32"/>
  <c r="W118" i="32"/>
  <c r="W138" i="32"/>
  <c r="W158" i="32"/>
  <c r="W178" i="32"/>
  <c r="X15" i="32"/>
  <c r="X35" i="32"/>
  <c r="X55" i="32"/>
  <c r="X75" i="32"/>
  <c r="X95" i="32"/>
  <c r="X115" i="32"/>
  <c r="X135" i="32"/>
  <c r="X155" i="32"/>
  <c r="X175" i="32"/>
  <c r="Y12" i="32"/>
  <c r="Y32" i="32"/>
  <c r="Y52" i="32"/>
  <c r="Y72" i="32"/>
  <c r="Y92" i="32"/>
  <c r="Y112" i="32"/>
  <c r="Y132" i="32"/>
  <c r="Y152" i="32"/>
  <c r="Y172" i="32"/>
  <c r="Y192" i="32"/>
  <c r="W79" i="32"/>
  <c r="W159" i="32"/>
  <c r="W19" i="32"/>
  <c r="W39" i="32"/>
  <c r="W59" i="32"/>
  <c r="W99" i="32"/>
  <c r="W119" i="32"/>
  <c r="W139" i="32"/>
  <c r="W179" i="32"/>
  <c r="X16" i="32"/>
  <c r="X56" i="32"/>
  <c r="W20" i="32"/>
  <c r="W40" i="32"/>
  <c r="W60" i="32"/>
  <c r="W80" i="32"/>
  <c r="W100" i="32"/>
  <c r="W120" i="32"/>
  <c r="W140" i="32"/>
  <c r="W160" i="32"/>
  <c r="W180" i="32"/>
  <c r="X17" i="32"/>
  <c r="X37" i="32"/>
  <c r="X57" i="32"/>
  <c r="X77" i="32"/>
  <c r="X97" i="32"/>
  <c r="X117" i="32"/>
  <c r="X137" i="32"/>
  <c r="X157" i="32"/>
  <c r="X177" i="32"/>
  <c r="Y14" i="32"/>
  <c r="Y34" i="32"/>
  <c r="Y54" i="32"/>
  <c r="Y74" i="32"/>
  <c r="Y94" i="32"/>
  <c r="Y114" i="32"/>
  <c r="Y134" i="32"/>
  <c r="Y154" i="32"/>
  <c r="Y174" i="32"/>
  <c r="W21" i="32"/>
  <c r="W41" i="32"/>
  <c r="W61" i="32"/>
  <c r="W81" i="32"/>
  <c r="W22" i="32"/>
  <c r="W42" i="32"/>
  <c r="W62" i="32"/>
  <c r="W82" i="32"/>
  <c r="W102" i="32"/>
  <c r="W122" i="32"/>
  <c r="W142" i="32"/>
  <c r="W162" i="32"/>
  <c r="W182" i="32"/>
  <c r="X19" i="32"/>
  <c r="X39" i="32"/>
  <c r="X59" i="32"/>
  <c r="X79" i="32"/>
  <c r="X99" i="32"/>
  <c r="X119" i="32"/>
  <c r="X139" i="32"/>
  <c r="X159" i="32"/>
  <c r="X179" i="32"/>
  <c r="Y16" i="32"/>
  <c r="Y36" i="32"/>
  <c r="Y56" i="32"/>
  <c r="Y76" i="32"/>
  <c r="Y96" i="32"/>
  <c r="Y116" i="32"/>
  <c r="Y136" i="32"/>
  <c r="Y156" i="32"/>
  <c r="Y176" i="32"/>
  <c r="W24" i="32"/>
  <c r="W44" i="32"/>
  <c r="W64" i="32"/>
  <c r="W84" i="32"/>
  <c r="W104" i="32"/>
  <c r="W124" i="32"/>
  <c r="W144" i="32"/>
  <c r="W164" i="32"/>
  <c r="W184" i="32"/>
  <c r="X21" i="32"/>
  <c r="X41" i="32"/>
  <c r="X61" i="32"/>
  <c r="X81" i="32"/>
  <c r="X101" i="32"/>
  <c r="X121" i="32"/>
  <c r="X141" i="32"/>
  <c r="X161" i="32"/>
  <c r="X181" i="32"/>
  <c r="Y18" i="32"/>
  <c r="Y38" i="32"/>
  <c r="Y58" i="32"/>
  <c r="Y78" i="32"/>
  <c r="Y98" i="32"/>
  <c r="Y118" i="32"/>
  <c r="Y138" i="32"/>
  <c r="Y158" i="32"/>
  <c r="Y178" i="32"/>
  <c r="W49" i="32"/>
  <c r="W93" i="32"/>
  <c r="W133" i="32"/>
  <c r="W173" i="32"/>
  <c r="X30" i="32"/>
  <c r="X68" i="32"/>
  <c r="X104" i="32"/>
  <c r="X142" i="32"/>
  <c r="X178" i="32"/>
  <c r="Y31" i="32"/>
  <c r="Y67" i="32"/>
  <c r="Y103" i="32"/>
  <c r="Y140" i="32"/>
  <c r="Y177" i="32"/>
  <c r="W51" i="32"/>
  <c r="W95" i="32"/>
  <c r="W135" i="32"/>
  <c r="W175" i="32"/>
  <c r="X32" i="32"/>
  <c r="X70" i="32"/>
  <c r="X106" i="32"/>
  <c r="X180" i="32"/>
  <c r="Y33" i="32"/>
  <c r="Y69" i="32"/>
  <c r="Y141" i="32"/>
  <c r="W97" i="32"/>
  <c r="X136" i="32"/>
  <c r="Y171" i="32"/>
  <c r="X28" i="32"/>
  <c r="Y101" i="32"/>
  <c r="X143" i="32"/>
  <c r="Y105" i="32"/>
  <c r="Y179" i="32"/>
  <c r="W53" i="32"/>
  <c r="X174" i="32"/>
  <c r="Y65" i="32"/>
  <c r="W137" i="32"/>
  <c r="W177" i="32"/>
  <c r="X34" i="32"/>
  <c r="X72" i="32"/>
  <c r="X108" i="32"/>
  <c r="X144" i="32"/>
  <c r="X182" i="32"/>
  <c r="Y35" i="32"/>
  <c r="Y71" i="32"/>
  <c r="Y107" i="32"/>
  <c r="Y143" i="32"/>
  <c r="Y180" i="32"/>
  <c r="Y25" i="32"/>
  <c r="Y173" i="32"/>
  <c r="X103" i="32"/>
  <c r="W55" i="32"/>
  <c r="W101" i="32"/>
  <c r="W141" i="32"/>
  <c r="W181" i="32"/>
  <c r="X36" i="32"/>
  <c r="X74" i="32"/>
  <c r="X110" i="32"/>
  <c r="X146" i="32"/>
  <c r="X183" i="32"/>
  <c r="Y37" i="32"/>
  <c r="Y73" i="32"/>
  <c r="Y109" i="32"/>
  <c r="Y145" i="32"/>
  <c r="Y181" i="32"/>
  <c r="W183" i="32"/>
  <c r="X112" i="32"/>
  <c r="Y39" i="32"/>
  <c r="Y111" i="32"/>
  <c r="Y183" i="32"/>
  <c r="W127" i="32"/>
  <c r="W89" i="32"/>
  <c r="Y63" i="32"/>
  <c r="W13" i="32"/>
  <c r="W57" i="32"/>
  <c r="W103" i="32"/>
  <c r="W143" i="32"/>
  <c r="X38" i="32"/>
  <c r="X76" i="32"/>
  <c r="X148" i="32"/>
  <c r="X184" i="32"/>
  <c r="Y75" i="32"/>
  <c r="Y147" i="32"/>
  <c r="W169" i="32"/>
  <c r="W131" i="32"/>
  <c r="W15" i="32"/>
  <c r="W63" i="32"/>
  <c r="W105" i="32"/>
  <c r="W145" i="32"/>
  <c r="W185" i="32"/>
  <c r="X40" i="32"/>
  <c r="X78" i="32"/>
  <c r="X114" i="32"/>
  <c r="X150" i="32"/>
  <c r="X186" i="32"/>
  <c r="Y40" i="32"/>
  <c r="Y77" i="32"/>
  <c r="Y113" i="32"/>
  <c r="Y149" i="32"/>
  <c r="Y185" i="32"/>
  <c r="X26" i="32"/>
  <c r="W17" i="32"/>
  <c r="W65" i="32"/>
  <c r="W106" i="32"/>
  <c r="W146" i="32"/>
  <c r="W186" i="32"/>
  <c r="X42" i="32"/>
  <c r="X80" i="32"/>
  <c r="X116" i="32"/>
  <c r="X152" i="32"/>
  <c r="X188" i="32"/>
  <c r="Y41" i="32"/>
  <c r="Y79" i="32"/>
  <c r="Y115" i="32"/>
  <c r="Y151" i="32"/>
  <c r="Y187" i="32"/>
  <c r="W109" i="32"/>
  <c r="X83" i="32"/>
  <c r="X192" i="32"/>
  <c r="Y119" i="32"/>
  <c r="W111" i="32"/>
  <c r="X84" i="32"/>
  <c r="Y11" i="32"/>
  <c r="Y120" i="32"/>
  <c r="Y175" i="32"/>
  <c r="W23" i="32"/>
  <c r="W66" i="32"/>
  <c r="W107" i="32"/>
  <c r="W147" i="32"/>
  <c r="W187" i="32"/>
  <c r="X43" i="32"/>
  <c r="X82" i="32"/>
  <c r="X118" i="32"/>
  <c r="X154" i="32"/>
  <c r="X190" i="32"/>
  <c r="Y43" i="32"/>
  <c r="Y80" i="32"/>
  <c r="Y117" i="32"/>
  <c r="Y153" i="32"/>
  <c r="Y189" i="32"/>
  <c r="W189" i="32"/>
  <c r="X156" i="32"/>
  <c r="Y81" i="32"/>
  <c r="Y191" i="32"/>
  <c r="W69" i="32"/>
  <c r="X122" i="32"/>
  <c r="Y47" i="32"/>
  <c r="Y157" i="32"/>
  <c r="W87" i="32"/>
  <c r="X140" i="32"/>
  <c r="W25" i="32"/>
  <c r="W67" i="32"/>
  <c r="W149" i="32"/>
  <c r="X44" i="32"/>
  <c r="X120" i="32"/>
  <c r="Y45" i="32"/>
  <c r="Y155" i="32"/>
  <c r="W26" i="32"/>
  <c r="W151" i="32"/>
  <c r="W191" i="32"/>
  <c r="X158" i="32"/>
  <c r="Y83" i="32"/>
  <c r="Y137" i="32"/>
  <c r="W91" i="32"/>
  <c r="X46" i="32"/>
  <c r="Y193" i="32"/>
  <c r="W47" i="32"/>
  <c r="W27" i="32"/>
  <c r="W71" i="32"/>
  <c r="W113" i="32"/>
  <c r="W153" i="32"/>
  <c r="W193" i="32"/>
  <c r="X48" i="32"/>
  <c r="X86" i="32"/>
  <c r="X123" i="32"/>
  <c r="X160" i="32"/>
  <c r="Y13" i="32"/>
  <c r="Y49" i="32"/>
  <c r="Y85" i="32"/>
  <c r="Y121" i="32"/>
  <c r="Y159" i="32"/>
  <c r="W123" i="32"/>
  <c r="X94" i="32"/>
  <c r="Y129" i="32"/>
  <c r="Y21" i="32"/>
  <c r="X138" i="32"/>
  <c r="X66" i="32"/>
  <c r="W29" i="32"/>
  <c r="W73" i="32"/>
  <c r="W115" i="32"/>
  <c r="W155" i="32"/>
  <c r="X12" i="32"/>
  <c r="X50" i="32"/>
  <c r="X88" i="32"/>
  <c r="X124" i="32"/>
  <c r="X162" i="32"/>
  <c r="Y15" i="32"/>
  <c r="Y51" i="32"/>
  <c r="Y87" i="32"/>
  <c r="Y123" i="32"/>
  <c r="Y160" i="32"/>
  <c r="X20" i="32"/>
  <c r="Y57" i="32"/>
  <c r="X102" i="32"/>
  <c r="W31" i="32"/>
  <c r="W75" i="32"/>
  <c r="W117" i="32"/>
  <c r="W157" i="32"/>
  <c r="X14" i="32"/>
  <c r="X52" i="32"/>
  <c r="X90" i="32"/>
  <c r="X126" i="32"/>
  <c r="X163" i="32"/>
  <c r="Y17" i="32"/>
  <c r="Y53" i="32"/>
  <c r="Y89" i="32"/>
  <c r="Y125" i="32"/>
  <c r="Y161" i="32"/>
  <c r="W83" i="32"/>
  <c r="X166" i="32"/>
  <c r="W85" i="32"/>
  <c r="X168" i="32"/>
  <c r="Y131" i="32"/>
  <c r="X63" i="32"/>
  <c r="Y99" i="32"/>
  <c r="W171" i="32"/>
  <c r="W33" i="32"/>
  <c r="W77" i="32"/>
  <c r="W121" i="32"/>
  <c r="W161" i="32"/>
  <c r="X18" i="32"/>
  <c r="X54" i="32"/>
  <c r="X92" i="32"/>
  <c r="X128" i="32"/>
  <c r="X164" i="32"/>
  <c r="Y19" i="32"/>
  <c r="Y55" i="32"/>
  <c r="Y91" i="32"/>
  <c r="Y127" i="32"/>
  <c r="Y163" i="32"/>
  <c r="X58" i="32"/>
  <c r="Y20" i="32"/>
  <c r="Y165" i="32"/>
  <c r="W37" i="32"/>
  <c r="X96" i="32"/>
  <c r="Y95" i="32"/>
  <c r="W129" i="32"/>
  <c r="Y27" i="32"/>
  <c r="X176" i="32"/>
  <c r="W35" i="32"/>
  <c r="W163" i="32"/>
  <c r="X130" i="32"/>
  <c r="Y93" i="32"/>
  <c r="W165" i="32"/>
  <c r="Y167" i="32"/>
  <c r="W45" i="32"/>
  <c r="X24" i="32"/>
  <c r="X100" i="32"/>
  <c r="X172" i="32"/>
  <c r="Y61" i="32"/>
  <c r="Y139" i="32"/>
  <c r="W125" i="32"/>
  <c r="X22" i="32"/>
  <c r="X60" i="32"/>
  <c r="X132" i="32"/>
  <c r="Y59" i="32"/>
  <c r="X64" i="32"/>
  <c r="Y29" i="32"/>
  <c r="W43" i="32"/>
  <c r="W86" i="32"/>
  <c r="W126" i="32"/>
  <c r="W166" i="32"/>
  <c r="X23" i="32"/>
  <c r="X62" i="32"/>
  <c r="X98" i="32"/>
  <c r="X134" i="32"/>
  <c r="X170" i="32"/>
  <c r="Y23" i="32"/>
  <c r="Y60" i="32"/>
  <c r="Y97" i="32"/>
  <c r="Y133" i="32"/>
  <c r="Y169" i="32"/>
  <c r="W167" i="32"/>
  <c r="Y135" i="32"/>
  <c r="W46" i="32"/>
  <c r="Y100"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EC0FA0-91B5-4CBE-8D05-5D03C58111BF}" keepAlive="1" name="Query - BearingDD" description="Connection to the 'BearingDD' query in the workbook." type="5" refreshedVersion="0" background="1">
    <dbPr connection="Provider=Microsoft.Mashup.OleDb.1;Data Source=$Workbook$;Location=BearingDD;Extended Properties=&quot;&quot;" command="SELECT * FROM [BearingDD]"/>
  </connection>
  <connection id="2" xr16:uid="{71E35A52-9AE4-4F01-ACC1-C3F640FBE02F}" keepAlive="1" name="Query - Distance2D" description="Connection to the 'Distance2D' query in the workbook." type="5" refreshedVersion="0" background="1">
    <dbPr connection="Provider=Microsoft.Mashup.OleDb.1;Data Source=$Workbook$;Location=Distance2D;Extended Properties=&quot;&quot;" command="SELECT * FROM [Distance2D]"/>
  </connection>
  <connection id="3" xr16:uid="{09FF1A19-ED80-4DE1-A7CB-D170E549077C}" keepAlive="1" name="Query - ExportToJsonText" description="Connection to the 'ExportToJsonText' query in the workbook." type="5" refreshedVersion="0" background="1">
    <dbPr connection="Provider=Microsoft.Mashup.OleDb.1;Data Source=$Workbook$;Location=ExportToJsonText;Extended Properties=&quot;&quot;" command="SELECT * FROM [ExportToJsonText]"/>
  </connection>
  <connection id="4" xr16:uid="{7F53CDA0-0699-43DE-9749-052FC3712FB9}" keepAlive="1" name="Query - GridToGeographic" description="Connection to the 'GridToGeographic' query in the workbook." type="5" refreshedVersion="6" background="1" saveData="1">
    <dbPr connection="Provider=Microsoft.Mashup.OleDb.1;Data Source=$Workbook$;Location=GridToGeographic;Extended Properties=&quot;&quot;" command="SELECT * FROM [GridToGeographic]"/>
  </connection>
  <connection id="5" xr16:uid="{7C5A5378-5476-40A9-939A-EC6FEC4A4545}" keepAlive="1" name="Query - InterpolateRailTrack" description="Connection to the 'InterpolateRailTrack' query in the workbook." type="5" refreshedVersion="0" background="1">
    <dbPr connection="Provider=Microsoft.Mashup.OleDb.1;Data Source=$Workbook$;Location=InterpolateRailTrack;Extended Properties=&quot;&quot;" command="SELECT * FROM [InterpolateRailTrack]"/>
  </connection>
  <connection id="6" xr16:uid="{D8A49CC7-B0D1-4956-861F-10F56B9B19E9}" keepAlive="1" name="Query - Lookup_SurveyEpoch" description="Connection to the 'Lookup_SurveyEpoch' query in the workbook." type="5" refreshedVersion="8" background="1" saveData="1">
    <dbPr connection="Provider=Microsoft.Mashup.OleDb.1;Data Source=$Workbook$;Location=Lookup_SurveyEpoch;Extended Properties=&quot;&quot;" command="SELECT * FROM [Lookup_SurveyEpoch]"/>
  </connection>
  <connection id="7" xr16:uid="{AD891914-A64F-460B-9827-4A1C95D994D7}" keepAlive="1" name="Query - PointAlongLine3DX" description="Connection to the 'PointAlongLine3DX' query in the workbook." type="5" refreshedVersion="0" background="1">
    <dbPr connection="Provider=Microsoft.Mashup.OleDb.1;Data Source=$Workbook$;Location=PointAlongLine3DX;Extended Properties=&quot;&quot;" command="SELECT * FROM [PointAlongLine3DX]"/>
  </connection>
  <connection id="8" xr16:uid="{43B26D0D-8133-4839-A1D5-0778406F3F44}" keepAlive="1" name="Query - PointAlongLine3DY" description="Connection to the 'PointAlongLine3DY' query in the workbook." type="5" refreshedVersion="0" background="1">
    <dbPr connection="Provider=Microsoft.Mashup.OleDb.1;Data Source=$Workbook$;Location=PointAlongLine3DY;Extended Properties=&quot;&quot;" command="SELECT * FROM [PointAlongLine3DY]"/>
  </connection>
  <connection id="9" xr16:uid="{184FA2F1-753A-4C8B-8291-EA42E2E4BAA5}" keepAlive="1" name="Query - PointAlongLine3DZ" description="Connection to the 'PointAlongLine3DZ' query in the workbook." type="5" refreshedVersion="0" background="1">
    <dbPr connection="Provider=Microsoft.Mashup.OleDb.1;Data Source=$Workbook$;Location=PointAlongLine3DZ;Extended Properties=&quot;&quot;" command="SELECT * FROM [PointAlongLine3DZ]"/>
  </connection>
  <connection id="10" xr16:uid="{C7D9DA7B-CEEF-4BD0-95DF-4175D83C877A}" keepAlive="1" name="Query - ReportSummary - Chart" description="Connection to the 'ReportSummary - Chart' query in the workbook." type="5" refreshedVersion="8" background="1" saveData="1">
    <dbPr connection="Provider=Microsoft.Mashup.OleDb.1;Data Source=$Workbook$;Location=&quot;ReportSummary - Chart&quot;;Extended Properties=&quot;&quot;" command="SELECT * FROM [ReportSummary - Chart]"/>
  </connection>
  <connection id="11" xr16:uid="{258D8E1A-2209-4677-99C3-19EBAF1B049E}" keepAlive="1" name="Query - ReportSummary - QR SAUP" description="Connection to the 'ReportSummary - QR SAUP' query in the workbook." type="5" refreshedVersion="8" background="1" saveData="1">
    <dbPr connection="Provider=Microsoft.Mashup.OleDb.1;Data Source=$Workbook$;Location=&quot;ReportSummary - QR SAUP&quot;;Extended Properties=&quot;&quot;" command="SELECT * FROM [ReportSummary - QR SAUP]"/>
  </connection>
  <connection id="12" xr16:uid="{0CEA43AA-A39D-4C66-90C2-F20DB28C4F10}" keepAlive="1" name="Query - ReportSummary - Track" description="Connection to the 'ReportSummary - Track' query in the workbook." type="5" refreshedVersion="8" background="1" saveData="1">
    <dbPr connection="Provider=Microsoft.Mashup.OleDb.1;Data Source=$Workbook$;Location=&quot;ReportSummary - Track&quot;;Extended Properties=&quot;&quot;" command="SELECT * FROM [ReportSummary - Track]"/>
  </connection>
  <connection id="13" xr16:uid="{83B06BD9-D38C-43AC-A014-BF56C6C97948}" keepAlive="1" name="Query - ReportSummary - XYZ" description="Connection to the 'ReportSummary - XYZ' query in the workbook." type="5" refreshedVersion="8" background="1" saveData="1">
    <dbPr connection="Provider=Microsoft.Mashup.OleDb.1;Data Source=$Workbook$;Location=&quot;ReportSummary - XYZ&quot;;Extended Properties=&quot;&quot;" command="SELECT * FROM [ReportSummary - XYZ]"/>
  </connection>
  <connection id="14" xr16:uid="{CA914392-628E-459C-9D64-FCFE5D7ED7B8}" keepAlive="1" name="Query - ReportSummary - XYZ &amp; TL" description="Connection to the 'ReportSummary - XYZ &amp; TL' query in the workbook." type="5" refreshedVersion="8" background="1" saveData="1">
    <dbPr connection="Provider=Microsoft.Mashup.OleDb.1;Data Source=$Workbook$;Location=&quot;ReportSummary - XYZ &amp; TL&quot;;Extended Properties=&quot;&quot;" command="SELECT * FROM [ReportSummary - XYZ &amp; TL]"/>
  </connection>
  <connection id="15" xr16:uid="{AEB25FEE-CB98-4200-A211-F5796B9E7EA1}" keepAlive="1" name="Query - Table_Baseline" description="Connection to the 'Table_Baseline' query in the workbook." type="5" refreshedVersion="6" background="1" saveData="1">
    <dbPr connection="Provider=Microsoft.Mashup.OleDb.1;Data Source=$Workbook$;Location=Table_Baseline;Extended Properties=&quot;&quot;" command="SELECT * FROM [Table_Baseline]"/>
  </connection>
  <connection id="16" xr16:uid="{3ACDEB83-DADD-401D-A08F-1B2026798064}" keepAlive="1" name="Query - Table_Baseline (2)" description="Connection to the 'Table_Baseline (2)' query in the workbook." type="5" refreshedVersion="8" background="1" saveData="1">
    <dbPr connection="Provider=Microsoft.Mashup.OleDb.1;Data Source=$Workbook$;Location=&quot;Table_Baseline (2)&quot;;Extended Properties=&quot;&quot;" command="SELECT * FROM [Table_Baseline (2)]"/>
  </connection>
  <connection id="17" xr16:uid="{D07C1A50-342E-49DD-A848-4841297150C8}" keepAlive="1" name="Query - Table_Calibration" description="Connection to the 'Table_Calibration' query in the workbook." type="5" refreshedVersion="8" background="1" saveData="1">
    <dbPr connection="Provider=Microsoft.Mashup.OleDb.1;Data Source=$Workbook$;Location=Table_Calibration;Extended Properties=&quot;&quot;" command="SELECT * FROM [Table_Calibration]"/>
  </connection>
  <connection id="18" xr16:uid="{88323B7F-5FB1-4EBC-A484-472C2A85B229}" keepAlive="1" name="Query - Table_Geographic" description="Connection to the 'Table_Geographic' query in the workbook." type="5" refreshedVersion="8" background="1" saveData="1">
    <dbPr connection="Provider=Microsoft.Mashup.OleDb.1;Data Source=$Workbook$;Location=Table_Geographic;Extended Properties=&quot;&quot;" command="SELECT * FROM [Table_Geographic]"/>
  </connection>
  <connection id="19" xr16:uid="{99EB737B-967F-4983-A180-242E2A2C1F11}" keepAlive="1" name="Query - Table_TrackData" description="Connection to the 'Table_TrackData' query in the workbook." type="5" refreshedVersion="8" background="1" saveData="1">
    <dbPr connection="Provider=Microsoft.Mashup.OleDb.1;Data Source=$Workbook$;Location=Table_TrackData;Extended Properties=&quot;&quot;" command="SELECT * FROM [Table_TrackData]"/>
  </connection>
  <connection id="20" xr16:uid="{BED1F35A-2566-4FE2-A58A-A0AB02F83BD0}" keepAlive="1" name="Query - Table_TrackGeometry" description="Connection to the 'Table_TrackGeometry' query in the workbook." type="5" refreshedVersion="8" background="1" saveData="1">
    <dbPr connection="Provider=Microsoft.Mashup.OleDb.1;Data Source=$Workbook$;Location=Table_TrackGeometry;Extended Properties=&quot;&quot;" command="SELECT * FROM [Table_TrackGeometry]"/>
  </connection>
  <connection id="21" xr16:uid="{EFBDB83C-6CCD-4BF4-980E-D7A26994BCB9}" keepAlive="1" name="Query - VangleDD" description="Connection to the 'VangleDD' query in the workbook." type="5" refreshedVersion="0" background="1">
    <dbPr connection="Provider=Microsoft.Mashup.OleDb.1;Data Source=$Workbook$;Location=VangleDD;Extended Properties=&quot;&quot;" command="SELECT * FROM [VangleDD]"/>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3"/>
        </ext>
      </extLst>
    </bk>
  </futureMetadata>
  <cellMetadata count="1">
    <bk>
      <rc t="1" v="0"/>
    </bk>
  </cellMetadata>
  <valueMetadata count="1">
    <bk>
      <rc t="2" v="0"/>
    </bk>
  </valueMetadata>
</metadata>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 xml:space="preserve">import pandas as pd
import matplotlib.pyplot as plt
from io import BytesIO
import math
import matplotlib.ticker as mticker
import matplotlib.dates as mdates
import matplotlib.cm as cm
import numpy as np
from matplotlib.dates import AutoDateLocator, AutoDateFormatter
# Load data
df = xl(%P2%, headers=True)
# --- Figure sizing and DPI ---
fig_width = float(xl(%P3%) or 12)
fig_height = float(xl(%P4%) or 6)
fig_dpi = int(xl(%P5%) or 300)
# Dynamic references from Excel
x_col = xl(%P6%)
y_col = xl(%P7%)
legend_col = xl(%P8%)
plot_title = xl(%P9%) or "Title"
# Type and format settings
x_type = (xl(%P10%) or "").strip().lower()
y_type = (xl(%P11%) or "").strip().lower()
x_format = xl(%P12%)
y_format = xl(%P13%)
x_label_rotation = xl(%P14%) or 0
y_label_rotation = xl(%P15%) or 0
# Visual settings
font_size = xl(%P16%) or 10
legendcolumns = xl(%P17%) or 4
marker_size = xl(%P18%) or 4
line_width = xl(%P19%) or 1
marker_style = xl(%P20%) or 'o'
colormap_name = xl(%P21%) or "tab10"
show_minor_grid = xl(%P22%) == 1
# Legend config
legend_position = (xl(%P23%) or "bottom").strip().lower()
legend_y_offset = xl(%P24%) or 0.0
legend_x_offset = xl(%P25%) or 0.0
# Axis limits
ymin = xl(%P26%)
ymax = xl(%P27%)
x_min = xl(%P28%)
x_max = xl(%P29%)
# Filter visible rows
df = df[df["IsVisible"] == 1]
df[y_col] = pd.to_numeric(df[y_col].replace("-", pd.NA), errors="coerce")
df = df.dropna(subset=[legend_col, x_col, y_col])
# --- X-Axis Type Detection ---
sample_x = df[x_col].dropna().iloc[0] if not df[x_col].dropna().empty else None
if x_type == "datetime":
    df[x_col] = pd.to_datetime(df[x_col], errors="coerce")
    is_x_datetime = True
elif x_type == "numeric":
    df[x_col] = pd.to_numeric(df[x_col], errors="coerce")
    is_x_datetime = False
elif x_type == "string":
    df[x_col] = df[x_col].astype(str)
    is_x_datetime = False
else:
    if pd.api.types.is_datetime64_any_dtype(df[x_col]) or isinstance(sample_x, pd.Timestamp):
        df[x_col] = pd.to_datetime(df[x_col], errors="coerce")
        is_x_datetime = True
    elif pd.api.types.is_numeric_dtype(df[x_col]) or isinstance(sample_x, (int, float)):
        df[x_col] = pd.to_numeric(df[x_col], errors="coerce")
        is_x_datetime = False
    else:
        df[x_col] = df[x_col].astype(str)
        is_x_datetime = False
# Y-axis handling
if y_type == "numeric" or y_type == "":
    df[y_col] = pd.to_numeric(df[y_col], errors="coerce")
else:
    df[y_col] = df[y_col].astype(str)
# Legend layout
unique_ids = df[legend_col].unique()
n_ids = len(unique_ids)
ncols = min(n_ids, legendcolumns)
nrows = math.ceil(n_ids / ncols)
# Color mapping
try:
    cmap = cm.get_cmap(colormap_name, n_ids)
except ValueError:
    cmap = cm.get_cmap("tab10", n_ids)
colors = [cmap(i) for i in np.linspace(0, 1, n_ids)]
# Create plot
fig, ax = plt.subplots(figsize=(fig_width, fig_height))
for (label, group), color in zip(df.groupby(legend_col), colors):
    ax.plot(
        group[x_col],
        group[y_col],
        marker=marker_style,
        markersize=marker_size,
        linewidth=line_width,
        label=label,
        color=color
    )
# Titles and axes
# Titles and axes
ax.set_title(plot_title, fontsize=font_size + 3, pad=font_size)
ax.set_xlabel(x_col, fontsize=font_size + 1, labelpad=font_size*0.8)
ax.set_ylabel(y_col, fontsize=font_size + 1, labelpad=font_size*0.8)
# Add spacing from axis with `pad`
ax.tick_params(axis='x', labelsize=font_size, rotation=x_label_rotation, pad=font_size*0.8)
ax.tick_params(axis='y', labelsize=font_size, rotation=y_label_rotation, pad=font_size*0.8)
# Gridlines
ax.grid(True, which='major')  # Always show major gridlines
# Axis formatting
if x_format:
    if is_x_datetime:
        ax.xaxis.set_major_formatter(mdates.DateFormatter(x_format))
    else:
        ax.xaxis.set_major_formatter(mticker.FormatStrFormatter(x_format))
if y_format:
    if pd.api.types.is_datetime64_any_dtype(df[y_col]):
        ax.yaxis.set_major_formatter(mdates.DateFormatter(y_format))
    else:
        ax.yaxis.set_major_formatter(mticker.FormatStrFormatter(y_format))
# Minor grid lines and locators
if show_minor_grid:
    ax.minorticks_on()  # Ensure minor ticks are enabled
    from matplotlib.dates import DayLocator
    if is_x_datetime:
        ax.xaxis.set_minor_locator(DayLocator())
    if pd.api.types.is_datetime64_any_dtype(df[y_col]):
        ax.yaxis.set_minor_locator(DayLocator())
    ax.grid(True, which="minor", linestyle=":", linewidth=0.5)
# Axis limits
try:
    if ymin is not None or ymax is not None:
        ymin = float(ymin) if ymin is not None else None
        ymax = float(ymax) if ymax is not None else None
        ax.set_ylim(bottom=ymin, top=ymax)
    if (x_min is not None or x_max is not None) and (is_x_datetime or pd.api.types.is_numeric_dtype(df[x_col])):
        if is_x_datetime:
            x_min_parsed = pd.to_datetime(x_min, errors="coerce") if x_min else None
            x_max_parsed = pd.to_datetime(x_max, errors="coerce") if x_max else None
        else:
            x_min_parsed = float(x_min) if x_min is not None else None
            x_max_parsed = float(x_max) if x_max is not None else None
        if x_min_parsed is not pd.NaT or x_max_parsed is not pd.NaT:
            ax.set_xlim(left=x_min_parsed, right=x_max_parsed)
except Exception:
    pass
# Legend placement
legend_kwargs = {
    "ncol": ncols,
    "fontsize": font_size - 1,
    "frameon": False
}
# Safe offsets
try:
    x_off = float(legend_x_offset)
except:
    x_off = 0
try:
    y_off = float(legend_y_offset)
except:
    y_off = 0
# Base anchors for different positions
base_anchor = {
    "bottom": ("upper center", (0.5, -0.1)),
    "top": ("lower center", (0.5, 1.1)),
    "right": ("center left", (1.02, 0.5)),
    "left": ("center right", (-0.08, 0.5))
}
pos = legend_position.lower()
if pos in base_anchor:
    loc, (base_x, base_y) = base_anchor[pos]
    ax.legend(loc=loc, bbox_to_anchor=(base_x + x_off, base_y + y_off), **legend_kwargs)
else:
    ax.legend(loc="best", **legend_kwargs)
# Output to Excel
buf = BytesIO()
fig.tight_layout()
fig.savefig(buf, format="png", dpi=fig_dpi, bbox_inches="tight")
buf.seek(0)
buf.read()
</code>
    </pythonScript>
  </pythonScripts>
</python>
</file>

<file path=xl/sharedStrings.xml><?xml version="1.0" encoding="utf-8"?>
<sst xmlns="http://schemas.openxmlformats.org/spreadsheetml/2006/main" count="7574" uniqueCount="540">
  <si>
    <t>See OneNote Instructions</t>
  </si>
  <si>
    <t>Template_Simple Manual Monitoring (Spreadsheet)  (Web view)</t>
  </si>
  <si>
    <t>ID</t>
  </si>
  <si>
    <t>Notes</t>
  </si>
  <si>
    <t>Type</t>
  </si>
  <si>
    <t>Reference Angle</t>
  </si>
  <si>
    <t>Epoch</t>
  </si>
  <si>
    <t>Easting</t>
  </si>
  <si>
    <t>Northing</t>
  </si>
  <si>
    <t>Surveyor</t>
  </si>
  <si>
    <t>Pressure</t>
  </si>
  <si>
    <t>Humidity</t>
  </si>
  <si>
    <t>User Comment</t>
  </si>
  <si>
    <t>Diff E</t>
  </si>
  <si>
    <t>Diff N</t>
  </si>
  <si>
    <t>Transverse Diff to BL</t>
  </si>
  <si>
    <t>Longitudinal Diff to BL</t>
  </si>
  <si>
    <t>Key</t>
  </si>
  <si>
    <t xml:space="preserve">Metropolitan Roads Program Alliance </t>
  </si>
  <si>
    <t>Level Crossing Removal Project - Evans Road</t>
  </si>
  <si>
    <t>Baseline</t>
  </si>
  <si>
    <t>Monitoring</t>
  </si>
  <si>
    <t>Differences to Baseline</t>
  </si>
  <si>
    <t>Instrument Design</t>
  </si>
  <si>
    <t>Baseline Values:</t>
  </si>
  <si>
    <t xml:space="preserve"> </t>
  </si>
  <si>
    <t>Setup Instructions:</t>
  </si>
  <si>
    <t>For Design Data:</t>
  </si>
  <si>
    <t>1. If provided, copy and paste into the table below for reference.</t>
  </si>
  <si>
    <t xml:space="preserve">2. This data can be used to cross check installation progress and required qunaities. </t>
  </si>
  <si>
    <t>For Baseline Data:</t>
  </si>
  <si>
    <t>1. Take atleast 3 independent readings of each monitoring point and calculate its average values.</t>
  </si>
  <si>
    <t>2. Transfer the final averaged results into the table below.</t>
  </si>
  <si>
    <t>3. Add notes to design points as required. E.g. install type, point type, access details etc.</t>
  </si>
  <si>
    <t xml:space="preserve">3. Add notes to baselined points as required. E.g. Quality of the point, baseline date, observation method etc. </t>
  </si>
  <si>
    <t>Point Locations:</t>
  </si>
  <si>
    <r>
      <t xml:space="preserve">Remember: when transfering data from other workbooks, </t>
    </r>
    <r>
      <rPr>
        <b/>
        <i/>
        <u/>
        <sz val="11"/>
        <color theme="5"/>
        <rFont val="Calibri"/>
        <family val="2"/>
        <scheme val="minor"/>
      </rPr>
      <t>paste as values only</t>
    </r>
    <r>
      <rPr>
        <b/>
        <i/>
        <sz val="11"/>
        <color theme="1" tint="0.14999847407452621"/>
        <rFont val="Calibri"/>
        <family val="2"/>
        <scheme val="minor"/>
      </rPr>
      <t xml:space="preserve"> to avoid carrying formulas over to this workbook.</t>
    </r>
  </si>
  <si>
    <t>Observation Instructions:</t>
  </si>
  <si>
    <t>Survey Data Input Area:</t>
  </si>
  <si>
    <t xml:space="preserve">1. One the baseline values have been set, the monitoring observations can commence. </t>
  </si>
  <si>
    <t>2. The observations taken need to be QA checked and once acceptable, can then be pasted into this sheet.</t>
  </si>
  <si>
    <t>Notes:</t>
  </si>
  <si>
    <t>Survey Data Reduction - Do not touch</t>
  </si>
  <si>
    <t xml:space="preserve">4. Continue to add monitoring observations to this table, it will be a historical record of all surveys performed. </t>
  </si>
  <si>
    <t>Diff L</t>
  </si>
  <si>
    <t>Use the slicer below to filter out different monitoring points</t>
  </si>
  <si>
    <r>
      <t xml:space="preserve">Remember: when transferring data from other workbooks, </t>
    </r>
    <r>
      <rPr>
        <b/>
        <i/>
        <u/>
        <sz val="11"/>
        <color theme="5"/>
        <rFont val="Calibri"/>
        <family val="2"/>
        <scheme val="minor"/>
      </rPr>
      <t>paste as values only</t>
    </r>
    <r>
      <rPr>
        <b/>
        <i/>
        <sz val="11"/>
        <color theme="1" tint="0.14999847407452621"/>
        <rFont val="Calibri"/>
        <family val="2"/>
        <scheme val="minor"/>
      </rPr>
      <t xml:space="preserve"> to avoid carrying formulas over to this workbook.</t>
    </r>
  </si>
  <si>
    <t xml:space="preserve">Surveyor, Temp, Pressure and Humidity are helpful fields to capture, these often influence the quality of monitoring data and can be used as justification for unexpected movement. </t>
  </si>
  <si>
    <t>3. Observation data includes all fields shown in the yellow table below. Mandatory data: Epoch, ID, Easting, Northing and Level.</t>
  </si>
  <si>
    <t>Add user comments to capture any additional information about the observations e.g. Site conditions, change in observation method etc.</t>
  </si>
  <si>
    <t>Report Slicers</t>
  </si>
  <si>
    <t>Difference to Previous Survey</t>
  </si>
  <si>
    <t>Survey Comments</t>
  </si>
  <si>
    <t>Job Number:</t>
  </si>
  <si>
    <t xml:space="preserve">Project: </t>
  </si>
  <si>
    <t xml:space="preserve">Client: </t>
  </si>
  <si>
    <t>Alarm Level</t>
  </si>
  <si>
    <t>Alarm Lower Limit</t>
  </si>
  <si>
    <t>Alarm Upper Limit</t>
  </si>
  <si>
    <t>Movement Range</t>
  </si>
  <si>
    <t>Alarm Level Legend</t>
  </si>
  <si>
    <t>Project Details</t>
  </si>
  <si>
    <t>Report Instructions:</t>
  </si>
  <si>
    <t>2. Fill out the project details section.</t>
  </si>
  <si>
    <t>4. Use slicers below to filter the data shown.</t>
  </si>
  <si>
    <t xml:space="preserve">3. Update alarm and diff to previous levels if required. </t>
  </si>
  <si>
    <t>5. Select area and print report for client.</t>
  </si>
  <si>
    <t>Survey/Point Details</t>
  </si>
  <si>
    <t>Report - Survey Epochs</t>
  </si>
  <si>
    <t xml:space="preserve">Current Survey Date/Rev: </t>
  </si>
  <si>
    <t>Previous Survey Date/Rev:</t>
  </si>
  <si>
    <t>Survey Change</t>
  </si>
  <si>
    <t>Alarm East.</t>
  </si>
  <si>
    <t>Alarm North.</t>
  </si>
  <si>
    <t>Diff to Last East.</t>
  </si>
  <si>
    <t>Diff to Last North.</t>
  </si>
  <si>
    <t>Diff  to Last Level</t>
  </si>
  <si>
    <t>Difference to Last Survey Legend</t>
  </si>
  <si>
    <t>1. Run a refresh of the data table: 'Data' &gt; 'Refresh All'</t>
  </si>
  <si>
    <t>Plot Max</t>
  </si>
  <si>
    <t>Plot Min</t>
  </si>
  <si>
    <t>Chart Padding</t>
  </si>
  <si>
    <t>Maximum</t>
  </si>
  <si>
    <t>Minimum</t>
  </si>
  <si>
    <t>Chart Bounds</t>
  </si>
  <si>
    <t>JH</t>
  </si>
  <si>
    <t>MVE</t>
  </si>
  <si>
    <t>Survey Method</t>
  </si>
  <si>
    <t>Temperature</t>
  </si>
  <si>
    <t>Levelling</t>
  </si>
  <si>
    <t>Manual Total Station</t>
  </si>
  <si>
    <t>Automated Total Station</t>
  </si>
  <si>
    <t>GNSS</t>
  </si>
  <si>
    <t>Calculated</t>
  </si>
  <si>
    <t>Structure Name</t>
  </si>
  <si>
    <t>Section</t>
  </si>
  <si>
    <t>Fixing Type</t>
  </si>
  <si>
    <t>Baseline Date</t>
  </si>
  <si>
    <t>Reference Angle [Deg]</t>
  </si>
  <si>
    <t>Level [m]</t>
  </si>
  <si>
    <t>Northing [m]</t>
  </si>
  <si>
    <t>Easting [m]</t>
  </si>
  <si>
    <t>Chainage [m]</t>
  </si>
  <si>
    <t>Lang O'Rouke</t>
  </si>
  <si>
    <t>QR SAUP - Buranda</t>
  </si>
  <si>
    <t>Alarm Trans.</t>
  </si>
  <si>
    <t>Alarm Long.</t>
  </si>
  <si>
    <t>Strucutre Name</t>
  </si>
  <si>
    <t xml:space="preserve">Date </t>
  </si>
  <si>
    <t>Purpose</t>
  </si>
  <si>
    <t>Equipment used</t>
  </si>
  <si>
    <t>Last Calibration</t>
  </si>
  <si>
    <t>Control used</t>
  </si>
  <si>
    <t>Control not used</t>
  </si>
  <si>
    <t>Are the monitoring points clear of vegitation or other obstruction?</t>
  </si>
  <si>
    <t>Have the battery limits / wall been washed down?</t>
  </si>
  <si>
    <t>Maintenance undertaken</t>
  </si>
  <si>
    <t>Maintenance required/suggested</t>
  </si>
  <si>
    <t>General site conditions</t>
  </si>
  <si>
    <t>Frustrations experience</t>
  </si>
  <si>
    <t>Lecia TS16 1"</t>
  </si>
  <si>
    <t>12/05/2022
Check and Adjust undertaken prior to the survey.</t>
  </si>
  <si>
    <t>CD4_TAG1
CD4_TAG2
CD4_9000
CD4_9001
CD4_9002
CD4_9003
CD4_9004
CD4_9005
CD4_9006</t>
  </si>
  <si>
    <t>Yes</t>
  </si>
  <si>
    <t>NA</t>
  </si>
  <si>
    <t>None</t>
  </si>
  <si>
    <t>Good</t>
  </si>
  <si>
    <t xml:space="preserve">None </t>
  </si>
  <si>
    <t>Survey Details Instructions:</t>
  </si>
  <si>
    <t>Survey Details</t>
  </si>
  <si>
    <t>Steps</t>
  </si>
  <si>
    <t>Chart Settings</t>
  </si>
  <si>
    <t>Data Min</t>
  </si>
  <si>
    <t>1. After completing a survey, fill out the information below which details the survey that has been undertaken.</t>
  </si>
  <si>
    <t>2. Double-check all entries for accuracy before finalising the information and then move onto the 'Observations' tab.</t>
  </si>
  <si>
    <t xml:space="preserve">BL. </t>
  </si>
  <si>
    <t xml:space="preserve">Obs. </t>
  </si>
  <si>
    <t>Observation</t>
  </si>
  <si>
    <t>East.</t>
  </si>
  <si>
    <t xml:space="preserve">North. </t>
  </si>
  <si>
    <t>Temp</t>
  </si>
  <si>
    <t>Trans.</t>
  </si>
  <si>
    <t>Long.</t>
  </si>
  <si>
    <t>Transverse</t>
  </si>
  <si>
    <t>Longitudinal</t>
  </si>
  <si>
    <t>Survey Datetime</t>
  </si>
  <si>
    <t>Abbreviations/Definitions</t>
  </si>
  <si>
    <t>All survey measurement units are in meters [m]</t>
  </si>
  <si>
    <t>Target Type</t>
  </si>
  <si>
    <t>BL. Easting</t>
  </si>
  <si>
    <t>BL. Northing</t>
  </si>
  <si>
    <t>BL. Level</t>
  </si>
  <si>
    <t>Obs. Easting</t>
  </si>
  <si>
    <t>Obs. Northing</t>
  </si>
  <si>
    <t>Obs. Height</t>
  </si>
  <si>
    <t>Diff to BL. East.</t>
  </si>
  <si>
    <t>Diff to BL. North.</t>
  </si>
  <si>
    <t>Diff to BL. Level</t>
  </si>
  <si>
    <t>Diff to BL. Trans.</t>
  </si>
  <si>
    <t>Diff to BL. Long.</t>
  </si>
  <si>
    <t>Comment</t>
  </si>
  <si>
    <t>BL. Date</t>
  </si>
  <si>
    <t>Obs. Temp.</t>
  </si>
  <si>
    <t>Point Count</t>
  </si>
  <si>
    <t>Index</t>
  </si>
  <si>
    <t>250-ST-OP-500</t>
  </si>
  <si>
    <t>250-ST-OP-501</t>
  </si>
  <si>
    <t>250-ST-OP-502</t>
  </si>
  <si>
    <t>250-ST-OP-503</t>
  </si>
  <si>
    <t>250-ST-OP-504</t>
  </si>
  <si>
    <t>250-ST-OP-505</t>
  </si>
  <si>
    <t>250-RL-OP-11002</t>
  </si>
  <si>
    <t>250-RL-OP-11001</t>
  </si>
  <si>
    <t>250-RL-OP-11004</t>
  </si>
  <si>
    <t>250-RL-OP-11003</t>
  </si>
  <si>
    <t>250-RL-OP-11006</t>
  </si>
  <si>
    <t>250-RL-OP-11005</t>
  </si>
  <si>
    <t>250-RL-OP-11008</t>
  </si>
  <si>
    <t>250-RL-OP-11007</t>
  </si>
  <si>
    <t>250-RL-OP-11010</t>
  </si>
  <si>
    <t>250-RL-OP-11009</t>
  </si>
  <si>
    <t>250-RL-OP-11012</t>
  </si>
  <si>
    <t>250-RL-OP-11011</t>
  </si>
  <si>
    <t>250-RL-OP-11014</t>
  </si>
  <si>
    <t>250-RL-OP-11013</t>
  </si>
  <si>
    <t>250-RL-OP-11016</t>
  </si>
  <si>
    <t>250-RL-OP-11015</t>
  </si>
  <si>
    <t>250-RL-OP-11018</t>
  </si>
  <si>
    <t>250-RL-OP-11017</t>
  </si>
  <si>
    <t>250-RL-OP-11020</t>
  </si>
  <si>
    <t>250-RL-OP-11019</t>
  </si>
  <si>
    <t>250-RL-OP-11022</t>
  </si>
  <si>
    <t>250-RL-OP-11021</t>
  </si>
  <si>
    <t>Sensor ID</t>
  </si>
  <si>
    <t>Obs Count | 3 Std. XYZ | 1.7, 0.7, 0.0</t>
  </si>
  <si>
    <t>Obs Count | 3 Std. XYZ | 2.0, 0.7, 0.5</t>
  </si>
  <si>
    <t>Obs Count | 3 Std. XYZ | 1.6, 1.1, 0.0</t>
  </si>
  <si>
    <t>Obs Count | 3 Std. XYZ | 1.6, 0.6, 0.2</t>
  </si>
  <si>
    <t>Obs Count | 3 Std. XYZ | 1.1, 0.6, 0.1</t>
  </si>
  <si>
    <t>Obs Count | 3 Std. XYZ | 1.1, 0.5, 0.1</t>
  </si>
  <si>
    <t>Obs Count | 3 Std. XYZ | 1.5, 0.5, 0.6</t>
  </si>
  <si>
    <t>Obs Count | 3 Std. XYZ | 1.1, 0.5, 0.2</t>
  </si>
  <si>
    <t>Obs Count | 3 Std. XYZ | 1.7, 0.5, 0.0</t>
  </si>
  <si>
    <t>Obs Count | 3 Std. XYZ | 1.1, 0.6, 0.3</t>
  </si>
  <si>
    <t>Obs Count | 3 Std. XYZ | 2.2, 1.1, 0.1</t>
  </si>
  <si>
    <t>Obs Count | 3 Std. XYZ | 2.6, 1.1, 0.5</t>
  </si>
  <si>
    <t>Obs Count | 3 Std. XYZ | 2.1, 1.6, 0.1</t>
  </si>
  <si>
    <t>Obs Count | 3 Std. XYZ | 2.1, 1.5, 0.2</t>
  </si>
  <si>
    <t>Obs Count | 3 Std. XYZ | 1.6, 1.5, 0.1</t>
  </si>
  <si>
    <t>Obs Count | 3 Std. XYZ | 1.7, 1.5, 0.1</t>
  </si>
  <si>
    <t>Obs Count | 3 Std. XYZ | 1.1, 1.2, 0.7</t>
  </si>
  <si>
    <t>Obs Count | 3 Std. XYZ | 1.5, 0.7, 0.6</t>
  </si>
  <si>
    <t>Obs Count | 3 Std. XYZ | 1.1, 1.1, 0.0</t>
  </si>
  <si>
    <t>Obs Count | 3 Std. XYZ | 1.7, 0.8, 0.5</t>
  </si>
  <si>
    <t>Obs Count | 3 Std. XYZ | 1.0, 1.2, 0.2</t>
  </si>
  <si>
    <t>Obs Count | 2 Std. XYZ | 1.4, 1.4, 0.0</t>
  </si>
  <si>
    <t>Interpolation Interval [m]</t>
  </si>
  <si>
    <t>Calculations</t>
  </si>
  <si>
    <t>Obs. X</t>
  </si>
  <si>
    <t>Obs. Y</t>
  </si>
  <si>
    <t>Obs. Z</t>
  </si>
  <si>
    <t>LR Track X</t>
  </si>
  <si>
    <t>LR Track Y</t>
  </si>
  <si>
    <t>LR Track Z</t>
  </si>
  <si>
    <t>RR Track X</t>
  </si>
  <si>
    <t>RR Track Y</t>
  </si>
  <si>
    <t>RR Track Z</t>
  </si>
  <si>
    <t>Cant</t>
  </si>
  <si>
    <t>Gauge</t>
  </si>
  <si>
    <t>Twist (Short)</t>
  </si>
  <si>
    <t>Twist (Long)</t>
  </si>
  <si>
    <t>Track Calculation Settings</t>
  </si>
  <si>
    <t>Twist Short Length [m]</t>
  </si>
  <si>
    <t>Twist Long Length [m]</t>
  </si>
  <si>
    <t>Track ID</t>
  </si>
  <si>
    <t>250-RL-OP-0021</t>
  </si>
  <si>
    <t>250-RL-OP-0022</t>
  </si>
  <si>
    <t>250-RL-OP-0023</t>
  </si>
  <si>
    <t>250-RL-OP-0024</t>
  </si>
  <si>
    <t>250-RL-OP-0025</t>
  </si>
  <si>
    <t>250-RL-OP-0026</t>
  </si>
  <si>
    <t>250-RL-OP-0027</t>
  </si>
  <si>
    <t>250-RL-OP-0028</t>
  </si>
  <si>
    <t>250-RL-OP-0029</t>
  </si>
  <si>
    <t xml:space="preserve">Baseline Survey Date/Rev: </t>
  </si>
  <si>
    <t>Calculated Track Geometry</t>
  </si>
  <si>
    <t>Track Alignment Data</t>
  </si>
  <si>
    <t>{"Track_Data":{"Point Name":"250-RL-OP-11002","Track Code":"Roma","Track Chainage":20.168,"Track Side":"RR","Offset X":-0.015600000006088521,"Offset Y":-0.054299999988870695,"Offset Z":0.0879000000000012}}</t>
  </si>
  <si>
    <t>{"Track_Data":{"Point Name":"250-RL-OP-11001","Track Code":"Roma","Track Chainage":20.1862,"Track Side":"LR","Offset X":-0.019699999997101258,"Offset Y":-0.069099999993341044,"Offset Z":0.088000000000000966}}</t>
  </si>
  <si>
    <t>{"Track_Data":{"Point Name":"250-RL-OP-11003","Track Code":"Roma","Track Chainage":23.0754,"Track Side":"LR","Offset X":-0.019599999999627471,"Offset Y":-0.0684999999939464,"Offset Z":0.091200000000000614}}</t>
  </si>
  <si>
    <t>{"Track_Data":{"Point Name":"250-RL-OP-11004","Track Code":"Roma","Track Chainage":23.128899999999998,"Track Side":"RR","Offset X":-0.01690000000235159,"Offset Y":-0.058600000018486753,"Offset Z":0.087499999999998579}}</t>
  </si>
  <si>
    <t>{"Track_Data":{"Point Name":"250-RL-OP-11005","Track Code":"Roma","Track Chainage":26.043799999999997,"Track Side":"LR","Offset X":-0.016899999995075632,"Offset Y":-0.058499999984633178,"Offset Z":0.088999999999998636}}</t>
  </si>
  <si>
    <t>{"Track_Data":{"Point Name":"250-RL-OP-11006","Track Code":"Roma","Track Chainage":26.044,"Track Side":"RR","Offset X":-0.020300000003771856,"Offset Y":-0.070500000001629815,"Offset Z":0.09100000000000108}}</t>
  </si>
  <si>
    <t>{"Track_Data":{"Point Name":"250-RL-OP-11007","Track Code":"Roma","Track Chainage":28.9473,"Track Side":"LR","Offset X":-0.016799999997601844,"Offset Y":-0.058500000013737008,"Offset Z":0.086899999999999977}}</t>
  </si>
  <si>
    <t>{"Track_Data":{"Point Name":"250-RL-OP-11008","Track Code":"Roma","Track Chainage":28.9947,"Track Side":"RR","Offset X":-0.019399999997403938,"Offset Y":-0.067299999995157123,"Offset Z":0.088699999999999335}}</t>
  </si>
  <si>
    <t>{"Track_Data":{"Point Name":"250-RL-OP-11010","Track Code":"Roma","Track Chainage":31.9192,"Track Side":"RR","Offset X":-0.018199999998614658,"Offset Y":-0.063200000004144385,"Offset Z":0.0882000000000005}}</t>
  </si>
  <si>
    <t>{"Track_Data":{"Point Name":"250-RL-OP-11009","Track Code":"Roma","Track Chainage":31.938499999999998,"Track Side":"LR","Offset X":-0.016700000000128057,"Offset Y":-0.058099999994738027,"Offset Z":0.0843999999999987}}</t>
  </si>
  <si>
    <t>{"Track_Data":{"Point Name":"250-RL-OP-11012","Track Code":"Roma","Track Chainage":34.8123,"Track Side":"RR","Offset X":-0.018199999998614658,"Offset Y":-0.064499999978579581,"Offset Z":0.088899999999998869}}</t>
  </si>
  <si>
    <t>{"Track_Data":{"Point Name":"250-RL-OP-11011","Track Code":"Roma","Track Chainage":34.8147,"Track Side":"LR","Offset X":-0.01870000000053551,"Offset Y":-0.066699999995762482,"Offset Z":0.088000000000000966}}</t>
  </si>
  <si>
    <t>{"Track_Data":{"Point Name":"250-RL-OP-11013","Track Code":"Roma","Track Chainage":37.821200000000005,"Track Side":"LR","Offset X":-0.017699999996693805,"Offset Y":-0.064600000012433156,"Offset Z":0.086999999999999744}}</t>
  </si>
  <si>
    <t>{"Track_Data":{"Point Name":"250-RL-OP-11014","Track Code":"Roma","Track Chainage":37.8662,"Track Side":"RR","Offset X":-0.018199999998614658,"Offset Y":-0.0647000000171829,"Offset Z":0.0879000000000012}}</t>
  </si>
  <si>
    <t>{"Track_Data":{"Point Name":"250-RL-OP-11015","Track Code":"Roma","Track Chainage":40.8298,"Track Side":"LR","Offset X":-0.01870000000053551,"Offset Y":-0.068300000013550743,"Offset Z":0.087099999999999511}}</t>
  </si>
  <si>
    <t>{"Track_Data":{"Point Name":"250-RL-OP-11016","Track Code":"Roma","Track Chainage":40.861000000000004,"Track Side":"RR","Offset X":-0.015500000001338776,"Offset Y":-0.058399999979883432,"Offset Z":0.084900000000001086}}</t>
  </si>
  <si>
    <t>{"Track_Data":{"Point Name":"250-RL-OP-11018","Track Code":"Roma","Track Chainage":43.6452,"Track Side":"RR","Offset X":-0.017399999996996485,"Offset Y":-0.065600000001722947,"Offset Z":0.085999999999998522}}</t>
  </si>
  <si>
    <t>{"Track_Data":{"Point Name":"250-RL-OP-11017","Track Code":"Roma","Track Chainage":43.6821,"Track Side":"LR","Offset X":-0.017399999996996485,"Offset Y":-0.065600000001722947,"Offset Z":0.086999999999999744}}</t>
  </si>
  <si>
    <t>{"Track_Data":{"Point Name":"250-RL-OP-11020","Track Code":"Roma","Track Chainage":46.7817,"Track Side":"RR","Offset X":-0.01690000000235159,"Offset Y":-0.0667999999714084,"Offset Z":0.086400000000001143}}</t>
  </si>
  <si>
    <t>{"Track_Data":{"Point Name":"250-RL-OP-11019","Track Code":"Roma","Track Chainage":46.7892,"Track Side":"LR","Offset X":-0.015700000003562309,"Offset Y":-0.064799999992828816,"Offset Z":0.087400000000002365}}</t>
  </si>
  <si>
    <t>{"Track_Data":{"Point Name":"250-RL-OP-11022","Track Code":"Roma","Track Chainage":49.6426,"Track Side":"RR","Offset X":-0.014499999997497071,"Offset Y":-0.059299999993527308,"Offset Z":0.08510000000000062}}</t>
  </si>
  <si>
    <t>{"Track_Data":{"Point Name":"250-RL-OP-11021","Track Code":"Roma","Track Chainage":49.6498,"Track Side":"LR","Offset X":-0.023999999997613486,"Offset Y":-0.057000000000698492,"Offset Z":0.085999999999998522}}</t>
  </si>
  <si>
    <t>250-RL-OP-0030</t>
  </si>
  <si>
    <t>250-RL-OP-0031</t>
  </si>
  <si>
    <t>250-RL-OP-0032</t>
  </si>
  <si>
    <t>250-RL-OP-0033</t>
  </si>
  <si>
    <t>250-RL-OP-0034</t>
  </si>
  <si>
    <t>250-RL-OP-0035</t>
  </si>
  <si>
    <t>250-RL-OP-0036</t>
  </si>
  <si>
    <t>250-RL-OP-0037</t>
  </si>
  <si>
    <t>250-RL-OP-0038</t>
  </si>
  <si>
    <t>250-RL-OP-0039</t>
  </si>
  <si>
    <t>250-RL-OP-0040</t>
  </si>
  <si>
    <t>250-RL-OP-0041</t>
  </si>
  <si>
    <t>250-RL-OP-0042</t>
  </si>
  <si>
    <t>250-RL-OP-0043</t>
  </si>
  <si>
    <t>250-RL-OP-0044</t>
  </si>
  <si>
    <t>250-RL-OP-0045</t>
  </si>
  <si>
    <t>250-RL-OP-0046</t>
  </si>
  <si>
    <t>250-RL-OP-0047</t>
  </si>
  <si>
    <t>250-RL-OP-0048</t>
  </si>
  <si>
    <t>250-RL-OP-0049</t>
  </si>
  <si>
    <t>IsVisible</t>
  </si>
  <si>
    <t>Marker Style</t>
  </si>
  <si>
    <t>Marker Size [0-100]</t>
  </si>
  <si>
    <t>o</t>
  </si>
  <si>
    <t>Plot Title</t>
  </si>
  <si>
    <t>Chainage</t>
  </si>
  <si>
    <t>Δ Baseline Cant (mm)</t>
  </si>
  <si>
    <t>X-Axis Plot Min</t>
  </si>
  <si>
    <t>X-Axis Value Padding</t>
  </si>
  <si>
    <t>Y-Axis Value Padding</t>
  </si>
  <si>
    <t>Y-Axis Plot Min</t>
  </si>
  <si>
    <t>Y-Axis Chart Bounds [+ and -]</t>
  </si>
  <si>
    <t>X-Axis Chart Bounds [+ and -]</t>
  </si>
  <si>
    <t>X-Axis Plot Max</t>
  </si>
  <si>
    <t>Y-Axis Plot Max</t>
  </si>
  <si>
    <t>Test</t>
  </si>
  <si>
    <t>X-Axis Data Type</t>
  </si>
  <si>
    <t>Y-Axis Data Type</t>
  </si>
  <si>
    <t>numeric</t>
  </si>
  <si>
    <t>%Y-%m-%d</t>
  </si>
  <si>
    <t>%d-%b</t>
  </si>
  <si>
    <t>Y-Axis Data Column</t>
  </si>
  <si>
    <t>X-Axis Data Column</t>
  </si>
  <si>
    <t>Y-Axis Chart Settings</t>
  </si>
  <si>
    <t>X-Axis Chart Settings</t>
  </si>
  <si>
    <t>Legend Settings</t>
  </si>
  <si>
    <t>Number of Legend Columns</t>
  </si>
  <si>
    <t>Legend Data Column</t>
  </si>
  <si>
    <t>Plot Settings</t>
  </si>
  <si>
    <t>Base Font Size [pt]</t>
  </si>
  <si>
    <t>Plotted Line Width [0-10]</t>
  </si>
  <si>
    <t>Python Chart Script</t>
  </si>
  <si>
    <t>X-Axis Label Format</t>
  </si>
  <si>
    <t>Y-Axis Label Format</t>
  </si>
  <si>
    <t>Δ Baseline Gauge (mm)</t>
  </si>
  <si>
    <t>Δ Baseline Twist Short (mm)</t>
  </si>
  <si>
    <t>Δ Baseline Twist Long (mm)</t>
  </si>
  <si>
    <t>Δ Last Survey Cant (m)</t>
  </si>
  <si>
    <t>Δ Last Survey Gauge (m)</t>
  </si>
  <si>
    <t>Δ Last Survey Twist Short (m)</t>
  </si>
  <si>
    <t>Δ Last Survey Twist Long (m)</t>
  </si>
  <si>
    <t>Python Format</t>
  </si>
  <si>
    <t>Excel Format</t>
  </si>
  <si>
    <t>Description</t>
  </si>
  <si>
    <t>%.0f</t>
  </si>
  <si>
    <t>Number</t>
  </si>
  <si>
    <t>Whole number (no decimal)</t>
  </si>
  <si>
    <t>%.1f</t>
  </si>
  <si>
    <t>One decimal place</t>
  </si>
  <si>
    <t>%.2f</t>
  </si>
  <si>
    <t>Two decimal places</t>
  </si>
  <si>
    <t>%.3f</t>
  </si>
  <si>
    <t>Three decimal places</t>
  </si>
  <si>
    <t>%+.2f</t>
  </si>
  <si>
    <t>Signed, 2 decimals</t>
  </si>
  <si>
    <t>%06.2f</t>
  </si>
  <si>
    <t>Zero-padded, width 6, 2 decimals</t>
  </si>
  <si>
    <t>%,.0f</t>
  </si>
  <si>
    <t>#,##0</t>
  </si>
  <si>
    <t>Thousands separator, no decimals</t>
  </si>
  <si>
    <t>%,.2f</t>
  </si>
  <si>
    <t>#,##0.00</t>
  </si>
  <si>
    <t>Thousands separator, 2 decimals</t>
  </si>
  <si>
    <t>%.0%</t>
  </si>
  <si>
    <t>Whole percentage</t>
  </si>
  <si>
    <t>%.1%</t>
  </si>
  <si>
    <t>Percentage with 1 decimal</t>
  </si>
  <si>
    <t>%.2e</t>
  </si>
  <si>
    <t>Scientific notation</t>
  </si>
  <si>
    <t>yyyy-mm-dd</t>
  </si>
  <si>
    <t>Date</t>
  </si>
  <si>
    <t>ISO format (year-month-day)</t>
  </si>
  <si>
    <t>d-mmm</t>
  </si>
  <si>
    <t>Day and abbreviated month</t>
  </si>
  <si>
    <t>%d-%b-%y</t>
  </si>
  <si>
    <t>d-mmm-yy</t>
  </si>
  <si>
    <t>Day-Month-Year (2-digit year)</t>
  </si>
  <si>
    <t>%b %Y</t>
  </si>
  <si>
    <t>mmm yyyy</t>
  </si>
  <si>
    <t>Month name and year</t>
  </si>
  <si>
    <t>%d/%m/%Y</t>
  </si>
  <si>
    <t>dd/mm/yyyy</t>
  </si>
  <si>
    <t>Day/Month/Year</t>
  </si>
  <si>
    <t>%m/%d/%Y</t>
  </si>
  <si>
    <t>mm/dd/yyyy</t>
  </si>
  <si>
    <t>US-style Month/Day/Year</t>
  </si>
  <si>
    <t>%A, %d %B %Y</t>
  </si>
  <si>
    <t>[$-en-US]dddd, d mmmm yyyy</t>
  </si>
  <si>
    <t>Full weekday and date</t>
  </si>
  <si>
    <t>%H:%M</t>
  </si>
  <si>
    <t>hh:mm</t>
  </si>
  <si>
    <t>24-hour time</t>
  </si>
  <si>
    <t>%I:%M %p</t>
  </si>
  <si>
    <t>hh:mm AM/PM</t>
  </si>
  <si>
    <t>12-hour time with AM/PM</t>
  </si>
  <si>
    <t>%Y-%m-%d %H:%M</t>
  </si>
  <si>
    <t>yyyy-mm-dd hh:mm</t>
  </si>
  <si>
    <t>Date and time</t>
  </si>
  <si>
    <t>%s</t>
  </si>
  <si>
    <t>@</t>
  </si>
  <si>
    <t>String</t>
  </si>
  <si>
    <t>Plain string (Excel text)</t>
  </si>
  <si>
    <t>%8.2f</t>
  </si>
  <si>
    <t>########0.00</t>
  </si>
  <si>
    <t>Right-aligned, 2 decimals</t>
  </si>
  <si>
    <t>%08.2f</t>
  </si>
  <si>
    <t>Zero-padded to width 8, 2 decimals</t>
  </si>
  <si>
    <t>%-8.2f</t>
  </si>
  <si>
    <t>Left-aligned, 2 decimals</t>
  </si>
  <si>
    <t>%#.0f</t>
  </si>
  <si>
    <t>Forces decimal for integers (Python only)</t>
  </si>
  <si>
    <t>%.4f</t>
  </si>
  <si>
    <t>Four decimal places</t>
  </si>
  <si>
    <t>%.5f</t>
  </si>
  <si>
    <t>Five decimal places</t>
  </si>
  <si>
    <t>%.6f</t>
  </si>
  <si>
    <t>Six decimal places</t>
  </si>
  <si>
    <t>%0.1f%%</t>
  </si>
  <si>
    <t>Percentage with 1 decimal and % sign</t>
  </si>
  <si>
    <t>%0.3f%%</t>
  </si>
  <si>
    <t>Percentage with 3 decimals</t>
  </si>
  <si>
    <t>%,.3f</t>
  </si>
  <si>
    <t>#,##0.000</t>
  </si>
  <si>
    <t>Thousands separator, 3 decimals</t>
  </si>
  <si>
    <t>%d-%m-%Y</t>
  </si>
  <si>
    <t>dd-mm-yyyy</t>
  </si>
  <si>
    <t>European date format</t>
  </si>
  <si>
    <t>%Y/%m/%d</t>
  </si>
  <si>
    <t>yyyy/mm/dd</t>
  </si>
  <si>
    <t>ISO-style slashes</t>
  </si>
  <si>
    <t>%d.%m.%Y</t>
  </si>
  <si>
    <t>dd.mm.yyyy</t>
  </si>
  <si>
    <t>Dot-separated date</t>
  </si>
  <si>
    <t>%B %d, %Y</t>
  </si>
  <si>
    <t>mmmm d, yyyy</t>
  </si>
  <si>
    <t>Full month name and day</t>
  </si>
  <si>
    <t>%d %B %Y</t>
  </si>
  <si>
    <t>d mmmm yyyy</t>
  </si>
  <si>
    <t>Day and full month name</t>
  </si>
  <si>
    <t>%H:%M:%S</t>
  </si>
  <si>
    <t>hh:mm:ss</t>
  </si>
  <si>
    <t>24-hour time with seconds</t>
  </si>
  <si>
    <t>%I:%M:%S %p</t>
  </si>
  <si>
    <t>hh:mm:ss AM/PM</t>
  </si>
  <si>
    <t>12-hour time with seconds and AM/PM</t>
  </si>
  <si>
    <t>%Y-%m-%dT%H:%M</t>
  </si>
  <si>
    <t>yyyy-mm-ddThh:mm</t>
  </si>
  <si>
    <t>ISO datetime with T</t>
  </si>
  <si>
    <t>%Y-%j</t>
  </si>
  <si>
    <t>yyyy-ddd</t>
  </si>
  <si>
    <t>Year and day of year</t>
  </si>
  <si>
    <t>%W</t>
  </si>
  <si>
    <t>ww</t>
  </si>
  <si>
    <t>Week number of year</t>
  </si>
  <si>
    <t>X-Axis Label Rotation [deg]</t>
  </si>
  <si>
    <t>Y-Axis Label Rotation [deg]</t>
  </si>
  <si>
    <t>CBGU JV</t>
  </si>
  <si>
    <t>CRR TSD Roma St Station Track Monitoring P2</t>
  </si>
  <si>
    <t>Colour Mapping</t>
  </si>
  <si>
    <t>Lookup Key</t>
  </si>
  <si>
    <t>Y-Axis Label Format Code</t>
  </si>
  <si>
    <t>X-Axis Label Format Code</t>
  </si>
  <si>
    <t>Number | One decimal place</t>
  </si>
  <si>
    <t>Colormap</t>
  </si>
  <si>
    <t>tab10</t>
  </si>
  <si>
    <t>tab20</t>
  </si>
  <si>
    <t>Set1</t>
  </si>
  <si>
    <t>Set2</t>
  </si>
  <si>
    <t>Set3</t>
  </si>
  <si>
    <t>Pastel1</t>
  </si>
  <si>
    <t>Pastel2</t>
  </si>
  <si>
    <t>Accent</t>
  </si>
  <si>
    <t>Dark2</t>
  </si>
  <si>
    <t>Paired</t>
  </si>
  <si>
    <t>viridis</t>
  </si>
  <si>
    <t>plasma</t>
  </si>
  <si>
    <t>inferno</t>
  </si>
  <si>
    <t>magma</t>
  </si>
  <si>
    <t>cividis</t>
  </si>
  <si>
    <t>coolwarm</t>
  </si>
  <si>
    <t>seismic</t>
  </si>
  <si>
    <t>bwr</t>
  </si>
  <si>
    <t>rainbow</t>
  </si>
  <si>
    <t>nipy_spectral</t>
  </si>
  <si>
    <t>Colour Mapping Code</t>
  </si>
  <si>
    <t>Category</t>
  </si>
  <si>
    <t>Colors in Map</t>
  </si>
  <si>
    <t>Qualitative</t>
  </si>
  <si>
    <t>Sequential</t>
  </si>
  <si>
    <t>Greys</t>
  </si>
  <si>
    <t>Purples</t>
  </si>
  <si>
    <t>Blues</t>
  </si>
  <si>
    <t>Greens</t>
  </si>
  <si>
    <t>Oranges</t>
  </si>
  <si>
    <t>Reds</t>
  </si>
  <si>
    <t>YlOrBr</t>
  </si>
  <si>
    <t>YlOrRd</t>
  </si>
  <si>
    <t>OrRd</t>
  </si>
  <si>
    <t>PuRd</t>
  </si>
  <si>
    <t>RdPu</t>
  </si>
  <si>
    <t>BuPu</t>
  </si>
  <si>
    <t>GnBu</t>
  </si>
  <si>
    <t>PuBu</t>
  </si>
  <si>
    <t>YlGnBu</t>
  </si>
  <si>
    <t>PuBuGn</t>
  </si>
  <si>
    <t>BuGn</t>
  </si>
  <si>
    <t>YlGn</t>
  </si>
  <si>
    <t>Diverging</t>
  </si>
  <si>
    <t>twilight</t>
  </si>
  <si>
    <t>Cyclic</t>
  </si>
  <si>
    <t>twilight_shifted</t>
  </si>
  <si>
    <t>hsv</t>
  </si>
  <si>
    <t>Miscellaneous</t>
  </si>
  <si>
    <t>jet</t>
  </si>
  <si>
    <t>Legend Location</t>
  </si>
  <si>
    <t>bottom</t>
  </si>
  <si>
    <t>top</t>
  </si>
  <si>
    <t>left</t>
  </si>
  <si>
    <t>right</t>
  </si>
  <si>
    <t>best</t>
  </si>
  <si>
    <t>Legend Placement</t>
  </si>
  <si>
    <t>Legend Height (Y) Offset [±100%]</t>
  </si>
  <si>
    <r>
      <t>Legend Side (X) Offset [</t>
    </r>
    <r>
      <rPr>
        <sz val="10"/>
        <rFont val="Aptos Narrow"/>
        <family val="2"/>
      </rPr>
      <t>±</t>
    </r>
    <r>
      <rPr>
        <sz val="10"/>
        <rFont val="Calibri"/>
        <family val="2"/>
        <scheme val="minor"/>
      </rPr>
      <t>100%]</t>
    </r>
  </si>
  <si>
    <t>Plot width in inches</t>
  </si>
  <si>
    <t xml:space="preserve">Plot height in inches	</t>
  </si>
  <si>
    <t xml:space="preserve">Output resolution (dots per inch)	</t>
  </si>
  <si>
    <t>Show Minor Gridlines</t>
  </si>
  <si>
    <t>PA</t>
  </si>
  <si>
    <t>Number | Whole number (no decimal)</t>
  </si>
  <si>
    <t>Sequential | Blues | 256</t>
  </si>
  <si>
    <t>GridToGeographic.Latitude</t>
  </si>
  <si>
    <t>GridToGeographic.Longitude</t>
  </si>
  <si>
    <t>Attribute</t>
  </si>
  <si>
    <t>Value</t>
  </si>
  <si>
    <t>chainage</t>
  </si>
  <si>
    <t>x_baseline</t>
  </si>
  <si>
    <t>x_offset</t>
  </si>
  <si>
    <t>y_baseline</t>
  </si>
  <si>
    <t>y_offset</t>
  </si>
  <si>
    <t>z_baseline</t>
  </si>
  <si>
    <t>z_offset</t>
  </si>
  <si>
    <t>Point Name</t>
  </si>
  <si>
    <t>Track Code</t>
  </si>
  <si>
    <t>Track Chainage</t>
  </si>
  <si>
    <t>Track Side</t>
  </si>
  <si>
    <t>Offset X</t>
  </si>
  <si>
    <t>Offset Y</t>
  </si>
  <si>
    <t>Offset Z</t>
  </si>
  <si>
    <t>Roma</t>
  </si>
  <si>
    <t>RR</t>
  </si>
  <si>
    <t>LR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</si>
</sst>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
    <numFmt numFmtId="165" formatCode="0.000_ ;\-0.000\ "/>
    <numFmt numFmtId="166" formatCode="0.0000"/>
    <numFmt numFmtId="167" formatCode="dd/mm/yyyy\ hh:mm"/>
    <numFmt numFmtId="168" formatCode="0.0"/>
  </numFmts>
  <fonts count="35"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sz val="11"/>
      <color rgb="FF9C5700"/>
      <name val="Calibri"/>
      <family val="2"/>
      <scheme val="minor"/>
    </font>
    <font>
      <b/>
      <sz val="11"/>
      <color theme="0"/>
      <name val="Calibri"/>
      <family val="2"/>
      <scheme val="minor"/>
    </font>
    <font>
      <sz val="10"/>
      <color theme="1"/>
      <name val="Calibri"/>
      <family val="2"/>
      <scheme val="minor"/>
    </font>
    <font>
      <b/>
      <sz val="14"/>
      <name val="Calibri"/>
      <family val="2"/>
      <scheme val="minor"/>
    </font>
    <font>
      <i/>
      <sz val="10"/>
      <name val="Calibri"/>
      <family val="2"/>
      <scheme val="minor"/>
    </font>
    <font>
      <sz val="10"/>
      <name val="Calibri"/>
      <family val="2"/>
      <scheme val="minor"/>
    </font>
    <font>
      <b/>
      <sz val="14"/>
      <color theme="0"/>
      <name val="Calibri"/>
      <family val="2"/>
      <scheme val="minor"/>
    </font>
    <font>
      <i/>
      <sz val="10"/>
      <color theme="1" tint="0.14999847407452621"/>
      <name val="Calibri"/>
      <family val="2"/>
      <scheme val="minor"/>
    </font>
    <font>
      <b/>
      <i/>
      <sz val="10"/>
      <name val="Calibri"/>
      <family val="2"/>
      <scheme val="minor"/>
    </font>
    <font>
      <b/>
      <sz val="10"/>
      <name val="Calibri"/>
      <family val="2"/>
      <scheme val="minor"/>
    </font>
    <font>
      <b/>
      <sz val="10"/>
      <color theme="0"/>
      <name val="Calibri"/>
      <family val="2"/>
      <scheme val="minor"/>
    </font>
    <font>
      <u/>
      <sz val="10"/>
      <color theme="10"/>
      <name val="Arial"/>
      <family val="2"/>
    </font>
    <font>
      <b/>
      <sz val="10"/>
      <name val="Arial"/>
      <family val="2"/>
    </font>
    <font>
      <b/>
      <i/>
      <sz val="10"/>
      <color theme="1" tint="0.14999847407452621"/>
      <name val="Calibri"/>
      <family val="2"/>
      <scheme val="minor"/>
    </font>
    <font>
      <sz val="10"/>
      <color theme="1" tint="0.249977111117893"/>
      <name val="Calibri"/>
      <family val="2"/>
      <scheme val="minor"/>
    </font>
    <font>
      <b/>
      <i/>
      <sz val="11"/>
      <color theme="1" tint="0.14999847407452621"/>
      <name val="Calibri"/>
      <family val="2"/>
      <scheme val="minor"/>
    </font>
    <font>
      <b/>
      <i/>
      <u/>
      <sz val="11"/>
      <color theme="5"/>
      <name val="Calibri"/>
      <family val="2"/>
      <scheme val="minor"/>
    </font>
    <font>
      <b/>
      <i/>
      <sz val="14"/>
      <color theme="0" tint="-0.499984740745262"/>
      <name val="Calibri"/>
      <family val="2"/>
      <scheme val="minor"/>
    </font>
    <font>
      <b/>
      <sz val="10"/>
      <color theme="1"/>
      <name val="Calibri"/>
      <family val="2"/>
      <scheme val="minor"/>
    </font>
    <font>
      <sz val="10"/>
      <color theme="1" tint="0.14999847407452621"/>
      <name val="Calibri"/>
      <family val="2"/>
      <scheme val="minor"/>
    </font>
    <font>
      <b/>
      <i/>
      <sz val="10"/>
      <color theme="0" tint="-0.499984740745262"/>
      <name val="Calibri"/>
      <family val="2"/>
      <scheme val="minor"/>
    </font>
    <font>
      <i/>
      <sz val="10"/>
      <color theme="1" tint="4.9989318521683403E-2"/>
      <name val="Calibri"/>
      <family val="2"/>
      <scheme val="minor"/>
    </font>
    <font>
      <sz val="10"/>
      <color theme="0" tint="-0.499984740745262"/>
      <name val="Arial"/>
      <family val="2"/>
    </font>
    <font>
      <sz val="10"/>
      <color theme="0"/>
      <name val="Calibri"/>
      <family val="2"/>
      <scheme val="minor"/>
    </font>
    <font>
      <i/>
      <sz val="10"/>
      <color theme="0" tint="-0.34998626667073579"/>
      <name val="Calibri"/>
      <family val="2"/>
      <scheme val="minor"/>
    </font>
    <font>
      <b/>
      <i/>
      <sz val="14"/>
      <color theme="0" tint="-0.34998626667073579"/>
      <name val="Calibri"/>
      <family val="2"/>
      <scheme val="minor"/>
    </font>
    <font>
      <sz val="10"/>
      <name val="Calibri"/>
      <family val="2"/>
    </font>
    <font>
      <b/>
      <sz val="11"/>
      <color theme="1"/>
      <name val="Calibri"/>
      <family val="2"/>
      <scheme val="minor"/>
    </font>
    <font>
      <b/>
      <sz val="10"/>
      <color theme="0" tint="-0.499984740745262"/>
      <name val="Arial"/>
      <family val="2"/>
    </font>
    <font>
      <sz val="10"/>
      <name val="Aptos Narrow"/>
      <family val="2"/>
    </font>
  </fonts>
  <fills count="29">
    <fill>
      <patternFill patternType="none"/>
    </fill>
    <fill>
      <patternFill patternType="gray125"/>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rgb="FFFFEB9C"/>
      </patternFill>
    </fill>
    <fill>
      <patternFill patternType="solid">
        <fgColor rgb="FFA5A5A5"/>
      </patternFill>
    </fill>
    <fill>
      <patternFill patternType="solid">
        <fgColor theme="6"/>
        <bgColor theme="0" tint="-0.24994659260841701"/>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theme="0" tint="-0.24994659260841701"/>
      </patternFill>
    </fill>
    <fill>
      <patternFill patternType="solid">
        <fgColor theme="0" tint="-4.9989318521683403E-2"/>
        <bgColor theme="0" tint="-0.24994659260841701"/>
      </patternFill>
    </fill>
    <fill>
      <patternFill patternType="solid">
        <fgColor theme="4"/>
        <bgColor indexed="64"/>
      </patternFill>
    </fill>
    <fill>
      <patternFill patternType="solid">
        <fgColor theme="5" tint="0.79998168889431442"/>
        <bgColor indexed="64"/>
      </patternFill>
    </fill>
    <fill>
      <patternFill patternType="solid">
        <fgColor theme="5"/>
        <bgColor theme="0" tint="-0.24994659260841701"/>
      </patternFill>
    </fill>
    <fill>
      <patternFill patternType="solid">
        <fgColor theme="4"/>
        <bgColor theme="0" tint="-0.24994659260841701"/>
      </patternFill>
    </fill>
    <fill>
      <patternFill patternType="solid">
        <fgColor theme="9" tint="0.79998168889431442"/>
        <bgColor theme="7"/>
      </patternFill>
    </fill>
    <fill>
      <patternFill patternType="gray125">
        <fgColor theme="0" tint="-0.24994659260841701"/>
        <bgColor theme="0" tint="-4.9989318521683403E-2"/>
      </patternFill>
    </fill>
    <fill>
      <patternFill patternType="solid">
        <fgColor theme="1" tint="0.249977111117893"/>
        <bgColor theme="0" tint="-0.24994659260841701"/>
      </patternFill>
    </fill>
    <fill>
      <gradientFill degree="180">
        <stop position="0">
          <color theme="0"/>
        </stop>
        <stop position="1">
          <color theme="1" tint="0.25098422193060094"/>
        </stop>
      </gradientFill>
    </fill>
    <fill>
      <patternFill patternType="solid">
        <fgColor theme="6"/>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1" tint="0.34998626667073579"/>
        <bgColor indexed="64"/>
      </patternFill>
    </fill>
    <fill>
      <patternFill patternType="solid">
        <fgColor theme="1" tint="4.9989318521683403E-2"/>
        <bgColor indexed="64"/>
      </patternFill>
    </fill>
    <fill>
      <patternFill patternType="solid">
        <fgColor theme="1" tint="4.9989318521683403E-2"/>
        <bgColor theme="0" tint="-0.24994659260841701"/>
      </patternFill>
    </fill>
    <fill>
      <patternFill patternType="solid">
        <fgColor theme="7"/>
        <bgColor theme="7"/>
      </patternFill>
    </fill>
  </fills>
  <borders count="28">
    <border>
      <left/>
      <right/>
      <top/>
      <bottom/>
      <diagonal/>
    </border>
    <border>
      <left style="thin">
        <color theme="0" tint="-0.34998626667073579"/>
      </left>
      <right style="thin">
        <color theme="0" tint="-0.34998626667073579"/>
      </right>
      <top/>
      <bottom style="thin">
        <color theme="0" tint="-0.34998626667073579"/>
      </bottom>
      <diagonal/>
    </border>
    <border>
      <left/>
      <right style="thin">
        <color theme="0" tint="-0.34998626667073579"/>
      </right>
      <top/>
      <bottom style="thin">
        <color theme="0" tint="-0.34998626667073579"/>
      </bottom>
      <diagonal/>
    </border>
    <border>
      <left style="double">
        <color rgb="FF3F3F3F"/>
      </left>
      <right style="double">
        <color rgb="FF3F3F3F"/>
      </right>
      <top style="double">
        <color rgb="FF3F3F3F"/>
      </top>
      <bottom style="double">
        <color rgb="FF3F3F3F"/>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right style="thin">
        <color theme="0" tint="-0.34998626667073579"/>
      </right>
      <top/>
      <bottom/>
      <diagonal/>
    </border>
    <border>
      <left/>
      <right/>
      <top/>
      <bottom style="thin">
        <color theme="0" tint="-0.34998626667073579"/>
      </bottom>
      <diagonal/>
    </border>
    <border>
      <left/>
      <right/>
      <top/>
      <bottom style="medium">
        <color theme="0" tint="-0.34998626667073579"/>
      </bottom>
      <diagonal/>
    </border>
    <border>
      <left style="thin">
        <color rgb="FFA6A6A6"/>
      </left>
      <right/>
      <top/>
      <bottom style="thin">
        <color rgb="FFA6A6A6"/>
      </bottom>
      <diagonal/>
    </border>
    <border>
      <left/>
      <right style="thin">
        <color rgb="FFA6A6A6"/>
      </right>
      <top/>
      <bottom style="thin">
        <color rgb="FFA6A6A6"/>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bottom style="thin">
        <color rgb="FFA6A6A6"/>
      </bottom>
      <diagonal/>
    </border>
    <border>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style="thin">
        <color theme="0" tint="-0.34998626667073579"/>
      </left>
      <right style="thin">
        <color theme="7"/>
      </right>
      <top style="thin">
        <color theme="7"/>
      </top>
      <bottom style="thin">
        <color theme="0" tint="-0.34998626667073579"/>
      </bottom>
      <diagonal/>
    </border>
    <border>
      <left style="thin">
        <color theme="0" tint="-0.34998626667073579"/>
      </left>
      <right/>
      <top style="thin">
        <color theme="7"/>
      </top>
      <bottom style="thin">
        <color theme="0" tint="-0.34998626667073579"/>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s>
  <cellStyleXfs count="10">
    <xf numFmtId="0" fontId="0" fillId="0" borderId="0"/>
    <xf numFmtId="0" fontId="3"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5" fillId="5" borderId="0" applyNumberFormat="0" applyBorder="0" applyAlignment="0" applyProtection="0"/>
    <xf numFmtId="0" fontId="6" fillId="6" borderId="3" applyNumberFormat="0" applyAlignment="0" applyProtection="0"/>
    <xf numFmtId="166" fontId="7" fillId="0" borderId="0">
      <alignment wrapText="1"/>
    </xf>
    <xf numFmtId="0" fontId="16" fillId="0" borderId="0" applyNumberFormat="0" applyFill="0" applyBorder="0" applyAlignment="0" applyProtection="0"/>
    <xf numFmtId="0" fontId="1" fillId="0" borderId="0"/>
  </cellStyleXfs>
  <cellXfs count="315">
    <xf numFmtId="0" fontId="0" fillId="0" borderId="0" xfId="0"/>
    <xf numFmtId="0" fontId="10" fillId="0" borderId="0" xfId="0" applyFont="1"/>
    <xf numFmtId="0" fontId="10" fillId="0" borderId="0" xfId="0" applyFont="1" applyAlignment="1">
      <alignment vertical="center" wrapText="1"/>
    </xf>
    <xf numFmtId="0" fontId="10" fillId="0" borderId="0" xfId="0" applyFont="1" applyAlignment="1">
      <alignment horizontal="center"/>
    </xf>
    <xf numFmtId="165" fontId="10" fillId="0" borderId="0" xfId="0" applyNumberFormat="1" applyFont="1"/>
    <xf numFmtId="165" fontId="10" fillId="0" borderId="0" xfId="0" applyNumberFormat="1" applyFont="1" applyAlignment="1">
      <alignment horizontal="center"/>
    </xf>
    <xf numFmtId="0" fontId="10" fillId="0" borderId="0" xfId="0" applyFont="1" applyAlignment="1">
      <alignment vertical="top" wrapText="1"/>
    </xf>
    <xf numFmtId="164" fontId="10" fillId="0" borderId="0" xfId="0" applyNumberFormat="1" applyFont="1" applyAlignment="1">
      <alignment horizontal="center"/>
    </xf>
    <xf numFmtId="164" fontId="10" fillId="0" borderId="0" xfId="0" applyNumberFormat="1" applyFont="1" applyAlignment="1">
      <alignment vertical="top" wrapText="1"/>
    </xf>
    <xf numFmtId="22" fontId="10" fillId="0" borderId="0" xfId="0" applyNumberFormat="1" applyFont="1" applyAlignment="1">
      <alignment vertical="top" wrapText="1"/>
    </xf>
    <xf numFmtId="166" fontId="10" fillId="0" borderId="0" xfId="0" applyNumberFormat="1" applyFont="1" applyAlignment="1">
      <alignment horizontal="center"/>
    </xf>
    <xf numFmtId="0" fontId="14" fillId="0" borderId="0" xfId="0" applyFont="1"/>
    <xf numFmtId="0" fontId="14" fillId="0" borderId="0" xfId="0" applyFont="1" applyAlignment="1">
      <alignment horizontal="left" indent="1"/>
    </xf>
    <xf numFmtId="0" fontId="10" fillId="0" borderId="0" xfId="0" applyFont="1" applyAlignment="1">
      <alignment horizontal="left" indent="1"/>
    </xf>
    <xf numFmtId="0" fontId="16" fillId="0" borderId="0" xfId="8"/>
    <xf numFmtId="0" fontId="17" fillId="0" borderId="0" xfId="0" applyFont="1"/>
    <xf numFmtId="0" fontId="10" fillId="0" borderId="4" xfId="0" applyFont="1" applyBorder="1" applyAlignment="1">
      <alignment horizontal="left" indent="1"/>
    </xf>
    <xf numFmtId="164" fontId="10" fillId="0" borderId="4" xfId="0" applyNumberFormat="1" applyFont="1" applyBorder="1" applyAlignment="1">
      <alignment horizontal="left" indent="1"/>
    </xf>
    <xf numFmtId="166" fontId="10" fillId="0" borderId="4" xfId="0" applyNumberFormat="1" applyFont="1" applyBorder="1" applyAlignment="1">
      <alignment horizontal="left" indent="1"/>
    </xf>
    <xf numFmtId="164" fontId="10" fillId="0" borderId="8" xfId="0" applyNumberFormat="1" applyFont="1" applyBorder="1" applyAlignment="1">
      <alignment horizontal="left" vertical="center" wrapText="1" indent="1"/>
    </xf>
    <xf numFmtId="164" fontId="10" fillId="0" borderId="6" xfId="0" applyNumberFormat="1" applyFont="1" applyBorder="1" applyAlignment="1">
      <alignment horizontal="left" vertical="center" wrapText="1" indent="1"/>
    </xf>
    <xf numFmtId="0" fontId="13" fillId="13" borderId="2" xfId="6" applyFont="1" applyFill="1" applyBorder="1" applyAlignment="1">
      <alignment horizontal="left" vertical="center" wrapText="1" indent="1"/>
    </xf>
    <xf numFmtId="0" fontId="13" fillId="13" borderId="1" xfId="6" applyFont="1" applyFill="1" applyBorder="1" applyAlignment="1">
      <alignment horizontal="left" vertical="center" wrapText="1" indent="1"/>
    </xf>
    <xf numFmtId="0" fontId="13" fillId="13" borderId="13" xfId="6" applyFont="1" applyFill="1" applyBorder="1" applyAlignment="1">
      <alignment horizontal="left" vertical="center" wrapText="1" indent="1"/>
    </xf>
    <xf numFmtId="0" fontId="0" fillId="17" borderId="0" xfId="0" applyFill="1" applyAlignment="1">
      <alignment wrapText="1"/>
    </xf>
    <xf numFmtId="1" fontId="0" fillId="17" borderId="0" xfId="0" applyNumberFormat="1" applyFill="1" applyAlignment="1">
      <alignment wrapText="1"/>
    </xf>
    <xf numFmtId="164" fontId="0" fillId="17" borderId="0" xfId="0" applyNumberFormat="1" applyFill="1" applyAlignment="1">
      <alignment wrapText="1"/>
    </xf>
    <xf numFmtId="167" fontId="0" fillId="17" borderId="0" xfId="0" applyNumberFormat="1" applyFill="1" applyAlignment="1">
      <alignment wrapText="1"/>
    </xf>
    <xf numFmtId="0" fontId="0" fillId="17" borderId="16" xfId="0" applyFill="1" applyBorder="1"/>
    <xf numFmtId="1" fontId="0" fillId="17" borderId="16" xfId="0" applyNumberFormat="1" applyFill="1" applyBorder="1"/>
    <xf numFmtId="164" fontId="0" fillId="17" borderId="16" xfId="0" applyNumberFormat="1" applyFill="1" applyBorder="1"/>
    <xf numFmtId="167" fontId="0" fillId="17" borderId="16" xfId="0" applyNumberFormat="1" applyFill="1" applyBorder="1"/>
    <xf numFmtId="22" fontId="7" fillId="0" borderId="8" xfId="7" applyNumberFormat="1" applyBorder="1" applyAlignment="1" applyProtection="1">
      <alignment horizontal="left" vertical="center" indent="1"/>
      <protection locked="0"/>
    </xf>
    <xf numFmtId="0" fontId="7" fillId="0" borderId="4" xfId="7" applyNumberFormat="1" applyBorder="1" applyAlignment="1" applyProtection="1">
      <alignment horizontal="left" vertical="center" indent="1"/>
      <protection locked="0"/>
    </xf>
    <xf numFmtId="166" fontId="7" fillId="0" borderId="4" xfId="7" applyBorder="1" applyAlignment="1" applyProtection="1">
      <alignment horizontal="left" vertical="center" indent="1"/>
      <protection locked="0"/>
    </xf>
    <xf numFmtId="164" fontId="10" fillId="0" borderId="4" xfId="0" applyNumberFormat="1" applyFont="1" applyBorder="1" applyAlignment="1">
      <alignment horizontal="left" vertical="center" indent="1"/>
    </xf>
    <xf numFmtId="0" fontId="7" fillId="0" borderId="4" xfId="0" applyFont="1" applyBorder="1" applyAlignment="1">
      <alignment horizontal="center" vertical="center"/>
    </xf>
    <xf numFmtId="164" fontId="7" fillId="0" borderId="4" xfId="0" applyNumberFormat="1" applyFont="1" applyBorder="1" applyAlignment="1">
      <alignment horizontal="center" vertical="center"/>
    </xf>
    <xf numFmtId="0" fontId="0" fillId="0" borderId="0" xfId="0" applyAlignment="1">
      <alignment wrapText="1"/>
    </xf>
    <xf numFmtId="0" fontId="27" fillId="0" borderId="2" xfId="0" applyFont="1" applyBorder="1" applyAlignment="1">
      <alignment horizontal="left" vertical="top" wrapText="1"/>
    </xf>
    <xf numFmtId="0" fontId="27" fillId="0" borderId="13" xfId="0" applyFont="1" applyBorder="1" applyAlignment="1">
      <alignment horizontal="left" vertical="top" wrapText="1"/>
    </xf>
    <xf numFmtId="0" fontId="27" fillId="0" borderId="6" xfId="0" applyFont="1" applyBorder="1" applyAlignment="1">
      <alignment horizontal="left" vertical="top" indent="1"/>
    </xf>
    <xf numFmtId="167" fontId="27" fillId="0" borderId="8" xfId="0" applyNumberFormat="1" applyFont="1" applyBorder="1" applyAlignment="1">
      <alignment horizontal="left" vertical="top" indent="1"/>
    </xf>
    <xf numFmtId="164" fontId="10" fillId="0" borderId="1" xfId="0" applyNumberFormat="1" applyFont="1" applyBorder="1" applyAlignment="1">
      <alignment horizontal="left" vertical="center" indent="1"/>
    </xf>
    <xf numFmtId="164" fontId="10" fillId="0" borderId="4" xfId="0" applyNumberFormat="1" applyFont="1" applyBorder="1" applyAlignment="1">
      <alignment horizontal="center" vertical="center"/>
    </xf>
    <xf numFmtId="164" fontId="10" fillId="0" borderId="1" xfId="0" applyNumberFormat="1" applyFont="1" applyBorder="1" applyAlignment="1">
      <alignment horizontal="center" vertical="center"/>
    </xf>
    <xf numFmtId="167" fontId="27" fillId="0" borderId="2" xfId="0" applyNumberFormat="1" applyFont="1" applyBorder="1" applyAlignment="1">
      <alignment horizontal="left" vertical="top" indent="1"/>
    </xf>
    <xf numFmtId="0" fontId="27" fillId="0" borderId="13" xfId="0" applyFont="1" applyBorder="1" applyAlignment="1">
      <alignment horizontal="left" vertical="top" indent="1"/>
    </xf>
    <xf numFmtId="167" fontId="0" fillId="0" borderId="0" xfId="0" applyNumberFormat="1"/>
    <xf numFmtId="22" fontId="10" fillId="9" borderId="2" xfId="0" applyNumberFormat="1" applyFont="1" applyFill="1" applyBorder="1" applyAlignment="1">
      <alignment horizontal="left" vertical="center" indent="1"/>
    </xf>
    <xf numFmtId="22" fontId="10" fillId="9" borderId="8" xfId="0" applyNumberFormat="1" applyFont="1" applyFill="1" applyBorder="1" applyAlignment="1">
      <alignment horizontal="left" vertical="center" indent="1"/>
    </xf>
    <xf numFmtId="0" fontId="10" fillId="12" borderId="1" xfId="0" applyFont="1" applyFill="1" applyBorder="1" applyAlignment="1">
      <alignment horizontal="left" vertical="center" wrapText="1" indent="1"/>
    </xf>
    <xf numFmtId="0" fontId="7" fillId="20" borderId="1" xfId="0" applyFont="1" applyFill="1" applyBorder="1" applyAlignment="1">
      <alignment horizontal="left" vertical="center" wrapText="1" indent="1"/>
    </xf>
    <xf numFmtId="166" fontId="10" fillId="8" borderId="1" xfId="0" applyNumberFormat="1" applyFont="1" applyFill="1" applyBorder="1" applyAlignment="1">
      <alignment horizontal="left" vertical="center" indent="1"/>
    </xf>
    <xf numFmtId="166" fontId="10" fillId="8" borderId="4" xfId="0" applyNumberFormat="1" applyFont="1" applyFill="1" applyBorder="1" applyAlignment="1">
      <alignment horizontal="left" vertical="center" indent="1"/>
    </xf>
    <xf numFmtId="164" fontId="7" fillId="24" borderId="1" xfId="0" applyNumberFormat="1" applyFont="1" applyFill="1" applyBorder="1" applyAlignment="1">
      <alignment horizontal="left" vertical="center" wrapText="1" indent="1"/>
    </xf>
    <xf numFmtId="164" fontId="28" fillId="25" borderId="1" xfId="0" applyNumberFormat="1" applyFont="1" applyFill="1" applyBorder="1" applyAlignment="1">
      <alignment horizontal="left" vertical="center" wrapText="1" indent="1"/>
    </xf>
    <xf numFmtId="0" fontId="10" fillId="26" borderId="2" xfId="0" applyFont="1" applyFill="1" applyBorder="1" applyAlignment="1">
      <alignment horizontal="left" vertical="center" wrapText="1" indent="1"/>
    </xf>
    <xf numFmtId="0" fontId="10" fillId="26" borderId="1" xfId="0" applyFont="1" applyFill="1" applyBorder="1" applyAlignment="1">
      <alignment horizontal="left" vertical="center" wrapText="1" indent="1"/>
    </xf>
    <xf numFmtId="0" fontId="10" fillId="26" borderId="13" xfId="0" applyFont="1" applyFill="1" applyBorder="1" applyAlignment="1">
      <alignment horizontal="left" vertical="center" wrapText="1" indent="1"/>
    </xf>
    <xf numFmtId="165" fontId="10" fillId="0" borderId="10" xfId="0" applyNumberFormat="1" applyFont="1" applyBorder="1"/>
    <xf numFmtId="164" fontId="7" fillId="0" borderId="11" xfId="0" applyNumberFormat="1" applyFont="1" applyBorder="1" applyAlignment="1">
      <alignment horizontal="left" vertical="center" indent="1"/>
    </xf>
    <xf numFmtId="165" fontId="10" fillId="0" borderId="12" xfId="0" applyNumberFormat="1" applyFont="1" applyBorder="1"/>
    <xf numFmtId="164" fontId="7" fillId="0" borderId="14" xfId="0" applyNumberFormat="1" applyFont="1" applyBorder="1" applyAlignment="1">
      <alignment horizontal="left" vertical="center" indent="1"/>
    </xf>
    <xf numFmtId="165" fontId="10" fillId="0" borderId="13" xfId="0" applyNumberFormat="1" applyFont="1" applyBorder="1"/>
    <xf numFmtId="164" fontId="7" fillId="0" borderId="2" xfId="0" applyNumberFormat="1" applyFont="1" applyBorder="1" applyAlignment="1">
      <alignment horizontal="left" vertical="center" indent="1"/>
    </xf>
    <xf numFmtId="164" fontId="23" fillId="9" borderId="4" xfId="3" applyNumberFormat="1" applyFont="1" applyFill="1" applyBorder="1" applyAlignment="1">
      <alignment horizontal="center" vertical="center"/>
    </xf>
    <xf numFmtId="0" fontId="10" fillId="26" borderId="18" xfId="0" applyFont="1" applyFill="1" applyBorder="1" applyAlignment="1">
      <alignment horizontal="left" vertical="center" wrapText="1" indent="1"/>
    </xf>
    <xf numFmtId="0" fontId="10" fillId="26" borderId="20" xfId="0" applyFont="1" applyFill="1" applyBorder="1" applyAlignment="1">
      <alignment horizontal="left" vertical="center" wrapText="1" indent="1"/>
    </xf>
    <xf numFmtId="0" fontId="10" fillId="12" borderId="20" xfId="0" applyFont="1" applyFill="1" applyBorder="1" applyAlignment="1">
      <alignment horizontal="left" vertical="center" wrapText="1" indent="1"/>
    </xf>
    <xf numFmtId="0" fontId="7" fillId="20" borderId="20" xfId="0" applyFont="1" applyFill="1" applyBorder="1" applyAlignment="1">
      <alignment horizontal="left" vertical="center" wrapText="1" indent="1"/>
    </xf>
    <xf numFmtId="164" fontId="7" fillId="24" borderId="20" xfId="0" applyNumberFormat="1" applyFont="1" applyFill="1" applyBorder="1" applyAlignment="1">
      <alignment horizontal="left" vertical="center" wrapText="1" indent="1"/>
    </xf>
    <xf numFmtId="164" fontId="28" fillId="25" borderId="20" xfId="0" applyNumberFormat="1" applyFont="1" applyFill="1" applyBorder="1" applyAlignment="1">
      <alignment horizontal="left" vertical="center" wrapText="1" indent="1"/>
    </xf>
    <xf numFmtId="0" fontId="10" fillId="26" borderId="17" xfId="0" applyFont="1" applyFill="1" applyBorder="1" applyAlignment="1">
      <alignment horizontal="left" vertical="center" wrapText="1" indent="1"/>
    </xf>
    <xf numFmtId="22" fontId="10" fillId="9" borderId="21" xfId="0" applyNumberFormat="1" applyFont="1" applyFill="1" applyBorder="1" applyAlignment="1">
      <alignment horizontal="left" vertical="center" indent="1"/>
    </xf>
    <xf numFmtId="166" fontId="10" fillId="8" borderId="19" xfId="0" applyNumberFormat="1" applyFont="1" applyFill="1" applyBorder="1" applyAlignment="1">
      <alignment horizontal="left" vertical="center" indent="1"/>
    </xf>
    <xf numFmtId="164" fontId="10" fillId="0" borderId="19" xfId="0" applyNumberFormat="1" applyFont="1" applyBorder="1" applyAlignment="1">
      <alignment horizontal="left" vertical="center" indent="1"/>
    </xf>
    <xf numFmtId="164" fontId="10" fillId="0" borderId="19" xfId="0" applyNumberFormat="1" applyFont="1" applyBorder="1" applyAlignment="1">
      <alignment horizontal="center" vertical="center"/>
    </xf>
    <xf numFmtId="166" fontId="29" fillId="0" borderId="0" xfId="0" applyNumberFormat="1" applyFont="1" applyAlignment="1">
      <alignment horizontal="center"/>
    </xf>
    <xf numFmtId="165" fontId="29" fillId="0" borderId="0" xfId="0" applyNumberFormat="1" applyFont="1"/>
    <xf numFmtId="0" fontId="29" fillId="0" borderId="0" xfId="0" applyFont="1"/>
    <xf numFmtId="164" fontId="29" fillId="9" borderId="20" xfId="0" applyNumberFormat="1" applyFont="1" applyFill="1" applyBorder="1" applyAlignment="1">
      <alignment horizontal="left" vertical="center" wrapText="1" indent="1"/>
    </xf>
    <xf numFmtId="22" fontId="10" fillId="9" borderId="18" xfId="0" applyNumberFormat="1" applyFont="1" applyFill="1" applyBorder="1" applyAlignment="1">
      <alignment horizontal="left" vertical="center" indent="1"/>
    </xf>
    <xf numFmtId="166" fontId="10" fillId="8" borderId="20" xfId="0" applyNumberFormat="1" applyFont="1" applyFill="1" applyBorder="1" applyAlignment="1">
      <alignment horizontal="left" vertical="center" indent="1"/>
    </xf>
    <xf numFmtId="164" fontId="10" fillId="0" borderId="20" xfId="0" applyNumberFormat="1" applyFont="1" applyBorder="1" applyAlignment="1">
      <alignment horizontal="left" vertical="center" indent="1"/>
    </xf>
    <xf numFmtId="164" fontId="10" fillId="0" borderId="20" xfId="0" applyNumberFormat="1" applyFont="1" applyBorder="1" applyAlignment="1">
      <alignment horizontal="center" vertical="center"/>
    </xf>
    <xf numFmtId="0" fontId="27" fillId="0" borderId="12" xfId="0" applyFont="1" applyBorder="1" applyAlignment="1">
      <alignment horizontal="left" vertical="top" indent="1"/>
    </xf>
    <xf numFmtId="0" fontId="9" fillId="8" borderId="4" xfId="5" applyNumberFormat="1" applyFont="1" applyFill="1" applyBorder="1" applyAlignment="1" applyProtection="1">
      <alignment horizontal="left" vertical="center" wrapText="1" indent="1"/>
    </xf>
    <xf numFmtId="0" fontId="12" fillId="16" borderId="4" xfId="0" applyFont="1" applyFill="1" applyBorder="1" applyAlignment="1">
      <alignment horizontal="left" vertical="center" wrapText="1" indent="1"/>
    </xf>
    <xf numFmtId="168" fontId="10" fillId="0" borderId="4" xfId="0" applyNumberFormat="1" applyFont="1" applyBorder="1" applyAlignment="1">
      <alignment horizontal="left" vertical="center" wrapText="1" indent="1"/>
    </xf>
    <xf numFmtId="166" fontId="29" fillId="9" borderId="4" xfId="0" applyNumberFormat="1" applyFont="1" applyFill="1" applyBorder="1" applyAlignment="1">
      <alignment horizontal="center" vertical="center" wrapText="1"/>
    </xf>
    <xf numFmtId="166" fontId="29" fillId="9" borderId="4" xfId="0" applyNumberFormat="1" applyFont="1" applyFill="1" applyBorder="1" applyAlignment="1">
      <alignment horizontal="left" vertical="center" wrapText="1" indent="1"/>
    </xf>
    <xf numFmtId="1" fontId="29" fillId="9" borderId="4" xfId="0" applyNumberFormat="1" applyFont="1" applyFill="1" applyBorder="1" applyAlignment="1">
      <alignment horizontal="left" vertical="center" wrapText="1" indent="1"/>
    </xf>
    <xf numFmtId="166" fontId="29" fillId="21" borderId="4" xfId="0" applyNumberFormat="1" applyFont="1" applyFill="1" applyBorder="1" applyAlignment="1">
      <alignment horizontal="left" vertical="center" indent="1"/>
    </xf>
    <xf numFmtId="168" fontId="29" fillId="21" borderId="4" xfId="0" applyNumberFormat="1" applyFont="1" applyFill="1" applyBorder="1" applyAlignment="1">
      <alignment horizontal="left" vertical="center" indent="1"/>
    </xf>
    <xf numFmtId="164" fontId="29" fillId="21" borderId="4" xfId="0" applyNumberFormat="1" applyFont="1" applyFill="1" applyBorder="1" applyAlignment="1">
      <alignment horizontal="left" vertical="center" indent="1"/>
    </xf>
    <xf numFmtId="166" fontId="29" fillId="21" borderId="9" xfId="0" applyNumberFormat="1" applyFont="1" applyFill="1" applyBorder="1" applyAlignment="1">
      <alignment horizontal="left" vertical="center" indent="1"/>
    </xf>
    <xf numFmtId="168" fontId="29" fillId="21" borderId="9" xfId="0" applyNumberFormat="1" applyFont="1" applyFill="1" applyBorder="1" applyAlignment="1">
      <alignment horizontal="left" vertical="center" indent="1"/>
    </xf>
    <xf numFmtId="164" fontId="29" fillId="21" borderId="9" xfId="0" applyNumberFormat="1" applyFont="1" applyFill="1" applyBorder="1" applyAlignment="1">
      <alignment horizontal="left" vertical="center" indent="1"/>
    </xf>
    <xf numFmtId="1" fontId="29" fillId="21" borderId="6" xfId="0" applyNumberFormat="1" applyFont="1" applyFill="1" applyBorder="1" applyAlignment="1">
      <alignment horizontal="left" vertical="center" indent="1"/>
    </xf>
    <xf numFmtId="1" fontId="29" fillId="21" borderId="10" xfId="0" applyNumberFormat="1" applyFont="1" applyFill="1" applyBorder="1" applyAlignment="1">
      <alignment horizontal="left" vertical="center" indent="1"/>
    </xf>
    <xf numFmtId="0" fontId="10" fillId="9" borderId="4" xfId="0" applyFont="1" applyFill="1" applyBorder="1" applyAlignment="1">
      <alignment horizontal="left" vertical="center" indent="1"/>
    </xf>
    <xf numFmtId="0" fontId="10" fillId="9" borderId="1" xfId="0" applyFont="1" applyFill="1" applyBorder="1" applyAlignment="1">
      <alignment horizontal="left" vertical="center" indent="1"/>
    </xf>
    <xf numFmtId="0" fontId="10" fillId="0" borderId="4" xfId="0" applyFont="1" applyBorder="1" applyAlignment="1">
      <alignment horizontal="center" vertical="center"/>
    </xf>
    <xf numFmtId="0" fontId="10" fillId="0" borderId="1" xfId="0" applyFont="1" applyBorder="1" applyAlignment="1">
      <alignment horizontal="center" vertical="center"/>
    </xf>
    <xf numFmtId="0" fontId="10" fillId="9" borderId="6" xfId="0" applyFont="1" applyFill="1" applyBorder="1" applyAlignment="1">
      <alignment horizontal="left" vertical="center" indent="1"/>
    </xf>
    <xf numFmtId="0" fontId="10" fillId="9" borderId="13" xfId="0" applyFont="1" applyFill="1" applyBorder="1" applyAlignment="1">
      <alignment horizontal="left" vertical="center" indent="1"/>
    </xf>
    <xf numFmtId="0" fontId="10" fillId="9" borderId="19" xfId="0" applyFont="1" applyFill="1" applyBorder="1" applyAlignment="1">
      <alignment horizontal="left" vertical="center" indent="1"/>
    </xf>
    <xf numFmtId="0" fontId="10" fillId="9" borderId="20" xfId="0" applyFont="1" applyFill="1" applyBorder="1" applyAlignment="1">
      <alignment horizontal="left" vertical="center" indent="1"/>
    </xf>
    <xf numFmtId="0" fontId="10" fillId="0" borderId="19" xfId="0" applyFont="1" applyBorder="1" applyAlignment="1">
      <alignment horizontal="center" vertical="center"/>
    </xf>
    <xf numFmtId="0" fontId="10" fillId="0" borderId="20" xfId="0" applyFont="1" applyBorder="1" applyAlignment="1">
      <alignment horizontal="center" vertical="center"/>
    </xf>
    <xf numFmtId="0" fontId="10" fillId="9" borderId="22" xfId="0" applyFont="1" applyFill="1" applyBorder="1" applyAlignment="1">
      <alignment horizontal="left" vertical="center" indent="1"/>
    </xf>
    <xf numFmtId="0" fontId="10" fillId="9" borderId="17" xfId="0" applyFont="1" applyFill="1" applyBorder="1" applyAlignment="1">
      <alignment horizontal="left" vertical="center" indent="1"/>
    </xf>
    <xf numFmtId="164" fontId="29" fillId="9" borderId="17" xfId="0" applyNumberFormat="1" applyFont="1" applyFill="1" applyBorder="1" applyAlignment="1">
      <alignment horizontal="left" vertical="center" wrapText="1" indent="1"/>
    </xf>
    <xf numFmtId="164" fontId="29" fillId="0" borderId="22" xfId="0" applyNumberFormat="1" applyFont="1" applyBorder="1" applyAlignment="1">
      <alignment horizontal="left" vertical="center" indent="1"/>
    </xf>
    <xf numFmtId="0" fontId="10" fillId="21" borderId="4" xfId="5" applyNumberFormat="1" applyFont="1" applyFill="1" applyBorder="1" applyAlignment="1">
      <alignment horizontal="left" vertical="center" wrapText="1" indent="1"/>
    </xf>
    <xf numFmtId="0" fontId="10" fillId="23" borderId="19" xfId="0" applyFont="1" applyFill="1" applyBorder="1" applyAlignment="1">
      <alignment horizontal="left" vertical="center" indent="1"/>
    </xf>
    <xf numFmtId="0" fontId="10" fillId="23" borderId="1" xfId="0" applyFont="1" applyFill="1" applyBorder="1" applyAlignment="1">
      <alignment horizontal="left" vertical="center" indent="1"/>
    </xf>
    <xf numFmtId="0" fontId="10" fillId="23" borderId="4" xfId="0" applyFont="1" applyFill="1" applyBorder="1" applyAlignment="1">
      <alignment horizontal="left" vertical="center" indent="1"/>
    </xf>
    <xf numFmtId="0" fontId="13" fillId="8" borderId="2" xfId="6" applyFont="1" applyFill="1" applyBorder="1" applyAlignment="1">
      <alignment horizontal="left" vertical="center" wrapText="1" indent="1"/>
    </xf>
    <xf numFmtId="0" fontId="13" fillId="8" borderId="1" xfId="6" applyFont="1" applyFill="1" applyBorder="1" applyAlignment="1">
      <alignment horizontal="left" vertical="center" wrapText="1" indent="1"/>
    </xf>
    <xf numFmtId="0" fontId="13" fillId="8" borderId="13" xfId="6" applyFont="1" applyFill="1" applyBorder="1" applyAlignment="1">
      <alignment horizontal="left" vertical="center" wrapText="1" indent="1"/>
    </xf>
    <xf numFmtId="22" fontId="7" fillId="0" borderId="4" xfId="7" applyNumberFormat="1" applyBorder="1" applyAlignment="1" applyProtection="1">
      <alignment horizontal="left" vertical="top" indent="1"/>
      <protection locked="0"/>
    </xf>
    <xf numFmtId="168" fontId="10" fillId="0" borderId="4" xfId="0" applyNumberFormat="1" applyFont="1" applyBorder="1" applyAlignment="1">
      <alignment horizontal="left" vertical="top" wrapText="1" indent="1"/>
    </xf>
    <xf numFmtId="164" fontId="10" fillId="0" borderId="4" xfId="0" applyNumberFormat="1" applyFont="1" applyBorder="1" applyAlignment="1">
      <alignment horizontal="left" vertical="top" wrapText="1" indent="1"/>
    </xf>
    <xf numFmtId="0" fontId="31" fillId="0" borderId="4" xfId="0" applyFont="1" applyBorder="1" applyAlignment="1">
      <alignment horizontal="left" vertical="top" wrapText="1" indent="1"/>
    </xf>
    <xf numFmtId="164" fontId="29" fillId="0" borderId="19" xfId="0" applyNumberFormat="1" applyFont="1" applyBorder="1" applyAlignment="1">
      <alignment horizontal="left" vertical="center" indent="1"/>
    </xf>
    <xf numFmtId="14" fontId="10" fillId="23" borderId="19" xfId="0" applyNumberFormat="1" applyFont="1" applyFill="1" applyBorder="1" applyAlignment="1">
      <alignment horizontal="left" vertical="center" indent="1"/>
    </xf>
    <xf numFmtId="0" fontId="10" fillId="21" borderId="4" xfId="5" applyNumberFormat="1" applyFont="1" applyFill="1" applyBorder="1" applyAlignment="1">
      <alignment vertical="center" wrapText="1"/>
    </xf>
    <xf numFmtId="168" fontId="10" fillId="8" borderId="19" xfId="0" applyNumberFormat="1" applyFont="1" applyFill="1" applyBorder="1" applyAlignment="1">
      <alignment horizontal="left" vertical="center" indent="1"/>
    </xf>
    <xf numFmtId="0" fontId="10" fillId="26" borderId="19" xfId="0" applyFont="1" applyFill="1" applyBorder="1" applyAlignment="1">
      <alignment horizontal="left" vertical="center" wrapText="1" indent="1"/>
    </xf>
    <xf numFmtId="0" fontId="10" fillId="12" borderId="19" xfId="0" applyFont="1" applyFill="1" applyBorder="1" applyAlignment="1">
      <alignment horizontal="left" vertical="center" wrapText="1" indent="1"/>
    </xf>
    <xf numFmtId="168" fontId="7" fillId="20" borderId="19" xfId="0" applyNumberFormat="1" applyFont="1" applyFill="1" applyBorder="1" applyAlignment="1">
      <alignment horizontal="left" vertical="center" wrapText="1" indent="1"/>
    </xf>
    <xf numFmtId="164" fontId="7" fillId="24" borderId="19" xfId="0" applyNumberFormat="1" applyFont="1" applyFill="1" applyBorder="1" applyAlignment="1">
      <alignment horizontal="left" vertical="center" wrapText="1" indent="1"/>
    </xf>
    <xf numFmtId="164" fontId="28" fillId="25" borderId="19" xfId="0" applyNumberFormat="1" applyFont="1" applyFill="1" applyBorder="1" applyAlignment="1">
      <alignment horizontal="left" vertical="center" wrapText="1" indent="1"/>
    </xf>
    <xf numFmtId="166" fontId="10" fillId="0" borderId="10" xfId="0" applyNumberFormat="1" applyFont="1" applyBorder="1" applyAlignment="1">
      <alignment horizontal="center"/>
    </xf>
    <xf numFmtId="166" fontId="10" fillId="0" borderId="11" xfId="0" applyNumberFormat="1" applyFont="1" applyBorder="1" applyAlignment="1">
      <alignment horizontal="center"/>
    </xf>
    <xf numFmtId="166" fontId="10" fillId="0" borderId="12" xfId="0" applyNumberFormat="1" applyFont="1" applyBorder="1" applyAlignment="1">
      <alignment horizontal="center"/>
    </xf>
    <xf numFmtId="166" fontId="10" fillId="0" borderId="14" xfId="0" applyNumberFormat="1" applyFont="1" applyBorder="1" applyAlignment="1">
      <alignment horizontal="center"/>
    </xf>
    <xf numFmtId="165" fontId="10" fillId="0" borderId="14" xfId="0" applyNumberFormat="1" applyFont="1" applyBorder="1"/>
    <xf numFmtId="164" fontId="10" fillId="21" borderId="4" xfId="5" applyNumberFormat="1" applyFont="1" applyFill="1" applyBorder="1" applyAlignment="1">
      <alignment vertical="center" wrapText="1"/>
    </xf>
    <xf numFmtId="164" fontId="7" fillId="20" borderId="19" xfId="0" applyNumberFormat="1" applyFont="1" applyFill="1" applyBorder="1" applyAlignment="1">
      <alignment horizontal="left" vertical="center" wrapText="1" indent="1"/>
    </xf>
    <xf numFmtId="164" fontId="10" fillId="8" borderId="19" xfId="0" applyNumberFormat="1" applyFont="1" applyFill="1" applyBorder="1" applyAlignment="1">
      <alignment horizontal="left" vertical="center" indent="1"/>
    </xf>
    <xf numFmtId="164" fontId="10" fillId="9" borderId="4" xfId="5" applyNumberFormat="1" applyFont="1" applyFill="1" applyBorder="1" applyAlignment="1">
      <alignment vertical="center" wrapText="1"/>
    </xf>
    <xf numFmtId="164" fontId="10" fillId="9" borderId="4" xfId="0" applyNumberFormat="1" applyFont="1" applyFill="1" applyBorder="1"/>
    <xf numFmtId="164" fontId="10" fillId="23" borderId="19" xfId="0" applyNumberFormat="1" applyFont="1" applyFill="1" applyBorder="1" applyAlignment="1">
      <alignment horizontal="left" vertical="center" indent="1"/>
    </xf>
    <xf numFmtId="0" fontId="26" fillId="11" borderId="4" xfId="7" applyNumberFormat="1" applyFont="1" applyFill="1" applyBorder="1" applyAlignment="1">
      <alignment horizontal="center" vertical="center" wrapText="1"/>
    </xf>
    <xf numFmtId="164" fontId="24" fillId="10" borderId="4" xfId="7" applyNumberFormat="1" applyFont="1" applyFill="1" applyBorder="1" applyAlignment="1">
      <alignment horizontal="center" vertical="center" wrapText="1"/>
    </xf>
    <xf numFmtId="0" fontId="7" fillId="0" borderId="6" xfId="0" applyFont="1" applyBorder="1" applyAlignment="1">
      <alignment horizontal="left" vertical="center" indent="1"/>
    </xf>
    <xf numFmtId="0" fontId="7" fillId="0" borderId="7" xfId="0" applyFont="1" applyBorder="1" applyAlignment="1">
      <alignment horizontal="left" vertical="center" indent="1"/>
    </xf>
    <xf numFmtId="0" fontId="10" fillId="23" borderId="20" xfId="0" applyFont="1" applyFill="1" applyBorder="1" applyAlignment="1">
      <alignment horizontal="left" vertical="center" indent="1"/>
    </xf>
    <xf numFmtId="0" fontId="7" fillId="0" borderId="9" xfId="7" applyNumberFormat="1" applyBorder="1" applyAlignment="1" applyProtection="1">
      <alignment horizontal="left" vertical="center" indent="1"/>
      <protection locked="0"/>
    </xf>
    <xf numFmtId="166" fontId="7" fillId="0" borderId="9" xfId="7" applyBorder="1" applyAlignment="1" applyProtection="1">
      <alignment horizontal="left" vertical="center" indent="1"/>
      <protection locked="0"/>
    </xf>
    <xf numFmtId="0" fontId="32" fillId="0" borderId="0" xfId="0" applyFont="1"/>
    <xf numFmtId="0" fontId="10" fillId="0" borderId="4" xfId="0" applyFont="1" applyBorder="1" applyAlignment="1">
      <alignment horizontal="center"/>
    </xf>
    <xf numFmtId="164" fontId="10" fillId="0" borderId="4" xfId="0" applyNumberFormat="1" applyFont="1" applyBorder="1" applyAlignment="1">
      <alignment horizontal="center"/>
    </xf>
    <xf numFmtId="1" fontId="10" fillId="0" borderId="0" xfId="0" applyNumberFormat="1" applyFont="1" applyAlignment="1">
      <alignment horizontal="center"/>
    </xf>
    <xf numFmtId="14" fontId="10" fillId="0" borderId="0" xfId="0" applyNumberFormat="1" applyFont="1" applyAlignment="1">
      <alignment horizontal="center"/>
    </xf>
    <xf numFmtId="164" fontId="29" fillId="9" borderId="18" xfId="0" applyNumberFormat="1" applyFont="1" applyFill="1" applyBorder="1" applyAlignment="1">
      <alignment horizontal="left" vertical="center" wrapText="1" indent="1"/>
    </xf>
    <xf numFmtId="0" fontId="7" fillId="20" borderId="19" xfId="0" applyFont="1" applyFill="1" applyBorder="1" applyAlignment="1">
      <alignment horizontal="left" vertical="center" wrapText="1" indent="1"/>
    </xf>
    <xf numFmtId="164" fontId="10" fillId="8" borderId="20" xfId="0" applyNumberFormat="1" applyFont="1" applyFill="1" applyBorder="1" applyAlignment="1">
      <alignment horizontal="left" vertical="center" indent="1"/>
    </xf>
    <xf numFmtId="164" fontId="10" fillId="23" borderId="20" xfId="0" applyNumberFormat="1" applyFont="1" applyFill="1" applyBorder="1" applyAlignment="1">
      <alignment horizontal="left" vertical="center" indent="1"/>
    </xf>
    <xf numFmtId="164" fontId="29" fillId="23" borderId="19" xfId="0" applyNumberFormat="1" applyFont="1" applyFill="1" applyBorder="1" applyAlignment="1">
      <alignment horizontal="left" vertical="center" indent="1"/>
    </xf>
    <xf numFmtId="164" fontId="29" fillId="23" borderId="20" xfId="0" applyNumberFormat="1" applyFont="1" applyFill="1" applyBorder="1" applyAlignment="1">
      <alignment horizontal="left" vertical="center" indent="1"/>
    </xf>
    <xf numFmtId="164" fontId="29" fillId="0" borderId="20" xfId="0" applyNumberFormat="1" applyFont="1" applyBorder="1" applyAlignment="1">
      <alignment horizontal="left" vertical="center" indent="1"/>
    </xf>
    <xf numFmtId="164" fontId="29" fillId="0" borderId="17" xfId="0" applyNumberFormat="1" applyFont="1" applyBorder="1" applyAlignment="1">
      <alignment horizontal="left" vertical="center" indent="1"/>
    </xf>
    <xf numFmtId="167" fontId="27" fillId="0" borderId="2" xfId="0" applyNumberFormat="1" applyFont="1" applyBorder="1" applyAlignment="1">
      <alignment horizontal="left" vertical="top" wrapText="1"/>
    </xf>
    <xf numFmtId="0" fontId="10" fillId="0" borderId="4" xfId="0" applyFont="1" applyBorder="1" applyAlignment="1">
      <alignment horizontal="left" vertical="center" indent="1"/>
    </xf>
    <xf numFmtId="1" fontId="10" fillId="0" borderId="4" xfId="0" applyNumberFormat="1" applyFont="1" applyBorder="1" applyAlignment="1">
      <alignment horizontal="left" vertical="center" indent="1"/>
    </xf>
    <xf numFmtId="0" fontId="29" fillId="9" borderId="4" xfId="0" applyFont="1" applyFill="1" applyBorder="1" applyAlignment="1">
      <alignment horizontal="left" vertical="center" indent="1"/>
    </xf>
    <xf numFmtId="0" fontId="10" fillId="0" borderId="0" xfId="0" applyFont="1" applyAlignment="1">
      <alignment horizontal="left" vertical="center" indent="1"/>
    </xf>
    <xf numFmtId="2" fontId="10" fillId="0" borderId="4" xfId="0" applyNumberFormat="1" applyFont="1" applyBorder="1" applyAlignment="1">
      <alignment horizontal="left" vertical="center" indent="1"/>
    </xf>
    <xf numFmtId="1" fontId="10" fillId="0" borderId="4" xfId="0" quotePrefix="1" applyNumberFormat="1" applyFont="1" applyBorder="1" applyAlignment="1">
      <alignment horizontal="left" vertical="center" indent="1"/>
    </xf>
    <xf numFmtId="164" fontId="29" fillId="9" borderId="4" xfId="0" applyNumberFormat="1" applyFont="1" applyFill="1" applyBorder="1" applyAlignment="1">
      <alignment horizontal="left" vertical="center" wrapText="1" indent="1"/>
    </xf>
    <xf numFmtId="164" fontId="29" fillId="9" borderId="4" xfId="0" applyNumberFormat="1" applyFont="1" applyFill="1" applyBorder="1" applyAlignment="1">
      <alignment horizontal="left" vertical="center" indent="1"/>
    </xf>
    <xf numFmtId="0" fontId="27" fillId="0" borderId="24" xfId="0" applyFont="1" applyBorder="1" applyAlignment="1">
      <alignment horizontal="left" vertical="top" indent="1"/>
    </xf>
    <xf numFmtId="0" fontId="27" fillId="0" borderId="23" xfId="0" applyFont="1" applyBorder="1" applyAlignment="1">
      <alignment horizontal="left" vertical="top" indent="1"/>
    </xf>
    <xf numFmtId="0" fontId="33" fillId="28" borderId="2" xfId="0" applyFont="1" applyFill="1" applyBorder="1" applyAlignment="1">
      <alignment horizontal="left" vertical="top" wrapText="1"/>
    </xf>
    <xf numFmtId="0" fontId="33" fillId="28" borderId="15" xfId="0" applyFont="1" applyFill="1" applyBorder="1" applyAlignment="1">
      <alignment horizontal="left" vertical="top" wrapText="1"/>
    </xf>
    <xf numFmtId="2" fontId="10" fillId="0" borderId="0" xfId="0" applyNumberFormat="1" applyFont="1" applyAlignment="1">
      <alignment horizontal="left" vertical="center" indent="1"/>
    </xf>
    <xf numFmtId="9" fontId="10" fillId="0" borderId="4" xfId="0" applyNumberFormat="1" applyFont="1" applyBorder="1" applyAlignment="1">
      <alignment horizontal="left" vertical="center" indent="1"/>
    </xf>
    <xf numFmtId="168" fontId="10" fillId="0" borderId="4" xfId="0" applyNumberFormat="1" applyFont="1" applyBorder="1" applyAlignment="1">
      <alignment horizontal="left" vertical="center" indent="1"/>
    </xf>
    <xf numFmtId="0" fontId="10" fillId="0" borderId="10" xfId="0" applyFont="1" applyBorder="1"/>
    <xf numFmtId="0" fontId="10" fillId="0" borderId="5" xfId="0" applyFont="1" applyBorder="1"/>
    <xf numFmtId="0" fontId="10" fillId="0" borderId="5" xfId="0" applyFont="1" applyBorder="1" applyAlignment="1">
      <alignment horizontal="center"/>
    </xf>
    <xf numFmtId="166" fontId="10" fillId="0" borderId="5" xfId="0" applyNumberFormat="1" applyFont="1" applyBorder="1" applyAlignment="1">
      <alignment horizontal="center"/>
    </xf>
    <xf numFmtId="164" fontId="10" fillId="0" borderId="5" xfId="0" applyNumberFormat="1" applyFont="1" applyBorder="1" applyAlignment="1">
      <alignment horizontal="center"/>
    </xf>
    <xf numFmtId="0" fontId="10" fillId="0" borderId="12" xfId="0" applyFont="1" applyBorder="1"/>
    <xf numFmtId="0" fontId="10" fillId="0" borderId="13" xfId="0" applyFont="1" applyBorder="1"/>
    <xf numFmtId="0" fontId="10" fillId="0" borderId="15" xfId="0" applyFont="1" applyBorder="1"/>
    <xf numFmtId="0" fontId="10" fillId="0" borderId="15" xfId="0" applyFont="1" applyBorder="1" applyAlignment="1">
      <alignment horizontal="center"/>
    </xf>
    <xf numFmtId="166" fontId="10" fillId="0" borderId="15" xfId="0" applyNumberFormat="1" applyFont="1" applyBorder="1" applyAlignment="1">
      <alignment horizontal="center"/>
    </xf>
    <xf numFmtId="164" fontId="10" fillId="0" borderId="15" xfId="0" applyNumberFormat="1" applyFont="1" applyBorder="1" applyAlignment="1">
      <alignment horizontal="center"/>
    </xf>
    <xf numFmtId="166" fontId="10" fillId="0" borderId="2" xfId="0" applyNumberFormat="1" applyFont="1" applyBorder="1" applyAlignment="1">
      <alignment horizontal="center"/>
    </xf>
    <xf numFmtId="22" fontId="10" fillId="9" borderId="26" xfId="0" applyNumberFormat="1" applyFont="1" applyFill="1" applyBorder="1" applyAlignment="1">
      <alignment horizontal="left" vertical="center" indent="1"/>
    </xf>
    <xf numFmtId="164" fontId="10" fillId="8" borderId="27" xfId="0" applyNumberFormat="1" applyFont="1" applyFill="1" applyBorder="1" applyAlignment="1">
      <alignment horizontal="left" vertical="center" indent="1"/>
    </xf>
    <xf numFmtId="164" fontId="10" fillId="23" borderId="27" xfId="0" applyNumberFormat="1" applyFont="1" applyFill="1" applyBorder="1" applyAlignment="1">
      <alignment horizontal="left" vertical="center" indent="1"/>
    </xf>
    <xf numFmtId="164" fontId="10" fillId="0" borderId="27" xfId="0" applyNumberFormat="1" applyFont="1" applyBorder="1" applyAlignment="1">
      <alignment horizontal="left" vertical="center" indent="1"/>
    </xf>
    <xf numFmtId="164" fontId="29" fillId="23" borderId="27" xfId="0" applyNumberFormat="1" applyFont="1" applyFill="1" applyBorder="1" applyAlignment="1">
      <alignment horizontal="left" vertical="center" indent="1"/>
    </xf>
    <xf numFmtId="164" fontId="29" fillId="0" borderId="27" xfId="0" applyNumberFormat="1" applyFont="1" applyBorder="1" applyAlignment="1">
      <alignment horizontal="left" vertical="center" indent="1"/>
    </xf>
    <xf numFmtId="164" fontId="29" fillId="0" borderId="25" xfId="0" applyNumberFormat="1" applyFont="1" applyBorder="1" applyAlignment="1">
      <alignment horizontal="left" vertical="center" indent="1"/>
    </xf>
    <xf numFmtId="165" fontId="10" fillId="0" borderId="20" xfId="0" applyNumberFormat="1" applyFont="1" applyBorder="1"/>
    <xf numFmtId="167" fontId="27" fillId="0" borderId="11" xfId="0" applyNumberFormat="1" applyFont="1" applyBorder="1" applyAlignment="1">
      <alignment horizontal="left" vertical="top" indent="1"/>
    </xf>
    <xf numFmtId="0" fontId="27" fillId="0" borderId="10" xfId="0" applyFont="1" applyBorder="1" applyAlignment="1">
      <alignment horizontal="left" vertical="top" indent="1"/>
    </xf>
    <xf numFmtId="22" fontId="7" fillId="0" borderId="11" xfId="7" applyNumberFormat="1" applyBorder="1" applyAlignment="1" applyProtection="1">
      <alignment horizontal="left" vertical="center" indent="1"/>
      <protection locked="0"/>
    </xf>
    <xf numFmtId="0" fontId="10" fillId="9" borderId="27" xfId="0" applyFont="1" applyFill="1" applyBorder="1" applyAlignment="1">
      <alignment horizontal="left" vertical="center" indent="1"/>
    </xf>
    <xf numFmtId="168" fontId="10" fillId="0" borderId="19" xfId="0" applyNumberFormat="1" applyFont="1" applyBorder="1" applyAlignment="1">
      <alignment horizontal="left" vertical="center" indent="1"/>
    </xf>
    <xf numFmtId="168" fontId="10" fillId="0" borderId="20" xfId="0" applyNumberFormat="1" applyFont="1" applyBorder="1" applyAlignment="1">
      <alignment horizontal="left" vertical="center" indent="1"/>
    </xf>
    <xf numFmtId="168" fontId="10" fillId="0" borderId="27" xfId="0" applyNumberFormat="1" applyFont="1" applyBorder="1" applyAlignment="1">
      <alignment horizontal="left" vertical="center" indent="1"/>
    </xf>
    <xf numFmtId="166" fontId="0" fillId="0" borderId="0" xfId="0" applyNumberFormat="1"/>
    <xf numFmtId="0" fontId="0" fillId="19" borderId="0" xfId="0" applyFill="1" applyAlignment="1">
      <alignment horizontal="center" wrapText="1"/>
    </xf>
    <xf numFmtId="166" fontId="22" fillId="9" borderId="6" xfId="7" applyFont="1" applyFill="1" applyBorder="1" applyAlignment="1">
      <alignment horizontal="center" vertical="center"/>
    </xf>
    <xf numFmtId="166" fontId="22" fillId="9" borderId="7" xfId="7" applyFont="1" applyFill="1" applyBorder="1" applyAlignment="1">
      <alignment horizontal="center" vertical="center"/>
    </xf>
    <xf numFmtId="166" fontId="22" fillId="9" borderId="8" xfId="7" applyFont="1" applyFill="1" applyBorder="1" applyAlignment="1">
      <alignment horizontal="center" vertical="center"/>
    </xf>
    <xf numFmtId="164" fontId="11" fillId="14" borderId="12" xfId="0" applyNumberFormat="1" applyFont="1" applyFill="1" applyBorder="1" applyAlignment="1">
      <alignment horizontal="center" vertical="center"/>
    </xf>
    <xf numFmtId="164" fontId="11" fillId="14" borderId="0" xfId="0" applyNumberFormat="1" applyFont="1" applyFill="1" applyAlignment="1">
      <alignment horizontal="center" vertical="center"/>
    </xf>
    <xf numFmtId="0" fontId="11" fillId="15" borderId="4" xfId="0" applyFont="1" applyFill="1" applyBorder="1" applyAlignment="1">
      <alignment horizontal="center" vertical="center"/>
    </xf>
    <xf numFmtId="164" fontId="11" fillId="18" borderId="4" xfId="0" applyNumberFormat="1" applyFont="1" applyFill="1" applyBorder="1" applyAlignment="1">
      <alignment horizontal="center" vertical="center"/>
    </xf>
    <xf numFmtId="164" fontId="20" fillId="9" borderId="10" xfId="5" applyNumberFormat="1" applyFont="1" applyFill="1" applyBorder="1" applyAlignment="1">
      <alignment horizontal="center" vertical="center" wrapText="1"/>
    </xf>
    <xf numFmtId="164" fontId="20" fillId="9" borderId="5" xfId="5" applyNumberFormat="1" applyFont="1" applyFill="1" applyBorder="1" applyAlignment="1">
      <alignment horizontal="center" vertical="center" wrapText="1"/>
    </xf>
    <xf numFmtId="164" fontId="20" fillId="9" borderId="11" xfId="5" applyNumberFormat="1" applyFont="1" applyFill="1" applyBorder="1" applyAlignment="1">
      <alignment horizontal="center" vertical="center" wrapText="1"/>
    </xf>
    <xf numFmtId="164" fontId="20" fillId="9" borderId="12" xfId="5" applyNumberFormat="1" applyFont="1" applyFill="1" applyBorder="1" applyAlignment="1">
      <alignment horizontal="center" vertical="center" wrapText="1"/>
    </xf>
    <xf numFmtId="164" fontId="20" fillId="9" borderId="0" xfId="5" applyNumberFormat="1" applyFont="1" applyFill="1" applyBorder="1" applyAlignment="1">
      <alignment horizontal="center" vertical="center" wrapText="1"/>
    </xf>
    <xf numFmtId="164" fontId="20" fillId="9" borderId="14" xfId="5" applyNumberFormat="1" applyFont="1" applyFill="1" applyBorder="1" applyAlignment="1">
      <alignment horizontal="center" vertical="center" wrapText="1"/>
    </xf>
    <xf numFmtId="164" fontId="20" fillId="9" borderId="13" xfId="5" applyNumberFormat="1" applyFont="1" applyFill="1" applyBorder="1" applyAlignment="1">
      <alignment horizontal="center" vertical="center" wrapText="1"/>
    </xf>
    <xf numFmtId="164" fontId="20" fillId="9" borderId="15" xfId="5" applyNumberFormat="1" applyFont="1" applyFill="1" applyBorder="1" applyAlignment="1">
      <alignment horizontal="center" vertical="center" wrapText="1"/>
    </xf>
    <xf numFmtId="164" fontId="20" fillId="9" borderId="2" xfId="5" applyNumberFormat="1" applyFont="1" applyFill="1" applyBorder="1" applyAlignment="1">
      <alignment horizontal="center" vertical="center" wrapText="1"/>
    </xf>
    <xf numFmtId="0" fontId="18" fillId="16" borderId="4" xfId="0" applyFont="1" applyFill="1" applyBorder="1" applyAlignment="1">
      <alignment horizontal="center" vertical="center" wrapText="1"/>
    </xf>
    <xf numFmtId="0" fontId="19" fillId="10" borderId="4" xfId="0" applyFont="1" applyFill="1" applyBorder="1" applyAlignment="1">
      <alignment horizontal="left" vertical="center" indent="1"/>
    </xf>
    <xf numFmtId="0" fontId="13" fillId="13" borderId="4" xfId="6" applyFont="1" applyFill="1" applyBorder="1" applyAlignment="1">
      <alignment horizontal="center" vertical="center" wrapText="1"/>
    </xf>
    <xf numFmtId="0" fontId="13" fillId="8" borderId="6" xfId="6" applyFont="1" applyFill="1" applyBorder="1" applyAlignment="1">
      <alignment horizontal="center" vertical="center" wrapText="1"/>
    </xf>
    <xf numFmtId="0" fontId="13" fillId="8" borderId="7" xfId="6" applyFont="1" applyFill="1" applyBorder="1" applyAlignment="1">
      <alignment horizontal="center" vertical="center" wrapText="1"/>
    </xf>
    <xf numFmtId="0" fontId="13" fillId="8" borderId="8" xfId="6" applyFont="1" applyFill="1" applyBorder="1" applyAlignment="1">
      <alignment horizontal="center" vertical="center" wrapText="1"/>
    </xf>
    <xf numFmtId="164" fontId="11" fillId="18" borderId="6" xfId="0" applyNumberFormat="1" applyFont="1" applyFill="1" applyBorder="1" applyAlignment="1">
      <alignment horizontal="center" vertical="center"/>
    </xf>
    <xf numFmtId="164" fontId="11" fillId="18" borderId="7" xfId="0" applyNumberFormat="1" applyFont="1" applyFill="1" applyBorder="1" applyAlignment="1">
      <alignment horizontal="center" vertical="center"/>
    </xf>
    <xf numFmtId="164" fontId="11" fillId="18" borderId="8" xfId="0" applyNumberFormat="1" applyFont="1" applyFill="1" applyBorder="1" applyAlignment="1">
      <alignment horizontal="center" vertical="center"/>
    </xf>
    <xf numFmtId="0" fontId="19" fillId="10" borderId="6" xfId="0" applyFont="1" applyFill="1" applyBorder="1" applyAlignment="1">
      <alignment horizontal="left" vertical="center" indent="1"/>
    </xf>
    <xf numFmtId="0" fontId="19" fillId="10" borderId="7" xfId="0" applyFont="1" applyFill="1" applyBorder="1" applyAlignment="1">
      <alignment horizontal="left" vertical="center" indent="1"/>
    </xf>
    <xf numFmtId="0" fontId="19" fillId="10" borderId="8" xfId="0" applyFont="1" applyFill="1" applyBorder="1" applyAlignment="1">
      <alignment horizontal="left" vertical="center" indent="1"/>
    </xf>
    <xf numFmtId="164" fontId="8" fillId="7" borderId="9" xfId="0" applyNumberFormat="1" applyFont="1" applyFill="1" applyBorder="1" applyAlignment="1">
      <alignment horizontal="center" vertical="center"/>
    </xf>
    <xf numFmtId="0" fontId="19" fillId="10" borderId="10" xfId="0" applyFont="1" applyFill="1" applyBorder="1" applyAlignment="1">
      <alignment horizontal="center" vertical="center" wrapText="1"/>
    </xf>
    <xf numFmtId="0" fontId="19" fillId="10" borderId="5" xfId="0" applyFont="1" applyFill="1" applyBorder="1" applyAlignment="1">
      <alignment horizontal="center" vertical="center" wrapText="1"/>
    </xf>
    <xf numFmtId="0" fontId="19" fillId="10" borderId="11" xfId="0" applyFont="1" applyFill="1" applyBorder="1" applyAlignment="1">
      <alignment horizontal="center" vertical="center" wrapText="1"/>
    </xf>
    <xf numFmtId="0" fontId="19" fillId="10" borderId="13" xfId="0" applyFont="1" applyFill="1" applyBorder="1" applyAlignment="1">
      <alignment horizontal="center" vertical="center" wrapText="1"/>
    </xf>
    <xf numFmtId="0" fontId="19" fillId="10" borderId="15" xfId="0" applyFont="1" applyFill="1" applyBorder="1" applyAlignment="1">
      <alignment horizontal="center" vertical="center" wrapText="1"/>
    </xf>
    <xf numFmtId="0" fontId="19" fillId="10" borderId="2" xfId="0" applyFont="1" applyFill="1" applyBorder="1" applyAlignment="1">
      <alignment horizontal="center" vertical="center" wrapText="1"/>
    </xf>
    <xf numFmtId="164" fontId="11" fillId="18" borderId="10" xfId="0" applyNumberFormat="1" applyFont="1" applyFill="1" applyBorder="1" applyAlignment="1">
      <alignment horizontal="center" vertical="center"/>
    </xf>
    <xf numFmtId="164" fontId="11" fillId="18" borderId="5" xfId="0" applyNumberFormat="1" applyFont="1" applyFill="1" applyBorder="1" applyAlignment="1">
      <alignment horizontal="center" vertical="center"/>
    </xf>
    <xf numFmtId="164" fontId="11" fillId="18" borderId="11" xfId="0" applyNumberFormat="1" applyFont="1" applyFill="1" applyBorder="1" applyAlignment="1">
      <alignment horizontal="center" vertical="center"/>
    </xf>
    <xf numFmtId="164" fontId="11" fillId="18" borderId="13" xfId="0" applyNumberFormat="1" applyFont="1" applyFill="1" applyBorder="1" applyAlignment="1">
      <alignment horizontal="center" vertical="center"/>
    </xf>
    <xf numFmtId="164" fontId="11" fillId="18" borderId="15" xfId="0" applyNumberFormat="1" applyFont="1" applyFill="1" applyBorder="1" applyAlignment="1">
      <alignment horizontal="center" vertical="center"/>
    </xf>
    <xf numFmtId="164" fontId="11" fillId="18" borderId="2" xfId="0" applyNumberFormat="1" applyFont="1" applyFill="1" applyBorder="1" applyAlignment="1">
      <alignment horizontal="center" vertical="center"/>
    </xf>
    <xf numFmtId="0" fontId="19" fillId="10" borderId="9" xfId="0" applyFont="1" applyFill="1" applyBorder="1" applyAlignment="1">
      <alignment horizontal="center" vertical="center" wrapText="1"/>
    </xf>
    <xf numFmtId="0" fontId="19" fillId="10" borderId="1" xfId="0" applyFont="1" applyFill="1" applyBorder="1" applyAlignment="1">
      <alignment horizontal="center" vertical="center" wrapText="1"/>
    </xf>
    <xf numFmtId="0" fontId="19" fillId="11" borderId="4" xfId="0" applyFont="1" applyFill="1" applyBorder="1" applyAlignment="1">
      <alignment horizontal="center" vertical="center"/>
    </xf>
    <xf numFmtId="166" fontId="30" fillId="9" borderId="4" xfId="7" applyFont="1" applyFill="1" applyBorder="1" applyAlignment="1">
      <alignment horizontal="center" vertical="center"/>
    </xf>
    <xf numFmtId="0" fontId="8" fillId="7" borderId="4" xfId="7" applyNumberFormat="1" applyFont="1" applyFill="1" applyBorder="1" applyAlignment="1">
      <alignment horizontal="center" vertical="center"/>
    </xf>
    <xf numFmtId="0" fontId="15" fillId="27" borderId="4" xfId="7" applyNumberFormat="1" applyFont="1" applyFill="1" applyBorder="1" applyAlignment="1">
      <alignment horizontal="center" vertical="center" wrapText="1"/>
    </xf>
    <xf numFmtId="0" fontId="10" fillId="21" borderId="4" xfId="5" applyNumberFormat="1" applyFont="1" applyFill="1" applyBorder="1" applyAlignment="1">
      <alignment horizontal="left" vertical="center" wrapText="1" indent="1"/>
    </xf>
    <xf numFmtId="0" fontId="10" fillId="21" borderId="6" xfId="5" applyNumberFormat="1" applyFont="1" applyFill="1" applyBorder="1" applyAlignment="1">
      <alignment horizontal="left" vertical="center" wrapText="1" indent="1"/>
    </xf>
    <xf numFmtId="0" fontId="10" fillId="21" borderId="7" xfId="5" applyNumberFormat="1" applyFont="1" applyFill="1" applyBorder="1" applyAlignment="1">
      <alignment horizontal="left" vertical="center" wrapText="1" indent="1"/>
    </xf>
    <xf numFmtId="0" fontId="10" fillId="21" borderId="8" xfId="5" applyNumberFormat="1" applyFont="1" applyFill="1" applyBorder="1" applyAlignment="1">
      <alignment horizontal="left" vertical="center" wrapText="1" indent="1"/>
    </xf>
    <xf numFmtId="167" fontId="10" fillId="21" borderId="6" xfId="5" applyNumberFormat="1" applyFont="1" applyFill="1" applyBorder="1" applyAlignment="1">
      <alignment horizontal="left" vertical="center" wrapText="1" indent="1"/>
    </xf>
    <xf numFmtId="167" fontId="10" fillId="21" borderId="7" xfId="5" applyNumberFormat="1" applyFont="1" applyFill="1" applyBorder="1" applyAlignment="1">
      <alignment horizontal="left" vertical="center" wrapText="1" indent="1"/>
    </xf>
    <xf numFmtId="167" fontId="10" fillId="21" borderId="8" xfId="5" applyNumberFormat="1" applyFont="1" applyFill="1" applyBorder="1" applyAlignment="1">
      <alignment horizontal="left" vertical="center" wrapText="1" indent="1"/>
    </xf>
    <xf numFmtId="164" fontId="23" fillId="9" borderId="4" xfId="3" applyNumberFormat="1" applyFont="1" applyFill="1" applyBorder="1" applyAlignment="1">
      <alignment horizontal="center" vertical="center"/>
    </xf>
    <xf numFmtId="0" fontId="26" fillId="11" borderId="4" xfId="7" applyNumberFormat="1" applyFont="1" applyFill="1" applyBorder="1" applyAlignment="1">
      <alignment horizontal="center" vertical="center" wrapText="1"/>
    </xf>
    <xf numFmtId="164" fontId="7" fillId="0" borderId="4" xfId="0" applyNumberFormat="1" applyFont="1" applyBorder="1" applyAlignment="1">
      <alignment horizontal="center" vertical="center"/>
    </xf>
    <xf numFmtId="164" fontId="24" fillId="10" borderId="4" xfId="7" applyNumberFormat="1" applyFont="1" applyFill="1" applyBorder="1" applyAlignment="1">
      <alignment horizontal="center" vertical="center" wrapText="1"/>
    </xf>
    <xf numFmtId="0" fontId="26" fillId="11" borderId="4" xfId="7" applyNumberFormat="1" applyFont="1" applyFill="1" applyBorder="1" applyAlignment="1">
      <alignment horizontal="left" vertical="center" wrapText="1" indent="1"/>
    </xf>
    <xf numFmtId="0" fontId="7" fillId="0" borderId="6" xfId="0" applyFont="1" applyBorder="1" applyAlignment="1">
      <alignment horizontal="left" vertical="center" indent="1"/>
    </xf>
    <xf numFmtId="0" fontId="7" fillId="0" borderId="7" xfId="0" applyFont="1" applyBorder="1" applyAlignment="1">
      <alignment horizontal="left" vertical="center" indent="1"/>
    </xf>
    <xf numFmtId="0" fontId="7" fillId="0" borderId="8" xfId="0" applyFont="1" applyBorder="1" applyAlignment="1">
      <alignment horizontal="left" vertical="center" indent="1"/>
    </xf>
    <xf numFmtId="166" fontId="25" fillId="9" borderId="6" xfId="7" applyFont="1" applyFill="1" applyBorder="1" applyAlignment="1">
      <alignment horizontal="center" vertical="center"/>
    </xf>
    <xf numFmtId="166" fontId="25" fillId="9" borderId="7" xfId="7" applyFont="1" applyFill="1" applyBorder="1" applyAlignment="1">
      <alignment horizontal="center" vertical="center"/>
    </xf>
    <xf numFmtId="166" fontId="25" fillId="9" borderId="8" xfId="7" applyFont="1" applyFill="1" applyBorder="1" applyAlignment="1">
      <alignment horizontal="center" vertical="center"/>
    </xf>
    <xf numFmtId="164" fontId="23" fillId="8" borderId="4" xfId="2" applyNumberFormat="1" applyFont="1" applyFill="1" applyBorder="1" applyAlignment="1">
      <alignment horizontal="center" vertical="center"/>
    </xf>
    <xf numFmtId="0" fontId="14" fillId="22" borderId="4" xfId="4" applyFont="1" applyFill="1" applyBorder="1" applyAlignment="1">
      <alignment horizontal="center" vertical="center"/>
    </xf>
    <xf numFmtId="0" fontId="26" fillId="9" borderId="6" xfId="0" applyFont="1" applyFill="1" applyBorder="1" applyAlignment="1">
      <alignment horizontal="right" vertical="center" wrapText="1" indent="1"/>
    </xf>
    <xf numFmtId="0" fontId="26" fillId="9" borderId="7" xfId="0" applyFont="1" applyFill="1" applyBorder="1" applyAlignment="1">
      <alignment horizontal="right" vertical="center" wrapText="1" indent="1"/>
    </xf>
    <xf numFmtId="0" fontId="26" fillId="9" borderId="8" xfId="0" applyFont="1" applyFill="1" applyBorder="1" applyAlignment="1">
      <alignment horizontal="right" vertical="center" wrapText="1" indent="1"/>
    </xf>
    <xf numFmtId="164" fontId="15" fillId="27" borderId="10" xfId="0" applyNumberFormat="1" applyFont="1" applyFill="1" applyBorder="1" applyAlignment="1">
      <alignment horizontal="center" vertical="center"/>
    </xf>
    <xf numFmtId="164" fontId="15" fillId="27" borderId="5" xfId="0" applyNumberFormat="1" applyFont="1" applyFill="1" applyBorder="1" applyAlignment="1">
      <alignment horizontal="center" vertical="center"/>
    </xf>
    <xf numFmtId="164" fontId="15" fillId="27" borderId="11" xfId="0" applyNumberFormat="1" applyFont="1" applyFill="1" applyBorder="1" applyAlignment="1">
      <alignment horizontal="center" vertical="center"/>
    </xf>
    <xf numFmtId="164" fontId="15" fillId="27" borderId="13" xfId="0" applyNumberFormat="1" applyFont="1" applyFill="1" applyBorder="1" applyAlignment="1">
      <alignment horizontal="center" vertical="center"/>
    </xf>
    <xf numFmtId="164" fontId="15" fillId="27" borderId="15" xfId="0" applyNumberFormat="1" applyFont="1" applyFill="1" applyBorder="1" applyAlignment="1">
      <alignment horizontal="center" vertical="center"/>
    </xf>
    <xf numFmtId="164" fontId="15" fillId="27" borderId="2" xfId="0" applyNumberFormat="1" applyFont="1" applyFill="1" applyBorder="1" applyAlignment="1">
      <alignment horizontal="center" vertical="center"/>
    </xf>
    <xf numFmtId="164" fontId="23" fillId="9" borderId="9" xfId="3" applyNumberFormat="1" applyFont="1" applyFill="1" applyBorder="1" applyAlignment="1">
      <alignment horizontal="center" vertical="center"/>
    </xf>
    <xf numFmtId="0" fontId="14" fillId="22" borderId="9" xfId="4" applyFont="1" applyFill="1" applyBorder="1" applyAlignment="1">
      <alignment horizontal="center" vertical="center"/>
    </xf>
    <xf numFmtId="164" fontId="23" fillId="8" borderId="9" xfId="2" applyNumberFormat="1" applyFont="1" applyFill="1" applyBorder="1" applyAlignment="1">
      <alignment horizontal="center" vertical="center"/>
    </xf>
    <xf numFmtId="164" fontId="23" fillId="9" borderId="10" xfId="3" applyNumberFormat="1" applyFont="1" applyFill="1" applyBorder="1" applyAlignment="1">
      <alignment horizontal="center" vertical="center"/>
    </xf>
    <xf numFmtId="164" fontId="23" fillId="9" borderId="5" xfId="3" applyNumberFormat="1" applyFont="1" applyFill="1" applyBorder="1" applyAlignment="1">
      <alignment horizontal="center" vertical="center"/>
    </xf>
    <xf numFmtId="164" fontId="23" fillId="9" borderId="11" xfId="3" applyNumberFormat="1" applyFont="1" applyFill="1" applyBorder="1" applyAlignment="1">
      <alignment horizontal="center" vertical="center"/>
    </xf>
    <xf numFmtId="0" fontId="26" fillId="9" borderId="4" xfId="0" applyFont="1" applyFill="1" applyBorder="1" applyAlignment="1">
      <alignment horizontal="right" vertical="center" wrapText="1" indent="1"/>
    </xf>
    <xf numFmtId="167" fontId="10" fillId="21" borderId="4" xfId="5" applyNumberFormat="1" applyFont="1" applyFill="1" applyBorder="1" applyAlignment="1">
      <alignment horizontal="left" vertical="center" wrapText="1" indent="1"/>
    </xf>
    <xf numFmtId="0" fontId="15" fillId="27" borderId="6" xfId="7" applyNumberFormat="1" applyFont="1" applyFill="1" applyBorder="1" applyAlignment="1">
      <alignment horizontal="center" vertical="center" wrapText="1"/>
    </xf>
    <xf numFmtId="0" fontId="15" fillId="27" borderId="7" xfId="7" applyNumberFormat="1" applyFont="1" applyFill="1" applyBorder="1" applyAlignment="1">
      <alignment horizontal="center" vertical="center" wrapText="1"/>
    </xf>
    <xf numFmtId="0" fontId="15" fillId="27" borderId="8" xfId="7" applyNumberFormat="1" applyFont="1" applyFill="1" applyBorder="1" applyAlignment="1">
      <alignment horizontal="center" vertical="center" wrapText="1"/>
    </xf>
    <xf numFmtId="164" fontId="23" fillId="9" borderId="19" xfId="3" applyNumberFormat="1" applyFont="1" applyFill="1" applyBorder="1" applyAlignment="1">
      <alignment horizontal="center" vertical="center"/>
    </xf>
    <xf numFmtId="165" fontId="10" fillId="0" borderId="10" xfId="0" applyNumberFormat="1" applyFont="1" applyBorder="1" applyAlignment="1">
      <alignment horizontal="center" vertical="center"/>
    </xf>
    <xf numFmtId="165" fontId="10" fillId="0" borderId="11" xfId="0" applyNumberFormat="1" applyFont="1" applyBorder="1" applyAlignment="1">
      <alignment horizontal="center" vertical="center"/>
    </xf>
    <xf numFmtId="165" fontId="10" fillId="0" borderId="13" xfId="0" applyNumberFormat="1" applyFont="1" applyBorder="1" applyAlignment="1">
      <alignment horizontal="center" vertical="center"/>
    </xf>
    <xf numFmtId="165" fontId="10" fillId="0" borderId="2" xfId="0" applyNumberFormat="1" applyFont="1" applyBorder="1" applyAlignment="1">
      <alignment horizontal="center" vertical="center"/>
    </xf>
    <xf numFmtId="164" fontId="23" fillId="8" borderId="19" xfId="2" applyNumberFormat="1" applyFont="1" applyFill="1" applyBorder="1" applyAlignment="1">
      <alignment horizontal="center" vertical="center"/>
    </xf>
    <xf numFmtId="0" fontId="14" fillId="22" borderId="19" xfId="4" applyFont="1" applyFill="1" applyBorder="1" applyAlignment="1">
      <alignment horizontal="center" vertical="center"/>
    </xf>
    <xf numFmtId="0" fontId="10" fillId="0" borderId="4" xfId="0" applyFont="1" applyBorder="1" applyAlignment="1">
      <alignment horizontal="center"/>
    </xf>
    <xf numFmtId="14" fontId="10" fillId="21" borderId="4" xfId="5" applyNumberFormat="1" applyFont="1" applyFill="1" applyBorder="1" applyAlignment="1">
      <alignment horizontal="left" vertical="center" wrapText="1" indent="1"/>
    </xf>
    <xf numFmtId="164" fontId="10" fillId="0" borderId="4" xfId="0" applyNumberFormat="1" applyFont="1" applyBorder="1" applyAlignment="1">
      <alignment horizontal="center"/>
    </xf>
    <xf numFmtId="164" fontId="29" fillId="9" borderId="4" xfId="0" applyNumberFormat="1" applyFont="1" applyFill="1" applyBorder="1" applyAlignment="1">
      <alignment horizontal="center"/>
    </xf>
    <xf numFmtId="0" fontId="10" fillId="0" borderId="6" xfId="0" applyFont="1" applyBorder="1" applyAlignment="1">
      <alignment horizontal="center"/>
    </xf>
    <xf numFmtId="0" fontId="10" fillId="0" borderId="8" xfId="0" applyFont="1" applyBorder="1" applyAlignment="1">
      <alignment horizontal="center"/>
    </xf>
    <xf numFmtId="0" fontId="26" fillId="9" borderId="4" xfId="0" applyFont="1" applyFill="1" applyBorder="1" applyAlignment="1">
      <alignment horizontal="left" vertical="center" wrapText="1" indent="1"/>
    </xf>
    <xf numFmtId="166" fontId="25" fillId="9" borderId="4" xfId="7" applyFont="1" applyFill="1" applyBorder="1" applyAlignment="1">
      <alignment horizontal="center" vertical="center"/>
    </xf>
    <xf numFmtId="0" fontId="27" fillId="9" borderId="12" xfId="0" applyFont="1" applyFill="1" applyBorder="1" applyAlignment="1">
      <alignment horizontal="center"/>
    </xf>
    <xf numFmtId="0" fontId="27" fillId="9" borderId="0" xfId="0" applyFont="1" applyFill="1" applyAlignment="1">
      <alignment horizontal="center"/>
    </xf>
  </cellXfs>
  <cellStyles count="10">
    <cellStyle name="40% - Accent1" xfId="2" builtinId="31"/>
    <cellStyle name="40% - Accent4" xfId="3" builtinId="43"/>
    <cellStyle name="40% - Accent5" xfId="4" builtinId="47"/>
    <cellStyle name="Check Cell" xfId="6" builtinId="23"/>
    <cellStyle name="Hyperlink" xfId="8" builtinId="8"/>
    <cellStyle name="Neutral" xfId="5" builtinId="28"/>
    <cellStyle name="Normal" xfId="0" builtinId="0"/>
    <cellStyle name="Normal 2" xfId="1" xr:uid="{00000000-0005-0000-0000-00002F000000}"/>
    <cellStyle name="Normal 3" xfId="9" xr:uid="{F3510F08-61F7-4E49-A5E9-504CDA17F97A}"/>
    <cellStyle name="Normal 5" xfId="7" xr:uid="{C774EE03-2856-421E-BAA2-07AE216B9A36}"/>
  </cellStyles>
  <dxfs count="268">
    <dxf>
      <font>
        <b val="0"/>
        <i/>
        <color theme="0" tint="-0.499984740745262"/>
      </font>
    </dxf>
    <dxf>
      <font>
        <b/>
        <i/>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border>
    </dxf>
    <dxf>
      <font>
        <b/>
        <i/>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border>
    </dxf>
    <dxf>
      <font>
        <b/>
        <i/>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border>
    </dxf>
    <dxf>
      <font>
        <b val="0"/>
        <i/>
        <color theme="0" tint="-0.499984740745262"/>
      </font>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val="0"/>
        <i/>
        <color theme="0" tint="-0.499984740745262"/>
      </font>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val="0"/>
        <i/>
        <color theme="0" tint="-0.499984740745262"/>
      </font>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i/>
      </font>
      <fill>
        <patternFill>
          <bgColor theme="0"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ont>
        <b val="0"/>
        <i/>
        <color theme="0" tint="-0.499984740745262"/>
      </font>
    </dxf>
    <dxf>
      <font>
        <color rgb="FF9C0006"/>
      </font>
      <fill>
        <patternFill>
          <bgColor rgb="FFFFC7CE"/>
        </patternFill>
      </fill>
    </dxf>
    <dxf>
      <fill>
        <patternFill patternType="lightDown">
          <fgColor theme="6"/>
          <bgColor auto="1"/>
        </patternFill>
      </fill>
    </dxf>
    <dxf>
      <font>
        <b/>
        <i/>
        <strike val="0"/>
        <color theme="5" tint="-0.499984740745262"/>
      </font>
      <fill>
        <patternFill patternType="lightDown">
          <fgColor theme="5" tint="0.79998168889431442"/>
          <bgColor auto="1"/>
        </patternFill>
      </fill>
    </dxf>
    <dxf>
      <fill>
        <patternFill patternType="lightDown">
          <fgColor theme="6"/>
          <bgColor auto="1"/>
        </patternFill>
      </fill>
    </dxf>
    <dxf>
      <font>
        <b/>
        <i/>
        <strike val="0"/>
        <color theme="5" tint="-0.499984740745262"/>
      </font>
      <fill>
        <patternFill patternType="lightDown">
          <fgColor theme="5" tint="0.79998168889431442"/>
          <bgColor auto="1"/>
        </patternFill>
      </fill>
    </dxf>
    <dxf>
      <font>
        <b/>
        <i/>
        <strike val="0"/>
        <color theme="5" tint="-0.499984740745262"/>
      </font>
      <fill>
        <patternFill patternType="lightDown">
          <fgColor theme="5" tint="0.79998168889431442"/>
          <bgColor auto="1"/>
        </patternFill>
      </fill>
    </dxf>
    <dxf>
      <fill>
        <patternFill patternType="lightDown">
          <fgColor theme="6"/>
          <bgColor auto="1"/>
        </patternFill>
      </fill>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theme="0" tint="-0.499984740745262"/>
        <name val="Arial"/>
        <family val="2"/>
        <scheme val="none"/>
      </font>
      <numFmt numFmtId="0" formatCode="General"/>
      <alignment horizontal="left" vertical="top" textRotation="0" wrapText="0" indent="1" justifyLastLine="0" shrinkToFit="0" readingOrder="0"/>
      <border diagonalUp="0" diagonalDown="0">
        <left style="thin">
          <color theme="0" tint="-0.34998626667073579"/>
        </left>
        <right/>
        <top style="thin">
          <color theme="7"/>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style="thin">
          <color theme="7"/>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style="thin">
          <color theme="7"/>
        </right>
        <top style="thin">
          <color theme="7"/>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style="thin">
          <color theme="7"/>
        </top>
        <bottom style="thin">
          <color theme="0" tint="-0.34998626667073579"/>
        </bottom>
        <vertical/>
        <horizontal/>
      </border>
    </dxf>
    <dxf>
      <border outline="0">
        <top style="thin">
          <color theme="7"/>
        </top>
      </border>
    </dxf>
    <dxf>
      <border outline="0">
        <top style="thin">
          <color theme="7"/>
        </top>
        <bottom style="thin">
          <color theme="0" tint="-0.34998626667073579"/>
        </bottom>
      </border>
    </dxf>
    <dxf>
      <border outline="0">
        <bottom style="thin">
          <color theme="0" tint="-0.34998626667073579"/>
        </bottom>
      </border>
    </dxf>
    <dxf>
      <font>
        <b/>
        <i val="0"/>
        <strike val="0"/>
        <condense val="0"/>
        <extend val="0"/>
        <outline val="0"/>
        <shadow val="0"/>
        <u val="none"/>
        <vertAlign val="baseline"/>
        <sz val="10"/>
        <color theme="0" tint="-0.499984740745262"/>
        <name val="Arial"/>
        <family val="2"/>
        <scheme val="none"/>
      </font>
      <fill>
        <patternFill patternType="solid">
          <fgColor theme="7"/>
          <bgColor theme="7"/>
        </patternFill>
      </fill>
      <alignment horizontal="left" vertical="top" textRotation="0" wrapText="1" indent="0" justifyLastLine="0" shrinkToFit="0" readingOrder="0"/>
    </dxf>
    <dxf>
      <font>
        <b val="0"/>
        <i val="0"/>
        <strike val="0"/>
        <condense val="0"/>
        <extend val="0"/>
        <outline val="0"/>
        <shadow val="0"/>
        <u val="none"/>
        <vertAlign val="baseline"/>
        <sz val="10"/>
        <color theme="0" tint="-0.499984740745262"/>
        <name val="Arial"/>
        <family val="2"/>
        <scheme val="none"/>
      </font>
      <numFmt numFmtId="0" formatCode="General"/>
      <alignment horizontal="left" vertical="top" textRotation="0" wrapText="0" indent="1" justifyLastLine="0" shrinkToFit="0" readingOrder="0"/>
      <border diagonalUp="0" diagonalDown="0">
        <left style="thin">
          <color theme="0" tint="-0.34998626667073579"/>
        </left>
        <right/>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bottom style="thin">
          <color theme="0" tint="-0.34998626667073579"/>
        </bottom>
        <vertical/>
        <horizontal/>
      </border>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dxf>
    <dxf>
      <border outline="0">
        <bottom style="thin">
          <color theme="0" tint="-0.34998626667073579"/>
        </bottom>
      </border>
    </dxf>
    <dxf>
      <font>
        <b val="0"/>
        <i val="0"/>
        <strike val="0"/>
        <condense val="0"/>
        <extend val="0"/>
        <outline val="0"/>
        <shadow val="0"/>
        <u val="none"/>
        <vertAlign val="baseline"/>
        <sz val="10"/>
        <color theme="0" tint="-0.499984740745262"/>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style="thin">
          <color theme="0" tint="-0.34998626667073579"/>
        </top>
        <bottom style="thin">
          <color theme="0" tint="-0.34998626667073579"/>
        </bottom>
        <vertical/>
        <horizontal/>
      </border>
    </dxf>
    <dxf>
      <font>
        <strike val="0"/>
        <outline val="0"/>
        <shadow val="0"/>
        <u val="none"/>
        <vertAlign val="baseline"/>
        <sz val="10"/>
        <color theme="0" tint="-0.499984740745262"/>
        <name val="Arial"/>
        <family val="2"/>
        <scheme val="none"/>
      </font>
      <alignment horizontal="left" vertical="top" textRotation="0" wrapText="0" indent="1" justifyLastLine="0" shrinkToFit="0" readingOrder="0"/>
      <border diagonalUp="0" diagonalDown="0">
        <left style="thin">
          <color theme="0" tint="-0.34998626667073579"/>
        </left>
        <right/>
        <top style="thin">
          <color theme="0" tint="-0.34998626667073579"/>
        </top>
        <bottom style="thin">
          <color theme="0" tint="-0.34998626667073579"/>
        </bottom>
        <vertical/>
        <horizontal/>
      </border>
    </dxf>
    <dxf>
      <font>
        <strike val="0"/>
        <outline val="0"/>
        <shadow val="0"/>
        <u val="none"/>
        <vertAlign val="baseline"/>
        <sz val="10"/>
        <color theme="0" tint="-0.499984740745262"/>
        <name val="Arial"/>
        <family val="2"/>
        <scheme val="none"/>
      </font>
      <numFmt numFmtId="167" formatCode="dd/mm/yyyy\ hh:mm"/>
      <alignment horizontal="left" vertical="top" textRotation="0" wrapText="0" indent="1"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border>
        <top style="thin">
          <color theme="0" tint="-0.34998626667073579"/>
        </top>
      </border>
    </dxf>
    <dxf>
      <border diagonalUp="0" diagonalDown="0">
        <left style="thin">
          <color theme="0" tint="-0.34998626667073579"/>
        </left>
        <right style="thin">
          <color theme="0" tint="-0.34998626667073579"/>
        </right>
        <top style="thin">
          <color theme="0" tint="-0.34998626667073579"/>
        </top>
        <bottom style="thin">
          <color theme="0" tint="-0.34998626667073579"/>
        </bottom>
      </border>
    </dxf>
    <dxf>
      <font>
        <strike val="0"/>
        <outline val="0"/>
        <shadow val="0"/>
        <u val="none"/>
        <vertAlign val="baseline"/>
        <sz val="10"/>
        <color theme="0" tint="-0.499984740745262"/>
        <name val="Arial"/>
        <family val="2"/>
        <scheme val="none"/>
      </font>
      <alignment horizontal="left" vertical="top" textRotation="0" wrapText="0" indent="1" justifyLastLine="0" shrinkToFit="0" readingOrder="0"/>
    </dxf>
    <dxf>
      <border>
        <bottom style="thin">
          <color theme="0" tint="-0.34998626667073579"/>
        </bottom>
      </border>
    </dxf>
    <dxf>
      <font>
        <strike val="0"/>
        <outline val="0"/>
        <shadow val="0"/>
        <u val="none"/>
        <vertAlign val="baseline"/>
        <sz val="10"/>
        <color theme="0" tint="-0.499984740745262"/>
        <name val="Arial"/>
        <family val="2"/>
        <scheme val="none"/>
      </font>
      <alignment horizontal="left" vertical="top" textRotation="0" wrapText="1" indent="0" justifyLastLine="0" shrinkToFit="0" readingOrder="0"/>
      <border diagonalUp="0" diagonalDown="0">
        <left style="thin">
          <color theme="0" tint="-0.34998626667073579"/>
        </left>
        <right style="thin">
          <color theme="0" tint="-0.34998626667073579"/>
        </right>
        <top/>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6" formatCode="0.0000"/>
      <alignment horizontal="center" vertical="bottom" textRotation="0" wrapText="0" indent="0" justifyLastLine="0" shrinkToFit="0" readingOrder="0"/>
    </dxf>
    <dxf>
      <font>
        <b val="0"/>
        <i/>
        <strike val="0"/>
        <condense val="0"/>
        <extend val="0"/>
        <outline val="0"/>
        <shadow val="0"/>
        <u val="none"/>
        <vertAlign val="baseline"/>
        <sz val="10"/>
        <color theme="0" tint="-0.34998626667073579"/>
        <name val="Calibri"/>
        <family val="2"/>
        <scheme val="minor"/>
      </font>
      <numFmt numFmtId="164" formatCode="0.000"/>
      <alignment horizontal="left" vertical="center" textRotation="0" wrapText="0" indent="1" justifyLastLine="0" shrinkToFit="0" readingOrder="0"/>
      <border diagonalUp="0" diagonalDown="0">
        <left style="thin">
          <color rgb="FFA6A6A6"/>
        </left>
        <right/>
        <top style="thin">
          <color rgb="FFA6A6A6"/>
        </top>
        <bottom style="thin">
          <color rgb="FFA6A6A6"/>
        </bottom>
        <vertical/>
        <horizontal/>
      </border>
    </dxf>
    <dxf>
      <font>
        <b val="0"/>
        <i/>
        <strike val="0"/>
        <condense val="0"/>
        <extend val="0"/>
        <outline val="0"/>
        <shadow val="0"/>
        <u val="none"/>
        <vertAlign val="baseline"/>
        <sz val="10"/>
        <color theme="0" tint="-0.34998626667073579"/>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strike val="0"/>
        <condense val="0"/>
        <extend val="0"/>
        <outline val="0"/>
        <shadow val="0"/>
        <u val="none"/>
        <vertAlign val="baseline"/>
        <sz val="10"/>
        <color theme="0" tint="-0.34998626667073579"/>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8" formatCode="0.0"/>
      <fill>
        <patternFill patternType="none">
          <fgColor indexed="64"/>
          <bgColor indexed="65"/>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8" formatCode="0.0"/>
      <fill>
        <patternFill patternType="none">
          <fgColor indexed="64"/>
          <bgColor indexed="65"/>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8" formatCode="0.0"/>
      <fill>
        <patternFill patternType="none">
          <fgColor indexed="64"/>
          <bgColor indexed="65"/>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8" formatCode="0.0"/>
      <fill>
        <patternFill patternType="none">
          <fgColor indexed="64"/>
          <bgColor indexed="65"/>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27" formatCode="d/mm/yyyy\ h:mm"/>
      <fill>
        <patternFill patternType="solid">
          <fgColor indexed="64"/>
          <bgColor theme="0" tint="-4.9989318521683403E-2"/>
        </patternFill>
      </fill>
      <alignment horizontal="left" vertical="center" textRotation="0" wrapText="0" indent="1" justifyLastLine="0" shrinkToFit="0" readingOrder="0"/>
      <border diagonalUp="0" diagonalDown="0">
        <left/>
        <right style="thin">
          <color rgb="FFA6A6A6"/>
        </right>
        <top style="thin">
          <color rgb="FFA6A6A6"/>
        </top>
        <bottom style="thin">
          <color rgb="FFA6A6A6"/>
        </bottom>
        <vertical/>
        <horizontal/>
      </border>
    </dxf>
    <dxf>
      <border>
        <top style="thin">
          <color rgb="FFA6A6A6"/>
        </top>
      </border>
    </dxf>
    <dxf>
      <border diagonalUp="0" diagonalDown="0">
        <left style="thin">
          <color rgb="FFA6A6A6"/>
        </left>
        <right style="thin">
          <color rgb="FFA6A6A6"/>
        </right>
        <top style="thin">
          <color rgb="FFA6A6A6"/>
        </top>
        <bottom style="thin">
          <color rgb="FFA6A6A6"/>
        </bottom>
      </border>
    </dxf>
    <dxf>
      <border>
        <bottom style="thin">
          <color rgb="FFA6A6A6"/>
        </bottom>
      </border>
    </dxf>
    <dxf>
      <border diagonalUp="0" diagonalDown="0">
        <left style="thin">
          <color rgb="FFA6A6A6"/>
        </left>
        <right style="thin">
          <color rgb="FFA6A6A6"/>
        </right>
        <top/>
        <bottom/>
        <vertical style="thin">
          <color rgb="FFA6A6A6"/>
        </vertical>
        <horizontal style="thin">
          <color rgb="FFA6A6A6"/>
        </horizontal>
      </border>
    </dxf>
    <dxf>
      <font>
        <i/>
        <strike val="0"/>
        <outline val="0"/>
        <shadow val="0"/>
        <u val="none"/>
        <vertAlign val="baseline"/>
        <sz val="10"/>
        <color theme="0" tint="-0.34998626667073579"/>
        <name val="Calibri"/>
        <family val="2"/>
        <scheme val="minor"/>
      </font>
      <numFmt numFmtId="164" formatCode="0.000"/>
      <alignment horizontal="left" vertical="center" textRotation="0" wrapText="0" indent="1" justifyLastLine="0" shrinkToFit="0" readingOrder="0"/>
      <border diagonalUp="0" diagonalDown="0">
        <left style="thin">
          <color rgb="FFA6A6A6"/>
        </left>
        <right/>
        <top style="thin">
          <color rgb="FFA6A6A6"/>
        </top>
        <bottom style="thin">
          <color rgb="FFA6A6A6"/>
        </bottom>
        <vertical/>
        <horizontal/>
      </border>
    </dxf>
    <dxf>
      <font>
        <i/>
        <strike val="0"/>
        <outline val="0"/>
        <shadow val="0"/>
        <u val="none"/>
        <vertAlign val="baseline"/>
        <color theme="0" tint="-0.34998626667073579"/>
        <name val="Calibri"/>
        <family val="2"/>
        <scheme val="minor"/>
      </font>
      <numFmt numFmtId="164" formatCode="0.000"/>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27" formatCode="d/mm/yyyy\ h:mm"/>
      <fill>
        <patternFill patternType="solid">
          <fgColor indexed="64"/>
          <bgColor theme="0" tint="-4.9989318521683403E-2"/>
        </patternFill>
      </fill>
      <alignment horizontal="left" vertical="center" textRotation="0" wrapText="0" indent="1" justifyLastLine="0" shrinkToFit="0" readingOrder="0"/>
      <border diagonalUp="0" diagonalDown="0">
        <left/>
        <right style="thin">
          <color rgb="FFA6A6A6"/>
        </right>
        <top style="thin">
          <color rgb="FFA6A6A6"/>
        </top>
        <bottom style="thin">
          <color rgb="FFA6A6A6"/>
        </bottom>
        <vertical/>
        <horizontal/>
      </border>
    </dxf>
    <dxf>
      <border>
        <top style="thin">
          <color rgb="FFA6A6A6"/>
        </top>
      </border>
    </dxf>
    <dxf>
      <border diagonalUp="0" diagonalDown="0">
        <left style="thin">
          <color rgb="FFA6A6A6"/>
        </left>
        <right style="thin">
          <color rgb="FFA6A6A6"/>
        </right>
        <top style="thin">
          <color rgb="FFA6A6A6"/>
        </top>
        <bottom style="thin">
          <color rgb="FFA6A6A6"/>
        </bottom>
      </border>
    </dxf>
    <dxf>
      <font>
        <strike val="0"/>
        <outline val="0"/>
        <shadow val="0"/>
        <u val="none"/>
        <vertAlign val="baseline"/>
        <name val="Calibri"/>
        <family val="2"/>
        <scheme val="none"/>
      </font>
      <alignment horizontal="left" vertical="center" textRotation="0" wrapText="0" indent="1" justifyLastLine="0" shrinkToFit="0" readingOrder="0"/>
    </dxf>
    <dxf>
      <border>
        <bottom style="thin">
          <color rgb="FFA6A6A6"/>
        </bottom>
      </border>
    </dxf>
    <dxf>
      <font>
        <strike val="0"/>
        <outline val="0"/>
        <shadow val="0"/>
        <u val="none"/>
        <vertAlign val="baseline"/>
        <name val="Calibri"/>
        <family val="2"/>
        <scheme val="minor"/>
      </font>
      <fill>
        <patternFill patternType="solid">
          <fgColor indexed="64"/>
          <bgColor theme="1" tint="0.249977111117893"/>
        </patternFill>
      </fill>
      <alignment horizontal="left" vertical="center" textRotation="0" wrapText="1" indent="1" justifyLastLine="0" shrinkToFit="0" readingOrder="0"/>
      <border diagonalUp="0" diagonalDown="0">
        <left style="thin">
          <color rgb="FFA6A6A6"/>
        </left>
        <right style="thin">
          <color rgb="FFA6A6A6"/>
        </right>
        <top/>
        <bottom/>
        <vertical style="thin">
          <color rgb="FFA6A6A6"/>
        </vertical>
        <horizontal style="thin">
          <color rgb="FFA6A6A6"/>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8" formatCode="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name val="Calibri"/>
        <family val="2"/>
        <scheme val="minor"/>
      </font>
      <numFmt numFmtId="19" formatCode="d/mm/yyyy"/>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27" formatCode="d/mm/yyyy\ h:mm"/>
      <fill>
        <patternFill patternType="solid">
          <fgColor indexed="64"/>
          <bgColor theme="0" tint="-4.9989318521683403E-2"/>
        </patternFill>
      </fill>
      <alignment horizontal="left" vertical="center" textRotation="0" wrapText="0" indent="1" justifyLastLine="0" shrinkToFit="0" readingOrder="0"/>
      <border diagonalUp="0" diagonalDown="0">
        <left/>
        <right style="thin">
          <color rgb="FFA6A6A6"/>
        </right>
        <top style="thin">
          <color rgb="FFA6A6A6"/>
        </top>
        <bottom style="thin">
          <color rgb="FFA6A6A6"/>
        </bottom>
        <vertical/>
        <horizontal/>
      </border>
    </dxf>
    <dxf>
      <border>
        <top style="thin">
          <color rgb="FFA6A6A6"/>
        </top>
      </border>
    </dxf>
    <dxf>
      <border diagonalUp="0" diagonalDown="0">
        <left style="thin">
          <color rgb="FFA6A6A6"/>
        </left>
        <right style="thin">
          <color rgb="FFA6A6A6"/>
        </right>
        <top style="thin">
          <color rgb="FFA6A6A6"/>
        </top>
        <bottom style="thin">
          <color rgb="FFA6A6A6"/>
        </bottom>
      </border>
    </dxf>
    <dxf>
      <font>
        <strike val="0"/>
        <outline val="0"/>
        <shadow val="0"/>
        <u val="none"/>
        <vertAlign val="baseline"/>
        <name val="Calibri"/>
        <family val="2"/>
        <scheme val="none"/>
      </font>
      <alignment horizontal="left" vertical="center" textRotation="0" wrapText="0" indent="1" justifyLastLine="0" shrinkToFit="0" readingOrder="0"/>
    </dxf>
    <dxf>
      <border>
        <bottom style="thin">
          <color rgb="FFA6A6A6"/>
        </bottom>
      </border>
    </dxf>
    <dxf>
      <font>
        <strike val="0"/>
        <outline val="0"/>
        <shadow val="0"/>
        <u val="none"/>
        <vertAlign val="baseline"/>
        <name val="Calibri"/>
        <family val="2"/>
        <scheme val="minor"/>
      </font>
      <fill>
        <patternFill patternType="solid">
          <fgColor indexed="64"/>
          <bgColor theme="1" tint="0.249977111117893"/>
        </patternFill>
      </fill>
      <alignment horizontal="left" vertical="center" textRotation="0" wrapText="1" indent="1" justifyLastLine="0" shrinkToFit="0" readingOrder="0"/>
      <border diagonalUp="0" diagonalDown="0">
        <left style="thin">
          <color rgb="FFA6A6A6"/>
        </left>
        <right style="thin">
          <color rgb="FFA6A6A6"/>
        </right>
        <top/>
        <bottom/>
        <vertical style="thin">
          <color rgb="FFA6A6A6"/>
        </vertical>
        <horizontal style="thin">
          <color rgb="FFA6A6A6"/>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alignment horizontal="center" vertical="center" textRotation="0" wrapText="0" indent="0"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rgb="FFA6A6A6"/>
        </left>
        <right style="thin">
          <color rgb="FFA6A6A6"/>
        </right>
        <top style="thin">
          <color rgb="FFA6A6A6"/>
        </top>
        <bottom style="thin">
          <color rgb="FFA6A6A6"/>
        </bottom>
        <vertical/>
        <horizontal/>
      </border>
    </dxf>
    <dxf>
      <font>
        <strike val="0"/>
        <outline val="0"/>
        <shadow val="0"/>
        <u val="none"/>
        <vertAlign val="baseline"/>
        <name val="Calibri"/>
        <family val="2"/>
        <scheme val="minor"/>
      </font>
      <numFmt numFmtId="27" formatCode="d/mm/yyyy\ h:mm"/>
      <fill>
        <patternFill patternType="solid">
          <fgColor indexed="64"/>
          <bgColor theme="0" tint="-4.9989318521683403E-2"/>
        </patternFill>
      </fill>
      <alignment horizontal="left" vertical="center" textRotation="0" wrapText="0" indent="1" justifyLastLine="0" shrinkToFit="0" readingOrder="0"/>
      <border diagonalUp="0" diagonalDown="0">
        <left/>
        <right style="thin">
          <color rgb="FFA6A6A6"/>
        </right>
        <top style="thin">
          <color rgb="FFA6A6A6"/>
        </top>
        <bottom style="thin">
          <color rgb="FFA6A6A6"/>
        </bottom>
        <vertical/>
        <horizontal/>
      </border>
    </dxf>
    <dxf>
      <border>
        <top style="thin">
          <color rgb="FFA6A6A6"/>
        </top>
      </border>
    </dxf>
    <dxf>
      <border diagonalUp="0" diagonalDown="0">
        <left style="thin">
          <color rgb="FFA6A6A6"/>
        </left>
        <right style="thin">
          <color rgb="FFA6A6A6"/>
        </right>
        <top style="thin">
          <color rgb="FFA6A6A6"/>
        </top>
        <bottom style="thin">
          <color rgb="FFA6A6A6"/>
        </bottom>
      </border>
    </dxf>
    <dxf>
      <font>
        <strike val="0"/>
        <outline val="0"/>
        <shadow val="0"/>
        <u val="none"/>
        <vertAlign val="baseline"/>
        <name val="Calibri"/>
        <family val="2"/>
        <scheme val="none"/>
      </font>
      <alignment horizontal="left" vertical="center" textRotation="0" wrapText="0" indent="1" justifyLastLine="0" shrinkToFit="0" readingOrder="0"/>
    </dxf>
    <dxf>
      <border>
        <bottom style="thin">
          <color rgb="FFA6A6A6"/>
        </bottom>
      </border>
    </dxf>
    <dxf>
      <font>
        <strike val="0"/>
        <outline val="0"/>
        <shadow val="0"/>
        <u val="none"/>
        <vertAlign val="baseline"/>
        <name val="Calibri"/>
        <family val="2"/>
        <scheme val="minor"/>
      </font>
      <fill>
        <patternFill patternType="solid">
          <fgColor indexed="64"/>
          <bgColor theme="1" tint="0.249977111117893"/>
        </patternFill>
      </fill>
      <alignment horizontal="left" vertical="center" textRotation="0" wrapText="1" indent="1" justifyLastLine="0" shrinkToFit="0" readingOrder="0"/>
      <border diagonalUp="0" diagonalDown="0">
        <left style="thin">
          <color rgb="FFA6A6A6"/>
        </left>
        <right style="thin">
          <color rgb="FFA6A6A6"/>
        </right>
        <top/>
        <bottom/>
        <vertical style="thin">
          <color rgb="FFA6A6A6"/>
        </vertical>
        <horizontal style="thin">
          <color rgb="FFA6A6A6"/>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theme="0" tint="-0.34998626667073579"/>
        </left>
        <right/>
        <top style="thin">
          <color theme="0" tint="-0.34998626667073579"/>
        </top>
        <bottom style="thin">
          <color theme="0" tint="-0.34998626667073579"/>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i val="0"/>
        <strike val="0"/>
        <outline val="0"/>
        <shadow val="0"/>
        <u val="none"/>
        <vertAlign val="baseline"/>
        <sz val="10"/>
        <color auto="1"/>
        <name val="Calibri"/>
        <family val="2"/>
        <scheme val="minor"/>
      </font>
      <numFmt numFmtId="164" formatCode="0.000"/>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strike val="0"/>
        <outline val="0"/>
        <shadow val="0"/>
        <u val="none"/>
        <vertAlign val="baseline"/>
        <name val="Calibri"/>
        <family val="2"/>
        <scheme val="minor"/>
      </font>
      <numFmt numFmtId="164" formatCode="0.000"/>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strike val="0"/>
        <outline val="0"/>
        <shadow val="0"/>
        <u val="none"/>
        <vertAlign val="baseline"/>
        <name val="Calibri"/>
        <family val="2"/>
        <scheme val="minor"/>
      </font>
      <numFmt numFmtId="0" formatCode="Genera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6" formatCode="0.0000"/>
      <fill>
        <patternFill patternType="solid">
          <fgColor indexed="64"/>
          <bgColor theme="6" tint="0.7999816888943144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9" tint="0.7999816888943144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strike val="0"/>
        <outline val="0"/>
        <shadow val="0"/>
        <u val="none"/>
        <vertAlign val="baseline"/>
        <name val="Calibri"/>
        <family val="2"/>
        <scheme val="minor"/>
      </font>
      <numFmt numFmtId="0" formatCode="General"/>
      <fill>
        <patternFill patternType="solid">
          <fgColor indexed="64"/>
          <bgColor theme="0" tint="-4.9989318521683403E-2"/>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strike val="0"/>
        <outline val="0"/>
        <shadow val="0"/>
        <u val="none"/>
        <vertAlign val="baseline"/>
        <name val="Calibri"/>
        <family val="2"/>
        <scheme val="minor"/>
      </font>
      <numFmt numFmtId="27" formatCode="d/mm/yyyy\ h:mm"/>
      <fill>
        <patternFill patternType="solid">
          <fgColor indexed="64"/>
          <bgColor theme="0" tint="-4.9989318521683403E-2"/>
        </patternFill>
      </fill>
      <alignment horizontal="left" vertical="center" textRotation="0" wrapText="0" indent="1"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border>
        <top style="thin">
          <color theme="0" tint="-0.34998626667073579"/>
        </top>
      </border>
    </dxf>
    <dxf>
      <border diagonalUp="0" diagonalDown="0">
        <left style="thin">
          <color theme="0" tint="-0.34998626667073579"/>
        </left>
        <right style="thin">
          <color theme="0" tint="-0.34998626667073579"/>
        </right>
        <top style="thin">
          <color theme="0" tint="-0.34998626667073579"/>
        </top>
        <bottom style="thin">
          <color theme="0" tint="-0.34998626667073579"/>
        </bottom>
      </border>
    </dxf>
    <dxf>
      <font>
        <strike val="0"/>
        <outline val="0"/>
        <shadow val="0"/>
        <u val="none"/>
        <vertAlign val="baseline"/>
        <name val="Calibri"/>
        <family val="2"/>
        <scheme val="minor"/>
      </font>
      <alignment horizontal="left" vertical="center" textRotation="0" wrapText="0" indent="1" justifyLastLine="0" shrinkToFit="0" readingOrder="0"/>
    </dxf>
    <dxf>
      <border>
        <bottom style="thin">
          <color theme="0" tint="-0.34998626667073579"/>
        </bottom>
      </border>
    </dxf>
    <dxf>
      <font>
        <strike val="0"/>
        <outline val="0"/>
        <shadow val="0"/>
        <u val="none"/>
        <vertAlign val="baseline"/>
        <name val="Calibri"/>
        <family val="2"/>
        <scheme val="minor"/>
      </font>
      <fill>
        <patternFill patternType="solid">
          <fgColor indexed="64"/>
          <bgColor theme="1" tint="0.249977111117893"/>
        </patternFill>
      </fill>
      <alignment horizontal="left" vertical="center" textRotation="0" wrapText="1" indent="1" justifyLastLine="0" shrinkToFit="0" readingOrder="0"/>
      <border diagonalUp="0" diagonalDown="0">
        <left style="thin">
          <color theme="0" tint="-0.34998626667073579"/>
        </left>
        <right style="thin">
          <color theme="0" tint="-0.34998626667073579"/>
        </right>
        <top/>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 formatCode="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4" formatCode="0.00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8" formatCode="0.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6" formatCode="0.000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6" formatCode="0.000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6" formatCode="0.000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6" formatCode="0.000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strike val="0"/>
        <condense val="0"/>
        <extend val="0"/>
        <outline val="0"/>
        <shadow val="0"/>
        <u val="none"/>
        <vertAlign val="baseline"/>
        <sz val="10"/>
        <color theme="0" tint="-0.34998626667073579"/>
        <name val="Calibri"/>
        <family val="2"/>
        <scheme val="minor"/>
      </font>
      <numFmt numFmtId="166" formatCode="0.0000"/>
      <fill>
        <patternFill patternType="solid">
          <fgColor indexed="64"/>
          <bgColor theme="0"/>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numFmt numFmtId="0" formatCode="Genera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0" formatCode="Genera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0" formatCode="Genera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0" formatCode="Genera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0" formatCode="Genera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0" formatCode="Genera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166" formatCode="0.0000"/>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166" formatCode="0.0000"/>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166" formatCode="0.0000"/>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0" formatCode="Genera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numFmt numFmtId="27" formatCode="d/mm/yyyy\ h:mm"/>
      <alignment horizontal="left" vertical="center" textRotation="0" wrapText="0" indent="1" justifyLastLine="0" shrinkToFit="0" readingOrder="0"/>
      <border diagonalUp="0" diagonalDown="0">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protection locked="0" hidden="0"/>
    </dxf>
    <dxf>
      <border>
        <top style="thin">
          <color theme="0" tint="-0.34998626667073579"/>
        </top>
      </border>
    </dxf>
    <dxf>
      <border diagonalUp="0" diagonalDown="0">
        <left style="thin">
          <color theme="0" tint="-0.34998626667073579"/>
        </left>
        <right style="thin">
          <color theme="0" tint="-0.34998626667073579"/>
        </right>
        <top style="thin">
          <color theme="0" tint="-0.34998626667073579"/>
        </top>
        <bottom style="thin">
          <color theme="0" tint="-0.34998626667073579"/>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alignment horizontal="left" vertical="center" textRotation="0" wrapText="0" indent="1" justifyLastLine="0" shrinkToFit="0" readingOrder="0"/>
    </dxf>
    <dxf>
      <border>
        <bottom style="thin">
          <color theme="0" tint="-0.34998626667073579"/>
        </bottom>
      </border>
    </dxf>
    <dxf>
      <font>
        <b val="0"/>
        <i val="0"/>
        <strike val="0"/>
        <condense val="0"/>
        <extend val="0"/>
        <outline val="0"/>
        <shadow val="0"/>
        <u val="none"/>
        <vertAlign val="baseline"/>
        <sz val="10"/>
        <color theme="0"/>
        <name val="Calibri"/>
        <family val="2"/>
        <scheme val="minor"/>
      </font>
      <numFmt numFmtId="166" formatCode="0.0000"/>
      <fill>
        <patternFill patternType="solid">
          <fgColor indexed="64"/>
          <bgColor theme="2" tint="-0.749992370372631"/>
        </patternFill>
      </fill>
      <alignment horizontal="left" vertical="center" textRotation="0" wrapText="1" indent="1" justifyLastLine="0" shrinkToFit="0" readingOrder="0"/>
      <border diagonalUp="0" diagonalDown="0">
        <left style="thin">
          <color theme="0" tint="-0.34998626667073579"/>
        </left>
        <right style="thin">
          <color theme="0" tint="-0.34998626667073579"/>
        </right>
        <top/>
        <bottom/>
        <vertical style="thin">
          <color theme="0" tint="-0.34998626667073579"/>
        </vertical>
        <horizontal style="thin">
          <color theme="0" tint="-0.34998626667073579"/>
        </horizontal>
      </border>
    </dxf>
    <dxf>
      <font>
        <b val="0"/>
        <i val="0"/>
        <strike val="0"/>
        <condense val="0"/>
        <extend val="0"/>
        <outline val="0"/>
        <shadow val="0"/>
        <u val="none"/>
        <vertAlign val="baseline"/>
        <sz val="10"/>
        <color auto="1"/>
        <name val="Calibri"/>
        <family val="2"/>
        <scheme val="none"/>
      </font>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none"/>
      </font>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none"/>
      </font>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none"/>
      </font>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none"/>
      </font>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minor"/>
      </font>
      <numFmt numFmtId="164" formatCode="0.000"/>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minor"/>
      </font>
      <numFmt numFmtId="164" formatCode="0.000"/>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minor"/>
      </font>
      <numFmt numFmtId="164" formatCode="0.000"/>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minor"/>
      </font>
      <numFmt numFmtId="164" formatCode="0.000"/>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minor"/>
      </font>
      <numFmt numFmtId="168" formatCode="0.0"/>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minor"/>
      </font>
      <numFmt numFmtId="168" formatCode="0.0"/>
      <alignment horizontal="left" vertical="top" textRotation="0" wrapText="1" indent="1"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0"/>
        <color auto="1"/>
        <name val="Calibri"/>
        <family val="2"/>
        <scheme val="minor"/>
      </font>
      <numFmt numFmtId="27" formatCode="d/mm/yyyy\ h:mm"/>
      <alignment horizontal="left" vertical="top" textRotation="0" wrapText="0" indent="1" justifyLastLine="0" shrinkToFit="0" readingOrder="0"/>
      <border diagonalUp="0" diagonalDown="0" outline="0">
        <left style="thin">
          <color theme="0" tint="-0.34998626667073579"/>
        </left>
        <right style="thin">
          <color theme="0" tint="-0.34998626667073579"/>
        </right>
        <top/>
        <bottom/>
      </border>
      <protection locked="0" hidden="0"/>
    </dxf>
    <dxf>
      <border>
        <top style="thin">
          <color theme="0" tint="-0.34998626667073579"/>
        </top>
      </border>
    </dxf>
    <dxf>
      <border diagonalUp="0" diagonalDown="0">
        <left style="thin">
          <color rgb="FFA6A6A6"/>
        </left>
        <right style="thin">
          <color rgb="FFA6A6A6"/>
        </right>
        <top style="thin">
          <color rgb="FFA6A6A6"/>
        </top>
        <bottom style="thin">
          <color rgb="FFA6A6A6"/>
        </bottom>
      </border>
    </dxf>
    <dxf>
      <font>
        <b val="0"/>
        <i val="0"/>
        <strike val="0"/>
        <condense val="0"/>
        <extend val="0"/>
        <outline val="0"/>
        <shadow val="0"/>
        <u val="none"/>
        <vertAlign val="baseline"/>
        <sz val="10"/>
        <color auto="1"/>
        <name val="Calibri"/>
        <family val="2"/>
        <scheme val="none"/>
      </font>
      <alignment horizontal="left" vertical="top" textRotation="0" wrapText="1" indent="1" justifyLastLine="0" shrinkToFit="0" readingOrder="0"/>
    </dxf>
    <dxf>
      <border>
        <bottom style="thin">
          <color theme="0" tint="-0.34998626667073579"/>
        </bottom>
      </border>
    </dxf>
    <dxf>
      <font>
        <b/>
        <i/>
        <strike val="0"/>
        <condense val="0"/>
        <extend val="0"/>
        <outline val="0"/>
        <shadow val="0"/>
        <u val="none"/>
        <vertAlign val="baseline"/>
        <sz val="10"/>
        <color auto="1"/>
        <name val="Calibri"/>
        <family val="2"/>
        <scheme val="minor"/>
      </font>
      <fill>
        <patternFill patternType="solid">
          <fgColor indexed="64"/>
          <bgColor theme="6" tint="0.79998168889431442"/>
        </patternFill>
      </fill>
      <alignment horizontal="left" vertical="center" textRotation="0" wrapText="1" indent="1" justifyLastLine="0" shrinkToFit="0" readingOrder="0"/>
      <border diagonalUp="0" diagonalDown="0">
        <left style="thin">
          <color theme="0" tint="-0.34998626667073579"/>
        </left>
        <right style="thin">
          <color theme="0" tint="-0.34998626667073579"/>
        </right>
        <top/>
        <bottom/>
        <vertical style="thin">
          <color theme="0" tint="-0.34998626667073579"/>
        </vertical>
        <horizontal style="thin">
          <color theme="0" tint="-0.34998626667073579"/>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1" indent="1" justifyLastLine="0" shrinkToFit="0" readingOrder="0"/>
      <border diagonalUp="0" diagonalDown="0">
        <left style="thin">
          <color theme="0" tint="-0.34998626667073579"/>
        </left>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1" indent="1"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1" indent="1"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1" indent="1"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dxf>
    <dxf>
      <font>
        <b val="0"/>
        <i val="0"/>
        <strike val="0"/>
        <condense val="0"/>
        <extend val="0"/>
        <outline val="0"/>
        <shadow val="0"/>
        <u val="none"/>
        <vertAlign val="baseline"/>
        <sz val="10"/>
        <color auto="1"/>
        <name val="Calibri"/>
        <family val="2"/>
        <scheme val="minor"/>
      </font>
      <numFmt numFmtId="168" formatCode="0.0"/>
      <alignment horizontal="left" vertical="center" textRotation="0" wrapText="1" indent="1"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dxf>
    <dxf>
      <font>
        <b val="0"/>
        <i val="0"/>
        <strike val="0"/>
        <condense val="0"/>
        <extend val="0"/>
        <outline val="0"/>
        <shadow val="0"/>
        <u val="none"/>
        <vertAlign val="baseline"/>
        <sz val="10"/>
        <color auto="1"/>
        <name val="Calibri"/>
        <family val="2"/>
        <scheme val="minor"/>
      </font>
      <numFmt numFmtId="168" formatCode="0.0"/>
      <alignment horizontal="left" vertical="center" textRotation="0" wrapText="1" indent="1"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dxf>
    <dxf>
      <font>
        <b val="0"/>
        <i val="0"/>
        <strike val="0"/>
        <condense val="0"/>
        <extend val="0"/>
        <outline val="0"/>
        <shadow val="0"/>
        <u val="none"/>
        <vertAlign val="baseline"/>
        <sz val="10"/>
        <color auto="1"/>
        <name val="Calibri"/>
        <family val="2"/>
        <scheme val="minor"/>
      </font>
      <numFmt numFmtId="168" formatCode="0.0"/>
      <alignment horizontal="left" vertical="center" textRotation="0" wrapText="1" indent="1"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dxf>
    <dxf>
      <font>
        <b val="0"/>
        <i val="0"/>
        <strike val="0"/>
        <condense val="0"/>
        <extend val="0"/>
        <outline val="0"/>
        <shadow val="0"/>
        <u val="none"/>
        <vertAlign val="baseline"/>
        <sz val="10"/>
        <color auto="1"/>
        <name val="Calibri"/>
        <family val="2"/>
        <scheme val="minor"/>
      </font>
      <numFmt numFmtId="164" formatCode="0.000"/>
      <alignment horizontal="left" vertical="center" textRotation="0" wrapText="1" indent="1" justifyLastLine="0" shrinkToFit="0" readingOrder="0"/>
      <border diagonalUp="0" diagonalDown="0" outline="0">
        <left/>
        <right style="thin">
          <color theme="0" tint="-0.34998626667073579"/>
        </right>
        <top style="thin">
          <color theme="0" tint="-0.34998626667073579"/>
        </top>
        <bottom style="thin">
          <color theme="0" tint="-0.34998626667073579"/>
        </bottom>
      </border>
    </dxf>
    <dxf>
      <border outline="0">
        <top style="thin">
          <color theme="0" tint="-0.34998626667073579"/>
        </top>
      </border>
    </dxf>
    <dxf>
      <border outline="0">
        <left style="thin">
          <color theme="0" tint="-0.34998626667073579"/>
        </left>
        <right style="thin">
          <color theme="0" tint="-0.34998626667073579"/>
        </right>
        <top style="thin">
          <color theme="0" tint="-0.34998626667073579"/>
        </top>
        <bottom style="thin">
          <color theme="0" tint="-0.34998626667073579"/>
        </bottom>
      </border>
    </dxf>
    <dxf>
      <font>
        <b val="0"/>
        <i val="0"/>
        <strike val="0"/>
        <condense val="0"/>
        <extend val="0"/>
        <outline val="0"/>
        <shadow val="0"/>
        <u val="none"/>
        <vertAlign val="baseline"/>
        <sz val="10"/>
        <color auto="1"/>
        <name val="Calibri"/>
        <family val="2"/>
        <scheme val="minor"/>
      </font>
      <alignment horizontal="left" vertical="center" textRotation="0" wrapText="1" indent="1" justifyLastLine="0" shrinkToFit="0" readingOrder="0"/>
    </dxf>
    <dxf>
      <border outline="0">
        <bottom style="thin">
          <color theme="0" tint="-0.34998626667073579"/>
        </bottom>
      </border>
    </dxf>
    <dxf>
      <font>
        <b/>
        <i/>
        <strike val="0"/>
        <condense val="0"/>
        <extend val="0"/>
        <outline val="0"/>
        <shadow val="0"/>
        <u val="none"/>
        <vertAlign val="baseline"/>
        <sz val="10"/>
        <color auto="1"/>
        <name val="Calibri"/>
        <family val="2"/>
        <scheme val="minor"/>
      </font>
      <fill>
        <patternFill patternType="solid">
          <fgColor indexed="64"/>
          <bgColor theme="5" tint="0.79998168889431442"/>
        </patternFill>
      </fill>
      <alignment horizontal="left" vertical="center" textRotation="0" wrapText="1" indent="1" justifyLastLine="0" shrinkToFit="0" readingOrder="0"/>
      <border diagonalUp="0" diagonalDown="0" outline="0">
        <left style="thin">
          <color theme="0" tint="-0.34998626667073579"/>
        </left>
        <right style="thin">
          <color theme="0" tint="-0.34998626667073579"/>
        </right>
        <top/>
        <bottom/>
      </border>
    </dxf>
    <dxf>
      <font>
        <strike val="0"/>
        <outline val="0"/>
        <shadow val="0"/>
        <u val="none"/>
        <vertAlign val="baseline"/>
        <name val="Calibri"/>
        <family val="2"/>
        <scheme val="minor"/>
      </font>
      <alignment horizontal="left" vertical="bottom" textRotation="0" wrapText="0" relativeIndent="1" justifyLastLine="0" shrinkToFit="0" readingOrder="0"/>
      <border diagonalUp="0" diagonalDown="0">
        <left style="thin">
          <color theme="0" tint="-0.34998626667073579"/>
        </left>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val="0"/>
        <strike val="0"/>
        <condense val="0"/>
        <extend val="0"/>
        <outline val="0"/>
        <shadow val="0"/>
        <u val="none"/>
        <vertAlign val="baseline"/>
        <sz val="10"/>
        <color auto="1"/>
        <name val="Calibri"/>
        <family val="2"/>
        <scheme val="minor"/>
      </font>
      <alignment horizontal="left" vertical="bottom" textRotation="0" wrapText="0" indent="1" justifyLastLine="0" shrinkToFit="0" readingOrder="0"/>
      <border diagonalUp="0" diagonalDown="0">
        <left style="thin">
          <color theme="0" tint="-0.34998626667073579"/>
        </left>
        <right/>
        <top style="thin">
          <color theme="0" tint="-0.34998626667073579"/>
        </top>
        <bottom style="thin">
          <color theme="0" tint="-0.34998626667073579"/>
        </bottom>
        <vertical/>
        <horizontal/>
      </border>
    </dxf>
    <dxf>
      <font>
        <b val="0"/>
        <i val="0"/>
        <strike val="0"/>
        <condense val="0"/>
        <extend val="0"/>
        <outline val="0"/>
        <shadow val="0"/>
        <u val="none"/>
        <vertAlign val="baseline"/>
        <sz val="10"/>
        <color auto="1"/>
        <name val="Calibri"/>
        <family val="2"/>
        <scheme val="minor"/>
      </font>
      <alignment horizontal="left" vertical="bottom"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val="0"/>
        <strike val="0"/>
        <condense val="0"/>
        <extend val="0"/>
        <outline val="0"/>
        <shadow val="0"/>
        <u val="none"/>
        <vertAlign val="baseline"/>
        <sz val="10"/>
        <color auto="1"/>
        <name val="Calibri"/>
        <family val="2"/>
        <scheme val="minor"/>
      </font>
      <numFmt numFmtId="164" formatCode="0.000"/>
      <fill>
        <patternFill patternType="none">
          <fgColor indexed="64"/>
          <bgColor indexed="65"/>
        </patternFill>
      </fill>
      <alignment horizontal="left" vertical="bottom" textRotation="0" wrapText="0" relative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strike val="0"/>
        <outline val="0"/>
        <shadow val="0"/>
        <u val="none"/>
        <vertAlign val="baseline"/>
        <name val="Calibri"/>
        <family val="2"/>
        <scheme val="minor"/>
      </font>
      <numFmt numFmtId="166" formatCode="0.0000"/>
      <alignment horizontal="left" vertical="bottom"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strike val="0"/>
        <outline val="0"/>
        <shadow val="0"/>
        <u val="none"/>
        <vertAlign val="baseline"/>
        <name val="Calibri"/>
        <family val="2"/>
        <scheme val="minor"/>
      </font>
      <numFmt numFmtId="166" formatCode="0.0000"/>
      <alignment horizontal="left" vertical="bottom" textRotation="0" wrapText="0" relative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strike val="0"/>
        <outline val="0"/>
        <shadow val="0"/>
        <u val="none"/>
        <vertAlign val="baseline"/>
        <name val="Calibri"/>
        <family val="2"/>
        <scheme val="minor"/>
      </font>
      <numFmt numFmtId="164" formatCode="0.000"/>
      <alignment horizontal="left" vertical="bottom" textRotation="0" wrapText="0" relative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strike val="0"/>
        <outline val="0"/>
        <shadow val="0"/>
        <u val="none"/>
        <vertAlign val="baseline"/>
        <name val="Calibri"/>
        <family val="2"/>
        <scheme val="minor"/>
      </font>
      <numFmt numFmtId="164" formatCode="0.000"/>
      <alignment horizontal="left" vertical="bottom" textRotation="0" wrapText="0" relative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b val="0"/>
        <i val="0"/>
        <strike val="0"/>
        <condense val="0"/>
        <extend val="0"/>
        <outline val="0"/>
        <shadow val="0"/>
        <u val="none"/>
        <vertAlign val="baseline"/>
        <sz val="10"/>
        <color auto="1"/>
        <name val="Calibri"/>
        <family val="2"/>
        <scheme val="minor"/>
      </font>
      <alignment horizontal="left" vertical="bottom" textRotation="0" wrapText="0" indent="1"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font>
        <strike val="0"/>
        <outline val="0"/>
        <shadow val="0"/>
        <u val="none"/>
        <vertAlign val="baseline"/>
        <name val="Calibri"/>
        <family val="2"/>
        <scheme val="minor"/>
      </font>
      <alignment horizontal="left" vertical="bottom" textRotation="0" wrapText="0" relativeIndent="1" justifyLastLine="0" shrinkToFit="0" readingOrder="0"/>
      <border diagonalUp="0" diagonalDown="0">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top style="thin">
          <color theme="0" tint="-0.34998626667073579"/>
        </top>
      </border>
    </dxf>
    <dxf>
      <border diagonalUp="0" diagonalDown="0">
        <left style="thin">
          <color theme="0" tint="-0.34998626667073579"/>
        </left>
        <right style="thin">
          <color theme="0" tint="-0.34998626667073579"/>
        </right>
        <top style="thin">
          <color theme="0" tint="-0.34998626667073579"/>
        </top>
        <bottom style="thin">
          <color theme="0" tint="-0.34998626667073579"/>
        </bottom>
      </border>
    </dxf>
    <dxf>
      <font>
        <strike val="0"/>
        <outline val="0"/>
        <shadow val="0"/>
        <u val="none"/>
        <vertAlign val="baseline"/>
        <name val="Calibri"/>
        <family val="2"/>
        <scheme val="minor"/>
      </font>
      <alignment horizontal="left" vertical="bottom" textRotation="0" wrapText="0" relativeIndent="1" justifyLastLine="0" shrinkToFit="0" readingOrder="0"/>
    </dxf>
    <dxf>
      <border>
        <bottom style="thin">
          <color theme="0" tint="-0.34998626667073579"/>
        </bottom>
      </border>
    </dxf>
    <dxf>
      <font>
        <b val="0"/>
        <i/>
        <strike val="0"/>
        <condense val="0"/>
        <extend val="0"/>
        <outline val="0"/>
        <shadow val="0"/>
        <u val="none"/>
        <vertAlign val="baseline"/>
        <sz val="10"/>
        <color theme="1" tint="0.14999847407452621"/>
        <name val="Calibri"/>
        <family val="2"/>
        <scheme val="minor"/>
      </font>
      <fill>
        <patternFill patternType="solid">
          <fgColor theme="7"/>
          <bgColor theme="9" tint="0.79998168889431442"/>
        </patternFill>
      </fill>
      <alignment horizontal="left" vertical="center" textRotation="0" wrapText="1" indent="1" justifyLastLine="0" shrinkToFit="0" readingOrder="0"/>
      <border diagonalUp="0" diagonalDown="0">
        <left style="thin">
          <color theme="0" tint="-0.34998626667073579"/>
        </left>
        <right style="thin">
          <color theme="0" tint="-0.34998626667073579"/>
        </right>
        <top/>
        <bottom/>
        <vertical style="thin">
          <color theme="0" tint="-0.34998626667073579"/>
        </vertical>
        <horizontal style="thin">
          <color theme="0" tint="-0.34998626667073579"/>
        </horizontal>
      </border>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sz val="9"/>
        <color theme="1"/>
      </font>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276FDBC4-431F-4F68-B91B-54C026641F76}">
      <tableStyleElement type="wholeTable" dxfId="267"/>
      <tableStyleElement type="headerRow" dxfId="266"/>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7575"/>
      <color rgb="FF99FF99"/>
      <color rgb="FFA2F6B0"/>
      <color rgb="FFFF818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haredStrings" Target="sharedStrings.xml"/><Relationship Id="rId39" Type="http://schemas.openxmlformats.org/officeDocument/2006/relationships/customXml" Target="../customXml/item3.xml"/><Relationship Id="rId21" Type="http://schemas.microsoft.com/office/2007/relationships/slicerCache" Target="slicerCaches/slicerCache6.xml"/><Relationship Id="rId34" Type="http://schemas.microsoft.com/office/2017/06/relationships/rdSupportingPropertyBag" Target="richData/rdsupportingpropertybag.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microsoft.com/office/2017/06/relationships/rdRichValue" Target="richData/rdrichvalue.xml"/><Relationship Id="rId41" Type="http://schemas.microsoft.com/office/2023/09/relationships/Python" Target="pyth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microsoft.com/office/2017/06/relationships/richStyles" Target="richData/richStyles.xml"/><Relationship Id="rId37" Type="http://schemas.openxmlformats.org/officeDocument/2006/relationships/customXml" Target="../customXml/item1.xml"/><Relationship Id="rId40"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theme" Target="theme/theme1.xml"/><Relationship Id="rId28" Type="http://schemas.microsoft.com/office/2022/10/relationships/richValueRel" Target="richData/richValueRel.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31"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eetMetadata" Target="metadata.xml"/><Relationship Id="rId30" Type="http://schemas.microsoft.com/office/2017/06/relationships/rdRichValueStructure" Target="richData/rdrichvaluestructure.xml"/><Relationship Id="rId35" Type="http://schemas.microsoft.com/office/2017/06/relationships/rdRichValueTypes" Target="richData/rdRichValueTyp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33" Type="http://schemas.microsoft.com/office/2017/06/relationships/rdSupportingPropertyBagStructure" Target="richData/rdsupportingpropertybagstructure.xml"/><Relationship Id="rId38"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Monitoring Point Location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Setup!$K$11</c:f>
              <c:strCache>
                <c:ptCount val="1"/>
                <c:pt idx="0">
                  <c:v>Baseline Values:</c:v>
                </c:pt>
              </c:strCache>
            </c:strRef>
          </c:tx>
          <c:spPr>
            <a:ln w="19050" cap="rnd">
              <a:noFill/>
              <a:round/>
            </a:ln>
            <a:effectLst/>
          </c:spPr>
          <c:marker>
            <c:symbol val="circle"/>
            <c:size val="6"/>
            <c:spPr>
              <a:solidFill>
                <a:schemeClr val="tx1">
                  <a:lumMod val="85000"/>
                  <a:lumOff val="15000"/>
                </a:schemeClr>
              </a:solidFill>
              <a:ln w="0">
                <a:solidFill>
                  <a:schemeClr val="tx1">
                    <a:lumMod val="75000"/>
                    <a:lumOff val="25000"/>
                  </a:schemeClr>
                </a:solidFill>
              </a:ln>
              <a:effectLst/>
            </c:spPr>
          </c:marker>
          <c:dLbls>
            <c:dLbl>
              <c:idx val="0"/>
              <c:tx>
                <c:rich>
                  <a:bodyPr/>
                  <a:lstStyle/>
                  <a:p>
                    <a:fld id="{66AA2DAF-7E05-4711-8BD5-223B07CF0C4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D9B-429A-89CC-6519230064D1}"/>
                </c:ext>
              </c:extLst>
            </c:dLbl>
            <c:dLbl>
              <c:idx val="1"/>
              <c:tx>
                <c:rich>
                  <a:bodyPr/>
                  <a:lstStyle/>
                  <a:p>
                    <a:fld id="{BF474276-4ADD-453D-A57E-721462EB473D}"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D9B-429A-89CC-6519230064D1}"/>
                </c:ext>
              </c:extLst>
            </c:dLbl>
            <c:dLbl>
              <c:idx val="2"/>
              <c:tx>
                <c:rich>
                  <a:bodyPr/>
                  <a:lstStyle/>
                  <a:p>
                    <a:fld id="{FA44FA43-577D-488B-8F3A-C23669E7479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D9B-429A-89CC-6519230064D1}"/>
                </c:ext>
              </c:extLst>
            </c:dLbl>
            <c:dLbl>
              <c:idx val="3"/>
              <c:tx>
                <c:rich>
                  <a:bodyPr/>
                  <a:lstStyle/>
                  <a:p>
                    <a:fld id="{3D61C656-0463-44EF-98AA-7F75C88700C5}"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D9B-429A-89CC-6519230064D1}"/>
                </c:ext>
              </c:extLst>
            </c:dLbl>
            <c:dLbl>
              <c:idx val="4"/>
              <c:tx>
                <c:rich>
                  <a:bodyPr/>
                  <a:lstStyle/>
                  <a:p>
                    <a:fld id="{DDAC0AED-B46F-4D5E-AE9E-CA54FF692E9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D9B-429A-89CC-6519230064D1}"/>
                </c:ext>
              </c:extLst>
            </c:dLbl>
            <c:dLbl>
              <c:idx val="5"/>
              <c:tx>
                <c:rich>
                  <a:bodyPr/>
                  <a:lstStyle/>
                  <a:p>
                    <a:fld id="{40FFE97D-FFA5-4219-9644-E48982663FB8}"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D9B-429A-89CC-6519230064D1}"/>
                </c:ext>
              </c:extLst>
            </c:dLbl>
            <c:dLbl>
              <c:idx val="6"/>
              <c:tx>
                <c:rich>
                  <a:bodyPr/>
                  <a:lstStyle/>
                  <a:p>
                    <a:fld id="{80683B64-5213-4F78-AB81-38DFBCBB7CB3}"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D9B-429A-89CC-6519230064D1}"/>
                </c:ext>
              </c:extLst>
            </c:dLbl>
            <c:dLbl>
              <c:idx val="7"/>
              <c:tx>
                <c:rich>
                  <a:bodyPr/>
                  <a:lstStyle/>
                  <a:p>
                    <a:fld id="{C25EFCB7-F46D-4325-A0C9-5ACF448CC23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D9B-429A-89CC-6519230064D1}"/>
                </c:ext>
              </c:extLst>
            </c:dLbl>
            <c:dLbl>
              <c:idx val="8"/>
              <c:tx>
                <c:rich>
                  <a:bodyPr/>
                  <a:lstStyle/>
                  <a:p>
                    <a:fld id="{2865D5DA-83CF-48F3-B19E-6421564092A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D9B-429A-89CC-6519230064D1}"/>
                </c:ext>
              </c:extLst>
            </c:dLbl>
            <c:dLbl>
              <c:idx val="9"/>
              <c:tx>
                <c:rich>
                  <a:bodyPr/>
                  <a:lstStyle/>
                  <a:p>
                    <a:fld id="{7F0B36F1-454F-471C-9592-34DFA51AF1F9}"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D9B-429A-89CC-6519230064D1}"/>
                </c:ext>
              </c:extLst>
            </c:dLbl>
            <c:dLbl>
              <c:idx val="10"/>
              <c:tx>
                <c:rich>
                  <a:bodyPr/>
                  <a:lstStyle/>
                  <a:p>
                    <a:fld id="{4AA3259A-1EEF-4251-B715-BFFE04BCF4E0}"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D9B-429A-89CC-6519230064D1}"/>
                </c:ext>
              </c:extLst>
            </c:dLbl>
            <c:dLbl>
              <c:idx val="11"/>
              <c:tx>
                <c:rich>
                  <a:bodyPr/>
                  <a:lstStyle/>
                  <a:p>
                    <a:fld id="{4AB2EDEC-200C-4E77-BD61-CEF900C3AA7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D9B-429A-89CC-6519230064D1}"/>
                </c:ext>
              </c:extLst>
            </c:dLbl>
            <c:dLbl>
              <c:idx val="12"/>
              <c:tx>
                <c:rich>
                  <a:bodyPr/>
                  <a:lstStyle/>
                  <a:p>
                    <a:fld id="{FA51BF1A-3C0C-460F-81F8-D92FF5C1775D}"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D9B-429A-89CC-6519230064D1}"/>
                </c:ext>
              </c:extLst>
            </c:dLbl>
            <c:dLbl>
              <c:idx val="13"/>
              <c:tx>
                <c:rich>
                  <a:bodyPr/>
                  <a:lstStyle/>
                  <a:p>
                    <a:fld id="{E2ED7633-8310-403C-8D6B-99FE1210652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D9B-429A-89CC-6519230064D1}"/>
                </c:ext>
              </c:extLst>
            </c:dLbl>
            <c:dLbl>
              <c:idx val="14"/>
              <c:tx>
                <c:rich>
                  <a:bodyPr/>
                  <a:lstStyle/>
                  <a:p>
                    <a:fld id="{30F0786E-43CA-40B4-9CB3-33467985EA16}"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D9B-429A-89CC-6519230064D1}"/>
                </c:ext>
              </c:extLst>
            </c:dLbl>
            <c:dLbl>
              <c:idx val="15"/>
              <c:tx>
                <c:rich>
                  <a:bodyPr/>
                  <a:lstStyle/>
                  <a:p>
                    <a:fld id="{E0139363-B722-4B85-AE5C-ED9698AA78A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D9B-429A-89CC-6519230064D1}"/>
                </c:ext>
              </c:extLst>
            </c:dLbl>
            <c:dLbl>
              <c:idx val="16"/>
              <c:tx>
                <c:rich>
                  <a:bodyPr/>
                  <a:lstStyle/>
                  <a:p>
                    <a:fld id="{A50A4429-63AF-43D9-B6F2-A43249CB9CA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D9B-429A-89CC-6519230064D1}"/>
                </c:ext>
              </c:extLst>
            </c:dLbl>
            <c:dLbl>
              <c:idx val="17"/>
              <c:tx>
                <c:rich>
                  <a:bodyPr/>
                  <a:lstStyle/>
                  <a:p>
                    <a:fld id="{79DB926A-2993-41F9-BB29-D6C23C092A8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D9B-429A-89CC-6519230064D1}"/>
                </c:ext>
              </c:extLst>
            </c:dLbl>
            <c:dLbl>
              <c:idx val="18"/>
              <c:tx>
                <c:rich>
                  <a:bodyPr/>
                  <a:lstStyle/>
                  <a:p>
                    <a:fld id="{82A80C55-5D45-484D-B995-49800CEA0C5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D9B-429A-89CC-6519230064D1}"/>
                </c:ext>
              </c:extLst>
            </c:dLbl>
            <c:dLbl>
              <c:idx val="19"/>
              <c:tx>
                <c:rich>
                  <a:bodyPr/>
                  <a:lstStyle/>
                  <a:p>
                    <a:fld id="{BB900F59-0090-4C3B-90A1-7306C095CDE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D9B-429A-89CC-6519230064D1}"/>
                </c:ext>
              </c:extLst>
            </c:dLbl>
            <c:dLbl>
              <c:idx val="20"/>
              <c:tx>
                <c:rich>
                  <a:bodyPr/>
                  <a:lstStyle/>
                  <a:p>
                    <a:fld id="{E2F9FDDF-0006-4932-9821-41CEEEBB492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D9B-429A-89CC-6519230064D1}"/>
                </c:ext>
              </c:extLst>
            </c:dLbl>
            <c:dLbl>
              <c:idx val="21"/>
              <c:tx>
                <c:rich>
                  <a:bodyPr/>
                  <a:lstStyle/>
                  <a:p>
                    <a:fld id="{6069B791-3888-4922-8AC4-FAE3E3F62636}"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D9B-429A-89CC-6519230064D1}"/>
                </c:ext>
              </c:extLst>
            </c:dLbl>
            <c:spPr>
              <a:solidFill>
                <a:schemeClr val="bg1">
                  <a:alpha val="5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Setup!$M$13:$M$34</c:f>
              <c:numCache>
                <c:formatCode>0.000</c:formatCode>
                <c:ptCount val="22"/>
                <c:pt idx="0">
                  <c:v>60034.959000000003</c:v>
                </c:pt>
                <c:pt idx="1">
                  <c:v>60035.34</c:v>
                </c:pt>
                <c:pt idx="2">
                  <c:v>60038.118000000002</c:v>
                </c:pt>
                <c:pt idx="3">
                  <c:v>60037.805</c:v>
                </c:pt>
                <c:pt idx="4">
                  <c:v>60040.968999999997</c:v>
                </c:pt>
                <c:pt idx="5">
                  <c:v>60040.607000000004</c:v>
                </c:pt>
                <c:pt idx="6">
                  <c:v>60043.758999999998</c:v>
                </c:pt>
                <c:pt idx="7">
                  <c:v>60043.440999999999</c:v>
                </c:pt>
                <c:pt idx="8">
                  <c:v>60046.25</c:v>
                </c:pt>
                <c:pt idx="9">
                  <c:v>60046.633000000002</c:v>
                </c:pt>
                <c:pt idx="10">
                  <c:v>60049.040999999997</c:v>
                </c:pt>
                <c:pt idx="11">
                  <c:v>60049.398999999998</c:v>
                </c:pt>
                <c:pt idx="12">
                  <c:v>60052.292999999998</c:v>
                </c:pt>
                <c:pt idx="13">
                  <c:v>60051.989000000001</c:v>
                </c:pt>
                <c:pt idx="14">
                  <c:v>60055.196000000004</c:v>
                </c:pt>
                <c:pt idx="15">
                  <c:v>60054.885999999999</c:v>
                </c:pt>
                <c:pt idx="16">
                  <c:v>60057.578999999998</c:v>
                </c:pt>
                <c:pt idx="17">
                  <c:v>60057.951999999997</c:v>
                </c:pt>
                <c:pt idx="18">
                  <c:v>60060.639999999999</c:v>
                </c:pt>
                <c:pt idx="19">
                  <c:v>60060.963000000003</c:v>
                </c:pt>
                <c:pt idx="20">
                  <c:v>60063.421999999999</c:v>
                </c:pt>
                <c:pt idx="21">
                  <c:v>60063.750999999997</c:v>
                </c:pt>
              </c:numCache>
            </c:numRef>
          </c:xVal>
          <c:yVal>
            <c:numRef>
              <c:f>Setup!$N$13:$N$34</c:f>
              <c:numCache>
                <c:formatCode>0.000</c:formatCode>
                <c:ptCount val="22"/>
                <c:pt idx="0">
                  <c:v>363844.47100000002</c:v>
                </c:pt>
                <c:pt idx="1">
                  <c:v>363845.739</c:v>
                </c:pt>
                <c:pt idx="2">
                  <c:v>363844.94500000001</c:v>
                </c:pt>
                <c:pt idx="3">
                  <c:v>363843.65700000001</c:v>
                </c:pt>
                <c:pt idx="4">
                  <c:v>363844.11800000002</c:v>
                </c:pt>
                <c:pt idx="5">
                  <c:v>363842.86100000003</c:v>
                </c:pt>
                <c:pt idx="6">
                  <c:v>363843.31400000001</c:v>
                </c:pt>
                <c:pt idx="7">
                  <c:v>363842.04000000004</c:v>
                </c:pt>
                <c:pt idx="8">
                  <c:v>363841.22600000002</c:v>
                </c:pt>
                <c:pt idx="9">
                  <c:v>363842.48499999999</c:v>
                </c:pt>
                <c:pt idx="10">
                  <c:v>363840.43299999996</c:v>
                </c:pt>
                <c:pt idx="11">
                  <c:v>363841.69799999997</c:v>
                </c:pt>
                <c:pt idx="12">
                  <c:v>363840.88500000001</c:v>
                </c:pt>
                <c:pt idx="13">
                  <c:v>363839.603</c:v>
                </c:pt>
                <c:pt idx="14">
                  <c:v>363840.09499999997</c:v>
                </c:pt>
                <c:pt idx="15">
                  <c:v>363838.80499999999</c:v>
                </c:pt>
                <c:pt idx="16">
                  <c:v>363838.098</c:v>
                </c:pt>
                <c:pt idx="17">
                  <c:v>363839.36199999996</c:v>
                </c:pt>
                <c:pt idx="18">
                  <c:v>363837.32199999999</c:v>
                </c:pt>
                <c:pt idx="19">
                  <c:v>363838.60100000002</c:v>
                </c:pt>
                <c:pt idx="20">
                  <c:v>363836.636</c:v>
                </c:pt>
                <c:pt idx="21">
                  <c:v>363837.91800000001</c:v>
                </c:pt>
              </c:numCache>
            </c:numRef>
          </c:yVal>
          <c:smooth val="0"/>
          <c:extLst>
            <c:ext xmlns:c15="http://schemas.microsoft.com/office/drawing/2012/chart" uri="{02D57815-91ED-43cb-92C2-25804820EDAC}">
              <c15:datalabelsRange>
                <c15:f>Setup!$K$13:$K$34</c15:f>
                <c15:dlblRangeCache>
                  <c:ptCount val="22"/>
                  <c:pt idx="0">
                    <c:v>250-RL-OP-11002</c:v>
                  </c:pt>
                  <c:pt idx="1">
                    <c:v>250-RL-OP-11001</c:v>
                  </c:pt>
                  <c:pt idx="2">
                    <c:v>250-RL-OP-11003</c:v>
                  </c:pt>
                  <c:pt idx="3">
                    <c:v>250-RL-OP-11004</c:v>
                  </c:pt>
                  <c:pt idx="4">
                    <c:v>250-RL-OP-11005</c:v>
                  </c:pt>
                  <c:pt idx="5">
                    <c:v>250-RL-OP-11006</c:v>
                  </c:pt>
                  <c:pt idx="6">
                    <c:v>250-RL-OP-11007</c:v>
                  </c:pt>
                  <c:pt idx="7">
                    <c:v>250-RL-OP-11008</c:v>
                  </c:pt>
                  <c:pt idx="8">
                    <c:v>250-RL-OP-11010</c:v>
                  </c:pt>
                  <c:pt idx="9">
                    <c:v>250-RL-OP-11009</c:v>
                  </c:pt>
                  <c:pt idx="10">
                    <c:v>250-RL-OP-11012</c:v>
                  </c:pt>
                  <c:pt idx="11">
                    <c:v>250-RL-OP-11011</c:v>
                  </c:pt>
                  <c:pt idx="12">
                    <c:v>250-RL-OP-11013</c:v>
                  </c:pt>
                  <c:pt idx="13">
                    <c:v>250-RL-OP-11014</c:v>
                  </c:pt>
                  <c:pt idx="14">
                    <c:v>250-RL-OP-11015</c:v>
                  </c:pt>
                  <c:pt idx="15">
                    <c:v>250-RL-OP-11016</c:v>
                  </c:pt>
                  <c:pt idx="16">
                    <c:v>250-RL-OP-11018</c:v>
                  </c:pt>
                  <c:pt idx="17">
                    <c:v>250-RL-OP-11017</c:v>
                  </c:pt>
                  <c:pt idx="18">
                    <c:v>250-RL-OP-11020</c:v>
                  </c:pt>
                  <c:pt idx="19">
                    <c:v>250-RL-OP-11019</c:v>
                  </c:pt>
                  <c:pt idx="20">
                    <c:v>250-RL-OP-11022</c:v>
                  </c:pt>
                  <c:pt idx="21">
                    <c:v>250-RL-OP-11021</c:v>
                  </c:pt>
                </c15:dlblRangeCache>
              </c15:datalabelsRange>
            </c:ext>
            <c:ext xmlns:c16="http://schemas.microsoft.com/office/drawing/2014/chart" uri="{C3380CC4-5D6E-409C-BE32-E72D297353CC}">
              <c16:uniqueId val="{00000000-7D9B-429A-89CC-6519230064D1}"/>
            </c:ext>
          </c:extLst>
        </c:ser>
        <c:dLbls>
          <c:showLegendKey val="0"/>
          <c:showVal val="0"/>
          <c:showCatName val="0"/>
          <c:showSerName val="0"/>
          <c:showPercent val="0"/>
          <c:showBubbleSize val="0"/>
        </c:dLbls>
        <c:axId val="515345247"/>
        <c:axId val="515342335"/>
      </c:scatterChart>
      <c:valAx>
        <c:axId val="51534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Easting [m]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42335"/>
        <c:crosses val="autoZero"/>
        <c:crossBetween val="midCat"/>
      </c:valAx>
      <c:valAx>
        <c:axId val="515342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Northing</a:t>
                </a:r>
                <a:r>
                  <a:rPr lang="en-AU" baseline="0"/>
                  <a:t> [m]</a:t>
                </a:r>
                <a:endParaRPr lang="en-AU"/>
              </a:p>
            </c:rich>
          </c:tx>
          <c:layout>
            <c:manualLayout>
              <c:xMode val="edge"/>
              <c:yMode val="edge"/>
              <c:x val="9.3841633561167152E-3"/>
              <c:y val="0.445031443527676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45247"/>
        <c:crosses val="autoZero"/>
        <c:crossBetween val="midCat"/>
        <c:majorUnit val="10"/>
        <c:minorUnit val="2"/>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8025697767692124E-2"/>
          <c:y val="4.8686466931563553E-2"/>
          <c:w val="0.9346005158980708"/>
          <c:h val="0.85205773642300553"/>
        </c:manualLayout>
      </c:layout>
      <c:scatterChart>
        <c:scatterStyle val="smoothMarker"/>
        <c:varyColors val="0"/>
        <c:ser>
          <c:idx val="0"/>
          <c:order val="0"/>
          <c:tx>
            <c:strRef>
              <c:f>'Report Chart'!$P$49</c:f>
              <c:strCache>
                <c:ptCount val="1"/>
                <c:pt idx="0">
                  <c:v>Diff to BL. East.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'Report Chart'!$G$50:$G$232</c:f>
              <c:numCache>
                <c:formatCode>m/d/yyyy\ h:mm</c:formatCode>
                <c:ptCount val="6"/>
                <c:pt idx="0">
                  <c:v>45776.284722222219</c:v>
                </c:pt>
                <c:pt idx="1">
                  <c:v>45775.28125</c:v>
                </c:pt>
                <c:pt idx="2">
                  <c:v>45750.28125</c:v>
                </c:pt>
                <c:pt idx="3">
                  <c:v>45743.493055555555</c:v>
                </c:pt>
                <c:pt idx="4">
                  <c:v>45721.395833333336</c:v>
                </c:pt>
                <c:pt idx="5">
                  <c:v>45710.451388888891</c:v>
                </c:pt>
              </c:numCache>
            </c:numRef>
          </c:xVal>
          <c:yVal>
            <c:numRef>
              <c:f>'Report Chart'!$P$50:$P$232</c:f>
              <c:numCache>
                <c:formatCode>0.000</c:formatCode>
                <c:ptCount val="6"/>
                <c:pt idx="0">
                  <c:v>-9.9999999656574801E-4</c:v>
                </c:pt>
                <c:pt idx="1">
                  <c:v>0</c:v>
                </c:pt>
                <c:pt idx="2">
                  <c:v>-9.9999999656574801E-4</c:v>
                </c:pt>
                <c:pt idx="3">
                  <c:v>-9.9999999656574801E-4</c:v>
                </c:pt>
                <c:pt idx="4">
                  <c:v>-9.9999999656574801E-4</c:v>
                </c:pt>
                <c:pt idx="5">
                  <c:v>1.0000000038417056E-3</c:v>
                </c:pt>
              </c:numCache>
            </c:numRef>
          </c:yVal>
          <c:smooth val="1"/>
          <c:extLst>
            <c:ext xmlns:c16="http://schemas.microsoft.com/office/drawing/2014/chart" uri="{C3380CC4-5D6E-409C-BE32-E72D297353CC}">
              <c16:uniqueId val="{00000000-A7DF-48C5-8530-C8373E09ACA3}"/>
            </c:ext>
          </c:extLst>
        </c:ser>
        <c:ser>
          <c:idx val="1"/>
          <c:order val="1"/>
          <c:tx>
            <c:strRef>
              <c:f>'Report Chart'!$R$49</c:f>
              <c:strCache>
                <c:ptCount val="1"/>
                <c:pt idx="0">
                  <c:v>Diff to BL. North.</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'Report Chart'!$G$50:$G$232</c:f>
              <c:numCache>
                <c:formatCode>m/d/yyyy\ h:mm</c:formatCode>
                <c:ptCount val="6"/>
                <c:pt idx="0">
                  <c:v>45776.284722222219</c:v>
                </c:pt>
                <c:pt idx="1">
                  <c:v>45775.28125</c:v>
                </c:pt>
                <c:pt idx="2">
                  <c:v>45750.28125</c:v>
                </c:pt>
                <c:pt idx="3">
                  <c:v>45743.493055555555</c:v>
                </c:pt>
                <c:pt idx="4">
                  <c:v>45721.395833333336</c:v>
                </c:pt>
                <c:pt idx="5">
                  <c:v>45710.451388888891</c:v>
                </c:pt>
              </c:numCache>
            </c:numRef>
          </c:xVal>
          <c:yVal>
            <c:numRef>
              <c:f>'Report Chart'!$R$50:$R$232</c:f>
              <c:numCache>
                <c:formatCode>0.000</c:formatCode>
                <c:ptCount val="6"/>
                <c:pt idx="0">
                  <c:v>-9.9999998928979039E-4</c:v>
                </c:pt>
                <c:pt idx="1">
                  <c:v>0</c:v>
                </c:pt>
                <c:pt idx="2">
                  <c:v>-9.9999998928979039E-4</c:v>
                </c:pt>
                <c:pt idx="3">
                  <c:v>-9.9999998928979039E-4</c:v>
                </c:pt>
                <c:pt idx="4">
                  <c:v>9.9999998928979039E-4</c:v>
                </c:pt>
                <c:pt idx="5">
                  <c:v>-9.9999998928979039E-4</c:v>
                </c:pt>
              </c:numCache>
            </c:numRef>
          </c:yVal>
          <c:smooth val="1"/>
          <c:extLst>
            <c:ext xmlns:c16="http://schemas.microsoft.com/office/drawing/2014/chart" uri="{C3380CC4-5D6E-409C-BE32-E72D297353CC}">
              <c16:uniqueId val="{00000002-A7DF-48C5-8530-C8373E09ACA3}"/>
            </c:ext>
          </c:extLst>
        </c:ser>
        <c:ser>
          <c:idx val="2"/>
          <c:order val="2"/>
          <c:tx>
            <c:strRef>
              <c:f>'Report Chart'!$T$49</c:f>
              <c:strCache>
                <c:ptCount val="1"/>
                <c:pt idx="0">
                  <c:v>Diff to BL. Level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'Report Chart'!$G$50:$G$232</c:f>
              <c:numCache>
                <c:formatCode>m/d/yyyy\ h:mm</c:formatCode>
                <c:ptCount val="6"/>
                <c:pt idx="0">
                  <c:v>45776.284722222219</c:v>
                </c:pt>
                <c:pt idx="1">
                  <c:v>45775.28125</c:v>
                </c:pt>
                <c:pt idx="2">
                  <c:v>45750.28125</c:v>
                </c:pt>
                <c:pt idx="3">
                  <c:v>45743.493055555555</c:v>
                </c:pt>
                <c:pt idx="4">
                  <c:v>45721.395833333336</c:v>
                </c:pt>
                <c:pt idx="5">
                  <c:v>45710.451388888891</c:v>
                </c:pt>
              </c:numCache>
            </c:numRef>
          </c:xVal>
          <c:yVal>
            <c:numRef>
              <c:f>'Report Chart'!$T$50:$T$232</c:f>
              <c:numCache>
                <c:formatCode>0.000</c:formatCode>
                <c:ptCount val="6"/>
                <c:pt idx="0">
                  <c:v>-1.0000000000012221E-3</c:v>
                </c:pt>
                <c:pt idx="1">
                  <c:v>1.0000000000012221E-3</c:v>
                </c:pt>
                <c:pt idx="2">
                  <c:v>0</c:v>
                </c:pt>
                <c:pt idx="3">
                  <c:v>0</c:v>
                </c:pt>
                <c:pt idx="4">
                  <c:v>0</c:v>
                </c:pt>
                <c:pt idx="5">
                  <c:v>0</c:v>
                </c:pt>
              </c:numCache>
            </c:numRef>
          </c:yVal>
          <c:smooth val="1"/>
          <c:extLst>
            <c:ext xmlns:c16="http://schemas.microsoft.com/office/drawing/2014/chart" uri="{C3380CC4-5D6E-409C-BE32-E72D297353CC}">
              <c16:uniqueId val="{00000003-A7DF-48C5-8530-C8373E09ACA3}"/>
            </c:ext>
          </c:extLst>
        </c:ser>
        <c:dLbls>
          <c:showLegendKey val="0"/>
          <c:showVal val="0"/>
          <c:showCatName val="0"/>
          <c:showSerName val="0"/>
          <c:showPercent val="0"/>
          <c:showBubbleSize val="0"/>
        </c:dLbls>
        <c:axId val="3316431"/>
        <c:axId val="85352111"/>
      </c:scatterChart>
      <c:scatterChart>
        <c:scatterStyle val="lineMarker"/>
        <c:varyColors val="0"/>
        <c:ser>
          <c:idx val="3"/>
          <c:order val="3"/>
          <c:tx>
            <c:strRef>
              <c:f>'Report Chart'!$AA$49</c:f>
              <c:strCache>
                <c:ptCount val="1"/>
                <c:pt idx="0">
                  <c:v>Minimum</c:v>
                </c:pt>
              </c:strCache>
            </c:strRef>
          </c:tx>
          <c:spPr>
            <a:ln w="19050" cap="rnd">
              <a:solidFill>
                <a:schemeClr val="bg1">
                  <a:lumMod val="65000"/>
                </a:schemeClr>
              </a:solidFill>
              <a:prstDash val="sysDash"/>
              <a:round/>
            </a:ln>
            <a:effectLst/>
          </c:spPr>
          <c:marker>
            <c:symbol val="none"/>
          </c:marker>
          <c:xVal>
            <c:numRef>
              <c:f>'Report Chart'!$G$50:$G$232</c:f>
              <c:numCache>
                <c:formatCode>m/d/yyyy\ h:mm</c:formatCode>
                <c:ptCount val="6"/>
                <c:pt idx="0">
                  <c:v>45776.284722222219</c:v>
                </c:pt>
                <c:pt idx="1">
                  <c:v>45775.28125</c:v>
                </c:pt>
                <c:pt idx="2">
                  <c:v>45750.28125</c:v>
                </c:pt>
                <c:pt idx="3">
                  <c:v>45743.493055555555</c:v>
                </c:pt>
                <c:pt idx="4">
                  <c:v>45721.395833333336</c:v>
                </c:pt>
                <c:pt idx="5">
                  <c:v>45710.451388888891</c:v>
                </c:pt>
              </c:numCache>
            </c:numRef>
          </c:xVal>
          <c:yVal>
            <c:numRef>
              <c:f>'Report Chart'!$AA$50:$AA$232</c:f>
              <c:numCache>
                <c:formatCode>0.000</c:formatCode>
                <c:ptCount val="6"/>
                <c:pt idx="0">
                  <c:v>-1.0000000000012221E-3</c:v>
                </c:pt>
                <c:pt idx="1">
                  <c:v>-1.0000000000012221E-3</c:v>
                </c:pt>
                <c:pt idx="2">
                  <c:v>-1.0000000000012221E-3</c:v>
                </c:pt>
                <c:pt idx="3">
                  <c:v>-1.0000000000012221E-3</c:v>
                </c:pt>
                <c:pt idx="4">
                  <c:v>-1.0000000000012221E-3</c:v>
                </c:pt>
                <c:pt idx="5">
                  <c:v>-1.0000000000012221E-3</c:v>
                </c:pt>
              </c:numCache>
            </c:numRef>
          </c:yVal>
          <c:smooth val="0"/>
          <c:extLst>
            <c:ext xmlns:c16="http://schemas.microsoft.com/office/drawing/2014/chart" uri="{C3380CC4-5D6E-409C-BE32-E72D297353CC}">
              <c16:uniqueId val="{00000004-A7DF-48C5-8530-C8373E09ACA3}"/>
            </c:ext>
          </c:extLst>
        </c:ser>
        <c:ser>
          <c:idx val="4"/>
          <c:order val="4"/>
          <c:tx>
            <c:strRef>
              <c:f>'Report Chart'!$AB$49</c:f>
              <c:strCache>
                <c:ptCount val="1"/>
                <c:pt idx="0">
                  <c:v>Maximum</c:v>
                </c:pt>
              </c:strCache>
            </c:strRef>
          </c:tx>
          <c:spPr>
            <a:ln w="19050" cap="rnd">
              <a:solidFill>
                <a:schemeClr val="bg1">
                  <a:lumMod val="65000"/>
                </a:schemeClr>
              </a:solidFill>
              <a:prstDash val="sysDash"/>
              <a:round/>
            </a:ln>
            <a:effectLst/>
          </c:spPr>
          <c:marker>
            <c:symbol val="none"/>
          </c:marker>
          <c:xVal>
            <c:numRef>
              <c:f>'Report Chart'!$G$50:$G$232</c:f>
              <c:numCache>
                <c:formatCode>m/d/yyyy\ h:mm</c:formatCode>
                <c:ptCount val="6"/>
                <c:pt idx="0">
                  <c:v>45776.284722222219</c:v>
                </c:pt>
                <c:pt idx="1">
                  <c:v>45775.28125</c:v>
                </c:pt>
                <c:pt idx="2">
                  <c:v>45750.28125</c:v>
                </c:pt>
                <c:pt idx="3">
                  <c:v>45743.493055555555</c:v>
                </c:pt>
                <c:pt idx="4">
                  <c:v>45721.395833333336</c:v>
                </c:pt>
                <c:pt idx="5">
                  <c:v>45710.451388888891</c:v>
                </c:pt>
              </c:numCache>
            </c:numRef>
          </c:xVal>
          <c:yVal>
            <c:numRef>
              <c:f>'Report Chart'!$AB$50:$AB$232</c:f>
              <c:numCache>
                <c:formatCode>0.000</c:formatCode>
                <c:ptCount val="6"/>
                <c:pt idx="0">
                  <c:v>1.0000000038417056E-3</c:v>
                </c:pt>
                <c:pt idx="1">
                  <c:v>1.0000000038417056E-3</c:v>
                </c:pt>
                <c:pt idx="2">
                  <c:v>1.0000000038417056E-3</c:v>
                </c:pt>
                <c:pt idx="3">
                  <c:v>1.0000000038417056E-3</c:v>
                </c:pt>
                <c:pt idx="4">
                  <c:v>1.0000000038417056E-3</c:v>
                </c:pt>
                <c:pt idx="5">
                  <c:v>1.0000000038417056E-3</c:v>
                </c:pt>
              </c:numCache>
            </c:numRef>
          </c:yVal>
          <c:smooth val="0"/>
          <c:extLst>
            <c:ext xmlns:c16="http://schemas.microsoft.com/office/drawing/2014/chart" uri="{C3380CC4-5D6E-409C-BE32-E72D297353CC}">
              <c16:uniqueId val="{00000007-A7DF-48C5-8530-C8373E09ACA3}"/>
            </c:ext>
          </c:extLst>
        </c:ser>
        <c:ser>
          <c:idx val="5"/>
          <c:order val="5"/>
          <c:tx>
            <c:v>ScaleMax.</c:v>
          </c:tx>
          <c:spPr>
            <a:ln w="19050" cap="rnd">
              <a:solidFill>
                <a:schemeClr val="accent6"/>
              </a:solidFill>
              <a:round/>
            </a:ln>
            <a:effectLst/>
          </c:spPr>
          <c:marker>
            <c:symbol val="none"/>
          </c:marker>
          <c:xVal>
            <c:numRef>
              <c:f>'Report Chart'!$G$50:$G$232</c:f>
              <c:numCache>
                <c:formatCode>m/d/yyyy\ h:mm</c:formatCode>
                <c:ptCount val="6"/>
                <c:pt idx="0">
                  <c:v>45776.284722222219</c:v>
                </c:pt>
                <c:pt idx="1">
                  <c:v>45775.28125</c:v>
                </c:pt>
                <c:pt idx="2">
                  <c:v>45750.28125</c:v>
                </c:pt>
                <c:pt idx="3">
                  <c:v>45743.493055555555</c:v>
                </c:pt>
                <c:pt idx="4">
                  <c:v>45721.395833333336</c:v>
                </c:pt>
                <c:pt idx="5">
                  <c:v>45710.451388888891</c:v>
                </c:pt>
              </c:numCache>
            </c:numRef>
          </c:xVal>
          <c:yVal>
            <c:numRef>
              <c:f>'Report Chart'!$D$15:$E$15</c:f>
              <c:numCache>
                <c:formatCode>0.000</c:formatCode>
                <c:ptCount val="2"/>
                <c:pt idx="0">
                  <c:v>0.01</c:v>
                </c:pt>
              </c:numCache>
            </c:numRef>
          </c:yVal>
          <c:smooth val="0"/>
          <c:extLst>
            <c:ext xmlns:c16="http://schemas.microsoft.com/office/drawing/2014/chart" uri="{C3380CC4-5D6E-409C-BE32-E72D297353CC}">
              <c16:uniqueId val="{00000009-A7DF-48C5-8530-C8373E09ACA3}"/>
            </c:ext>
          </c:extLst>
        </c:ser>
        <c:ser>
          <c:idx val="6"/>
          <c:order val="6"/>
          <c:tx>
            <c:v>ScaleMin.</c:v>
          </c:tx>
          <c:spPr>
            <a:ln w="19050" cap="rnd">
              <a:solidFill>
                <a:schemeClr val="accent1">
                  <a:lumMod val="60000"/>
                </a:schemeClr>
              </a:solidFill>
              <a:round/>
            </a:ln>
            <a:effectLst/>
          </c:spPr>
          <c:marker>
            <c:symbol val="none"/>
          </c:marker>
          <c:xVal>
            <c:numRef>
              <c:f>'Report Chart'!$G$50:$G$232</c:f>
              <c:numCache>
                <c:formatCode>m/d/yyyy\ h:mm</c:formatCode>
                <c:ptCount val="6"/>
                <c:pt idx="0">
                  <c:v>45776.284722222219</c:v>
                </c:pt>
                <c:pt idx="1">
                  <c:v>45775.28125</c:v>
                </c:pt>
                <c:pt idx="2">
                  <c:v>45750.28125</c:v>
                </c:pt>
                <c:pt idx="3">
                  <c:v>45743.493055555555</c:v>
                </c:pt>
                <c:pt idx="4">
                  <c:v>45721.395833333336</c:v>
                </c:pt>
                <c:pt idx="5">
                  <c:v>45710.451388888891</c:v>
                </c:pt>
              </c:numCache>
            </c:numRef>
          </c:xVal>
          <c:yVal>
            <c:numRef>
              <c:f>'Report Chart'!$D$14:$E$14</c:f>
              <c:numCache>
                <c:formatCode>0.000</c:formatCode>
                <c:ptCount val="2"/>
                <c:pt idx="0">
                  <c:v>-0.01</c:v>
                </c:pt>
              </c:numCache>
            </c:numRef>
          </c:yVal>
          <c:smooth val="0"/>
          <c:extLst>
            <c:ext xmlns:c16="http://schemas.microsoft.com/office/drawing/2014/chart" uri="{C3380CC4-5D6E-409C-BE32-E72D297353CC}">
              <c16:uniqueId val="{0000000A-A7DF-48C5-8530-C8373E09ACA3}"/>
            </c:ext>
          </c:extLst>
        </c:ser>
        <c:dLbls>
          <c:showLegendKey val="0"/>
          <c:showVal val="0"/>
          <c:showCatName val="0"/>
          <c:showSerName val="0"/>
          <c:showPercent val="0"/>
          <c:showBubbleSize val="0"/>
        </c:dLbls>
        <c:axId val="3316431"/>
        <c:axId val="85352111"/>
      </c:scatterChart>
      <c:valAx>
        <c:axId val="331643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dd/mm/yy" sourceLinked="0"/>
        <c:majorTickMark val="none"/>
        <c:minorTickMark val="none"/>
        <c:tickLblPos val="low"/>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52111"/>
        <c:crosses val="autoZero"/>
        <c:crossBetween val="midCat"/>
      </c:valAx>
      <c:valAx>
        <c:axId val="8535211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Displacement [m]</a:t>
                </a:r>
              </a:p>
            </c:rich>
          </c:tx>
          <c:layout>
            <c:manualLayout>
              <c:xMode val="edge"/>
              <c:yMode val="edge"/>
              <c:x val="8.101140300438691E-3"/>
              <c:y val="0.409034792555917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643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21</xdr:col>
      <xdr:colOff>20543</xdr:colOff>
      <xdr:row>11</xdr:row>
      <xdr:rowOff>56028</xdr:rowOff>
    </xdr:from>
    <xdr:to>
      <xdr:col>39</xdr:col>
      <xdr:colOff>0</xdr:colOff>
      <xdr:row>58</xdr:row>
      <xdr:rowOff>56029</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145675</xdr:colOff>
      <xdr:row>12</xdr:row>
      <xdr:rowOff>129987</xdr:rowOff>
    </xdr:from>
    <xdr:to>
      <xdr:col>2</xdr:col>
      <xdr:colOff>89646</xdr:colOff>
      <xdr:row>79</xdr:row>
      <xdr:rowOff>22411</xdr:rowOff>
    </xdr:to>
    <mc:AlternateContent xmlns:mc="http://schemas.openxmlformats.org/markup-compatibility/2006" xmlns:sle15="http://schemas.microsoft.com/office/drawing/2012/slicer">
      <mc:Choice Requires="sle15">
        <xdr:graphicFrame macro="">
          <xdr:nvGraphicFramePr>
            <xdr:cNvPr id="2" name="ID 1">
              <a:extLst>
                <a:ext uri="{FF2B5EF4-FFF2-40B4-BE49-F238E27FC236}">
                  <a16:creationId xmlns:a16="http://schemas.microsoft.com/office/drawing/2014/main" id="{9CEA2866-53AC-41E3-B5E4-5B9226D2A8D5}"/>
                </a:ext>
              </a:extLst>
            </xdr:cNvPr>
            <xdr:cNvGraphicFramePr/>
          </xdr:nvGraphicFramePr>
          <xdr:xfrm>
            <a:off x="0" y="0"/>
            <a:ext cx="0" cy="0"/>
          </xdr:xfrm>
          <a:graphic>
            <a:graphicData uri="http://schemas.microsoft.com/office/drawing/2010/slicer">
              <sle:slicer xmlns:sle="http://schemas.microsoft.com/office/drawing/2010/slicer" name="ID 1"/>
            </a:graphicData>
          </a:graphic>
        </xdr:graphicFrame>
      </mc:Choice>
      <mc:Fallback xmlns="">
        <xdr:sp macro="" textlink="">
          <xdr:nvSpPr>
            <xdr:cNvPr id="0" name=""/>
            <xdr:cNvSpPr>
              <a:spLocks noTextEdit="1"/>
            </xdr:cNvSpPr>
          </xdr:nvSpPr>
          <xdr:spPr>
            <a:xfrm>
              <a:off x="190499" y="2528047"/>
              <a:ext cx="1266265" cy="6974541"/>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12285</xdr:colOff>
      <xdr:row>10</xdr:row>
      <xdr:rowOff>96123</xdr:rowOff>
    </xdr:from>
    <xdr:to>
      <xdr:col>4</xdr:col>
      <xdr:colOff>703785</xdr:colOff>
      <xdr:row>22</xdr:row>
      <xdr:rowOff>90736</xdr:rowOff>
    </xdr:to>
    <mc:AlternateContent xmlns:mc="http://schemas.openxmlformats.org/markup-compatibility/2006" xmlns:sle15="http://schemas.microsoft.com/office/drawing/2012/slicer">
      <mc:Choice Requires="sle15">
        <xdr:graphicFrame macro="">
          <xdr:nvGraphicFramePr>
            <xdr:cNvPr id="3" name="Epoch">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Epoch"/>
            </a:graphicData>
          </a:graphic>
        </xdr:graphicFrame>
      </mc:Choice>
      <mc:Fallback xmlns="">
        <xdr:sp macro="" textlink="">
          <xdr:nvSpPr>
            <xdr:cNvPr id="0" name=""/>
            <xdr:cNvSpPr>
              <a:spLocks noTextEdit="1"/>
            </xdr:cNvSpPr>
          </xdr:nvSpPr>
          <xdr:spPr>
            <a:xfrm>
              <a:off x="202785" y="2214035"/>
              <a:ext cx="3168000" cy="2146142"/>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12285</xdr:colOff>
      <xdr:row>23</xdr:row>
      <xdr:rowOff>100853</xdr:rowOff>
    </xdr:from>
    <xdr:to>
      <xdr:col>4</xdr:col>
      <xdr:colOff>703785</xdr:colOff>
      <xdr:row>69</xdr:row>
      <xdr:rowOff>168088</xdr:rowOff>
    </xdr:to>
    <mc:AlternateContent xmlns:mc="http://schemas.openxmlformats.org/markup-compatibility/2006" xmlns:sle15="http://schemas.microsoft.com/office/drawing/2012/slicer">
      <mc:Choice Requires="sle15">
        <xdr:graphicFrame macro="">
          <xdr:nvGraphicFramePr>
            <xdr:cNvPr id="4" name="ID">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ID"/>
            </a:graphicData>
          </a:graphic>
        </xdr:graphicFrame>
      </mc:Choice>
      <mc:Fallback xmlns="">
        <xdr:sp macro="" textlink="">
          <xdr:nvSpPr>
            <xdr:cNvPr id="0" name=""/>
            <xdr:cNvSpPr>
              <a:spLocks noTextEdit="1"/>
            </xdr:cNvSpPr>
          </xdr:nvSpPr>
          <xdr:spPr>
            <a:xfrm>
              <a:off x="202785" y="4478258"/>
              <a:ext cx="3168000" cy="4508859"/>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25</xdr:col>
      <xdr:colOff>481854</xdr:colOff>
      <xdr:row>2</xdr:row>
      <xdr:rowOff>146604</xdr:rowOff>
    </xdr:from>
    <xdr:to>
      <xdr:col>26</xdr:col>
      <xdr:colOff>1938619</xdr:colOff>
      <xdr:row>5</xdr:row>
      <xdr:rowOff>41788</xdr:rowOff>
    </xdr:to>
    <xdr:pic>
      <xdr:nvPicPr>
        <xdr:cNvPr id="7" name="Picture 5">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758648" y="516398"/>
          <a:ext cx="2510118" cy="4330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12285</xdr:colOff>
      <xdr:row>10</xdr:row>
      <xdr:rowOff>96123</xdr:rowOff>
    </xdr:from>
    <xdr:to>
      <xdr:col>4</xdr:col>
      <xdr:colOff>703785</xdr:colOff>
      <xdr:row>22</xdr:row>
      <xdr:rowOff>90736</xdr:rowOff>
    </xdr:to>
    <mc:AlternateContent xmlns:mc="http://schemas.openxmlformats.org/markup-compatibility/2006" xmlns:sle15="http://schemas.microsoft.com/office/drawing/2012/slicer">
      <mc:Choice Requires="sle15">
        <xdr:graphicFrame macro="">
          <xdr:nvGraphicFramePr>
            <xdr:cNvPr id="2" name="Epoch 1">
              <a:extLst>
                <a:ext uri="{FF2B5EF4-FFF2-40B4-BE49-F238E27FC236}">
                  <a16:creationId xmlns:a16="http://schemas.microsoft.com/office/drawing/2014/main" id="{C154A427-50F6-4F37-B955-4AA1349FC9AB}"/>
                </a:ext>
              </a:extLst>
            </xdr:cNvPr>
            <xdr:cNvGraphicFramePr/>
          </xdr:nvGraphicFramePr>
          <xdr:xfrm>
            <a:off x="0" y="0"/>
            <a:ext cx="0" cy="0"/>
          </xdr:xfrm>
          <a:graphic>
            <a:graphicData uri="http://schemas.microsoft.com/office/drawing/2010/slicer">
              <sle:slicer xmlns:sle="http://schemas.microsoft.com/office/drawing/2010/slicer" name="Epoch 1"/>
            </a:graphicData>
          </a:graphic>
        </xdr:graphicFrame>
      </mc:Choice>
      <mc:Fallback xmlns="">
        <xdr:sp macro="" textlink="">
          <xdr:nvSpPr>
            <xdr:cNvPr id="0" name=""/>
            <xdr:cNvSpPr>
              <a:spLocks noTextEdit="1"/>
            </xdr:cNvSpPr>
          </xdr:nvSpPr>
          <xdr:spPr>
            <a:xfrm>
              <a:off x="202785" y="2214035"/>
              <a:ext cx="3168000" cy="2146142"/>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12285</xdr:colOff>
      <xdr:row>23</xdr:row>
      <xdr:rowOff>29523</xdr:rowOff>
    </xdr:from>
    <xdr:to>
      <xdr:col>4</xdr:col>
      <xdr:colOff>703785</xdr:colOff>
      <xdr:row>69</xdr:row>
      <xdr:rowOff>168088</xdr:rowOff>
    </xdr:to>
    <mc:AlternateContent xmlns:mc="http://schemas.openxmlformats.org/markup-compatibility/2006" xmlns:sle15="http://schemas.microsoft.com/office/drawing/2012/slicer">
      <mc:Choice Requires="sle15">
        <xdr:graphicFrame macro="">
          <xdr:nvGraphicFramePr>
            <xdr:cNvPr id="3" name="ID 2">
              <a:extLst>
                <a:ext uri="{FF2B5EF4-FFF2-40B4-BE49-F238E27FC236}">
                  <a16:creationId xmlns:a16="http://schemas.microsoft.com/office/drawing/2014/main" id="{1EEAC372-5A53-4D47-AF57-B948D623604B}"/>
                </a:ext>
              </a:extLst>
            </xdr:cNvPr>
            <xdr:cNvGraphicFramePr/>
          </xdr:nvGraphicFramePr>
          <xdr:xfrm>
            <a:off x="0" y="0"/>
            <a:ext cx="0" cy="0"/>
          </xdr:xfrm>
          <a:graphic>
            <a:graphicData uri="http://schemas.microsoft.com/office/drawing/2010/slicer">
              <sle:slicer xmlns:sle="http://schemas.microsoft.com/office/drawing/2010/slicer" name="ID 2"/>
            </a:graphicData>
          </a:graphic>
        </xdr:graphicFrame>
      </mc:Choice>
      <mc:Fallback xmlns="">
        <xdr:sp macro="" textlink="">
          <xdr:nvSpPr>
            <xdr:cNvPr id="0" name=""/>
            <xdr:cNvSpPr>
              <a:spLocks noTextEdit="1"/>
            </xdr:cNvSpPr>
          </xdr:nvSpPr>
          <xdr:spPr>
            <a:xfrm>
              <a:off x="202785" y="4478258"/>
              <a:ext cx="3168000" cy="838609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28</xdr:col>
      <xdr:colOff>481854</xdr:colOff>
      <xdr:row>2</xdr:row>
      <xdr:rowOff>146604</xdr:rowOff>
    </xdr:from>
    <xdr:to>
      <xdr:col>29</xdr:col>
      <xdr:colOff>2140324</xdr:colOff>
      <xdr:row>5</xdr:row>
      <xdr:rowOff>41788</xdr:rowOff>
    </xdr:to>
    <xdr:pic>
      <xdr:nvPicPr>
        <xdr:cNvPr id="4" name="Picture 5">
          <a:extLst>
            <a:ext uri="{FF2B5EF4-FFF2-40B4-BE49-F238E27FC236}">
              <a16:creationId xmlns:a16="http://schemas.microsoft.com/office/drawing/2014/main" id="{875A17B0-6C09-4E62-8A28-D0425524A7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208004" y="518079"/>
          <a:ext cx="2504516" cy="4381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257735</xdr:colOff>
      <xdr:row>1</xdr:row>
      <xdr:rowOff>157810</xdr:rowOff>
    </xdr:from>
    <xdr:to>
      <xdr:col>30</xdr:col>
      <xdr:colOff>2039471</xdr:colOff>
      <xdr:row>4</xdr:row>
      <xdr:rowOff>41788</xdr:rowOff>
    </xdr:to>
    <xdr:pic>
      <xdr:nvPicPr>
        <xdr:cNvPr id="4" name="Picture 5">
          <a:extLst>
            <a:ext uri="{FF2B5EF4-FFF2-40B4-BE49-F238E27FC236}">
              <a16:creationId xmlns:a16="http://schemas.microsoft.com/office/drawing/2014/main" id="{BEE82F9D-6B1D-4AB2-BE75-D226A61E75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31500" y="337104"/>
          <a:ext cx="2510118" cy="433066"/>
        </a:xfrm>
        <a:prstGeom prst="rect">
          <a:avLst/>
        </a:prstGeom>
      </xdr:spPr>
    </xdr:pic>
    <xdr:clientData/>
  </xdr:twoCellAnchor>
  <xdr:twoCellAnchor editAs="absolute">
    <xdr:from>
      <xdr:col>1</xdr:col>
      <xdr:colOff>23532</xdr:colOff>
      <xdr:row>10</xdr:row>
      <xdr:rowOff>98051</xdr:rowOff>
    </xdr:from>
    <xdr:to>
      <xdr:col>4</xdr:col>
      <xdr:colOff>715032</xdr:colOff>
      <xdr:row>22</xdr:row>
      <xdr:rowOff>89647</xdr:rowOff>
    </xdr:to>
    <mc:AlternateContent xmlns:mc="http://schemas.openxmlformats.org/markup-compatibility/2006" xmlns:sle15="http://schemas.microsoft.com/office/drawing/2012/slicer">
      <mc:Choice Requires="sle15">
        <xdr:graphicFrame macro="">
          <xdr:nvGraphicFramePr>
            <xdr:cNvPr id="5" name="Epoch 3">
              <a:extLst>
                <a:ext uri="{FF2B5EF4-FFF2-40B4-BE49-F238E27FC236}">
                  <a16:creationId xmlns:a16="http://schemas.microsoft.com/office/drawing/2014/main" id="{4E05D2ED-AE13-5B63-82BE-7DE7CC2D2BF5}"/>
                </a:ext>
              </a:extLst>
            </xdr:cNvPr>
            <xdr:cNvGraphicFramePr/>
          </xdr:nvGraphicFramePr>
          <xdr:xfrm>
            <a:off x="0" y="0"/>
            <a:ext cx="0" cy="0"/>
          </xdr:xfrm>
          <a:graphic>
            <a:graphicData uri="http://schemas.microsoft.com/office/drawing/2010/slicer">
              <sle:slicer xmlns:sle="http://schemas.microsoft.com/office/drawing/2010/slicer" name="Epoch 3"/>
            </a:graphicData>
          </a:graphic>
        </xdr:graphicFrame>
      </mc:Choice>
      <mc:Fallback xmlns="">
        <xdr:sp macro="" textlink="">
          <xdr:nvSpPr>
            <xdr:cNvPr id="0" name=""/>
            <xdr:cNvSpPr>
              <a:spLocks noTextEdit="1"/>
            </xdr:cNvSpPr>
          </xdr:nvSpPr>
          <xdr:spPr>
            <a:xfrm>
              <a:off x="214032" y="2215963"/>
              <a:ext cx="3168000" cy="214312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17929</xdr:colOff>
      <xdr:row>23</xdr:row>
      <xdr:rowOff>14008</xdr:rowOff>
    </xdr:from>
    <xdr:to>
      <xdr:col>4</xdr:col>
      <xdr:colOff>709429</xdr:colOff>
      <xdr:row>70</xdr:row>
      <xdr:rowOff>0</xdr:rowOff>
    </xdr:to>
    <mc:AlternateContent xmlns:mc="http://schemas.openxmlformats.org/markup-compatibility/2006" xmlns:sle15="http://schemas.microsoft.com/office/drawing/2012/slicer">
      <mc:Choice Requires="sle15">
        <xdr:graphicFrame macro="">
          <xdr:nvGraphicFramePr>
            <xdr:cNvPr id="6" name="ID 5">
              <a:extLst>
                <a:ext uri="{FF2B5EF4-FFF2-40B4-BE49-F238E27FC236}">
                  <a16:creationId xmlns:a16="http://schemas.microsoft.com/office/drawing/2014/main" id="{0F45EF64-4226-421D-ADD7-273224361741}"/>
                </a:ext>
              </a:extLst>
            </xdr:cNvPr>
            <xdr:cNvGraphicFramePr/>
          </xdr:nvGraphicFramePr>
          <xdr:xfrm>
            <a:off x="0" y="0"/>
            <a:ext cx="0" cy="0"/>
          </xdr:xfrm>
          <a:graphic>
            <a:graphicData uri="http://schemas.microsoft.com/office/drawing/2010/slicer">
              <sle:slicer xmlns:sle="http://schemas.microsoft.com/office/drawing/2010/slicer" name="ID 5"/>
            </a:graphicData>
          </a:graphic>
        </xdr:graphicFrame>
      </mc:Choice>
      <mc:Fallback xmlns="">
        <xdr:sp macro="" textlink="">
          <xdr:nvSpPr>
            <xdr:cNvPr id="0" name=""/>
            <xdr:cNvSpPr>
              <a:spLocks noTextEdit="1"/>
            </xdr:cNvSpPr>
          </xdr:nvSpPr>
          <xdr:spPr>
            <a:xfrm>
              <a:off x="208429" y="4462743"/>
              <a:ext cx="3168000" cy="8412816"/>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24</xdr:col>
      <xdr:colOff>481854</xdr:colOff>
      <xdr:row>2</xdr:row>
      <xdr:rowOff>146604</xdr:rowOff>
    </xdr:from>
    <xdr:to>
      <xdr:col>25</xdr:col>
      <xdr:colOff>1938619</xdr:colOff>
      <xdr:row>5</xdr:row>
      <xdr:rowOff>41788</xdr:rowOff>
    </xdr:to>
    <xdr:pic>
      <xdr:nvPicPr>
        <xdr:cNvPr id="4" name="Picture 5">
          <a:extLst>
            <a:ext uri="{FF2B5EF4-FFF2-40B4-BE49-F238E27FC236}">
              <a16:creationId xmlns:a16="http://schemas.microsoft.com/office/drawing/2014/main" id="{1CC42E14-6431-4957-930A-5BA576A56F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484104" y="518079"/>
          <a:ext cx="2504515" cy="438109"/>
        </a:xfrm>
        <a:prstGeom prst="rect">
          <a:avLst/>
        </a:prstGeom>
      </xdr:spPr>
    </xdr:pic>
    <xdr:clientData/>
  </xdr:twoCellAnchor>
  <xdr:twoCellAnchor>
    <xdr:from>
      <xdr:col>6</xdr:col>
      <xdr:colOff>5601</xdr:colOff>
      <xdr:row>7</xdr:row>
      <xdr:rowOff>0</xdr:rowOff>
    </xdr:from>
    <xdr:to>
      <xdr:col>25</xdr:col>
      <xdr:colOff>2364440</xdr:colOff>
      <xdr:row>47</xdr:row>
      <xdr:rowOff>0</xdr:rowOff>
    </xdr:to>
    <xdr:graphicFrame macro="">
      <xdr:nvGraphicFramePr>
        <xdr:cNvPr id="5" name="Chart 4">
          <a:extLst>
            <a:ext uri="{FF2B5EF4-FFF2-40B4-BE49-F238E27FC236}">
              <a16:creationId xmlns:a16="http://schemas.microsoft.com/office/drawing/2014/main" id="{FC37FA1D-0247-DFB8-60D8-4C9CDB7DE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6723</xdr:colOff>
      <xdr:row>15</xdr:row>
      <xdr:rowOff>156882</xdr:rowOff>
    </xdr:from>
    <xdr:to>
      <xdr:col>4</xdr:col>
      <xdr:colOff>698223</xdr:colOff>
      <xdr:row>247</xdr:row>
      <xdr:rowOff>0</xdr:rowOff>
    </xdr:to>
    <mc:AlternateContent xmlns:mc="http://schemas.openxmlformats.org/markup-compatibility/2006" xmlns:sle15="http://schemas.microsoft.com/office/drawing/2012/slicer">
      <mc:Choice Requires="sle15">
        <xdr:graphicFrame macro="">
          <xdr:nvGraphicFramePr>
            <xdr:cNvPr id="6" name="ID 3">
              <a:extLst>
                <a:ext uri="{FF2B5EF4-FFF2-40B4-BE49-F238E27FC236}">
                  <a16:creationId xmlns:a16="http://schemas.microsoft.com/office/drawing/2014/main" id="{4C41F23E-AF06-772F-4F6C-C884D105F9F6}"/>
                </a:ext>
              </a:extLst>
            </xdr:cNvPr>
            <xdr:cNvGraphicFramePr/>
          </xdr:nvGraphicFramePr>
          <xdr:xfrm>
            <a:off x="0" y="0"/>
            <a:ext cx="0" cy="0"/>
          </xdr:xfrm>
          <a:graphic>
            <a:graphicData uri="http://schemas.microsoft.com/office/drawing/2010/slicer">
              <sle:slicer xmlns:sle="http://schemas.microsoft.com/office/drawing/2010/slicer" name="ID 3"/>
            </a:graphicData>
          </a:graphic>
        </xdr:graphicFrame>
      </mc:Choice>
      <mc:Fallback xmlns="">
        <xdr:sp macro="" textlink="">
          <xdr:nvSpPr>
            <xdr:cNvPr id="0" name=""/>
            <xdr:cNvSpPr>
              <a:spLocks noTextEdit="1"/>
            </xdr:cNvSpPr>
          </xdr:nvSpPr>
          <xdr:spPr>
            <a:xfrm>
              <a:off x="197223" y="4451137"/>
              <a:ext cx="3168000" cy="4444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49021</xdr:colOff>
      <xdr:row>66</xdr:row>
      <xdr:rowOff>20389</xdr:rowOff>
    </xdr:from>
    <xdr:to>
      <xdr:col>2</xdr:col>
      <xdr:colOff>19937</xdr:colOff>
      <xdr:row>95</xdr:row>
      <xdr:rowOff>80044</xdr:rowOff>
    </xdr:to>
    <mc:AlternateContent xmlns:mc="http://schemas.openxmlformats.org/markup-compatibility/2006" xmlns:sle15="http://schemas.microsoft.com/office/drawing/2012/slicer">
      <mc:Choice Requires="sle15">
        <xdr:graphicFrame macro="">
          <xdr:nvGraphicFramePr>
            <xdr:cNvPr id="5" name="Track ID">
              <a:extLst>
                <a:ext uri="{FF2B5EF4-FFF2-40B4-BE49-F238E27FC236}">
                  <a16:creationId xmlns:a16="http://schemas.microsoft.com/office/drawing/2014/main" id="{9D37BD31-1677-563E-51BC-81C195932B79}"/>
                </a:ext>
              </a:extLst>
            </xdr:cNvPr>
            <xdr:cNvGraphicFramePr/>
          </xdr:nvGraphicFramePr>
          <xdr:xfrm>
            <a:off x="0" y="0"/>
            <a:ext cx="0" cy="0"/>
          </xdr:xfrm>
          <a:graphic>
            <a:graphicData uri="http://schemas.microsoft.com/office/drawing/2010/slicer">
              <sle:slicer xmlns:sle="http://schemas.microsoft.com/office/drawing/2010/slicer" name="Track ID"/>
            </a:graphicData>
          </a:graphic>
        </xdr:graphicFrame>
      </mc:Choice>
      <mc:Fallback xmlns="">
        <xdr:sp macro="" textlink="">
          <xdr:nvSpPr>
            <xdr:cNvPr id="0" name=""/>
            <xdr:cNvSpPr>
              <a:spLocks noTextEdit="1"/>
            </xdr:cNvSpPr>
          </xdr:nvSpPr>
          <xdr:spPr>
            <a:xfrm>
              <a:off x="239521" y="11865007"/>
              <a:ext cx="1999181" cy="5236772"/>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4</xdr:col>
      <xdr:colOff>175052</xdr:colOff>
      <xdr:row>9</xdr:row>
      <xdr:rowOff>83233</xdr:rowOff>
    </xdr:from>
    <xdr:to>
      <xdr:col>17</xdr:col>
      <xdr:colOff>733426</xdr:colOff>
      <xdr:row>44</xdr:row>
      <xdr:rowOff>103059</xdr:rowOff>
    </xdr:to>
    <xdr:pic>
      <xdr:nvPicPr>
        <xdr:cNvPr id="3" name="Picture 2">
          <a:extLst>
            <a:ext uri="{FF2B5EF4-FFF2-40B4-BE49-F238E27FC236}">
              <a16:creationId xmlns:a16="http://schemas.microsoft.com/office/drawing/2014/main" id="{99676FFB-F18F-EAF6-16A0-277984CEC2EA}"/>
            </a:ext>
          </a:extLst>
        </xdr:cNvPr>
        <xdr:cNvPicPr>
          <a:picLocks noChangeAspect="1"/>
          <a:extLst>
            <a:ext uri="{53484399-7A02-498B-ADA4-41CD10E50FAC}">
              <aif:imageFormula xmlns:aif="http://schemas.microsoft.com/office/drawing/2022/imageformula" formula="'Report Track'!C52"/>
            </a:ext>
          </a:extLst>
        </xdr:cNvPicPr>
      </xdr:nvPicPr>
      <xdr:blipFill>
        <a:blip xmlns:r="http://schemas.openxmlformats.org/officeDocument/2006/relationships" r:embed="rId1"/>
        <a:stretch>
          <a:fillRect/>
        </a:stretch>
      </xdr:blipFill>
      <xdr:spPr>
        <a:xfrm>
          <a:off x="4803081" y="1708086"/>
          <a:ext cx="12369374" cy="62951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snpjs.sharepoint.com/sites/InstrumentationandMonitoring/InfoHub/03.Proceedure/10.Templates/3.8.01%20Spreadsheet%20Templates/MMS_Templat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de_Lookups"/>
      <sheetName val="Hide_GE_Summary"/>
      <sheetName val="Upload"/>
      <sheetName val="Hide_Upload"/>
      <sheetName val="Hide_GE_Asbuilt"/>
      <sheetName val="Summary Sheet"/>
      <sheetName val="Design"/>
      <sheetName val="Asbuilt"/>
      <sheetName val="Baseline"/>
      <sheetName val="Carry"/>
      <sheetName val="Manual Data"/>
      <sheetName val="Automated Data"/>
      <sheetName val="Hide_Log Re-calc"/>
    </sheetNames>
    <sheetDataSet>
      <sheetData sheetId="0"/>
      <sheetData sheetId="1"/>
      <sheetData sheetId="2">
        <row r="8">
          <cell r="AR8" t="str">
            <v>Northing Alarms</v>
          </cell>
          <cell r="AU8" t="str">
            <v>Level Alarms</v>
          </cell>
        </row>
      </sheetData>
      <sheetData sheetId="3"/>
      <sheetData sheetId="4"/>
      <sheetData sheetId="5"/>
      <sheetData sheetId="6"/>
      <sheetData sheetId="7"/>
      <sheetData sheetId="8"/>
      <sheetData sheetId="9"/>
      <sheetData sheetId="10"/>
      <sheetData sheetId="11"/>
      <sheetData sheetId="12"/>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94801457-7C45-4D14-8903-DC405D6884CF}" autoFormatId="16" applyNumberFormats="0" applyBorderFormats="0" applyFontFormats="0" applyPatternFormats="0" applyAlignmentFormats="0" applyWidthHeightFormats="0">
  <queryTableRefresh nextId="7">
    <queryTableFields count="6">
      <queryTableField id="1" name="Sensor ID" tableColumnId="1"/>
      <queryTableField id="2" name="Easting [m]" tableColumnId="2"/>
      <queryTableField id="3" name="Northing [m]" tableColumnId="3"/>
      <queryTableField id="4" name="Level [m]" tableColumnId="4"/>
      <queryTableField id="5" name="GridToGeographic.Latitude" tableColumnId="5"/>
      <queryTableField id="6" name="GridToGeographic.Longitude"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7" xr16:uid="{02AF3E39-551D-484B-90F8-36A01A7590A2}" autoFormatId="16" applyNumberFormats="0" applyBorderFormats="0" applyFontFormats="0" applyPatternFormats="0" applyAlignmentFormats="0" applyWidthHeightFormats="0">
  <queryTableRefresh nextId="4">
    <queryTableFields count="3">
      <queryTableField id="1" name="Sensor ID" tableColumnId="1"/>
      <queryTableField id="2" name="Attribute" tableColumnId="2"/>
      <queryTableField id="3" name="Valu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6" xr16:uid="{57CC996E-7285-4580-A08C-267EEA136D38}" autoFormatId="16" applyNumberFormats="0" applyBorderFormats="0" applyFontFormats="0" applyPatternFormats="0" applyAlignmentFormats="0" applyWidthHeightFormats="0">
  <queryTableRefresh nextId="12">
    <queryTableFields count="11">
      <queryTableField id="1" name="Sensor ID" tableColumnId="1"/>
      <queryTableField id="2" name="Easting [m]" tableColumnId="2"/>
      <queryTableField id="3" name="Northing [m]" tableColumnId="3"/>
      <queryTableField id="4" name="Level [m]" tableColumnId="4"/>
      <queryTableField id="5" name="Point Name" tableColumnId="5"/>
      <queryTableField id="6" name="Track Code" tableColumnId="6"/>
      <queryTableField id="7" name="Track Chainage" tableColumnId="7"/>
      <queryTableField id="8" name="Track Side" tableColumnId="8"/>
      <queryTableField id="9" name="Offset X" tableColumnId="9"/>
      <queryTableField id="10" name="Offset Y" tableColumnId="10"/>
      <queryTableField id="11" name="Offset Z"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13" xr16:uid="{16D4CD04-DD81-4F57-8FBE-1D73F0FA0CC3}" autoFormatId="16" applyNumberFormats="0" applyBorderFormats="0" applyFontFormats="0" applyPatternFormats="0" applyAlignmentFormats="0" applyWidthHeightFormats="0">
  <queryTableRefresh nextId="119">
    <queryTableFields count="21">
      <queryTableField id="1" name="Epoch" tableColumnId="1"/>
      <queryTableField id="2" name="ID" tableColumnId="2"/>
      <queryTableField id="116" dataBound="0" tableColumnId="4"/>
      <queryTableField id="117" dataBound="0" tableColumnId="10"/>
      <queryTableField id="83" name="BL. Easting" tableColumnId="11"/>
      <queryTableField id="84" name="BL. Northing" tableColumnId="16"/>
      <queryTableField id="85" name="BL. Level" tableColumnId="17"/>
      <queryTableField id="45" name="Obs. Easting" tableColumnId="7"/>
      <queryTableField id="46" name="Obs. Northing" tableColumnId="8"/>
      <queryTableField id="47" name="Obs. Height" tableColumnId="12"/>
      <queryTableField id="86" name="Diff to BL. East." tableColumnId="18"/>
      <queryTableField id="43" dataBound="0" tableColumnId="3"/>
      <queryTableField id="87" name="Diff to BL. North." tableColumnId="21"/>
      <queryTableField id="62" dataBound="0" tableColumnId="19"/>
      <queryTableField id="88" name="Diff to BL. Level" tableColumnId="22"/>
      <queryTableField id="63" dataBound="0" tableColumnId="20"/>
      <queryTableField id="33" dataBound="0" tableColumnId="5"/>
      <queryTableField id="34" dataBound="0" tableColumnId="6"/>
      <queryTableField id="41" dataBound="0" tableColumnId="9"/>
      <queryTableField id="13" name="Surveyor" tableColumnId="13"/>
      <queryTableField id="115" name="Comment" tableColumnId="2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14" xr16:uid="{D31F0208-F12D-4791-9F97-9FFF97522008}" autoFormatId="16" applyNumberFormats="0" applyBorderFormats="0" applyFontFormats="0" applyPatternFormats="0" applyAlignmentFormats="0" applyWidthHeightFormats="0">
  <queryTableRefresh nextId="128">
    <queryTableFields count="24">
      <queryTableField id="1" name="Epoch" tableColumnId="1"/>
      <queryTableField id="2" name="ID" tableColumnId="2"/>
      <queryTableField id="15" name="Target Type" tableColumnId="15"/>
      <queryTableField id="83" name="BL. Easting" tableColumnId="11"/>
      <queryTableField id="84" name="BL. Northing" tableColumnId="16"/>
      <queryTableField id="85" name="BL. Level" tableColumnId="17"/>
      <queryTableField id="45" name="Obs. Easting" tableColumnId="7"/>
      <queryTableField id="46" name="Obs. Northing" tableColumnId="8"/>
      <queryTableField id="47" name="Obs. Height" tableColumnId="12"/>
      <queryTableField id="86" name="Diff to BL. East." tableColumnId="18"/>
      <queryTableField id="43" dataBound="0" tableColumnId="3"/>
      <queryTableField id="87" name="Diff to BL. North." tableColumnId="21"/>
      <queryTableField id="62" dataBound="0" tableColumnId="19"/>
      <queryTableField id="88" name="Diff to BL. Level" tableColumnId="22"/>
      <queryTableField id="63" dataBound="0" tableColumnId="20"/>
      <queryTableField id="120" name="Diff to BL. Trans." tableColumnId="14"/>
      <queryTableField id="126" dataBound="0" tableColumnId="25"/>
      <queryTableField id="121" name="Diff to BL. Long." tableColumnId="24"/>
      <queryTableField id="127" dataBound="0" tableColumnId="26"/>
      <queryTableField id="33" dataBound="0" tableColumnId="5"/>
      <queryTableField id="34" dataBound="0" tableColumnId="6"/>
      <queryTableField id="41" dataBound="0" tableColumnId="9"/>
      <queryTableField id="13" name="Surveyor" tableColumnId="13"/>
      <queryTableField id="115" name="Comment" tableColumnId="2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11" xr16:uid="{DE619D2A-2FBF-4BD1-B9E0-8DC8C694D6AC}" autoFormatId="16" applyNumberFormats="0" applyBorderFormats="0" applyFontFormats="0" applyPatternFormats="0" applyAlignmentFormats="0" applyWidthHeightFormats="0">
  <queryTableRefresh nextId="146">
    <queryTableFields count="25">
      <queryTableField id="1" name="Epoch" tableColumnId="1"/>
      <queryTableField id="2" name="ID" tableColumnId="2"/>
      <queryTableField id="128" name="BL. Date" tableColumnId="4"/>
      <queryTableField id="83" name="BL. Easting" tableColumnId="11"/>
      <queryTableField id="84" name="BL. Northing" tableColumnId="16"/>
      <queryTableField id="85" name="BL. Level" tableColumnId="17"/>
      <queryTableField id="45" name="Obs. Easting" tableColumnId="7"/>
      <queryTableField id="46" name="Obs. Northing" tableColumnId="8"/>
      <queryTableField id="47" name="Obs. Height" tableColumnId="12"/>
      <queryTableField id="129" name="Obs. Temp." tableColumnId="10"/>
      <queryTableField id="86" name="Diff to BL. East." tableColumnId="18"/>
      <queryTableField id="43" dataBound="0" tableColumnId="3"/>
      <queryTableField id="87" name="Diff to BL. North." tableColumnId="21"/>
      <queryTableField id="62" dataBound="0" tableColumnId="19"/>
      <queryTableField id="88" name="Diff to BL. Level" tableColumnId="22"/>
      <queryTableField id="63" dataBound="0" tableColumnId="20"/>
      <queryTableField id="120" name="Diff to BL. Trans." tableColumnId="14"/>
      <queryTableField id="126" dataBound="0" tableColumnId="25"/>
      <queryTableField id="121" name="Diff to BL. Long." tableColumnId="24"/>
      <queryTableField id="127" dataBound="0" tableColumnId="26"/>
      <queryTableField id="33" dataBound="0" tableColumnId="5"/>
      <queryTableField id="34" dataBound="0" tableColumnId="6"/>
      <queryTableField id="41" dataBound="0" tableColumnId="9"/>
      <queryTableField id="13" name="Surveyor" tableColumnId="13"/>
      <queryTableField id="115" name="Comment" tableColumnId="2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10" xr16:uid="{F461FD3A-27D2-4A0E-833A-BFF967E0ADD4}" autoFormatId="16" applyNumberFormats="0" applyBorderFormats="0" applyFontFormats="0" applyPatternFormats="0" applyAlignmentFormats="0" applyWidthHeightFormats="0">
  <queryTableRefresh nextId="119" unboundColumnsRight="2">
    <queryTableFields count="22">
      <queryTableField id="1" name="Epoch" tableColumnId="1"/>
      <queryTableField id="2" name="ID" tableColumnId="2"/>
      <queryTableField id="15" name="Target Type" tableColumnId="15"/>
      <queryTableField id="83" name="BL. Easting" tableColumnId="11"/>
      <queryTableField id="84" name="BL. Northing" tableColumnId="16"/>
      <queryTableField id="85" name="BL. Level" tableColumnId="17"/>
      <queryTableField id="45" name="Obs. Easting" tableColumnId="7"/>
      <queryTableField id="46" name="Obs. Northing" tableColumnId="8"/>
      <queryTableField id="47" name="Obs. Height" tableColumnId="12"/>
      <queryTableField id="86" name="Diff to BL. East." tableColumnId="18"/>
      <queryTableField id="43" dataBound="0" tableColumnId="3"/>
      <queryTableField id="87" name="Diff to BL. North." tableColumnId="21"/>
      <queryTableField id="62" dataBound="0" tableColumnId="19"/>
      <queryTableField id="88" name="Diff to BL. Level" tableColumnId="22"/>
      <queryTableField id="63" dataBound="0" tableColumnId="20"/>
      <queryTableField id="33" dataBound="0" tableColumnId="5"/>
      <queryTableField id="34" dataBound="0" tableColumnId="6"/>
      <queryTableField id="41" dataBound="0" tableColumnId="9"/>
      <queryTableField id="13" name="Surveyor" tableColumnId="13"/>
      <queryTableField id="115" name="Comment" tableColumnId="23"/>
      <queryTableField id="117" dataBound="0" tableColumnId="10"/>
      <queryTableField id="116" dataBound="0"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adjustColumnWidth="0" connectionId="12" xr16:uid="{68B9BFB7-3220-42C5-BCC8-3232BD363D38}" autoFormatId="16" applyNumberFormats="0" applyBorderFormats="0" applyFontFormats="0" applyPatternFormats="0" applyAlignmentFormats="0" applyWidthHeightFormats="0">
  <queryTableRefresh nextId="28" unboundColumnsRight="12">
    <queryTableFields count="24">
      <queryTableField id="1" name="Epoch" tableColumnId="1"/>
      <queryTableField id="13" name="Track ID" tableColumnId="13"/>
      <queryTableField id="3" name="LR Track X" tableColumnId="3"/>
      <queryTableField id="4" name="LR Track Y" tableColumnId="4"/>
      <queryTableField id="5" name="LR Track Z" tableColumnId="5"/>
      <queryTableField id="6" name="RR Track X" tableColumnId="6"/>
      <queryTableField id="7" name="RR Track Y" tableColumnId="7"/>
      <queryTableField id="8" name="RR Track Z" tableColumnId="8"/>
      <queryTableField id="9" name="Cant" tableColumnId="9"/>
      <queryTableField id="10" name="Gauge" tableColumnId="10"/>
      <queryTableField id="11" name="Twist (Short)" tableColumnId="11"/>
      <queryTableField id="12" name="Twist (Long)" tableColumnId="12"/>
      <queryTableField id="15" dataBound="0" tableColumnId="14"/>
      <queryTableField id="16" dataBound="0" tableColumnId="15"/>
      <queryTableField id="17" dataBound="0" tableColumnId="16"/>
      <queryTableField id="18" dataBound="0" tableColumnId="17"/>
      <queryTableField id="23" dataBound="0" tableColumnId="22"/>
      <queryTableField id="22" dataBound="0" tableColumnId="21"/>
      <queryTableField id="21" dataBound="0" tableColumnId="20"/>
      <queryTableField id="20" dataBound="0" tableColumnId="19"/>
      <queryTableField id="19" dataBound="0" tableColumnId="18"/>
      <queryTableField id="24" dataBound="0" tableColumnId="2"/>
      <queryTableField id="25" dataBound="0" tableColumnId="23"/>
      <queryTableField id="27" dataBound="0" tableColumnId="2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6" xr16:uid="{AD863EF3-0E3B-4A38-B9BC-5E545AE4B095}" autoFormatId="16" applyNumberFormats="0" applyBorderFormats="0" applyFontFormats="0" applyPatternFormats="0" applyAlignmentFormats="0" applyWidthHeightFormats="0">
  <queryTableRefresh nextId="4">
    <queryTableFields count="3">
      <queryTableField id="1" name="Epoch" tableColumnId="1"/>
      <queryTableField id="2" name="Point Count" tableColumnId="2"/>
      <queryTableField id="3" name="Index" tableColumnId="3"/>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2">
    <v>1990</v>
    <v>1214</v>
  </a>
</arrayData>
</file>

<file path=xl/richData/rdrichvalue.xml><?xml version="1.0" encoding="utf-8"?>
<rvData xmlns="http://schemas.microsoft.com/office/spreadsheetml/2017/richdata" count="4">
  <rv s="0">
    <v>0</v>
    <v>9</v>
  </rv>
  <rv s="1">
    <v>0</v>
  </rv>
  <rv s="2">
    <v>Image</v>
    <v>0</v>
    <v>0</v>
    <v>1</v>
  </rv>
  <rv s="3">
    <v>&lt;class 'PIL.PngImagePlugin.PngImageFile'&gt;</v>
    <v>PngImageFile</v>
    <v>&lt;PIL.PngImagePlugin.PngImageFile image mode=RGBA size=1990x1214 at 0x7FC1EBDD2540&gt;</v>
    <v>2</v>
    <v>1</v>
  </rv>
</rvData>
</file>

<file path=xl/richData/rdrichvaluestructure.xml><?xml version="1.0" encoding="utf-8"?>
<rvStructures xmlns="http://schemas.microsoft.com/office/spreadsheetml/2017/richdata" count="4">
  <s t="_localImage">
    <k n="_rvRel:LocalImageIdentifier" t="i"/>
    <k n="CalcOrigin" t="i"/>
  </s>
  <s t="_array">
    <k n="array" t="a"/>
  </s>
  <s t="_entity">
    <k n="_DisplayString" t="s"/>
    <k n="_Format" t="spb"/>
    <k n="image" t="r"/>
    <k n="size" t="r"/>
  </s>
  <s t="_python">
    <k n="Python_type" t="s"/>
    <k n="Python_typeName" t="s"/>
    <k n="Python_str" t="s"/>
    <k n="preview" t="r"/>
    <k n="_Provider" t="spb"/>
  </s>
</rvStructures>
</file>

<file path=xl/richData/rdsupportingpropertybag.xml><?xml version="1.0" encoding="utf-8"?>
<supportingPropertyBags xmlns="http://schemas.microsoft.com/office/spreadsheetml/2017/richdata2">
  <spbData count="2">
    <spb s="0">
      <v>1</v>
    </spb>
    <spb s="1">
      <v>https://www.anaconda.com/excel</v>
      <v>https://res.cdn.office.net/officepysvc/prod-service/anacondalogo.png</v>
      <v>Python provided by Anaconda</v>
    </spb>
  </spbData>
</supportingPropertyBags>
</file>

<file path=xl/richData/rdsupportingpropertybagstructure.xml><?xml version="1.0" encoding="utf-8"?>
<spbStructures xmlns="http://schemas.microsoft.com/office/spreadsheetml/2017/richdata2" count="2">
  <s>
    <k n="image" t="i"/>
  </s>
  <s>
    <k n="link" t="s"/>
    <k n="logo" t="s"/>
    <k n="na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HeroField" t="b"/>
  </richProperties>
  <richStyles>
    <rSty>
      <rpv i="0">1</rpv>
    </rSty>
  </richStyles>
</richStyleSheet>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poch" xr10:uid="{733902DD-37AC-4322-BAAF-7BDC771546F6}" sourceName="Epoch">
  <extLst>
    <x:ext xmlns:x15="http://schemas.microsoft.com/office/spreadsheetml/2010/11/main" uri="{2F2917AC-EB37-4324-AD4E-5DD8C200BD13}">
      <x15:tableSlicerCache tableId="5" column="1" sortOrder="descending"/>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 xr10:uid="{6702E99F-1746-4B8C-8F8E-1BE4CF64D022}" sourceName="ID">
  <extLst>
    <x:ext xmlns:x15="http://schemas.microsoft.com/office/spreadsheetml/2010/11/main" uri="{2F2917AC-EB37-4324-AD4E-5DD8C200BD13}">
      <x15:tableSlicerCache tableId="5"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1" xr10:uid="{1E307286-2B41-4694-A852-7939CB10F2B1}" sourceName="Sensor ID">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2" xr10:uid="{8921519D-711B-4108-B73B-5CBAC7EA175A}" sourceName="ID">
  <extLst>
    <x:ext xmlns:x15="http://schemas.microsoft.com/office/spreadsheetml/2010/11/main" uri="{2F2917AC-EB37-4324-AD4E-5DD8C200BD13}">
      <x15:tableSlicerCache tableId="6" column="2"/>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poch1" xr10:uid="{3C1F5121-8387-4289-8E62-0E01F5D2D121}" sourceName="Epoch">
  <extLst>
    <x:ext xmlns:x15="http://schemas.microsoft.com/office/spreadsheetml/2010/11/main" uri="{2F2917AC-EB37-4324-AD4E-5DD8C200BD13}">
      <x15:tableSlicerCache tableId="11" column="1" sortOrder="descending"/>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3" xr10:uid="{0FD7633C-9131-41E6-9DB4-9AEE6BB5657C}" sourceName="ID">
  <extLst>
    <x:ext xmlns:x15="http://schemas.microsoft.com/office/spreadsheetml/2010/11/main" uri="{2F2917AC-EB37-4324-AD4E-5DD8C200BD13}">
      <x15:tableSlicerCache tableId="11"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ID" xr10:uid="{27F077AD-22F3-410D-B73A-F04DC225DB0E}" sourceName="Track ID">
  <extLst>
    <x:ext xmlns:x15="http://schemas.microsoft.com/office/spreadsheetml/2010/11/main" uri="{2F2917AC-EB37-4324-AD4E-5DD8C200BD13}">
      <x15:tableSlicerCache tableId="12" column="1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D 1" xr10:uid="{D2ADB414-A24A-4E6C-8E7B-874F8CC11F1F}" cache="Slicer_ID1" caption="Sensor ID" style="SlicerStyleLight4 2"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poch" xr10:uid="{1EBF88E9-49A8-42B7-A51D-310B8945CAC6}" cache="Slicer_Epoch" caption="Epoch" columnCount="2" style="SlicerStyleLight4 2" rowHeight="225425"/>
  <slicer name="ID" xr10:uid="{87545071-6A32-47E7-A0BF-316D20780A2C}" cache="Slicer_ID" caption="ID" columnCount="2" style="SlicerStyleLight4 2"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poch 1" xr10:uid="{F859A601-8DB8-4504-9DBC-042E3818B9AF}" cache="Slicer_Epoch" caption="Epoch" columnCount="2" style="SlicerStyleLight4 2" rowHeight="225425"/>
  <slicer name="ID 2" xr10:uid="{C8B5D95F-3899-44EB-A479-583FDC51E601}" cache="Slicer_ID" caption="ID" columnCount="2" style="SlicerStyleLight4 2"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poch 3" xr10:uid="{2A4AF027-7DEF-4CA7-B60A-078F014D894E}" cache="Slicer_Epoch1" caption="Epoch" columnCount="2" style="SlicerStyleLight4 2" rowHeight="225425"/>
  <slicer name="ID 5" xr10:uid="{6E64485B-240D-4BB0-93F8-D0CC6D8F60FF}" cache="Slicer_ID3" caption="ID" columnCount="2" style="SlicerStyleLight4 2" rowHeight="22542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D 3" xr10:uid="{9EEA8F67-3395-44B8-8B14-2B4D18FB5678}" cache="Slicer_ID2" caption="ID" columnCount="2" style="SlicerStyleLight4 2" rowHeight="22542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 ID" xr10:uid="{63142B6C-BA93-4510-8E60-C105C4F0EB21}" cache="Slicer_Track_ID" caption="Track ID"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6238036-1F11-47A0-A6DB-13FC3CF4E7D4}" name="Table_Geographic" displayName="Table_Geographic" ref="A1:F23" tableType="queryTable" totalsRowShown="0">
  <autoFilter ref="A1:F23" xr:uid="{66238036-1F11-47A0-A6DB-13FC3CF4E7D4}"/>
  <tableColumns count="6">
    <tableColumn id="1" xr3:uid="{5D440AEA-0852-44C3-A3D4-16117DB47927}" uniqueName="1" name="Sensor ID" queryTableFieldId="1" dataDxfId="265"/>
    <tableColumn id="2" xr3:uid="{2B1B5E21-B2D3-465E-89AF-3BCF9321DB6E}" uniqueName="2" name="Easting [m]" queryTableFieldId="2"/>
    <tableColumn id="3" xr3:uid="{4FD8FBA9-193E-4580-AB32-27444EC0BA8A}" uniqueName="3" name="Northing [m]" queryTableFieldId="3"/>
    <tableColumn id="4" xr3:uid="{7F597C4A-272C-4EBF-A463-6E65F70ADB7F}" uniqueName="4" name="Level [m]" queryTableFieldId="4"/>
    <tableColumn id="5" xr3:uid="{A4D92F29-79DB-4248-A6A8-9CC110DFBC31}" uniqueName="5" name="GridToGeographic.Latitude" queryTableFieldId="5"/>
    <tableColumn id="6" xr3:uid="{13F8A058-C3F9-4BC7-A323-7A718BBF1966}" uniqueName="6" name="GridToGeographic.Longitud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C4134D-8D8A-43DE-8673-6171898093EC}" name="Table_Calibration" displayName="Table_Calibration" ref="A1:C155" tableType="queryTable" totalsRowShown="0">
  <autoFilter ref="A1:C155" xr:uid="{41C4134D-8D8A-43DE-8673-6171898093EC}"/>
  <tableColumns count="3">
    <tableColumn id="1" xr3:uid="{4D8E31C3-1E1B-430D-B058-BFB70F6DACD2}" uniqueName="1" name="Sensor ID" queryTableFieldId="1" dataDxfId="264"/>
    <tableColumn id="2" xr3:uid="{5EE21758-3AB4-4195-8F6F-5115C6EBF11C}" uniqueName="2" name="Attribute" queryTableFieldId="2" dataDxfId="263"/>
    <tableColumn id="3" xr3:uid="{6B7705B6-489B-4F7C-AF80-6FBDBFF05ADD}" uniqueName="3" name="Value"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2D43BC2-AB30-4262-A3C8-B37F9AD07660}" name="Table_Baseline__2" displayName="Table_Baseline__2" ref="A1:K23" tableType="queryTable" totalsRowShown="0">
  <autoFilter ref="A1:K23" xr:uid="{02D43BC2-AB30-4262-A3C8-B37F9AD07660}"/>
  <tableColumns count="11">
    <tableColumn id="1" xr3:uid="{F586B63D-066D-40FC-AF3E-271F43291F45}" uniqueName="1" name="Sensor ID" queryTableFieldId="1" dataDxfId="262"/>
    <tableColumn id="2" xr3:uid="{88E424C6-4F38-4C7B-99AB-A4C2086E0530}" uniqueName="2" name="Easting [m]" queryTableFieldId="2"/>
    <tableColumn id="3" xr3:uid="{B53E12D1-CBCA-42D5-89B7-63B1917F7E13}" uniqueName="3" name="Northing [m]" queryTableFieldId="3"/>
    <tableColumn id="4" xr3:uid="{D4794DD0-07F2-417F-9599-D095BE941A10}" uniqueName="4" name="Level [m]" queryTableFieldId="4"/>
    <tableColumn id="5" xr3:uid="{90AD40A9-9846-425C-94FB-17B5E6F5E8AD}" uniqueName="5" name="Point Name" queryTableFieldId="5"/>
    <tableColumn id="6" xr3:uid="{AA3436C5-38E2-43D5-B4A3-8FB4B76BD624}" uniqueName="6" name="Track Code" queryTableFieldId="6"/>
    <tableColumn id="7" xr3:uid="{5F1788B8-364B-48D0-B044-89A420C09F00}" uniqueName="7" name="Track Chainage" queryTableFieldId="7"/>
    <tableColumn id="8" xr3:uid="{C25669DA-1A4D-43E8-A429-B12D89A2DDA7}" uniqueName="8" name="Track Side" queryTableFieldId="8"/>
    <tableColumn id="9" xr3:uid="{1B154117-C16B-4B95-A48F-2C9F851D2546}" uniqueName="9" name="Offset X" queryTableFieldId="9"/>
    <tableColumn id="10" xr3:uid="{54E60EFE-6DAC-401B-816D-0C95DEB0F373}" uniqueName="10" name="Offset Y" queryTableFieldId="10"/>
    <tableColumn id="11" xr3:uid="{18BF092C-86E7-47EF-AAB9-00CA386A338D}" uniqueName="11" name="Offset Z" queryTableField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7597EE-546D-4B5A-807C-27590D4ECED3}" name="Table_Baseline" displayName="Table_Baseline" ref="K12:T34" totalsRowShown="0" headerRowDxfId="261" dataDxfId="259" headerRowBorderDxfId="260" tableBorderDxfId="258" totalsRowBorderDxfId="257">
  <autoFilter ref="K12:T34" xr:uid="{5BF9241C-10E3-4B32-B220-A412C571D94E}"/>
  <tableColumns count="10">
    <tableColumn id="1" xr3:uid="{4076FA1E-2870-461E-BF23-C0E4D7EDEAB7}" name="Sensor ID" dataDxfId="256"/>
    <tableColumn id="8" xr3:uid="{0FD00626-79DF-4599-827C-DFC03E082ACB}" name="Baseline Date" dataDxfId="255"/>
    <tableColumn id="2" xr3:uid="{A91DC740-5E34-4CA3-8741-20AD259A2ACD}" name="Easting [m]" dataDxfId="254"/>
    <tableColumn id="3" xr3:uid="{4C8C03B2-DF5C-45B9-930E-D916E18E6F85}" name="Northing [m]" dataDxfId="253"/>
    <tableColumn id="4" xr3:uid="{E5841A0F-AB99-4F78-B23E-733EC742EC30}" name="Level [m]" dataDxfId="252"/>
    <tableColumn id="7" xr3:uid="{1B135326-4723-45E6-B348-9C0CC6255A31}" name="Type" dataDxfId="251"/>
    <tableColumn id="6" xr3:uid="{3847641F-9695-4B8A-882F-1B28C747FF5E}" name="Reference Angle [Deg]" dataDxfId="250"/>
    <tableColumn id="9" xr3:uid="{17511DF7-3470-48F6-B75B-A28D005C9B97}" name="Fixing Type" dataDxfId="249"/>
    <tableColumn id="10" xr3:uid="{FB561858-F5AC-4DDC-90DD-6649E779D8FE}" name="Calculations" dataDxfId="248"/>
    <tableColumn id="5" xr3:uid="{6E716D61-EFF5-45D3-9D6C-A61AB006817C}" name="Notes" dataDxfId="247"/>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EC68272-DE6F-4724-A4B9-FA8C821B26F5}" name="Table_Design" displayName="Table_Design" ref="B12:I40" totalsRowShown="0" headerRowDxfId="246" dataDxfId="244" headerRowBorderDxfId="245" tableBorderDxfId="243" totalsRowBorderDxfId="242" headerRowCellStyle="Check Cell">
  <autoFilter ref="B12:I40" xr:uid="{4EC68272-DE6F-4724-A4B9-FA8C821B26F5}"/>
  <tableColumns count="8">
    <tableColumn id="1" xr3:uid="{27B68AE1-616F-443C-9DDC-3AEA7EAF9B83}" name="ID" dataDxfId="241"/>
    <tableColumn id="2" xr3:uid="{776CF5B4-E85C-4A0A-8662-AAA0D8D85BB6}" name="Easting [m]" dataDxfId="240"/>
    <tableColumn id="3" xr3:uid="{0ECE84B6-2C39-46F3-9664-859609F340DA}" name="Northing [m]" dataDxfId="239"/>
    <tableColumn id="4" xr3:uid="{52FD96D4-6C6B-4119-929D-C99D26603315}" name="Level [m]" dataDxfId="238"/>
    <tableColumn id="6" xr3:uid="{1C0D7539-4D5B-4DA1-A94D-CEC8BA921F75}" name="Structure Name" dataDxfId="237"/>
    <tableColumn id="8" xr3:uid="{1004575B-E09D-4602-BAC9-D8BCE7DAA585}" name="Section" dataDxfId="236"/>
    <tableColumn id="7" xr3:uid="{4926155E-F27C-47F7-9102-76DFF5B9A4EA}" name="Chainage [m]" dataDxfId="235"/>
    <tableColumn id="5" xr3:uid="{64404A7E-44D1-402D-99A9-EFEC90BB8A72}" name="Notes" dataDxfId="234"/>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CB5C5F-BA68-41BE-BA8C-1B7B7060503C}" name="Table_Design11" displayName="Table_Design11" ref="B12:M13" totalsRowShown="0" headerRowDxfId="233" dataDxfId="231" headerRowBorderDxfId="232" tableBorderDxfId="230" totalsRowBorderDxfId="229" headerRowCellStyle="Check Cell">
  <autoFilter ref="B12:M13" xr:uid="{4EC68272-DE6F-4724-A4B9-FA8C821B26F5}"/>
  <tableColumns count="12">
    <tableColumn id="1" xr3:uid="{7EE7831F-6B6D-463C-AA4E-C81D3E278DC6}" name="Date " dataDxfId="228" dataCellStyle="Normal 5"/>
    <tableColumn id="2" xr3:uid="{2D29AED9-42F6-43E3-A7A1-91FF3D04C5BF}" name="Purpose" dataDxfId="227"/>
    <tableColumn id="4" xr3:uid="{031FD298-8A2D-4A01-8051-9D265685174E}" name="Equipment used" dataDxfId="226"/>
    <tableColumn id="6" xr3:uid="{3A07ED86-3C43-43FE-A328-ABAB7241A659}" name="Last Calibration" dataDxfId="225"/>
    <tableColumn id="8" xr3:uid="{E1E9B013-0D22-4559-B39F-B6F772A2F63E}" name="Control used" dataDxfId="224"/>
    <tableColumn id="7" xr3:uid="{433F1BB0-0051-4F2D-A0CF-A2D96FFD3920}" name="Control not used" dataDxfId="223"/>
    <tableColumn id="5" xr3:uid="{389EE03C-F669-421E-A33A-9C494EFF4902}" name="Are the monitoring points clear of vegitation or other obstruction?" dataDxfId="222"/>
    <tableColumn id="9" xr3:uid="{FCD82051-163B-4812-9245-1AA745614CEE}" name="Have the battery limits / wall been washed down?" dataDxfId="221"/>
    <tableColumn id="10" xr3:uid="{716C4CD6-46A9-4707-8AE4-1ADF1A102CBA}" name="Maintenance undertaken" dataDxfId="220"/>
    <tableColumn id="11" xr3:uid="{A4192194-7851-47DE-9CDE-7A219A69B43C}" name="Maintenance required/suggested" dataDxfId="219"/>
    <tableColumn id="12" xr3:uid="{2F1A589F-3CFB-43B1-9533-43611BCE2473}" name="General site conditions" dataDxfId="218"/>
    <tableColumn id="13" xr3:uid="{4D630ACE-D7C0-446C-BDC1-D0A87D83137E}" name="Frustrations experience" dataDxfId="217"/>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5DED84-D386-4C4D-9CD0-2924994D9A0B}" name="Readings" displayName="Readings" ref="D12:V1231" totalsRowShown="0" headerRowDxfId="216" dataDxfId="214" headerRowBorderDxfId="215" tableBorderDxfId="213" totalsRowBorderDxfId="212">
  <autoFilter ref="D12:V1231" xr:uid="{53F0BF4A-ADB5-4BC9-868B-C7399817901F}"/>
  <sortState xmlns:xlrd2="http://schemas.microsoft.com/office/spreadsheetml/2017/richdata2" ref="D13:V251">
    <sortCondition ref="D12:D251"/>
  </sortState>
  <tableColumns count="19">
    <tableColumn id="1" xr3:uid="{350ACA53-45F5-4773-983B-F271AADEFD4D}" name="Epoch" dataDxfId="211" dataCellStyle="Normal 5"/>
    <tableColumn id="2" xr3:uid="{AC592679-03C9-426A-96DD-2C274E25B3EC}" name="Sensor ID" dataDxfId="210" dataCellStyle="Normal 5"/>
    <tableColumn id="3" xr3:uid="{94E4374B-5BDC-4323-BD3A-C1449A5A5243}" name="Obs. X" dataDxfId="209" dataCellStyle="Normal 5"/>
    <tableColumn id="4" xr3:uid="{493C2512-3640-4B0D-9843-385DA4E36FD1}" name="Obs. Y" dataDxfId="208" dataCellStyle="Normal 5"/>
    <tableColumn id="5" xr3:uid="{E90AFAFA-077C-4AEF-8D62-4326D10D485F}" name="Obs. Z" dataDxfId="207" dataCellStyle="Normal 5"/>
    <tableColumn id="6" xr3:uid="{C1B7F280-A1FD-4BBE-B2A4-DD0ADAC02452}" name="Surveyor" dataDxfId="206" dataCellStyle="Normal 5"/>
    <tableColumn id="19" xr3:uid="{C1F73BCC-AFB3-4096-B505-1E268960C3E3}" name="Survey Method" dataDxfId="205" dataCellStyle="Normal 5"/>
    <tableColumn id="7" xr3:uid="{027995C4-C495-4435-BD8A-FEE9BB69C2F6}" name="Temperature" dataDxfId="204" dataCellStyle="Normal 5"/>
    <tableColumn id="8" xr3:uid="{355F1EA7-6382-42CD-A8DA-01DD84CA07ED}" name="Pressure" dataDxfId="203" dataCellStyle="Normal 5"/>
    <tableColumn id="9" xr3:uid="{3C02813D-3D7D-40A7-9D31-F5553D2EEB6C}" name="Humidity" dataDxfId="202" dataCellStyle="Normal 5"/>
    <tableColumn id="10" xr3:uid="{F8525D2E-1B60-4941-A740-34517914976B}" name="User Comment" dataDxfId="201" dataCellStyle="Normal 5"/>
    <tableColumn id="11" xr3:uid="{223C26B1-DBC0-489F-8F39-460D37A91960}" name="Diff E" dataDxfId="200">
      <calculatedColumnFormula>IFERROR(IF(Readings[[#This Row],[Obs. X]]="","-",Readings[[#This Row],[Obs. X]]-_xlfn.XLOOKUP(Readings[[#This Row],[Sensor ID]],Table_Baseline[Sensor ID],Table_Baseline[Easting '[m']],"-")),"-")</calculatedColumnFormula>
    </tableColumn>
    <tableColumn id="12" xr3:uid="{55200686-1E37-4703-A9D1-530997ABE3F6}" name="Diff N" dataDxfId="199">
      <calculatedColumnFormula>IFERROR(IF(Readings[[#This Row],[Obs. Y]]="","-",Readings[[#This Row],[Obs. Y]]-_xlfn.XLOOKUP(Readings[[#This Row],[Sensor ID]],Table_Baseline[Sensor ID],Table_Baseline[Northing '[m']],"-")),"-")</calculatedColumnFormula>
    </tableColumn>
    <tableColumn id="13" xr3:uid="{EB38810E-408F-4129-97C4-751D76ECD3FC}" name="Diff L" dataDxfId="198">
      <calculatedColumnFormula>IFERROR(IF(Readings[[#This Row],[Obs. Z]]="","-",Readings[[#This Row],[Obs. Z]]-_xlfn.XLOOKUP(Readings[[#This Row],[Sensor ID]],Table_Baseline[Sensor ID],Table_Baseline[Level '[m']],"-")),"-")</calculatedColumnFormula>
    </tableColumn>
    <tableColumn id="14" xr3:uid="{70E5A48E-D0F2-4707-AF4A-1C5742D5B0A8}" name="Transverse Diff to BL" dataDxfId="197">
      <calculatedColumnFormula>IFERROR(IF(Readings[[#This Row],[Reference Angle]]="-","-",(Readings[[#This Row],[Diff E]]*COS(RADIANS(Readings[[#This Row],[Reference Angle]]))-Readings[[#This Row],[Diff N]]*SIN(RADIANS(Readings[[#This Row],[Reference Angle]])))),"-")</calculatedColumnFormula>
    </tableColumn>
    <tableColumn id="15" xr3:uid="{C1538F64-B3C2-4980-B5C6-2DCD26BAA350}" name="Longitudinal Diff to BL" dataDxfId="196">
      <calculatedColumnFormula>IFERROR(IF(Readings[[#This Row],[Reference Angle]]="-","-",(Readings[[#This Row],[Diff E]]*SIN(RADIANS(Readings[[#This Row],[Reference Angle]]))+Readings[[#This Row],[Diff N]]*COS(RADIANS(Readings[[#This Row],[Reference Angle]])))),"-")</calculatedColumnFormula>
    </tableColumn>
    <tableColumn id="16" xr3:uid="{C140DC57-45B7-4686-8371-627579B207B8}" name="Reference Angle" dataDxfId="195">
      <calculatedColumnFormula>IFERROR(VLOOKUP(Readings[[#This Row],[Sensor ID]],Table_Baseline[],COLUMNS(Table_Baseline[[#Headers],[Sensor ID]:[Reference Angle '[Deg']]]),FALSE),"-")</calculatedColumnFormula>
    </tableColumn>
    <tableColumn id="17" xr3:uid="{568A7AC1-3F0D-450D-BBD4-486A1946BC10}" name="Key" dataDxfId="194">
      <calculatedColumnFormula>Readings[[#This Row],[Sensor ID]]&amp;"-"&amp;Readings[[#This Row],[Epoch]]</calculatedColumnFormula>
    </tableColumn>
    <tableColumn id="18" xr3:uid="{07C144FF-B230-46F8-BA0D-D603930965E8}" name="Survey Change" dataDxfId="193">
      <calculatedColumnFormula>IF(Readings[[#This Row],[Epoch]]=OFFSET(Readings[[#This Row],[Epoch]],-1,0),0,1)</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57BE693-6792-4D58-AD28-85015854277D}" name="ReportSummary___XYZ" displayName="ReportSummary___XYZ" ref="G10:AA193" tableType="queryTable" totalsRowShown="0" headerRowDxfId="192" dataDxfId="190" headerRowBorderDxfId="191" tableBorderDxfId="189" totalsRowBorderDxfId="188">
  <autoFilter ref="G10:AA193" xr:uid="{280E1DE9-7566-4F5F-91DA-0E601DF82862}"/>
  <tableColumns count="21">
    <tableColumn id="1" xr3:uid="{3ACDA15E-FAAD-4277-82AF-EB545DD74761}" uniqueName="1" name="Epoch" queryTableFieldId="1" dataDxfId="187"/>
    <tableColumn id="2" xr3:uid="{140E5B5A-4374-42D3-89EE-F0A8353F58A5}" uniqueName="2" name="ID" queryTableFieldId="2" dataDxfId="186"/>
    <tableColumn id="4" xr3:uid="{EE0B7A0B-3017-4718-98B7-B641A9302BDF}" uniqueName="4" name="Strucutre Name" queryTableFieldId="116" dataDxfId="185">
      <calculatedColumnFormula>_xlfn.XLOOKUP(ReportSummary___XYZ[[#This Row],[ID]],Table_Design[ID],Table_Design[Structure Name])</calculatedColumnFormula>
    </tableColumn>
    <tableColumn id="10" xr3:uid="{F9CC936F-5397-4439-8A4B-B0B1421298CB}" uniqueName="10" name="Chainage [m]" queryTableFieldId="117" dataDxfId="184">
      <calculatedColumnFormula>_xlfn.XLOOKUP(ReportSummary___XYZ[[#This Row],[ID]],Table_Design[ID],Table_Design[Chainage '[m']])</calculatedColumnFormula>
    </tableColumn>
    <tableColumn id="11" xr3:uid="{771B175B-60A6-435F-9E94-5A64F37AADE7}" uniqueName="11" name="BL. Easting" queryTableFieldId="83" dataDxfId="183"/>
    <tableColumn id="16" xr3:uid="{3606149B-A144-46F4-B107-230C772827E8}" uniqueName="16" name="BL. Northing" queryTableFieldId="84" dataDxfId="182"/>
    <tableColumn id="17" xr3:uid="{985CF821-3631-4327-AAD5-2616F4290D3A}" uniqueName="17" name="BL. Level" queryTableFieldId="85" dataDxfId="181"/>
    <tableColumn id="7" xr3:uid="{7256D594-D9EA-411B-AA8E-84DF8F64F7F4}" uniqueName="7" name="Obs. Easting" queryTableFieldId="45" dataDxfId="180"/>
    <tableColumn id="8" xr3:uid="{CEA7F0A8-50E9-448D-BCFD-BC2E19C59E54}" uniqueName="8" name="Obs. Northing" queryTableFieldId="46" dataDxfId="179"/>
    <tableColumn id="12" xr3:uid="{7DF45CDC-2C20-4AB9-86EA-B227FB7C623A}" uniqueName="12" name="Obs. Height" queryTableFieldId="47" dataDxfId="178"/>
    <tableColumn id="18" xr3:uid="{DF653C05-9168-4E2B-AA67-C51F495506C1}" uniqueName="18" name="Diff to BL. East." queryTableFieldId="86" dataDxfId="177"/>
    <tableColumn id="3" xr3:uid="{EE10FE79-5EDC-40BC-8831-596477EF1F28}" uniqueName="3" name="Alarm East." queryTableFieldId="43" dataDxfId="176">
      <calculatedColumnFormula array="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calculatedColumnFormula>
    </tableColumn>
    <tableColumn id="21" xr3:uid="{3C4C81EC-07B0-4249-9CBF-1B48B3677C2A}" uniqueName="21" name="Diff to BL. North." queryTableFieldId="87" dataDxfId="175"/>
    <tableColumn id="19" xr3:uid="{82BD3FCE-5359-47BB-AA68-71C8799B85BE}" uniqueName="19" name="Alarm North." queryTableFieldId="62" dataDxfId="174">
      <calculatedColumnFormula array="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calculatedColumnFormula>
    </tableColumn>
    <tableColumn id="22" xr3:uid="{D68D96F7-DC31-4A7C-974C-65603CF1E6DF}" uniqueName="22" name="Diff to BL. Level" queryTableFieldId="88" dataDxfId="173"/>
    <tableColumn id="20" xr3:uid="{E3D8E67E-D0FD-4DC4-B7EE-E5360AB1CF9D}" uniqueName="20" name="Alarm Level" queryTableFieldId="63" dataDxfId="172">
      <calculatedColumnFormula array="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calculatedColumnFormula>
    </tableColumn>
    <tableColumn id="5" xr3:uid="{A0F0C557-E0E8-455F-BE5D-E5F536367BEB}" uniqueName="5" name="Diff to Last East." queryTableFieldId="33" dataDxfId="171">
      <calculatedColumnFormula>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calculatedColumnFormula>
    </tableColumn>
    <tableColumn id="6" xr3:uid="{4EB44A74-2F36-492E-8F28-8401343ECABB}" uniqueName="6" name="Diff to Last North." queryTableFieldId="34" dataDxfId="170">
      <calculatedColumnFormula>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calculatedColumnFormula>
    </tableColumn>
    <tableColumn id="9" xr3:uid="{508A6122-F68B-476D-95CC-C9B3BE231EA4}" uniqueName="9" name="Diff  to Last Level" queryTableFieldId="41" dataDxfId="169">
      <calculatedColumnFormula>_xlfn.LET(
_xlpm.CurrentReading,ReportSummary___XYZ[[#This Row],[Obs. Height]],
_xlpm.LastReading,_xlfn.XLOOKUP(ReportSummary___XYZ[[#This Row],[ID]]&amp;"-"&amp;LastSurvey,Readings[Key],Readings[Obs. Z],"-"),
IFERROR(IF(OR(_xlpm.LastReading=0, ISBLANK(_xlpm.LastReading), ISBLANK(_xlpm.CurrentReading)),"-", _xlpm.CurrentReading-_xlpm.LastReading),"-"))</calculatedColumnFormula>
    </tableColumn>
    <tableColumn id="13" xr3:uid="{EFBA59ED-B6FE-4483-88A2-DB8AF55F5742}" uniqueName="13" name="Surveyor" queryTableFieldId="13" dataDxfId="168"/>
    <tableColumn id="23" xr3:uid="{E1A4C99D-5BA4-441F-94C2-E41FD2A0F299}" uniqueName="23" name="Comment" queryTableFieldId="115" dataDxfId="167"/>
  </tableColumns>
  <tableStyleInfo name="TableStyleLight1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ED644D6-E340-4B87-8206-6525865AB45E}" name="ReportSummary___XYZ___TL" displayName="ReportSummary___XYZ___TL" ref="G10:AD193" tableType="queryTable" totalsRowShown="0" headerRowDxfId="166" dataDxfId="164" headerRowBorderDxfId="165" tableBorderDxfId="163" totalsRowBorderDxfId="162">
  <autoFilter ref="G10:AD193" xr:uid="{280E1DE9-7566-4F5F-91DA-0E601DF82862}"/>
  <tableColumns count="24">
    <tableColumn id="1" xr3:uid="{6193DBFF-E196-4A21-A1F7-CF2271E3B38F}" uniqueName="1" name="Epoch" queryTableFieldId="1" dataDxfId="161"/>
    <tableColumn id="2" xr3:uid="{4BEACDC2-C6D4-4EB6-81CD-1B33E1F4E8AB}" uniqueName="2" name="ID" queryTableFieldId="2" dataDxfId="160"/>
    <tableColumn id="15" xr3:uid="{32191B36-9621-4BC6-8CE4-3950214AE0B2}" uniqueName="15" name="Target Type" queryTableFieldId="15" dataDxfId="159"/>
    <tableColumn id="11" xr3:uid="{A9ED623F-B359-4E6D-B0BC-92DBCE450D76}" uniqueName="11" name="BL. Easting" queryTableFieldId="83" dataDxfId="158"/>
    <tableColumn id="16" xr3:uid="{C18589D0-B67C-49C3-B2CA-DD9C254A029D}" uniqueName="16" name="BL. Northing" queryTableFieldId="84" dataDxfId="157"/>
    <tableColumn id="17" xr3:uid="{420DE09F-68FF-4144-807D-54AD380DA527}" uniqueName="17" name="BL. Level" queryTableFieldId="85" dataDxfId="156"/>
    <tableColumn id="7" xr3:uid="{DF19996F-B965-4866-8E70-415E893AC58E}" uniqueName="7" name="Obs. Easting" queryTableFieldId="45" dataDxfId="155"/>
    <tableColumn id="8" xr3:uid="{E3350A72-9C96-40F9-9FE8-5BCC172DE4CC}" uniqueName="8" name="Obs. Northing" queryTableFieldId="46" dataDxfId="154"/>
    <tableColumn id="12" xr3:uid="{3FA2A670-5098-4827-AD96-09FB96E58B7F}" uniqueName="12" name="Obs. Height" queryTableFieldId="47" dataDxfId="153"/>
    <tableColumn id="18" xr3:uid="{8EAE2270-BE96-4F52-9455-A6AFB0762375}" uniqueName="18" name="Diff to BL. East." queryTableFieldId="86" dataDxfId="152"/>
    <tableColumn id="3" xr3:uid="{13F1957B-BF98-4607-9C62-0A8B28545FAE}" uniqueName="3" name="Alarm East." queryTableFieldId="43" dataDxfId="151">
      <calculatedColumnFormula array="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calculatedColumnFormula>
    </tableColumn>
    <tableColumn id="21" xr3:uid="{032FF0C2-831C-417E-B9CD-4E2577382D33}" uniqueName="21" name="Diff to BL. North." queryTableFieldId="87" dataDxfId="150"/>
    <tableColumn id="19" xr3:uid="{F74D4E9A-F966-4800-9B0E-55491F66E229}" uniqueName="19" name="Alarm North." queryTableFieldId="62" dataDxfId="149">
      <calculatedColumnFormula array="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calculatedColumnFormula>
    </tableColumn>
    <tableColumn id="22" xr3:uid="{EA1D3F06-4608-4A7C-89DC-86BE1CC2C6D7}" uniqueName="22" name="Diff to BL. Level" queryTableFieldId="88" dataDxfId="148"/>
    <tableColumn id="20" xr3:uid="{97E0DD36-4DEA-47E5-A8A9-E74733D62372}" uniqueName="20" name="Alarm Level" queryTableFieldId="63" dataDxfId="147">
      <calculatedColumnFormula array="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calculatedColumnFormula>
    </tableColumn>
    <tableColumn id="14" xr3:uid="{F3358831-3E80-46BF-840D-7B8F1968B6A0}" uniqueName="14" name="Diff to BL. Trans." queryTableFieldId="120" dataDxfId="146"/>
    <tableColumn id="25" xr3:uid="{F39893C3-E376-4916-8D28-1F92B97E6462}" uniqueName="25" name="Alarm Trans." queryTableFieldId="126" dataDxfId="145">
      <calculatedColumnFormula array="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calculatedColumnFormula>
    </tableColumn>
    <tableColumn id="24" xr3:uid="{C9AD3015-DEBF-4865-98FD-E259EA01E34D}" uniqueName="24" name="Diff to BL. Long." queryTableFieldId="121" dataDxfId="144"/>
    <tableColumn id="26" xr3:uid="{DEB10EA6-E8CE-49BD-95FC-8260D50F4DF6}" uniqueName="26" name="Alarm Long." queryTableFieldId="127" dataDxfId="143">
      <calculatedColumnFormula array="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calculatedColumnFormula>
    </tableColumn>
    <tableColumn id="5" xr3:uid="{7A9BEED0-0D49-4F9F-A8FD-188F405B00A3}" uniqueName="5" name="Diff to Last East." queryTableFieldId="33" dataDxfId="142">
      <calculatedColumnFormula>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calculatedColumnFormula>
    </tableColumn>
    <tableColumn id="6" xr3:uid="{D66D5F41-CB9E-4937-824A-2560F9D5A50A}" uniqueName="6" name="Diff to Last North." queryTableFieldId="34" dataDxfId="141">
      <calculatedColumnFormula>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calculatedColumnFormula>
    </tableColumn>
    <tableColumn id="9" xr3:uid="{28358338-A4E3-46AE-BD5D-EA4B3BD6B63C}" uniqueName="9" name="Diff  to Last Level" queryTableFieldId="41" dataDxfId="140">
      <calculatedColumnFormula>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calculatedColumnFormula>
    </tableColumn>
    <tableColumn id="13" xr3:uid="{FEB01E45-BBC8-46F8-AD27-A795F4C2B716}" uniqueName="13" name="Surveyor" queryTableFieldId="13" dataDxfId="139"/>
    <tableColumn id="23" xr3:uid="{CB482F29-4E30-4FE6-B96D-9770F30E2DA4}" uniqueName="23" name="Comment" queryTableFieldId="115" dataDxfId="138"/>
  </tableColumns>
  <tableStyleInfo name="TableStyleLight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920F737-676F-48F5-ABBB-13AFB9351484}" name="ReportSummary___QR_SAUP" displayName="ReportSummary___QR_SAUP" ref="G10:AE193" tableType="queryTable" totalsRowShown="0" headerRowDxfId="137" dataDxfId="135" headerRowBorderDxfId="136" tableBorderDxfId="134" totalsRowBorderDxfId="133">
  <autoFilter ref="G10:AE193" xr:uid="{280E1DE9-7566-4F5F-91DA-0E601DF82862}"/>
  <tableColumns count="25">
    <tableColumn id="1" xr3:uid="{76F90192-FC7C-41E6-9D81-DE5FFB0D7D53}" uniqueName="1" name="Epoch" queryTableFieldId="1" dataDxfId="132"/>
    <tableColumn id="2" xr3:uid="{8C069BF9-F0C4-4A35-BE24-10080D0DC523}" uniqueName="2" name="ID" queryTableFieldId="2" dataDxfId="131"/>
    <tableColumn id="4" xr3:uid="{C85CEE2E-A8E6-401B-A02D-C000643E37DA}" uniqueName="4" name="BL. Date" queryTableFieldId="128" dataDxfId="130"/>
    <tableColumn id="11" xr3:uid="{16015B59-3DB5-4154-84C8-78DBE8D0F87A}" uniqueName="11" name="BL. Easting" queryTableFieldId="83" dataDxfId="129"/>
    <tableColumn id="16" xr3:uid="{5C02FF54-AA7C-4191-B1D8-25B0D7E3DB9B}" uniqueName="16" name="BL. Northing" queryTableFieldId="84" dataDxfId="128"/>
    <tableColumn id="17" xr3:uid="{3E6A2A43-1853-4F2A-9E15-CD98767E006E}" uniqueName="17" name="BL. Level" queryTableFieldId="85" dataDxfId="127"/>
    <tableColumn id="7" xr3:uid="{07FED053-3B4A-4BC5-AFB5-C4182401B41D}" uniqueName="7" name="Obs. Easting" queryTableFieldId="45" dataDxfId="126"/>
    <tableColumn id="8" xr3:uid="{8CED906C-9EBD-42DD-A703-0EE6902E0AAD}" uniqueName="8" name="Obs. Northing" queryTableFieldId="46" dataDxfId="125"/>
    <tableColumn id="12" xr3:uid="{CBDE34ED-6E3B-4DC1-8C8A-FE9DFDD599E0}" uniqueName="12" name="Obs. Height" queryTableFieldId="47" dataDxfId="124"/>
    <tableColumn id="10" xr3:uid="{EF812C7F-06C5-48C6-9B02-B02B8931E0BA}" uniqueName="10" name="Obs. Temp." queryTableFieldId="129" dataDxfId="123"/>
    <tableColumn id="18" xr3:uid="{B73C0FF6-6630-48D6-8BBA-E399AE2FD7B2}" uniqueName="18" name="Diff to BL. East." queryTableFieldId="86" dataDxfId="122"/>
    <tableColumn id="3" xr3:uid="{26BBE5D9-66BF-4A22-BB6D-C861DCB4C4DB}" uniqueName="3" name="Alarm East." queryTableFieldId="43" dataDxfId="121">
      <calculatedColumnFormula array="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calculatedColumnFormula>
    </tableColumn>
    <tableColumn id="21" xr3:uid="{E1C88604-43C4-4722-A87A-DB2DA5BEEF84}" uniqueName="21" name="Diff to BL. North." queryTableFieldId="87" dataDxfId="120"/>
    <tableColumn id="19" xr3:uid="{9E74BDAC-AD7F-4F24-A25C-327A006F232D}" uniqueName="19" name="Alarm North." queryTableFieldId="62" dataDxfId="119">
      <calculatedColumnFormula array="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calculatedColumnFormula>
    </tableColumn>
    <tableColumn id="22" xr3:uid="{A3B74C65-A945-4568-B314-62B4AF5C8598}" uniqueName="22" name="Diff to BL. Level" queryTableFieldId="88" dataDxfId="118"/>
    <tableColumn id="20" xr3:uid="{F6DAFE0D-8068-49A2-AA2D-C888E71ECD90}" uniqueName="20" name="Alarm Level" queryTableFieldId="63" dataDxfId="117">
      <calculatedColumnFormula array="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calculatedColumnFormula>
    </tableColumn>
    <tableColumn id="14" xr3:uid="{4CE1A598-0EF7-4C75-99A5-5A95C1A8AAAD}" uniqueName="14" name="Diff to BL. Trans." queryTableFieldId="120" dataDxfId="116"/>
    <tableColumn id="25" xr3:uid="{1CF8ACE8-D2E9-4BD9-B2E8-AD190D32ED43}" uniqueName="25" name="Alarm Trans." queryTableFieldId="126" dataDxfId="115">
      <calculatedColumnFormula array="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calculatedColumnFormula>
    </tableColumn>
    <tableColumn id="24" xr3:uid="{12EB08E4-B4D1-4400-96E3-D2BE0602414D}" uniqueName="24" name="Diff to BL. Long." queryTableFieldId="121" dataDxfId="114"/>
    <tableColumn id="26" xr3:uid="{86D633BE-C5AA-43F0-97E6-511208B6B2F5}" uniqueName="26" name="Alarm Long." queryTableFieldId="127" dataDxfId="113">
      <calculatedColumnFormula array="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calculatedColumnFormula>
    </tableColumn>
    <tableColumn id="5" xr3:uid="{9B83E6ED-6B2B-4361-B0A8-4E1DA502B10B}" uniqueName="5" name="Diff to Last East." queryTableFieldId="33" dataDxfId="112">
      <calculatedColumnFormula>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calculatedColumnFormula>
    </tableColumn>
    <tableColumn id="6" xr3:uid="{7F23AE8B-CEFE-4B8D-91F3-B4595A2BE1EA}" uniqueName="6" name="Diff to Last North." queryTableFieldId="34" dataDxfId="111">
      <calculatedColumnFormula>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calculatedColumnFormula>
    </tableColumn>
    <tableColumn id="9" xr3:uid="{B32AFD01-9AA3-4341-BAAC-9739FB73FAC1}" uniqueName="9" name="Diff  to Last Level" queryTableFieldId="41" dataDxfId="110">
      <calculatedColumnFormula>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calculatedColumnFormula>
    </tableColumn>
    <tableColumn id="13" xr3:uid="{5FDBC39E-3D1B-47BE-AF49-8114E68B4DCD}" uniqueName="13" name="Surveyor" queryTableFieldId="13" dataDxfId="109"/>
    <tableColumn id="23" xr3:uid="{2E6FB80E-6C9A-4E1D-BC05-33323F2300EB}" uniqueName="23" name="Comment" queryTableFieldId="115" dataDxfId="108"/>
  </tableColumns>
  <tableStyleInfo name="TableStyleLight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B2ADFF-681D-498D-9030-8C999728077E}" name="ReportSummary___Chart" displayName="ReportSummary___Chart" ref="G49:AB232" tableType="queryTable" totalsRowShown="0" headerRowDxfId="107" dataDxfId="105" headerRowBorderDxfId="106" tableBorderDxfId="104" totalsRowBorderDxfId="103">
  <autoFilter ref="G49:AB232" xr:uid="{280E1DE9-7566-4F5F-91DA-0E601DF82862}">
    <filterColumn colId="1">
      <filters>
        <filter val="250-RL-OP-11001"/>
      </filters>
    </filterColumn>
  </autoFilter>
  <tableColumns count="22">
    <tableColumn id="1" xr3:uid="{0BFD1D29-741C-4F81-AD6A-44344FF387A4}" uniqueName="1" name="Epoch" queryTableFieldId="1" dataDxfId="102"/>
    <tableColumn id="2" xr3:uid="{AD0A6EA7-EB4E-4879-9F98-EB42324CCDD9}" uniqueName="2" name="ID" queryTableFieldId="2" dataDxfId="101"/>
    <tableColumn id="15" xr3:uid="{8E09FA88-94D8-4A62-BA44-4D8733D2CAC7}" uniqueName="15" name="Target Type" queryTableFieldId="15" dataDxfId="100"/>
    <tableColumn id="11" xr3:uid="{CDE1D01C-D575-4D94-9D67-2BC5C7BFE306}" uniqueName="11" name="BL. Easting" queryTableFieldId="83" dataDxfId="99"/>
    <tableColumn id="16" xr3:uid="{1FD72CEC-242A-40E5-AAD2-01F24193F9AF}" uniqueName="16" name="BL. Northing" queryTableFieldId="84" dataDxfId="98"/>
    <tableColumn id="17" xr3:uid="{4CAFA286-E0C4-49B7-820A-207F91E7A1CD}" uniqueName="17" name="BL. Level" queryTableFieldId="85" dataDxfId="97"/>
    <tableColumn id="7" xr3:uid="{1F970770-058A-4A47-8AEA-05CF3ECEC6CF}" uniqueName="7" name="Obs. Easting" queryTableFieldId="45" dataDxfId="96"/>
    <tableColumn id="8" xr3:uid="{748479E8-724E-4234-8B09-FED201FE5ED1}" uniqueName="8" name="Obs. Northing" queryTableFieldId="46" dataDxfId="95"/>
    <tableColumn id="12" xr3:uid="{A4DC25CA-5153-4F1A-8E1D-4B6BE6C49F44}" uniqueName="12" name="Obs. Height" queryTableFieldId="47" dataDxfId="94"/>
    <tableColumn id="18" xr3:uid="{D61BC492-7BC6-4907-ABE1-5DA957303EAE}" uniqueName="18" name="Diff to BL. East." queryTableFieldId="86" dataDxfId="93"/>
    <tableColumn id="3" xr3:uid="{AF854489-D9B5-4868-8151-F6F43DAC643A}" uniqueName="3" name="Alarm East." queryTableFieldId="43" dataDxfId="92">
      <calculatedColumnFormula array="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calculatedColumnFormula>
    </tableColumn>
    <tableColumn id="21" xr3:uid="{D62F66AA-161A-47FA-9B43-BF7EFB4ECE1C}" uniqueName="21" name="Diff to BL. North." queryTableFieldId="87" dataDxfId="91"/>
    <tableColumn id="19" xr3:uid="{4CEA0C87-4E3E-42A5-ACCA-3D2EA0FBD225}" uniqueName="19" name="Alarm North." queryTableFieldId="62" dataDxfId="90">
      <calculatedColumnFormula array="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calculatedColumnFormula>
    </tableColumn>
    <tableColumn id="22" xr3:uid="{2B4ACD15-6161-4993-A6BB-164667C207FC}" uniqueName="22" name="Diff to BL. Level" queryTableFieldId="88" dataDxfId="89"/>
    <tableColumn id="20" xr3:uid="{4376ACA5-793E-4F5C-AD2C-A7D269F4B529}" uniqueName="20" name="Alarm Level" queryTableFieldId="63" dataDxfId="88">
      <calculatedColumnFormula array="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calculatedColumnFormula>
    </tableColumn>
    <tableColumn id="5" xr3:uid="{3BAD99B4-1924-49C7-9BDD-C76D890700DD}" uniqueName="5" name="Diff to Last East." queryTableFieldId="33" dataDxfId="87">
      <calculatedColumnFormula>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calculatedColumnFormula>
    </tableColumn>
    <tableColumn id="6" xr3:uid="{E097ADC1-7C54-4E46-9713-FEA9DF0C39A1}" uniqueName="6" name="Diff to Last North." queryTableFieldId="34" dataDxfId="86">
      <calculatedColumnFormula>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calculatedColumnFormula>
    </tableColumn>
    <tableColumn id="9" xr3:uid="{A46033A9-2C4A-4099-AEE7-72C68261F8CD}" uniqueName="9" name="Diff  to Last Level" queryTableFieldId="41" dataDxfId="85">
      <calculatedColumnFormula>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calculatedColumnFormula>
    </tableColumn>
    <tableColumn id="13" xr3:uid="{990EFF8F-2690-4C21-9299-97791423D14D}" uniqueName="13" name="Surveyor" queryTableFieldId="13" dataDxfId="84"/>
    <tableColumn id="23" xr3:uid="{A19365EF-BD20-409A-BE73-F211A248864E}" uniqueName="23" name="Comment" queryTableFieldId="115" dataDxfId="83"/>
    <tableColumn id="10" xr3:uid="{ECE6C431-EDB2-4A48-8D7F-046E807279D3}" uniqueName="10" name="Minimum" queryTableFieldId="117" dataDxfId="82">
      <calculatedColumnFormula>SUBTOTAL(105,ReportSummary___Chart[Diff to BL. East.],ReportSummary___Chart[Diff to BL. North.],ReportSummary___Chart[Diff to BL. Level])</calculatedColumnFormula>
    </tableColumn>
    <tableColumn id="4" xr3:uid="{8A3DE503-5FD3-4DF6-B071-985995B01E8A}" uniqueName="4" name="Maximum" queryTableFieldId="116" dataDxfId="81">
      <calculatedColumnFormula>SUBTOTAL(104,ReportSummary___Chart[Diff to BL. East.],ReportSummary___Chart[Diff to BL. North.],ReportSummary___Chart[Diff to BL. Level])</calculatedColumnFormula>
    </tableColumn>
  </tableColumns>
  <tableStyleInfo name="TableStyleLight1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448E1D8-0575-47D5-80CC-E68F2393E4C1}" name="ReportSummary___Track" displayName="ReportSummary___Track" ref="E99:AB1372" tableType="queryTable" totalsRowShown="0" headerRowDxfId="80" headerRowBorderDxfId="79" tableBorderDxfId="78" totalsRowBorderDxfId="77">
  <autoFilter ref="E99:AB1372" xr:uid="{B448E1D8-0575-47D5-80CC-E68F2393E4C1}"/>
  <sortState xmlns:xlrd2="http://schemas.microsoft.com/office/spreadsheetml/2017/richdata2" ref="E100:AB1372">
    <sortCondition descending="1" ref="E99:E1372"/>
  </sortState>
  <tableColumns count="24">
    <tableColumn id="1" xr3:uid="{F9EAA5B0-AC9F-478E-8280-88DB6B55E914}" uniqueName="1" name="Epoch" queryTableFieldId="1" dataDxfId="76"/>
    <tableColumn id="13" xr3:uid="{F999580E-622B-4398-BF9C-18F6C242BD76}" uniqueName="13" name="Track ID" queryTableFieldId="13" dataDxfId="75"/>
    <tableColumn id="3" xr3:uid="{937FE506-7EFA-486E-BDC9-F66DDBE401AF}" uniqueName="3" name="LR Track X" queryTableFieldId="3" dataDxfId="74"/>
    <tableColumn id="4" xr3:uid="{D750D3B8-7644-4350-8136-07AA5A4E6B51}" uniqueName="4" name="LR Track Y" queryTableFieldId="4" dataDxfId="73"/>
    <tableColumn id="5" xr3:uid="{3F61502D-EA5D-4D75-893B-19621FEAA656}" uniqueName="5" name="LR Track Z" queryTableFieldId="5" dataDxfId="72"/>
    <tableColumn id="6" xr3:uid="{0CD9A7FF-7E3E-480E-8700-346F706B1E06}" uniqueName="6" name="RR Track X" queryTableFieldId="6" dataDxfId="71"/>
    <tableColumn id="7" xr3:uid="{1F651488-A860-4824-8D78-A9B95011C7E6}" uniqueName="7" name="RR Track Y" queryTableFieldId="7" dataDxfId="70"/>
    <tableColumn id="8" xr3:uid="{CA274B54-DEBF-4AED-8EE4-8775F7BD495E}" uniqueName="8" name="RR Track Z" queryTableFieldId="8" dataDxfId="69"/>
    <tableColumn id="9" xr3:uid="{31FA7BE9-7307-4E4D-B4B3-FA351BDBC7EF}" uniqueName="9" name="Cant" queryTableFieldId="9" dataDxfId="68"/>
    <tableColumn id="10" xr3:uid="{799FA480-AD1D-4963-BB3C-0AE3058226C7}" uniqueName="10" name="Gauge" queryTableFieldId="10" dataDxfId="67"/>
    <tableColumn id="11" xr3:uid="{67CA6B4B-E90A-451D-AF9D-23D557A64707}" uniqueName="11" name="Twist (Short)" queryTableFieldId="11" dataDxfId="66"/>
    <tableColumn id="12" xr3:uid="{DAEA81CC-F67A-451B-A699-3BB6D24F3D64}" uniqueName="12" name="Twist (Long)" queryTableFieldId="12" dataDxfId="65"/>
    <tableColumn id="14" xr3:uid="{2ACB1070-65C8-49BE-B998-8CFAF526F773}" uniqueName="14" name="Δ Baseline Cant (mm)" queryTableFieldId="15" dataDxfId="64">
      <calculatedColumnFormula>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calculatedColumnFormula>
    </tableColumn>
    <tableColumn id="15" xr3:uid="{51A3744D-B762-4207-88E2-98B410CB1FD5}" uniqueName="15" name="Δ Baseline Gauge (mm)" queryTableFieldId="16" dataDxfId="63">
      <calculatedColumnFormula>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calculatedColumnFormula>
    </tableColumn>
    <tableColumn id="16" xr3:uid="{F99CEC4C-6F4E-4B41-B847-918502CFEC45}" uniqueName="16" name="Δ Baseline Twist Short (mm)" queryTableFieldId="17" dataDxfId="62">
      <calculatedColumnFormula>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calculatedColumnFormula>
    </tableColumn>
    <tableColumn id="17" xr3:uid="{F46E5DCD-855C-4370-BA85-57B0F81AE175}" uniqueName="17" name="Δ Baseline Twist Long (mm)" queryTableFieldId="18" dataDxfId="61">
      <calculatedColumnFormula>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calculatedColumnFormula>
    </tableColumn>
    <tableColumn id="22" xr3:uid="{CF19EE00-2C80-4533-8E1B-33D4C57D5607}" uniqueName="22" name="Δ Last Survey Cant (m)" queryTableFieldId="23" dataDxfId="60">
      <calculatedColumnFormula>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calculatedColumnFormula>
    </tableColumn>
    <tableColumn id="21" xr3:uid="{101726D5-6AAA-4F15-864F-4123E48A379C}" uniqueName="21" name="Δ Last Survey Gauge (m)" queryTableFieldId="22" dataDxfId="59">
      <calculatedColumnFormula>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calculatedColumnFormula>
    </tableColumn>
    <tableColumn id="20" xr3:uid="{AA9BBA81-0A7F-469B-997C-FF7A0AAD8637}" uniqueName="20" name="Δ Last Survey Twist Short (m)" queryTableFieldId="21" dataDxfId="58">
      <calculatedColumnFormula>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calculatedColumnFormula>
    </tableColumn>
    <tableColumn id="19" xr3:uid="{9B8312D8-8199-447E-8B2A-7992362026E5}" uniqueName="19" name="Δ Last Survey Twist Long (m)" queryTableFieldId="20" dataDxfId="57">
      <calculatedColumnFormula>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calculatedColumnFormula>
    </tableColumn>
    <tableColumn id="18" xr3:uid="{3BE5FE8C-C032-4078-A362-5AE2FAA02229}" uniqueName="18" name="Key" queryTableFieldId="19" dataDxfId="56">
      <calculatedColumnFormula>ReportSummary___Track[[#This Row],[Track ID]]&amp;"-"&amp;ReportSummary___Track[[#This Row],[Epoch]]</calculatedColumnFormula>
    </tableColumn>
    <tableColumn id="2" xr3:uid="{EAC724D0-93F3-4FB8-A8A5-DC49E29BBCEA}" uniqueName="2" name="IsVisible" queryTableFieldId="24" dataDxfId="55">
      <calculatedColumnFormula>SUBTOTAL(103,ReportSummary___Track[[#This Row],[Track ID]])</calculatedColumnFormula>
    </tableColumn>
    <tableColumn id="23" xr3:uid="{94E36403-480E-49FF-87AC-53D280BCB660}" uniqueName="23" name="Chainage" queryTableFieldId="25" dataDxfId="54">
      <calculatedColumnFormula>_xlfn.NUMBERVALUE(RIGHT(ReportSummary___Track[[#This Row],[Track ID]],4))</calculatedColumnFormula>
    </tableColumn>
    <tableColumn id="24" xr3:uid="{6FDCCD7A-F492-4EEA-9E2A-D44F583BC57B}" uniqueName="24" name="Test" queryTableFieldId="27" dataDxfId="53"/>
  </tableColumns>
  <tableStyleInfo name="TableStyleLight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B1399B-D94D-4565-A07A-292097A624F5}" name="Lookup_SurveyEpoch" displayName="Lookup_SurveyEpoch" ref="B2:D46" tableType="queryTable" totalsRowShown="0" headerRowDxfId="52" dataDxfId="50" headerRowBorderDxfId="51" tableBorderDxfId="49" totalsRowBorderDxfId="48">
  <autoFilter ref="B2:D46" xr:uid="{7FB1399B-D94D-4565-A07A-292097A624F5}"/>
  <tableColumns count="3">
    <tableColumn id="1" xr3:uid="{431AA716-8EB8-435C-8C86-CCBA08C191E6}" uniqueName="1" name="Epoch" queryTableFieldId="1" dataDxfId="47"/>
    <tableColumn id="2" xr3:uid="{470A8624-D633-40F0-9845-B7C1470C11F7}" uniqueName="2" name="Point Count" queryTableFieldId="2" dataDxfId="46"/>
    <tableColumn id="3" xr3:uid="{7D2F3963-C8A1-4B6A-A097-1FCA2DAD9B25}" uniqueName="3" name="Index" queryTableFieldId="3" dataDxfId="45"/>
  </tableColumns>
  <tableStyleInfo name="TableStyleLight1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C4EE5-2E08-42B0-A6E7-DC9FF2BAF257}" name="Lookup_SurveyMethod" displayName="Lookup_SurveyMethod" ref="F2:F7" totalsRowShown="0" headerRowDxfId="44" dataDxfId="42" headerRowBorderDxfId="43">
  <autoFilter ref="F2:F7" xr:uid="{3A9C4EE5-2E08-42B0-A6E7-DC9FF2BAF257}"/>
  <sortState xmlns:xlrd2="http://schemas.microsoft.com/office/spreadsheetml/2017/richdata2" ref="F3:F7">
    <sortCondition ref="F2:F7"/>
  </sortState>
  <tableColumns count="1">
    <tableColumn id="1" xr3:uid="{C55DE305-0C6B-42CD-B5B3-3ED1AAF9FA1D}" name="Survey Method" dataDxfId="41"/>
  </tableColumns>
  <tableStyleInfo name="TableStyleLight1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058E098-C762-4776-A68A-E29B964E9910}" name="Lookup_NumFormat" displayName="Lookup_NumFormat" ref="H2:L44" totalsRowShown="0" dataDxfId="40">
  <autoFilter ref="H2:L44" xr:uid="{9058E098-C762-4776-A68A-E29B964E9910}"/>
  <sortState xmlns:xlrd2="http://schemas.microsoft.com/office/spreadsheetml/2017/richdata2" ref="H3:L44">
    <sortCondition ref="L2:L44"/>
  </sortState>
  <tableColumns count="5">
    <tableColumn id="1" xr3:uid="{8E293450-9C64-4FC6-8880-27089B3B9FDD}" name="Python Format" dataDxfId="39"/>
    <tableColumn id="2" xr3:uid="{F0479E41-512C-4459-8A6E-502FD2CD8578}" name="Excel Format" dataDxfId="38"/>
    <tableColumn id="3" xr3:uid="{E8FD3012-DC19-4C76-BC83-F9447A49CA62}" name="Type" dataDxfId="37"/>
    <tableColumn id="4" xr3:uid="{847B5610-3F81-4DBC-A88B-FDE2E3759D29}" name="Description" dataDxfId="36"/>
    <tableColumn id="5" xr3:uid="{B51B0101-00C7-4D9A-8280-7F341A2ED8F5}" name="Lookup Key" dataDxfId="35">
      <calculatedColumnFormula>Lookup_NumFormat[[#This Row],[Type]]&amp;" | "&amp;Lookup_NumFormat[[#This Row],[Description]]</calculatedColumnFormula>
    </tableColumn>
  </tableColumns>
  <tableStyleInfo name="TableStyleLight1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AF0BF33-C40A-4B1B-8B77-0F37D0754DA1}" name="Lookup_ColourMap" displayName="Lookup_ColourMap" ref="N2:Q44" totalsRowShown="0" headerRowDxfId="34" headerRowBorderDxfId="33" tableBorderDxfId="32" totalsRowBorderDxfId="31">
  <autoFilter ref="N2:Q44" xr:uid="{DAF0BF33-C40A-4B1B-8B77-0F37D0754DA1}"/>
  <tableColumns count="4">
    <tableColumn id="4" xr3:uid="{9AEACE5E-1C0B-41D4-A7F4-C5F64B3F02E9}" name="Colormap" dataDxfId="30"/>
    <tableColumn id="5" xr3:uid="{34432923-BFF8-4A3A-BC85-A89387CFBB7A}" name="Category" dataDxfId="29"/>
    <tableColumn id="6" xr3:uid="{5AA01662-60F0-4686-82A4-CC1113ADE070}" name="Colors in Map" dataDxfId="28"/>
    <tableColumn id="7" xr3:uid="{3C31122F-5EDC-4ED1-BDCF-FFE5F5432BCC}" name="Lookup Key" dataDxfId="27">
      <calculatedColumnFormula>Lookup_ColourMap[[#This Row],[Category]]&amp;" | " &amp;Lookup_ColourMap[[#This Row],[Colormap]]&amp;" | " &amp;Lookup_ColourMap[[#This Row],[Colors in Map]]</calculatedColumnFormula>
    </tableColumn>
  </tableColumns>
  <tableStyleInfo name="TableStyleLight1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6FDB70E-A2E2-454E-9E82-6BA39AB8F42C}" name="Lookup_LegendLocation" displayName="Lookup_LegendLocation" ref="S2:S7" totalsRowShown="0" headerRowDxfId="26" dataDxfId="25">
  <autoFilter ref="S2:S7" xr:uid="{B6FDB70E-A2E2-454E-9E82-6BA39AB8F42C}"/>
  <tableColumns count="1">
    <tableColumn id="1" xr3:uid="{19C99C14-4B78-464E-9320-D40964A2EE85}" name="Legend Location" dataDxfId="24"/>
  </tableColumns>
  <tableStyleInfo name="TableStyleLight12" showFirstColumn="0" showLastColumn="0" showRowStripes="1" showColumnStripes="0"/>
</table>
</file>

<file path=xl/theme/theme1.xml><?xml version="1.0" encoding="utf-8"?>
<a:theme xmlns:a="http://schemas.openxmlformats.org/drawingml/2006/main" name="Theme1">
  <a:themeElements>
    <a:clrScheme name="LS Colours">
      <a:dk1>
        <a:sysClr val="windowText" lastClr="000000"/>
      </a:dk1>
      <a:lt1>
        <a:sysClr val="window" lastClr="FFFFFF"/>
      </a:lt1>
      <a:dk2>
        <a:srgbClr val="44546A"/>
      </a:dk2>
      <a:lt2>
        <a:srgbClr val="E7E6E6"/>
      </a:lt2>
      <a:accent1>
        <a:srgbClr val="243C74"/>
      </a:accent1>
      <a:accent2>
        <a:srgbClr val="DC2A1B"/>
      </a:accent2>
      <a:accent3>
        <a:srgbClr val="FFF200"/>
      </a:accent3>
      <a:accent4>
        <a:srgbClr val="BFBFBF"/>
      </a:accent4>
      <a:accent5>
        <a:srgbClr val="1C6246"/>
      </a:accent5>
      <a:accent6>
        <a:srgbClr val="4472C4"/>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C546890-FD2B-45D2-920F-270A42B0518C}">
  <we:reference id="wa200004179" version="2025.2.0.0" store="en-US" storeType="OMEX"/>
  <we:alternateReferences>
    <we:reference id="wa200004179" version="2025.2.0.0" store="" storeType="OMEX"/>
  </we:alternateReferences>
  <we:properties>
    <we:property name="arcgis-connection" value="&quot;{\&quot;portalUrl\&quot;:\&quot;https://www.arcgis.com\&quot;}&quot;"/>
    <we:property name="Office.AutoShowTaskpaneWithDocument" value="true"/>
    <we:property name="app-config" value="&quot;{\&quot;map\&quot;:{\&quot;webmap\&quot;:{\&quot;is3d\&quot;:false,\&quot;itemData\&quot;:{\&quot;operationalLayers\&quot;:[{\&quot;id\&quot;:\&quot;198c572c18e-layer-6\&quot;,\&quot;visibility\&quot;:true,\&quot;opacity\&quot;:1,\&quot;minScale\&quot;:0,\&quot;maxScale\&quot;:0,\&quot;refreshInterval\&quot;:0,\&quot;title\&quot;:\&quot;Setup!Table_Baseline\&quot;,\&quot;objectIdField\&quot;:\&quot;objectId\&quot;,\&quot;type\&quot;:\&quot;DataLayer\&quot;,\&quot;layerType\&quot;:\&quot;ArcGISFeatureLayer\&quot;,\&quot;popupEnabled\&quot;:true,\&quot;disablePopup\&quot;:false,\&quot;visible\&quot;:true,\&quot;geometryType\&quot;:\&quot;point\&quot;,\&quot;source\&quot;:[{\&quot;attributes\&quot;:{},\&quot;geometry\&quot;:{\&quot;x\&quot;:0,\&quot;y\&quot;:0,\&quot;type\&quot;:\&quot;point\&quot;,\&quot;spatialReference\&quot;:{\&quot;latestWkid\&quot;:3857,\&quot;wkid\&quot;:102100}}}],\&quot;spatialReference\&quot;:{\&quot;latestWkid\&quot;:3857,\&quot;wkid\&quot;:102100},\&quot;esriMaps\&quot;:{\&quot;customProps\&quot;:{\&quot;dataTableType\&quot;:\&quot;Table\&quot;},\&quot;isTimeEnabled\&quot;:\&quot;false\&quot;,\&quot;clusterInfo\&quot;:null,\&quot;filteredRenderer\&quot;:null,\&quot;lastShareInfo\&quot;:null},\&quot;timeInfo\&quot;:null,\&quot;showLabels\&quot;:true,\&quot;featureCollection\&quot;:{\&quot;layers\&quot;:[{\&quot;popupInfo\&quot;:{\&quot;popupElements\&quot;:[{\&quot;type\&quot;:\&quot;fields\&quot;,\&quot;fieldInfos\&quot;:[{\&quot;fieldName\&quot;:\&quot;expression/excel_row_id\&quot;,\&quot;isEditable\&quot;:true,\&quot;label\&quot;:\&quot;rowId\&quot;,\&quot;visible\&quot;:true},{\&quot;fieldName\&quot;:\&quot;FIELD_NAME_K\&quot;,\&quot;isEditable\&quot;:true,\&quot;label\&quot;:\&quot;Sensor ID\&quot;,\&quot;tooltip\&quot;:\&quot;\&quot;,\&quot;visible\&quot;:true},{\&quot;fieldName\&quot;:\&quot;FIELD_NAME_L\&quot;,\&quot;isEditable\&quot;:true,\&quot;label\&quot;:\&quot;Baseline Date\&quot;,\&quot;tooltip\&quot;:\&quot;\&quot;,\&quot;visible\&quot;:true},{\&quot;fieldName\&quot;:\&quot;expression/FIELD_NAME_M\&quot;,\&quot;isEditable\&quot;:true,\&quot;label\&quot;:\&quot;Easting [m]\&quot;,\&quot;visible\&quot;:true},{\&quot;fieldName\&quot;:\&quot;expression/FIELD_NAME_N\&quot;,\&quot;isEditable\&quot;:true,\&quot;label\&quot;:\&quot;Northing [m]\&quot;,\&quot;visible\&quot;:true},{\&quot;fieldName\&quot;:\&quot;expression/FIELD_NAME_O\&quot;,\&quot;isEditable\&quot;:true,\&quot;label\&quot;:\&quot;Level [m]\&quot;,\&quot;visible\&quot;:true},{\&quot;fieldName\&quot;:\&quot;FIELD_NAME_P\&quot;,\&quot;isEditable\&quot;:true,\&quot;label\&quot;:\&quot;Type\&quot;,\&quot;tooltip\&quot;:\&quot;\&quot;,\&quot;visible\&quot;:true},{\&quot;fieldName\&quot;:\&quot;FIELD_NAME_Q\&quot;,\&quot;isEditable\&quot;:true,\&quot;label\&quot;:\&quot;Reference Angle [Deg]\&quot;,\&quot;tooltip\&quot;:\&quot;\&quot;,\&quot;visible\&quot;:true},{\&quot;fieldName\&quot;:\&quot;FIELD_NAME_R\&quot;,\&quot;isEditable\&quot;:true,\&quot;label\&quot;:\&quot;Fixing Type\&quot;,\&quot;tooltip\&quot;:\&quot;\&quot;,\&quot;visible\&quot;:true},{\&quot;fieldName\&quot;:\&quot;FIELD_NAME_S\&quot;,\&quot;isEditable\&quot;:true,\&quot;label\&quot;:\&quot;Calculations\&quot;,\&quot;tooltip\&quot;:\&quot;\&quot;,\&quot;visible\&quot;:true},{\&quot;fieldName\&quot;:\&quot;FIELD_NAME_T\&quot;,\&quot;isEditable\&quot;:true,\&quot;label\&quot;:\&quot;Notes\&quot;,\&quot;tooltip\&quot;:\&quot;\&quot;,\&quot;visible\&quot;:true}]}],\&quot;expressionInfos\&quot;:[{\&quot;name\&quot;:\&quot;excel_row_id\&quot;,\&quot;title\&quot;:\&quot;rowId\&quot;,\&quot;expression\&quot;:\&quot;Text($feature[\\\&quot;excel_row_id\\\&quot;], \\\&quot;#.##############################\\\&quot;)\&quot;},{\&quot;name\&quot;:\&quot;FIELD_NAME_M\&quot;,\&quot;title\&quot;:\&quot;Easting [m]\&quot;,\&quot;expression\&quot;:\&quot;// Excel number format: 0.000\\n\\nif (IsEmpty($feature[\\\&quot;FIELD_NAME_M\\\&quot;]))\\n{\\n  return $feature[\\\&quot;FIELD_NAME_M\\\&quot;] \\n}\\nText($feature[\\\&quot;FIELD_NAME_M\\\&quot;], \\\&quot;#0.000\\\&quot;)\&quot;},{\&quot;name\&quot;:\&quot;FIELD_NAME_N\&quot;,\&quot;title\&quot;:\&quot;Northing [m]\&quot;,\&quot;expression\&quot;:\&quot;// Excel number format: 0.000\\n\\nif (IsEmpty($feature[\\\&quot;FIELD_NAME_N\\\&quot;]))\\n{\\n  return $feature[\\\&quot;FIELD_NAME_N\\\&quot;] \\n}\\nText($feature[\\\&quot;FIELD_NAME_N\\\&quot;], \\\&quot;#0.000\\\&quot;)\&quot;},{\&quot;name\&quot;:\&quot;FIELD_NAME_O\&quot;,\&quot;title\&quot;:\&quot;Level [m]\&quot;,\&quot;expression\&quot;:\&quot;// Excel number format: 0.0000\\n\\nif (IsEmpty($feature[\\\&quot;FIELD_NAME_O\\\&quot;]))\\n{\\n  return $feature[\\\&quot;FIELD_NAME_O\\\&quot;] \\n}\\nText($feature[\\\&quot;FIELD_NAME_O\\\&quot;], \\\&quot;#0.0000\\\&quot;)\&quot;}],\&quot;fieldInfos\&quot;:[{\&quot;fieldName\&quot;:\&quot;objectId\&quot;,\&quot;isEditable\&quot;:true,\&quot;label\&quot;:\&quot;objectId\&quot;,\&quot;tooltip\&quot;:\&quot;\&quot;,\&quot;visible\&quot;:false},{\&quot;fieldName\&quot;:\&quot;excel_row_id\&quot;,\&quot;format\&quot;:{\&quot;digitSeparator\&quot;:true,\&quot;places\&quot;:2},\&quot;isEditable\&quot;:true,\&quot;label\&quot;:\&quot;rowId\&quot;,\&quot;tooltip\&quot;:\&quot;\&quot;,\&quot;visible\&quot;:false},{\&quot;fieldName\&quot;:\&quot;expression/excel_row_id\&quot;,\&quot;isEditable\&quot;:true,\&quot;label\&quot;:\&quot;rowId\&quot;,\&quot;visible\&quot;:true},{\&quot;fieldName\&quot;:\&quot;FIELD_NAME_K\&quot;,\&quot;isEditable\&quot;:true,\&quot;label\&quot;:\&quot;Sensor ID\&quot;,\&quot;tooltip\&quot;:\&quot;\&quot;,\&quot;visible\&quot;:true},{\&quot;fieldName\&quot;:\&quot;FIELD_NAME_L\&quot;,\&quot;isEditable\&quot;:true,\&quot;label\&quot;:\&quot;Baseline Date\&quot;,\&quot;tooltip\&quot;:\&quot;\&quot;,\&quot;visible\&quot;:true},{\&quot;fieldName\&quot;:\&quot;FIELD_NAME_M\&quot;,\&quot;format\&quot;:{\&quot;digitSeparator\&quot;:true,\&quot;places\&quot;:2},\&quot;isEditable\&quot;:true,\&quot;label\&quot;:\&quot;Easting [m]\&quot;,\&quot;tooltip\&quot;:\&quot;\&quot;,\&quot;visible\&quot;:false},{\&quot;fieldName\&quot;:\&quot;expression/FIELD_NAME_M\&quot;,\&quot;isEditable\&quot;:true,\&quot;label\&quot;:\&quot;Easting [m]\&quot;,\&quot;visible\&quot;:true},{\&quot;fieldName\&quot;:\&quot;FIELD_NAME_N\&quot;,\&quot;format\&quot;:{\&quot;digitSeparator\&quot;:true,\&quot;places\&quot;:2},\&quot;isEditable\&quot;:true,\&quot;label\&quot;:\&quot;Northing [m]\&quot;,\&quot;tooltip\&quot;:\&quot;\&quot;,\&quot;visible\&quot;:false},{\&quot;fieldName\&quot;:\&quot;expression/FIELD_NAME_N\&quot;,\&quot;isEditable\&quot;:true,\&quot;label\&quot;:\&quot;Northing [m]\&quot;,\&quot;visible\&quot;:true},{\&quot;fieldName\&quot;:\&quot;FIELD_NAME_O\&quot;,\&quot;format\&quot;:{\&quot;digitSeparator\&quot;:true,\&quot;places\&quot;:2},\&quot;isEditable\&quot;:true,\&quot;label\&quot;:\&quot;Level [m]\&quot;,\&quot;tooltip\&quot;:\&quot;\&quot;,\&quot;visible\&quot;:false},{\&quot;fieldName\&quot;:\&quot;expression/FIELD_NAME_O\&quot;,\&quot;isEditable\&quot;:true,\&quot;label\&quot;:\&quot;Level [m]\&quot;,\&quot;visible\&quot;:true},{\&quot;fieldName\&quot;:\&quot;FIELD_NAME_P\&quot;,\&quot;isEditable\&quot;:true,\&quot;label\&quot;:\&quot;Type\&quot;,\&quot;tooltip\&quot;:\&quot;\&quot;,\&quot;visible\&quot;:true},{\&quot;fieldName\&quot;:\&quot;FIELD_NAME_Q\&quot;,\&quot;isEditable\&quot;:true,\&quot;label\&quot;:\&quot;Reference Angle [Deg]\&quot;,\&quot;tooltip\&quot;:\&quot;\&quot;,\&quot;visible\&quot;:true},{\&quot;fieldName\&quot;:\&quot;FIELD_NAME_R\&quot;,\&quot;isEditable\&quot;:true,\&quot;label\&quot;:\&quot;Fixing Type\&quot;,\&quot;tooltip\&quot;:\&quot;\&quot;,\&quot;visible\&quot;:true},{\&quot;fieldName\&quot;:\&quot;FIELD_NAME_S\&quot;,\&quot;isEditable\&quot;:true,\&quot;label\&quot;:\&quot;Calculations\&quot;,\&quot;tooltip\&quot;:\&quot;\&quot;,\&quot;visible\&quot;:true},{\&quot;fieldName\&quot;:\&quot;FIELD_NAME_T\&quot;,\&quot;isEditable\&quot;:true,\&quot;label\&quot;:\&quot;Notes\&quot;,\&quot;tooltip\&quot;:\&quot;\&quot;,\&quot;visible\&quot;:true}],\&quot;title\&quot;:\&quot;\&quot;,\&quot;actions\&quot;:[]},\&quot;effect\&quot;:null,\&quot;layerDefinition\&quot;:{\&quot;objectIdField\&quot;:\&quot;objectId\&quot;,\&quot;fields\&quot;:[{\&quot;alias\&quot;:\&quot;objectId\&quot;,\&quot;editable\&quot;:true,\&quot;name\&quot;:\&quot;objectId\&quot;,\&quot;nullable\&quot;:true,\&quot;type\&quot;:\&quot;esriFieldTypeOID\&quot;},{\&quot;alias\&quot;:\&quot;rowId\&quot;,\&quot;editable\&quot;:true,\&quot;name\&quot;:\&quot;excel_row_id\&quot;,\&quot;nullable\&quot;:true,\&quot;type\&quot;:\&quot;esriFieldTypeDouble\&quot;},{\&quot;alias\&quot;:\&quot;Sensor ID\&quot;,\&quot;editable\&quot;:true,\&quot;length\&quot;:-1,\&quot;name\&quot;:\&quot;FIELD_NAME_K\&quot;,\&quot;nullable\&quot;:true,\&quot;type\&quot;:\&quot;esriFieldTypeString\&quot;},{\&quot;alias\&quot;:\&quot;Baseline Date\&quot;,\&quot;editable\&quot;:true,\&quot;length\&quot;:-1,\&quot;name\&quot;:\&quot;FIELD_NAME_L\&quot;,\&quot;nullable\&quot;:true,\&quot;type\&quot;:\&quot;esriFieldTypeString\&quot;},{\&quot;alias\&quot;:\&quot;Easting [m]\&quot;,\&quot;editable\&quot;:true,\&quot;name\&quot;:\&quot;FIELD_NAME_M\&quot;,\&quot;nullable\&quot;:true,\&quot;type\&quot;:\&quot;esriFieldTypeDouble\&quot;},{\&quot;alias\&quot;:\&quot;Northing [m]\&quot;,\&quot;editable\&quot;:true,\&quot;name\&quot;:\&quot;FIELD_NAME_N\&quot;,\&quot;nullable\&quot;:true,\&quot;type\&quot;:\&quot;esriFieldTypeDouble\&quot;},{\&quot;alias\&quot;:\&quot;Level [m]\&quot;,\&quot;editable\&quot;:true,\&quot;name\&quot;:\&quot;FIELD_NAME_O\&quot;,\&quot;nullable\&quot;:true,\&quot;type\&quot;:\&quot;esriFieldTypeDouble\&quot;},{\&quot;alias\&quot;:\&quot;Type\&quot;,\&quot;editable\&quot;:true,\&quot;length\&quot;:-1,\&quot;name\&quot;:\&quot;FIELD_NAME_P\&quot;,\&quot;nullable\&quot;:true,\&quot;type\&quot;:\&quot;esriFieldTypeString\&quot;},{\&quot;alias\&quot;:\&quot;Reference Angle [Deg]\&quot;,\&quot;editable\&quot;:true,\&quot;length\&quot;:-1,\&quot;name\&quot;:\&quot;FIELD_NAME_Q\&quot;,\&quot;nullable\&quot;:true,\&quot;type\&quot;:\&quot;esriFieldTypeString\&quot;},{\&quot;alias\&quot;:\&quot;Fixing Type\&quot;,\&quot;editable\&quot;:true,\&quot;length\&quot;:-1,\&quot;name\&quot;:\&quot;FIELD_NAME_R\&quot;,\&quot;nullable\&quot;:true,\&quot;type\&quot;:\&quot;esriFieldTypeString\&quot;},{\&quot;alias\&quot;:\&quot;Calculations\&quot;,\&quot;editable\&quot;:true,\&quot;length\&quot;:-1,\&quot;name\&quot;:\&quot;FIELD_NAME_S\&quot;,\&quot;nullable\&quot;:true,\&quot;type\&quot;:\&quot;esriFieldTypeString\&quot;},{\&quot;alias\&quot;:\&quot;Notes\&quot;,\&quot;editable\&quot;:true,\&quot;length\&quot;:-1,\&quot;name\&quot;:\&quot;FIELD_NAME_T\&quot;,\&quot;nullable\&quot;:true,\&quot;type\&quot;:\&quot;esriFieldTypeString\&quot;}],\&quot;geometryType\&quot;:\&quot;point\&quot;,\&quot;drawingInfo\&quot;:{\&quot;renderer\&quot;:{\&quot;type\&quot;:\&quot;simple\&quot;,\&quot;symbol\&quot;:{\&quot;type\&quot;:\&quot;esriSMS\&quot;,\&quot;color\&quot;:[29,111,66,230],\&quot;angle\&quot;:0,\&quot;xoffset\&quot;:0,\&quot;yoffset\&quot;:0,\&quot;size\&quot;:10,\&quot;style\&quot;:\&quot;esriSMSCircle\&quot;,\&quot;outline\&quot;:{\&quot;type\&quot;:\&quot;esriSLS\&quot;,\&quot;color\&quot;:[255,255,255,230],\&quot;width\&quot;:1,\&quot;style\&quot;:\&quot;esriSLSSolid\&quot;}}},\&quot;transparency\&quot;:0},\&quot;featureReduction\&quot;:null,\&quot;locationProvider\&quot;:{\&quot;type\&quot;:\&quot;coordinates\&quot;,\&quot;lookupFields\&quot;:[{\&quot;lookupField\&quot;:\&quot;xFieldName\&quot;,\&quot;outField\&quot;:\&quot;FIELD_NAME_M\&quot;},{\&quot;lookupField\&quot;:\&quot;yFieldName\&quot;,\&quot;outField\&quot;:\&quot;FIELD_NAME_N\&quot;}],\&quot;sourceSR\&quot;:8031,\&quot;targetSR\&quot;:102100},\&quot;minScale\&quot;:0,\&quot;maxScale\&quot;:0,\&quot;definitionExpression\&quot;:null,\&quot;templates\&quot;:[{\&quot;name\&quot;:\&quot;New Feature\&quot;,\&quot;description\&quot;:\&quot;\&quot;,\&quot;prototype\&quot;:{\&quot;attributes\&quot;:{\&quot;excel_row_id\&quot;:null,\&quot;FIELD_NAME_K\&quot;:null,\&quot;FIELD_NAME_L\&quot;:null,\&quot;FIELD_NAME_M\&quot;:null,\&quot;FIELD_NAME_N\&quot;:null,\&quot;FIELD_NAME_O\&quot;:null,\&quot;FIELD_NAME_P\&quot;:null,\&quot;FIELD_NAME_Q\&quot;:null,\&quot;FIELD_NAME_R\&quot;:null,\&quot;FIELD_NAME_S\&quot;:null,\&quot;FIELD_NAME_T\&quot;:null}}}],\&quot;elevationInfo\&quot;:null,\&quot;name\&quot;:\&quot;Setup!Table_Baseline\&quot;,\&quot;type\&quot;:\&quot;DataLayer\&quot;,\&quot;queryParameters\&quot;:{\&quot;tableId\&quot;:\&quot;{327597EE-546D-4B5A-807C-27590D4ECED3}\&quot;}},\&quot;featureSet\&quot;:{\&quot;features\&quot;:[{\&quot;attributes\&quot;:{},\&quot;geometry\&quot;:{\&quot;x\&quot;:0,\&quot;y\&quot;:0,\&quot;type\&quot;:\&quot;point\&quot;,\&quot;spatialReference\&quot;:{\&quot;latestWkid\&quot;:3857,\&quot;wkid\&quot;:102100}}}]}}]}}],\&quot;tables\&quot;:[],\&quot;baseMap\&quot;:{\&quot;baseMapLayers\&quot;:[{\&quot;id\&quot;:\&quot;VectorTile_3287\&quot;,\&quot;opacity\&quot;:1,\&quot;title\&quot;:\&quot;OpenStreetMap\&quot;,\&quot;visibility\&quot;:true,\&quot;layerType\&quot;:\&quot;VectorTileLayer\&quot;,\&quot;styleUrl\&quot;:\&quot;https://cdn.arcgis.com/sharing/rest/content/items/0df19d2d940b47658857cc2fc9623840/resources/styles/root.json\&quot;}],\&quot;title\&quot;:\&quot;OpenStreetMap\&quot;,\&quot;origItemId\&quot;:\&quot;c29cfb7875fc4b97b58ba6987c460862\&quot;},\&quot;version\&quot;:\&quot;2.26\&quot;,\&quot;authoringApp\&quot;:\&quot;ArcGIS for Excel\&quot;,\&quot;bookmarks\&quot;:[],\&quot;initialState\&quot;:{\&quot;viewpoint\&quot;:{\&quot;targetGeometry\&quot;:{\&quot;spatialReference\&quot;:{\&quot;latestWkid\&quot;:3857,\&quot;wkid\&quot;:102100},\&quot;xmin\&quot;:12904305.288791385,\&quot;ymin\&quot;:-3756642.5501776915,\&quot;xmax\&quot;:12904583.268765382,\&quot;ymax\&quot;:-3756311.1240003156}}}}},\&quot;webmapExtensions\&quot;:{\&quot;format\&quot;:2}}}&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_xldudf_ARCGIS_REVERSEGEOCODE</we:customFunctionIds>
        <we:customFunctionIds>_xldudf_ARCGIS_GEOCODE</we:customFunctionIds>
        <we:customFunctionIds>_xldudf_ARCGIS_ENRICHBYPOINT</we:customFunctionIds>
        <we:customFunctionIds>_xldudf_ARCGIS_ENRICHBYGEOGRAPHY</we:customFunctionIds>
        <we:customFunctionIds>_xldudf_ARCGIS_ENRICHBYADDRESS</we:customFunctionIds>
        <we:customFunctionIds>_xldudf_ARCGIS_ENRICHBYPOLYGON</we:customFunctionIds>
        <we:customFunctionIds>_xldudf_ARCGIS_FINDROUTEBYCOORDINATES</we:customFunctionIds>
        <we:customFunctionIds>_xldudf_ARCGIS_FINDROUTEBYADDRESS</we:customFunctionIds>
        <we:customFunctionIds>_xldudf_ARCGIS_VERTICESTOESRIJSON</we:customFunctionIds>
        <we:customFunctionIds>_xldudf_ARCGIS_CONVERTTOESRIJSON</we:customFunctionIds>
        <we:customFunctionIds>_xldudf_ARCGIS_GETPOLYGONAREA</we:customFunctionIds>
        <we:customFunctionIds>_xldudf_ARCGIS_GETGEOMETRYLENGTH</we:customFunctionIds>
        <we:customFunctionIds>_xldudf_ARCGIS_GETGEOMETRYDISTANCE</we:customFunctionIds>
        <we:customFunctionIds>_xldudf_ARCGIS_GETCENTROID</we:customFunctionIds>
        <we:customFunctionIds>_xldudf_ARCGIS_RELATEGEOMETRIES</we:customFunctionIds>
        <we:customFunctionIds>_xldudf_ARCGIS_GENERALIZEGEOMETRY</we:customFunctionIds>
        <we:customFunctionIds>_xldudf_ARCGIS_SUGGESTADDRESS</we:customFunctionIds>
        <we:customFunctionIds>_xldudf_ARCGIS_GETGEOMETRY</we:customFunctionIds>
        <we:customFunctionIds>_xldudf_ARCGIS_LISTGEOGRAPHIES</we:customFunctionIds>
        <we:customFunctionIds>_xldudf_ARCGIS_LISTDATACOLLECTIONS</we:customFunctionIds>
        <we:customFunctionIds>_xldudf_ARCGIS_LISTTRAVELMODES</we:customFunctionIds>
        <we:customFunctionIds>_xldudf_ARCGIS_ADDHEADERS</we:customFunctionIds>
      </we:customFunctionIdList>
    </a:ext>
    <a:ext xmlns:a="http://schemas.openxmlformats.org/drawingml/2006/main" uri="{0858819E-0033-43BF-8937-05EC82904868}">
      <we:backgroundApp state="1" runtimeId="Esri.TaskPane.Url"/>
    </a:ext>
  </we:extLst>
</we:webextension>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lsnpjs.sharepoint.com/sites/InstrumentationandMonitoring/_layouts/OneNote.aspx?id=%2Fsites%2FInstrumentationandMonitoring%2FSiteAssets%2FLS%20Monitoring&amp;wd=target%28Workflows%2FTemplates.one%7C56F8FA1A-F75B-4635-8823-2A572EAF2B96%2FTemplate_Simple%20Manual%20Monitoring%20%28Spreadsheet%5C%29%7C46B445ED-BBB6-4CD9-8838-6EA45BAE7B19%2F%2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microsoft.com/office/2007/relationships/slicer" Target="../slicers/slicer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printerSettings" Target="../printerSettings/printerSettings10.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62EE3-E659-4CB6-801A-D5C624A3201E}">
  <sheetPr codeName="Sheet1">
    <tabColor theme="0"/>
  </sheetPr>
  <dimension ref="B2:B3"/>
  <sheetViews>
    <sheetView showGridLines="0" workbookViewId="0">
      <selection activeCell="B3" sqref="B3"/>
    </sheetView>
  </sheetViews>
  <sheetFormatPr defaultRowHeight="12.75" x14ac:dyDescent="0.2"/>
  <cols>
    <col min="1" max="1" width="3.5703125" customWidth="1"/>
  </cols>
  <sheetData>
    <row r="2" spans="2:2" x14ac:dyDescent="0.2">
      <c r="B2" s="15" t="s">
        <v>0</v>
      </c>
    </row>
    <row r="3" spans="2:2" x14ac:dyDescent="0.2">
      <c r="B3" s="14" t="s">
        <v>1</v>
      </c>
    </row>
  </sheetData>
  <hyperlinks>
    <hyperlink ref="B3" r:id="rId1" xr:uid="{2F5D0BF5-69C1-4616-A87D-0814D44D5AF5}"/>
  </hyperlinks>
  <pageMargins left="0.7" right="0.7" top="0.75" bottom="0.75" header="0.3" footer="0.3"/>
  <pageSetup orientation="portrait" horizontalDpi="200" verticalDpi="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8FECE-FBBC-460C-B4FC-0DBB4DDD00EA}">
  <dimension ref="A1:F23"/>
  <sheetViews>
    <sheetView workbookViewId="0">
      <selection activeCell="N23" sqref="N23"/>
    </sheetView>
  </sheetViews>
  <sheetFormatPr defaultRowHeight="12.75" x14ac:dyDescent="0.2"/>
  <cols>
    <col min="1" max="1" width="15.85546875" bestFit="1" customWidth="1"/>
    <col min="2" max="2" width="13.28515625" bestFit="1" customWidth="1"/>
    <col min="3" max="3" width="14.42578125" bestFit="1" customWidth="1"/>
    <col min="4" max="4" width="11.7109375" bestFit="1" customWidth="1"/>
    <col min="5" max="5" width="28.5703125" bestFit="1" customWidth="1"/>
    <col min="6" max="6" width="30.28515625" bestFit="1" customWidth="1"/>
  </cols>
  <sheetData>
    <row r="1" spans="1:6" x14ac:dyDescent="0.2">
      <c r="A1" t="s">
        <v>193</v>
      </c>
      <c r="B1" t="s">
        <v>101</v>
      </c>
      <c r="C1" t="s">
        <v>100</v>
      </c>
      <c r="D1" t="s">
        <v>99</v>
      </c>
      <c r="E1" t="s">
        <v>519</v>
      </c>
      <c r="F1" t="s">
        <v>520</v>
      </c>
    </row>
    <row r="2" spans="1:6" x14ac:dyDescent="0.2">
      <c r="A2" t="s">
        <v>171</v>
      </c>
      <c r="B2">
        <v>60034.959000000003</v>
      </c>
      <c r="C2">
        <v>363844.47100000002</v>
      </c>
      <c r="D2">
        <v>18.778099999999998</v>
      </c>
      <c r="E2">
        <v>-31.948609552696524</v>
      </c>
      <c r="F2">
        <v>115.92280533160429</v>
      </c>
    </row>
    <row r="3" spans="1:6" x14ac:dyDescent="0.2">
      <c r="A3" t="s">
        <v>172</v>
      </c>
      <c r="B3">
        <v>60035.34</v>
      </c>
      <c r="C3">
        <v>363845.739</v>
      </c>
      <c r="D3">
        <v>18.782</v>
      </c>
      <c r="E3">
        <v>-31.948598114160408</v>
      </c>
      <c r="F3">
        <v>115.92280934824664</v>
      </c>
    </row>
    <row r="4" spans="1:6" x14ac:dyDescent="0.2">
      <c r="A4" t="s">
        <v>174</v>
      </c>
      <c r="B4">
        <v>60038.118000000002</v>
      </c>
      <c r="C4">
        <v>363844.94500000001</v>
      </c>
      <c r="D4">
        <v>18.7788</v>
      </c>
      <c r="E4">
        <v>-31.948605250105476</v>
      </c>
      <c r="F4">
        <v>115.9228387390371</v>
      </c>
    </row>
    <row r="5" spans="1:6" x14ac:dyDescent="0.2">
      <c r="A5" t="s">
        <v>173</v>
      </c>
      <c r="B5">
        <v>60037.805</v>
      </c>
      <c r="C5">
        <v>363843.65700000001</v>
      </c>
      <c r="D5">
        <v>18.778500000000001</v>
      </c>
      <c r="E5">
        <v>-31.948616868406624</v>
      </c>
      <c r="F5">
        <v>115.92283544183307</v>
      </c>
    </row>
    <row r="6" spans="1:6" x14ac:dyDescent="0.2">
      <c r="A6" t="s">
        <v>176</v>
      </c>
      <c r="B6">
        <v>60040.968999999997</v>
      </c>
      <c r="C6">
        <v>363844.11800000002</v>
      </c>
      <c r="D6">
        <v>18.779</v>
      </c>
      <c r="E6">
        <v>-31.948612683000956</v>
      </c>
      <c r="F6">
        <v>115.92286890228634</v>
      </c>
    </row>
    <row r="7" spans="1:6" x14ac:dyDescent="0.2">
      <c r="A7" t="s">
        <v>175</v>
      </c>
      <c r="B7">
        <v>60040.607000000004</v>
      </c>
      <c r="C7">
        <v>363842.86100000003</v>
      </c>
      <c r="D7">
        <v>18.771999999999998</v>
      </c>
      <c r="E7">
        <v>-31.948624022169867</v>
      </c>
      <c r="F7">
        <v>115.9228650864973</v>
      </c>
    </row>
    <row r="8" spans="1:6" x14ac:dyDescent="0.2">
      <c r="A8" t="s">
        <v>178</v>
      </c>
      <c r="B8">
        <v>60043.758999999998</v>
      </c>
      <c r="C8">
        <v>363843.31400000001</v>
      </c>
      <c r="D8">
        <v>18.774100000000001</v>
      </c>
      <c r="E8">
        <v>-31.948619909008723</v>
      </c>
      <c r="F8">
        <v>115.92289842011228</v>
      </c>
    </row>
    <row r="9" spans="1:6" x14ac:dyDescent="0.2">
      <c r="A9" t="s">
        <v>177</v>
      </c>
      <c r="B9">
        <v>60043.440999999999</v>
      </c>
      <c r="C9">
        <v>363842.04000000004</v>
      </c>
      <c r="D9">
        <v>18.7683</v>
      </c>
      <c r="E9">
        <v>-31.948631401099846</v>
      </c>
      <c r="F9">
        <v>115.92289506988558</v>
      </c>
    </row>
    <row r="10" spans="1:6" x14ac:dyDescent="0.2">
      <c r="A10" t="s">
        <v>179</v>
      </c>
      <c r="B10">
        <v>60046.25</v>
      </c>
      <c r="C10">
        <v>363841.22600000002</v>
      </c>
      <c r="D10">
        <v>18.7698</v>
      </c>
      <c r="E10">
        <v>-31.948638717116069</v>
      </c>
      <c r="F10">
        <v>115.92292478878404</v>
      </c>
    </row>
    <row r="11" spans="1:6" x14ac:dyDescent="0.2">
      <c r="A11" t="s">
        <v>180</v>
      </c>
      <c r="B11">
        <v>60046.633000000002</v>
      </c>
      <c r="C11">
        <v>363842.48499999999</v>
      </c>
      <c r="D11">
        <v>18.7776</v>
      </c>
      <c r="E11">
        <v>-31.948627359722988</v>
      </c>
      <c r="F11">
        <v>115.92292882666001</v>
      </c>
    </row>
    <row r="12" spans="1:6" x14ac:dyDescent="0.2">
      <c r="A12" t="s">
        <v>181</v>
      </c>
      <c r="B12">
        <v>60049.040999999997</v>
      </c>
      <c r="C12">
        <v>363840.43299999996</v>
      </c>
      <c r="D12">
        <v>18.771100000000001</v>
      </c>
      <c r="E12">
        <v>-31.948645843900959</v>
      </c>
      <c r="F12">
        <v>115.92295431708531</v>
      </c>
    </row>
    <row r="13" spans="1:6" x14ac:dyDescent="0.2">
      <c r="A13" t="s">
        <v>182</v>
      </c>
      <c r="B13">
        <v>60049.398999999998</v>
      </c>
      <c r="C13">
        <v>363841.69799999997</v>
      </c>
      <c r="D13">
        <v>18.777999999999999</v>
      </c>
      <c r="E13">
        <v>-31.948634432618661</v>
      </c>
      <c r="F13">
        <v>115.92295809047371</v>
      </c>
    </row>
    <row r="14" spans="1:6" x14ac:dyDescent="0.2">
      <c r="A14" t="s">
        <v>184</v>
      </c>
      <c r="B14">
        <v>60052.292999999998</v>
      </c>
      <c r="C14">
        <v>363840.88500000001</v>
      </c>
      <c r="D14">
        <v>18.779</v>
      </c>
      <c r="E14">
        <v>-31.948641738849137</v>
      </c>
      <c r="F14">
        <v>115.9229887084024</v>
      </c>
    </row>
    <row r="15" spans="1:6" x14ac:dyDescent="0.2">
      <c r="A15" t="s">
        <v>183</v>
      </c>
      <c r="B15">
        <v>60051.989000000001</v>
      </c>
      <c r="C15">
        <v>363839.603</v>
      </c>
      <c r="D15">
        <v>18.770099999999999</v>
      </c>
      <c r="E15">
        <v>-31.948653302964757</v>
      </c>
      <c r="F15">
        <v>115.92298550634558</v>
      </c>
    </row>
    <row r="16" spans="1:6" x14ac:dyDescent="0.2">
      <c r="A16" t="s">
        <v>186</v>
      </c>
      <c r="B16">
        <v>60055.196000000004</v>
      </c>
      <c r="C16">
        <v>363840.09499999997</v>
      </c>
      <c r="D16">
        <v>18.780899999999999</v>
      </c>
      <c r="E16">
        <v>-31.94864883757225</v>
      </c>
      <c r="F16">
        <v>115.9230194212889</v>
      </c>
    </row>
    <row r="17" spans="1:6" x14ac:dyDescent="0.2">
      <c r="A17" t="s">
        <v>185</v>
      </c>
      <c r="B17">
        <v>60054.885999999999</v>
      </c>
      <c r="C17">
        <v>363838.80499999999</v>
      </c>
      <c r="D17">
        <v>18.773099999999999</v>
      </c>
      <c r="E17">
        <v>-31.948660473887934</v>
      </c>
      <c r="F17">
        <v>115.9230161558575</v>
      </c>
    </row>
    <row r="18" spans="1:6" x14ac:dyDescent="0.2">
      <c r="A18" t="s">
        <v>187</v>
      </c>
      <c r="B18">
        <v>60057.578999999998</v>
      </c>
      <c r="C18">
        <v>363838.098</v>
      </c>
      <c r="D18">
        <v>18.776</v>
      </c>
      <c r="E18">
        <v>-31.948666825948514</v>
      </c>
      <c r="F18">
        <v>115.92304464674466</v>
      </c>
    </row>
    <row r="19" spans="1:6" x14ac:dyDescent="0.2">
      <c r="A19" t="s">
        <v>188</v>
      </c>
      <c r="B19">
        <v>60057.951999999997</v>
      </c>
      <c r="C19">
        <v>363839.36199999996</v>
      </c>
      <c r="D19">
        <v>18.786000000000001</v>
      </c>
      <c r="E19">
        <v>-31.948655423548967</v>
      </c>
      <c r="F19">
        <v>115.92304857878634</v>
      </c>
    </row>
    <row r="20" spans="1:6" x14ac:dyDescent="0.2">
      <c r="A20" t="s">
        <v>189</v>
      </c>
      <c r="B20">
        <v>60060.639999999999</v>
      </c>
      <c r="C20">
        <v>363837.32199999999</v>
      </c>
      <c r="D20">
        <v>18.7836</v>
      </c>
      <c r="E20">
        <v>-31.948673797001938</v>
      </c>
      <c r="F20">
        <v>115.92307703064567</v>
      </c>
    </row>
    <row r="21" spans="1:6" x14ac:dyDescent="0.2">
      <c r="A21" t="s">
        <v>190</v>
      </c>
      <c r="B21">
        <v>60060.963000000003</v>
      </c>
      <c r="C21">
        <v>363838.60100000002</v>
      </c>
      <c r="D21">
        <v>18.794599999999999</v>
      </c>
      <c r="E21">
        <v>-31.948662259770497</v>
      </c>
      <c r="F21">
        <v>115.92308043368365</v>
      </c>
    </row>
    <row r="22" spans="1:6" x14ac:dyDescent="0.2">
      <c r="A22" t="s">
        <v>191</v>
      </c>
      <c r="B22">
        <v>60063.421999999999</v>
      </c>
      <c r="C22">
        <v>363836.636</v>
      </c>
      <c r="D22">
        <v>18.794899999999998</v>
      </c>
      <c r="E22">
        <v>-31.948679958876141</v>
      </c>
      <c r="F22">
        <v>115.92310646266534</v>
      </c>
    </row>
    <row r="23" spans="1:6" x14ac:dyDescent="0.2">
      <c r="A23" t="s">
        <v>192</v>
      </c>
      <c r="B23">
        <v>60063.750999999997</v>
      </c>
      <c r="C23">
        <v>363837.91800000001</v>
      </c>
      <c r="D23">
        <v>18.809000000000001</v>
      </c>
      <c r="E23">
        <v>-31.948668394535904</v>
      </c>
      <c r="F23">
        <v>115.92310992912996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C5C00-BC63-4DA4-BD94-4C0DEC83674E}">
  <dimension ref="A1:C155"/>
  <sheetViews>
    <sheetView topLeftCell="A91" workbookViewId="0">
      <selection activeCell="A2" sqref="A2:C155"/>
    </sheetView>
  </sheetViews>
  <sheetFormatPr defaultRowHeight="12.75" x14ac:dyDescent="0.2"/>
  <cols>
    <col min="1" max="1" width="15.85546875" bestFit="1" customWidth="1"/>
    <col min="2" max="3" width="11" bestFit="1" customWidth="1"/>
  </cols>
  <sheetData>
    <row r="1" spans="1:3" x14ac:dyDescent="0.2">
      <c r="A1" t="s">
        <v>193</v>
      </c>
      <c r="B1" t="s">
        <v>521</v>
      </c>
      <c r="C1" t="s">
        <v>522</v>
      </c>
    </row>
    <row r="2" spans="1:3" x14ac:dyDescent="0.2">
      <c r="A2" t="s">
        <v>172</v>
      </c>
      <c r="B2" t="s">
        <v>523</v>
      </c>
      <c r="C2">
        <v>20.186199999999999</v>
      </c>
    </row>
    <row r="3" spans="1:3" x14ac:dyDescent="0.2">
      <c r="A3" t="s">
        <v>172</v>
      </c>
      <c r="B3" t="s">
        <v>524</v>
      </c>
      <c r="C3">
        <v>60035.34</v>
      </c>
    </row>
    <row r="4" spans="1:3" x14ac:dyDescent="0.2">
      <c r="A4" t="s">
        <v>172</v>
      </c>
      <c r="B4" t="s">
        <v>525</v>
      </c>
      <c r="C4">
        <v>-1.9699999997101255E-2</v>
      </c>
    </row>
    <row r="5" spans="1:3" x14ac:dyDescent="0.2">
      <c r="A5" t="s">
        <v>172</v>
      </c>
      <c r="B5" t="s">
        <v>526</v>
      </c>
      <c r="C5">
        <v>363845.739</v>
      </c>
    </row>
    <row r="6" spans="1:3" x14ac:dyDescent="0.2">
      <c r="A6" t="s">
        <v>172</v>
      </c>
      <c r="B6" t="s">
        <v>527</v>
      </c>
      <c r="C6">
        <v>-6.9099999993341044E-2</v>
      </c>
    </row>
    <row r="7" spans="1:3" x14ac:dyDescent="0.2">
      <c r="A7" t="s">
        <v>172</v>
      </c>
      <c r="B7" t="s">
        <v>528</v>
      </c>
      <c r="C7">
        <v>18.782</v>
      </c>
    </row>
    <row r="8" spans="1:3" x14ac:dyDescent="0.2">
      <c r="A8" t="s">
        <v>172</v>
      </c>
      <c r="B8" t="s">
        <v>529</v>
      </c>
      <c r="C8">
        <v>8.8000000000000966E-2</v>
      </c>
    </row>
    <row r="9" spans="1:3" x14ac:dyDescent="0.2">
      <c r="A9" t="s">
        <v>171</v>
      </c>
      <c r="B9" t="s">
        <v>523</v>
      </c>
      <c r="C9">
        <v>20.167999999999999</v>
      </c>
    </row>
    <row r="10" spans="1:3" x14ac:dyDescent="0.2">
      <c r="A10" t="s">
        <v>171</v>
      </c>
      <c r="B10" t="s">
        <v>524</v>
      </c>
      <c r="C10">
        <v>60034.959000000003</v>
      </c>
    </row>
    <row r="11" spans="1:3" x14ac:dyDescent="0.2">
      <c r="A11" t="s">
        <v>171</v>
      </c>
      <c r="B11" t="s">
        <v>525</v>
      </c>
      <c r="C11">
        <v>-1.560000000608852E-2</v>
      </c>
    </row>
    <row r="12" spans="1:3" x14ac:dyDescent="0.2">
      <c r="A12" t="s">
        <v>171</v>
      </c>
      <c r="B12" t="s">
        <v>526</v>
      </c>
      <c r="C12">
        <v>363844.47100000002</v>
      </c>
    </row>
    <row r="13" spans="1:3" x14ac:dyDescent="0.2">
      <c r="A13" t="s">
        <v>171</v>
      </c>
      <c r="B13" t="s">
        <v>527</v>
      </c>
      <c r="C13">
        <v>-5.4299999988870695E-2</v>
      </c>
    </row>
    <row r="14" spans="1:3" x14ac:dyDescent="0.2">
      <c r="A14" t="s">
        <v>171</v>
      </c>
      <c r="B14" t="s">
        <v>528</v>
      </c>
      <c r="C14">
        <v>18.778099999999998</v>
      </c>
    </row>
    <row r="15" spans="1:3" x14ac:dyDescent="0.2">
      <c r="A15" t="s">
        <v>171</v>
      </c>
      <c r="B15" t="s">
        <v>529</v>
      </c>
      <c r="C15">
        <v>8.7900000000001199E-2</v>
      </c>
    </row>
    <row r="16" spans="1:3" x14ac:dyDescent="0.2">
      <c r="A16" t="s">
        <v>174</v>
      </c>
      <c r="B16" t="s">
        <v>523</v>
      </c>
      <c r="C16">
        <v>23.075399999999998</v>
      </c>
    </row>
    <row r="17" spans="1:3" x14ac:dyDescent="0.2">
      <c r="A17" t="s">
        <v>174</v>
      </c>
      <c r="B17" t="s">
        <v>524</v>
      </c>
      <c r="C17">
        <v>60038.118000000002</v>
      </c>
    </row>
    <row r="18" spans="1:3" x14ac:dyDescent="0.2">
      <c r="A18" t="s">
        <v>174</v>
      </c>
      <c r="B18" t="s">
        <v>525</v>
      </c>
      <c r="C18">
        <v>-1.9599999999627471E-2</v>
      </c>
    </row>
    <row r="19" spans="1:3" x14ac:dyDescent="0.2">
      <c r="A19" t="s">
        <v>174</v>
      </c>
      <c r="B19" t="s">
        <v>526</v>
      </c>
      <c r="C19">
        <v>363844.94500000001</v>
      </c>
    </row>
    <row r="20" spans="1:3" x14ac:dyDescent="0.2">
      <c r="A20" t="s">
        <v>174</v>
      </c>
      <c r="B20" t="s">
        <v>527</v>
      </c>
      <c r="C20">
        <v>-6.8499999993946403E-2</v>
      </c>
    </row>
    <row r="21" spans="1:3" x14ac:dyDescent="0.2">
      <c r="A21" t="s">
        <v>174</v>
      </c>
      <c r="B21" t="s">
        <v>528</v>
      </c>
      <c r="C21">
        <v>18.7788</v>
      </c>
    </row>
    <row r="22" spans="1:3" x14ac:dyDescent="0.2">
      <c r="A22" t="s">
        <v>174</v>
      </c>
      <c r="B22" t="s">
        <v>529</v>
      </c>
      <c r="C22">
        <v>9.1200000000000614E-2</v>
      </c>
    </row>
    <row r="23" spans="1:3" x14ac:dyDescent="0.2">
      <c r="A23" t="s">
        <v>173</v>
      </c>
      <c r="B23" t="s">
        <v>523</v>
      </c>
      <c r="C23">
        <v>23.128900000000002</v>
      </c>
    </row>
    <row r="24" spans="1:3" x14ac:dyDescent="0.2">
      <c r="A24" t="s">
        <v>173</v>
      </c>
      <c r="B24" t="s">
        <v>524</v>
      </c>
      <c r="C24">
        <v>60037.805</v>
      </c>
    </row>
    <row r="25" spans="1:3" x14ac:dyDescent="0.2">
      <c r="A25" t="s">
        <v>173</v>
      </c>
      <c r="B25" t="s">
        <v>525</v>
      </c>
      <c r="C25">
        <v>-1.690000000235159E-2</v>
      </c>
    </row>
    <row r="26" spans="1:3" x14ac:dyDescent="0.2">
      <c r="A26" t="s">
        <v>173</v>
      </c>
      <c r="B26" t="s">
        <v>526</v>
      </c>
      <c r="C26">
        <v>363843.65700000001</v>
      </c>
    </row>
    <row r="27" spans="1:3" x14ac:dyDescent="0.2">
      <c r="A27" t="s">
        <v>173</v>
      </c>
      <c r="B27" t="s">
        <v>527</v>
      </c>
      <c r="C27">
        <v>-5.8600000018486753E-2</v>
      </c>
    </row>
    <row r="28" spans="1:3" x14ac:dyDescent="0.2">
      <c r="A28" t="s">
        <v>173</v>
      </c>
      <c r="B28" t="s">
        <v>528</v>
      </c>
      <c r="C28">
        <v>18.778500000000001</v>
      </c>
    </row>
    <row r="29" spans="1:3" x14ac:dyDescent="0.2">
      <c r="A29" t="s">
        <v>173</v>
      </c>
      <c r="B29" t="s">
        <v>529</v>
      </c>
      <c r="C29">
        <v>8.7499999999998579E-2</v>
      </c>
    </row>
    <row r="30" spans="1:3" x14ac:dyDescent="0.2">
      <c r="A30" t="s">
        <v>176</v>
      </c>
      <c r="B30" t="s">
        <v>523</v>
      </c>
      <c r="C30">
        <v>26.043799999999997</v>
      </c>
    </row>
    <row r="31" spans="1:3" x14ac:dyDescent="0.2">
      <c r="A31" t="s">
        <v>176</v>
      </c>
      <c r="B31" t="s">
        <v>524</v>
      </c>
      <c r="C31">
        <v>60040.968999999997</v>
      </c>
    </row>
    <row r="32" spans="1:3" x14ac:dyDescent="0.2">
      <c r="A32" t="s">
        <v>176</v>
      </c>
      <c r="B32" t="s">
        <v>525</v>
      </c>
      <c r="C32">
        <v>-1.6899999995075632E-2</v>
      </c>
    </row>
    <row r="33" spans="1:3" x14ac:dyDescent="0.2">
      <c r="A33" t="s">
        <v>176</v>
      </c>
      <c r="B33" t="s">
        <v>526</v>
      </c>
      <c r="C33">
        <v>363844.11800000002</v>
      </c>
    </row>
    <row r="34" spans="1:3" x14ac:dyDescent="0.2">
      <c r="A34" t="s">
        <v>176</v>
      </c>
      <c r="B34" t="s">
        <v>527</v>
      </c>
      <c r="C34">
        <v>-5.8499999984633178E-2</v>
      </c>
    </row>
    <row r="35" spans="1:3" x14ac:dyDescent="0.2">
      <c r="A35" t="s">
        <v>176</v>
      </c>
      <c r="B35" t="s">
        <v>528</v>
      </c>
      <c r="C35">
        <v>18.779</v>
      </c>
    </row>
    <row r="36" spans="1:3" x14ac:dyDescent="0.2">
      <c r="A36" t="s">
        <v>176</v>
      </c>
      <c r="B36" t="s">
        <v>529</v>
      </c>
      <c r="C36">
        <v>8.8999999999998636E-2</v>
      </c>
    </row>
    <row r="37" spans="1:3" x14ac:dyDescent="0.2">
      <c r="A37" t="s">
        <v>175</v>
      </c>
      <c r="B37" t="s">
        <v>523</v>
      </c>
      <c r="C37">
        <v>26.044</v>
      </c>
    </row>
    <row r="38" spans="1:3" x14ac:dyDescent="0.2">
      <c r="A38" t="s">
        <v>175</v>
      </c>
      <c r="B38" t="s">
        <v>524</v>
      </c>
      <c r="C38">
        <v>60040.607000000004</v>
      </c>
    </row>
    <row r="39" spans="1:3" x14ac:dyDescent="0.2">
      <c r="A39" t="s">
        <v>175</v>
      </c>
      <c r="B39" t="s">
        <v>525</v>
      </c>
      <c r="C39">
        <v>-2.0300000003771856E-2</v>
      </c>
    </row>
    <row r="40" spans="1:3" x14ac:dyDescent="0.2">
      <c r="A40" t="s">
        <v>175</v>
      </c>
      <c r="B40" t="s">
        <v>526</v>
      </c>
      <c r="C40">
        <v>363842.86100000003</v>
      </c>
    </row>
    <row r="41" spans="1:3" x14ac:dyDescent="0.2">
      <c r="A41" t="s">
        <v>175</v>
      </c>
      <c r="B41" t="s">
        <v>527</v>
      </c>
      <c r="C41">
        <v>-7.0500000001629815E-2</v>
      </c>
    </row>
    <row r="42" spans="1:3" x14ac:dyDescent="0.2">
      <c r="A42" t="s">
        <v>175</v>
      </c>
      <c r="B42" t="s">
        <v>528</v>
      </c>
      <c r="C42">
        <v>18.771999999999998</v>
      </c>
    </row>
    <row r="43" spans="1:3" x14ac:dyDescent="0.2">
      <c r="A43" t="s">
        <v>175</v>
      </c>
      <c r="B43" t="s">
        <v>529</v>
      </c>
      <c r="C43">
        <v>9.100000000000108E-2</v>
      </c>
    </row>
    <row r="44" spans="1:3" x14ac:dyDescent="0.2">
      <c r="A44" t="s">
        <v>178</v>
      </c>
      <c r="B44" t="s">
        <v>523</v>
      </c>
      <c r="C44">
        <v>28.947299999999998</v>
      </c>
    </row>
    <row r="45" spans="1:3" x14ac:dyDescent="0.2">
      <c r="A45" t="s">
        <v>178</v>
      </c>
      <c r="B45" t="s">
        <v>524</v>
      </c>
      <c r="C45">
        <v>60043.758999999998</v>
      </c>
    </row>
    <row r="46" spans="1:3" x14ac:dyDescent="0.2">
      <c r="A46" t="s">
        <v>178</v>
      </c>
      <c r="B46" t="s">
        <v>525</v>
      </c>
      <c r="C46">
        <v>-1.6799999997601844E-2</v>
      </c>
    </row>
    <row r="47" spans="1:3" x14ac:dyDescent="0.2">
      <c r="A47" t="s">
        <v>178</v>
      </c>
      <c r="B47" t="s">
        <v>526</v>
      </c>
      <c r="C47">
        <v>363843.31400000001</v>
      </c>
    </row>
    <row r="48" spans="1:3" x14ac:dyDescent="0.2">
      <c r="A48" t="s">
        <v>178</v>
      </c>
      <c r="B48" t="s">
        <v>527</v>
      </c>
      <c r="C48">
        <v>-5.8500000013737008E-2</v>
      </c>
    </row>
    <row r="49" spans="1:3" x14ac:dyDescent="0.2">
      <c r="A49" t="s">
        <v>178</v>
      </c>
      <c r="B49" t="s">
        <v>528</v>
      </c>
      <c r="C49">
        <v>18.774100000000001</v>
      </c>
    </row>
    <row r="50" spans="1:3" x14ac:dyDescent="0.2">
      <c r="A50" t="s">
        <v>178</v>
      </c>
      <c r="B50" t="s">
        <v>529</v>
      </c>
      <c r="C50">
        <v>8.6899999999999977E-2</v>
      </c>
    </row>
    <row r="51" spans="1:3" x14ac:dyDescent="0.2">
      <c r="A51" t="s">
        <v>177</v>
      </c>
      <c r="B51" t="s">
        <v>523</v>
      </c>
      <c r="C51">
        <v>28.994700000000002</v>
      </c>
    </row>
    <row r="52" spans="1:3" x14ac:dyDescent="0.2">
      <c r="A52" t="s">
        <v>177</v>
      </c>
      <c r="B52" t="s">
        <v>524</v>
      </c>
      <c r="C52">
        <v>60043.440999999999</v>
      </c>
    </row>
    <row r="53" spans="1:3" x14ac:dyDescent="0.2">
      <c r="A53" t="s">
        <v>177</v>
      </c>
      <c r="B53" t="s">
        <v>525</v>
      </c>
      <c r="C53">
        <v>-1.9399999997403935E-2</v>
      </c>
    </row>
    <row r="54" spans="1:3" x14ac:dyDescent="0.2">
      <c r="A54" t="s">
        <v>177</v>
      </c>
      <c r="B54" t="s">
        <v>526</v>
      </c>
      <c r="C54">
        <v>363842.04000000004</v>
      </c>
    </row>
    <row r="55" spans="1:3" x14ac:dyDescent="0.2">
      <c r="A55" t="s">
        <v>177</v>
      </c>
      <c r="B55" t="s">
        <v>527</v>
      </c>
      <c r="C55">
        <v>-6.7299999995157123E-2</v>
      </c>
    </row>
    <row r="56" spans="1:3" x14ac:dyDescent="0.2">
      <c r="A56" t="s">
        <v>177</v>
      </c>
      <c r="B56" t="s">
        <v>528</v>
      </c>
      <c r="C56">
        <v>18.7683</v>
      </c>
    </row>
    <row r="57" spans="1:3" x14ac:dyDescent="0.2">
      <c r="A57" t="s">
        <v>177</v>
      </c>
      <c r="B57" t="s">
        <v>529</v>
      </c>
      <c r="C57">
        <v>8.8699999999999335E-2</v>
      </c>
    </row>
    <row r="58" spans="1:3" x14ac:dyDescent="0.2">
      <c r="A58" t="s">
        <v>180</v>
      </c>
      <c r="B58" t="s">
        <v>523</v>
      </c>
      <c r="C58">
        <v>31.938500000000001</v>
      </c>
    </row>
    <row r="59" spans="1:3" x14ac:dyDescent="0.2">
      <c r="A59" t="s">
        <v>180</v>
      </c>
      <c r="B59" t="s">
        <v>524</v>
      </c>
      <c r="C59">
        <v>60046.633000000002</v>
      </c>
    </row>
    <row r="60" spans="1:3" x14ac:dyDescent="0.2">
      <c r="A60" t="s">
        <v>180</v>
      </c>
      <c r="B60" t="s">
        <v>525</v>
      </c>
      <c r="C60">
        <v>-1.6700000000128057E-2</v>
      </c>
    </row>
    <row r="61" spans="1:3" x14ac:dyDescent="0.2">
      <c r="A61" t="s">
        <v>180</v>
      </c>
      <c r="B61" t="s">
        <v>526</v>
      </c>
      <c r="C61">
        <v>363842.48499999999</v>
      </c>
    </row>
    <row r="62" spans="1:3" x14ac:dyDescent="0.2">
      <c r="A62" t="s">
        <v>180</v>
      </c>
      <c r="B62" t="s">
        <v>527</v>
      </c>
      <c r="C62">
        <v>-5.8099999994738027E-2</v>
      </c>
    </row>
    <row r="63" spans="1:3" x14ac:dyDescent="0.2">
      <c r="A63" t="s">
        <v>180</v>
      </c>
      <c r="B63" t="s">
        <v>528</v>
      </c>
      <c r="C63">
        <v>18.7776</v>
      </c>
    </row>
    <row r="64" spans="1:3" x14ac:dyDescent="0.2">
      <c r="A64" t="s">
        <v>180</v>
      </c>
      <c r="B64" t="s">
        <v>529</v>
      </c>
      <c r="C64">
        <v>8.4399999999998698E-2</v>
      </c>
    </row>
    <row r="65" spans="1:3" x14ac:dyDescent="0.2">
      <c r="A65" t="s">
        <v>179</v>
      </c>
      <c r="B65" t="s">
        <v>523</v>
      </c>
      <c r="C65">
        <v>31.9192</v>
      </c>
    </row>
    <row r="66" spans="1:3" x14ac:dyDescent="0.2">
      <c r="A66" t="s">
        <v>179</v>
      </c>
      <c r="B66" t="s">
        <v>524</v>
      </c>
      <c r="C66">
        <v>60046.25</v>
      </c>
    </row>
    <row r="67" spans="1:3" x14ac:dyDescent="0.2">
      <c r="A67" t="s">
        <v>179</v>
      </c>
      <c r="B67" t="s">
        <v>525</v>
      </c>
      <c r="C67">
        <v>-1.8199999998614658E-2</v>
      </c>
    </row>
    <row r="68" spans="1:3" x14ac:dyDescent="0.2">
      <c r="A68" t="s">
        <v>179</v>
      </c>
      <c r="B68" t="s">
        <v>526</v>
      </c>
      <c r="C68">
        <v>363841.22600000002</v>
      </c>
    </row>
    <row r="69" spans="1:3" x14ac:dyDescent="0.2">
      <c r="A69" t="s">
        <v>179</v>
      </c>
      <c r="B69" t="s">
        <v>527</v>
      </c>
      <c r="C69">
        <v>-6.3200000004144385E-2</v>
      </c>
    </row>
    <row r="70" spans="1:3" x14ac:dyDescent="0.2">
      <c r="A70" t="s">
        <v>179</v>
      </c>
      <c r="B70" t="s">
        <v>528</v>
      </c>
      <c r="C70">
        <v>18.7698</v>
      </c>
    </row>
    <row r="71" spans="1:3" x14ac:dyDescent="0.2">
      <c r="A71" t="s">
        <v>179</v>
      </c>
      <c r="B71" t="s">
        <v>529</v>
      </c>
      <c r="C71">
        <v>8.82000000000005E-2</v>
      </c>
    </row>
    <row r="72" spans="1:3" x14ac:dyDescent="0.2">
      <c r="A72" t="s">
        <v>182</v>
      </c>
      <c r="B72" t="s">
        <v>523</v>
      </c>
      <c r="C72">
        <v>34.814700000000002</v>
      </c>
    </row>
    <row r="73" spans="1:3" x14ac:dyDescent="0.2">
      <c r="A73" t="s">
        <v>182</v>
      </c>
      <c r="B73" t="s">
        <v>524</v>
      </c>
      <c r="C73">
        <v>60049.398999999998</v>
      </c>
    </row>
    <row r="74" spans="1:3" x14ac:dyDescent="0.2">
      <c r="A74" t="s">
        <v>182</v>
      </c>
      <c r="B74" t="s">
        <v>525</v>
      </c>
      <c r="C74">
        <v>-1.870000000053551E-2</v>
      </c>
    </row>
    <row r="75" spans="1:3" x14ac:dyDescent="0.2">
      <c r="A75" t="s">
        <v>182</v>
      </c>
      <c r="B75" t="s">
        <v>526</v>
      </c>
      <c r="C75">
        <v>363841.69799999997</v>
      </c>
    </row>
    <row r="76" spans="1:3" x14ac:dyDescent="0.2">
      <c r="A76" t="s">
        <v>182</v>
      </c>
      <c r="B76" t="s">
        <v>527</v>
      </c>
      <c r="C76">
        <v>-6.6699999995762482E-2</v>
      </c>
    </row>
    <row r="77" spans="1:3" x14ac:dyDescent="0.2">
      <c r="A77" t="s">
        <v>182</v>
      </c>
      <c r="B77" t="s">
        <v>528</v>
      </c>
      <c r="C77">
        <v>18.777999999999999</v>
      </c>
    </row>
    <row r="78" spans="1:3" x14ac:dyDescent="0.2">
      <c r="A78" t="s">
        <v>182</v>
      </c>
      <c r="B78" t="s">
        <v>529</v>
      </c>
      <c r="C78">
        <v>8.8000000000000966E-2</v>
      </c>
    </row>
    <row r="79" spans="1:3" x14ac:dyDescent="0.2">
      <c r="A79" t="s">
        <v>181</v>
      </c>
      <c r="B79" t="s">
        <v>523</v>
      </c>
      <c r="C79">
        <v>34.8123</v>
      </c>
    </row>
    <row r="80" spans="1:3" x14ac:dyDescent="0.2">
      <c r="A80" t="s">
        <v>181</v>
      </c>
      <c r="B80" t="s">
        <v>524</v>
      </c>
      <c r="C80">
        <v>60049.040999999997</v>
      </c>
    </row>
    <row r="81" spans="1:3" x14ac:dyDescent="0.2">
      <c r="A81" t="s">
        <v>181</v>
      </c>
      <c r="B81" t="s">
        <v>525</v>
      </c>
      <c r="C81">
        <v>-1.8199999998614658E-2</v>
      </c>
    </row>
    <row r="82" spans="1:3" x14ac:dyDescent="0.2">
      <c r="A82" t="s">
        <v>181</v>
      </c>
      <c r="B82" t="s">
        <v>526</v>
      </c>
      <c r="C82">
        <v>363840.43299999996</v>
      </c>
    </row>
    <row r="83" spans="1:3" x14ac:dyDescent="0.2">
      <c r="A83" t="s">
        <v>181</v>
      </c>
      <c r="B83" t="s">
        <v>527</v>
      </c>
      <c r="C83">
        <v>-6.4499999978579581E-2</v>
      </c>
    </row>
    <row r="84" spans="1:3" x14ac:dyDescent="0.2">
      <c r="A84" t="s">
        <v>181</v>
      </c>
      <c r="B84" t="s">
        <v>528</v>
      </c>
      <c r="C84">
        <v>18.771100000000001</v>
      </c>
    </row>
    <row r="85" spans="1:3" x14ac:dyDescent="0.2">
      <c r="A85" t="s">
        <v>181</v>
      </c>
      <c r="B85" t="s">
        <v>529</v>
      </c>
      <c r="C85">
        <v>8.8899999999998869E-2</v>
      </c>
    </row>
    <row r="86" spans="1:3" x14ac:dyDescent="0.2">
      <c r="A86" t="s">
        <v>184</v>
      </c>
      <c r="B86" t="s">
        <v>523</v>
      </c>
      <c r="C86">
        <v>37.821200000000005</v>
      </c>
    </row>
    <row r="87" spans="1:3" x14ac:dyDescent="0.2">
      <c r="A87" t="s">
        <v>184</v>
      </c>
      <c r="B87" t="s">
        <v>524</v>
      </c>
      <c r="C87">
        <v>60052.292999999998</v>
      </c>
    </row>
    <row r="88" spans="1:3" x14ac:dyDescent="0.2">
      <c r="A88" t="s">
        <v>184</v>
      </c>
      <c r="B88" t="s">
        <v>525</v>
      </c>
      <c r="C88">
        <v>-1.7699999996693805E-2</v>
      </c>
    </row>
    <row r="89" spans="1:3" x14ac:dyDescent="0.2">
      <c r="A89" t="s">
        <v>184</v>
      </c>
      <c r="B89" t="s">
        <v>526</v>
      </c>
      <c r="C89">
        <v>363840.88500000001</v>
      </c>
    </row>
    <row r="90" spans="1:3" x14ac:dyDescent="0.2">
      <c r="A90" t="s">
        <v>184</v>
      </c>
      <c r="B90" t="s">
        <v>527</v>
      </c>
      <c r="C90">
        <v>-6.4600000012433156E-2</v>
      </c>
    </row>
    <row r="91" spans="1:3" x14ac:dyDescent="0.2">
      <c r="A91" t="s">
        <v>184</v>
      </c>
      <c r="B91" t="s">
        <v>528</v>
      </c>
      <c r="C91">
        <v>18.779</v>
      </c>
    </row>
    <row r="92" spans="1:3" x14ac:dyDescent="0.2">
      <c r="A92" t="s">
        <v>184</v>
      </c>
      <c r="B92" t="s">
        <v>529</v>
      </c>
      <c r="C92">
        <v>8.6999999999999744E-2</v>
      </c>
    </row>
    <row r="93" spans="1:3" x14ac:dyDescent="0.2">
      <c r="A93" t="s">
        <v>183</v>
      </c>
      <c r="B93" t="s">
        <v>523</v>
      </c>
      <c r="C93">
        <v>37.866199999999999</v>
      </c>
    </row>
    <row r="94" spans="1:3" x14ac:dyDescent="0.2">
      <c r="A94" t="s">
        <v>183</v>
      </c>
      <c r="B94" t="s">
        <v>524</v>
      </c>
      <c r="C94">
        <v>60051.989000000001</v>
      </c>
    </row>
    <row r="95" spans="1:3" x14ac:dyDescent="0.2">
      <c r="A95" t="s">
        <v>183</v>
      </c>
      <c r="B95" t="s">
        <v>525</v>
      </c>
      <c r="C95">
        <v>-1.8199999998614658E-2</v>
      </c>
    </row>
    <row r="96" spans="1:3" x14ac:dyDescent="0.2">
      <c r="A96" t="s">
        <v>183</v>
      </c>
      <c r="B96" t="s">
        <v>526</v>
      </c>
      <c r="C96">
        <v>363839.603</v>
      </c>
    </row>
    <row r="97" spans="1:3" x14ac:dyDescent="0.2">
      <c r="A97" t="s">
        <v>183</v>
      </c>
      <c r="B97" t="s">
        <v>527</v>
      </c>
      <c r="C97">
        <v>-6.4700000017182902E-2</v>
      </c>
    </row>
    <row r="98" spans="1:3" x14ac:dyDescent="0.2">
      <c r="A98" t="s">
        <v>183</v>
      </c>
      <c r="B98" t="s">
        <v>528</v>
      </c>
      <c r="C98">
        <v>18.770099999999999</v>
      </c>
    </row>
    <row r="99" spans="1:3" x14ac:dyDescent="0.2">
      <c r="A99" t="s">
        <v>183</v>
      </c>
      <c r="B99" t="s">
        <v>529</v>
      </c>
      <c r="C99">
        <v>8.7900000000001199E-2</v>
      </c>
    </row>
    <row r="100" spans="1:3" x14ac:dyDescent="0.2">
      <c r="A100" t="s">
        <v>186</v>
      </c>
      <c r="B100" t="s">
        <v>523</v>
      </c>
      <c r="C100">
        <v>40.829799999999999</v>
      </c>
    </row>
    <row r="101" spans="1:3" x14ac:dyDescent="0.2">
      <c r="A101" t="s">
        <v>186</v>
      </c>
      <c r="B101" t="s">
        <v>524</v>
      </c>
      <c r="C101">
        <v>60055.196000000004</v>
      </c>
    </row>
    <row r="102" spans="1:3" x14ac:dyDescent="0.2">
      <c r="A102" t="s">
        <v>186</v>
      </c>
      <c r="B102" t="s">
        <v>525</v>
      </c>
      <c r="C102">
        <v>-1.870000000053551E-2</v>
      </c>
    </row>
    <row r="103" spans="1:3" x14ac:dyDescent="0.2">
      <c r="A103" t="s">
        <v>186</v>
      </c>
      <c r="B103" t="s">
        <v>526</v>
      </c>
      <c r="C103">
        <v>363840.09499999997</v>
      </c>
    </row>
    <row r="104" spans="1:3" x14ac:dyDescent="0.2">
      <c r="A104" t="s">
        <v>186</v>
      </c>
      <c r="B104" t="s">
        <v>527</v>
      </c>
      <c r="C104">
        <v>-6.8300000013550743E-2</v>
      </c>
    </row>
    <row r="105" spans="1:3" x14ac:dyDescent="0.2">
      <c r="A105" t="s">
        <v>186</v>
      </c>
      <c r="B105" t="s">
        <v>528</v>
      </c>
      <c r="C105">
        <v>18.780899999999999</v>
      </c>
    </row>
    <row r="106" spans="1:3" x14ac:dyDescent="0.2">
      <c r="A106" t="s">
        <v>186</v>
      </c>
      <c r="B106" t="s">
        <v>529</v>
      </c>
      <c r="C106">
        <v>8.7099999999999497E-2</v>
      </c>
    </row>
    <row r="107" spans="1:3" x14ac:dyDescent="0.2">
      <c r="A107" t="s">
        <v>185</v>
      </c>
      <c r="B107" t="s">
        <v>523</v>
      </c>
      <c r="C107">
        <v>40.860999999999997</v>
      </c>
    </row>
    <row r="108" spans="1:3" x14ac:dyDescent="0.2">
      <c r="A108" t="s">
        <v>185</v>
      </c>
      <c r="B108" t="s">
        <v>524</v>
      </c>
      <c r="C108">
        <v>60054.885999999999</v>
      </c>
    </row>
    <row r="109" spans="1:3" x14ac:dyDescent="0.2">
      <c r="A109" t="s">
        <v>185</v>
      </c>
      <c r="B109" t="s">
        <v>525</v>
      </c>
      <c r="C109">
        <v>-1.5500000001338776E-2</v>
      </c>
    </row>
    <row r="110" spans="1:3" x14ac:dyDescent="0.2">
      <c r="A110" t="s">
        <v>185</v>
      </c>
      <c r="B110" t="s">
        <v>526</v>
      </c>
      <c r="C110">
        <v>363838.80499999999</v>
      </c>
    </row>
    <row r="111" spans="1:3" x14ac:dyDescent="0.2">
      <c r="A111" t="s">
        <v>185</v>
      </c>
      <c r="B111" t="s">
        <v>527</v>
      </c>
      <c r="C111">
        <v>-5.8399999979883432E-2</v>
      </c>
    </row>
    <row r="112" spans="1:3" x14ac:dyDescent="0.2">
      <c r="A112" t="s">
        <v>185</v>
      </c>
      <c r="B112" t="s">
        <v>528</v>
      </c>
      <c r="C112">
        <v>18.773099999999999</v>
      </c>
    </row>
    <row r="113" spans="1:3" x14ac:dyDescent="0.2">
      <c r="A113" t="s">
        <v>185</v>
      </c>
      <c r="B113" t="s">
        <v>529</v>
      </c>
      <c r="C113">
        <v>8.4900000000001086E-2</v>
      </c>
    </row>
    <row r="114" spans="1:3" x14ac:dyDescent="0.2">
      <c r="A114" t="s">
        <v>188</v>
      </c>
      <c r="B114" t="s">
        <v>523</v>
      </c>
      <c r="C114">
        <v>43.682099999999998</v>
      </c>
    </row>
    <row r="115" spans="1:3" x14ac:dyDescent="0.2">
      <c r="A115" t="s">
        <v>188</v>
      </c>
      <c r="B115" t="s">
        <v>524</v>
      </c>
      <c r="C115">
        <v>60057.951999999997</v>
      </c>
    </row>
    <row r="116" spans="1:3" x14ac:dyDescent="0.2">
      <c r="A116" t="s">
        <v>188</v>
      </c>
      <c r="B116" t="s">
        <v>525</v>
      </c>
      <c r="C116">
        <v>-1.7399999996996485E-2</v>
      </c>
    </row>
    <row r="117" spans="1:3" x14ac:dyDescent="0.2">
      <c r="A117" t="s">
        <v>188</v>
      </c>
      <c r="B117" t="s">
        <v>526</v>
      </c>
      <c r="C117">
        <v>363839.36199999996</v>
      </c>
    </row>
    <row r="118" spans="1:3" x14ac:dyDescent="0.2">
      <c r="A118" t="s">
        <v>188</v>
      </c>
      <c r="B118" t="s">
        <v>527</v>
      </c>
      <c r="C118">
        <v>-6.5600000001722947E-2</v>
      </c>
    </row>
    <row r="119" spans="1:3" x14ac:dyDescent="0.2">
      <c r="A119" t="s">
        <v>188</v>
      </c>
      <c r="B119" t="s">
        <v>528</v>
      </c>
      <c r="C119">
        <v>18.786000000000001</v>
      </c>
    </row>
    <row r="120" spans="1:3" x14ac:dyDescent="0.2">
      <c r="A120" t="s">
        <v>188</v>
      </c>
      <c r="B120" t="s">
        <v>529</v>
      </c>
      <c r="C120">
        <v>8.6999999999999744E-2</v>
      </c>
    </row>
    <row r="121" spans="1:3" x14ac:dyDescent="0.2">
      <c r="A121" t="s">
        <v>187</v>
      </c>
      <c r="B121" t="s">
        <v>523</v>
      </c>
      <c r="C121">
        <v>43.645200000000003</v>
      </c>
    </row>
    <row r="122" spans="1:3" x14ac:dyDescent="0.2">
      <c r="A122" t="s">
        <v>187</v>
      </c>
      <c r="B122" t="s">
        <v>524</v>
      </c>
      <c r="C122">
        <v>60057.578999999998</v>
      </c>
    </row>
    <row r="123" spans="1:3" x14ac:dyDescent="0.2">
      <c r="A123" t="s">
        <v>187</v>
      </c>
      <c r="B123" t="s">
        <v>525</v>
      </c>
      <c r="C123">
        <v>-1.7399999996996485E-2</v>
      </c>
    </row>
    <row r="124" spans="1:3" x14ac:dyDescent="0.2">
      <c r="A124" t="s">
        <v>187</v>
      </c>
      <c r="B124" t="s">
        <v>526</v>
      </c>
      <c r="C124">
        <v>363838.098</v>
      </c>
    </row>
    <row r="125" spans="1:3" x14ac:dyDescent="0.2">
      <c r="A125" t="s">
        <v>187</v>
      </c>
      <c r="B125" t="s">
        <v>527</v>
      </c>
      <c r="C125">
        <v>-6.5600000001722947E-2</v>
      </c>
    </row>
    <row r="126" spans="1:3" x14ac:dyDescent="0.2">
      <c r="A126" t="s">
        <v>187</v>
      </c>
      <c r="B126" t="s">
        <v>528</v>
      </c>
      <c r="C126">
        <v>18.776</v>
      </c>
    </row>
    <row r="127" spans="1:3" x14ac:dyDescent="0.2">
      <c r="A127" t="s">
        <v>187</v>
      </c>
      <c r="B127" t="s">
        <v>529</v>
      </c>
      <c r="C127">
        <v>8.5999999999998522E-2</v>
      </c>
    </row>
    <row r="128" spans="1:3" x14ac:dyDescent="0.2">
      <c r="A128" t="s">
        <v>190</v>
      </c>
      <c r="B128" t="s">
        <v>523</v>
      </c>
      <c r="C128">
        <v>46.789200000000001</v>
      </c>
    </row>
    <row r="129" spans="1:3" x14ac:dyDescent="0.2">
      <c r="A129" t="s">
        <v>190</v>
      </c>
      <c r="B129" t="s">
        <v>524</v>
      </c>
      <c r="C129">
        <v>60060.963000000003</v>
      </c>
    </row>
    <row r="130" spans="1:3" x14ac:dyDescent="0.2">
      <c r="A130" t="s">
        <v>190</v>
      </c>
      <c r="B130" t="s">
        <v>525</v>
      </c>
      <c r="C130">
        <v>-1.5700000003562309E-2</v>
      </c>
    </row>
    <row r="131" spans="1:3" x14ac:dyDescent="0.2">
      <c r="A131" t="s">
        <v>190</v>
      </c>
      <c r="B131" t="s">
        <v>526</v>
      </c>
      <c r="C131">
        <v>363838.60100000002</v>
      </c>
    </row>
    <row r="132" spans="1:3" x14ac:dyDescent="0.2">
      <c r="A132" t="s">
        <v>190</v>
      </c>
      <c r="B132" t="s">
        <v>527</v>
      </c>
      <c r="C132">
        <v>-6.4799999992828816E-2</v>
      </c>
    </row>
    <row r="133" spans="1:3" x14ac:dyDescent="0.2">
      <c r="A133" t="s">
        <v>190</v>
      </c>
      <c r="B133" t="s">
        <v>528</v>
      </c>
      <c r="C133">
        <v>18.794599999999999</v>
      </c>
    </row>
    <row r="134" spans="1:3" x14ac:dyDescent="0.2">
      <c r="A134" t="s">
        <v>190</v>
      </c>
      <c r="B134" t="s">
        <v>529</v>
      </c>
      <c r="C134">
        <v>8.7400000000002365E-2</v>
      </c>
    </row>
    <row r="135" spans="1:3" x14ac:dyDescent="0.2">
      <c r="A135" t="s">
        <v>189</v>
      </c>
      <c r="B135" t="s">
        <v>523</v>
      </c>
      <c r="C135">
        <v>46.781700000000001</v>
      </c>
    </row>
    <row r="136" spans="1:3" x14ac:dyDescent="0.2">
      <c r="A136" t="s">
        <v>189</v>
      </c>
      <c r="B136" t="s">
        <v>524</v>
      </c>
      <c r="C136">
        <v>60060.639999999999</v>
      </c>
    </row>
    <row r="137" spans="1:3" x14ac:dyDescent="0.2">
      <c r="A137" t="s">
        <v>189</v>
      </c>
      <c r="B137" t="s">
        <v>525</v>
      </c>
      <c r="C137">
        <v>-1.690000000235159E-2</v>
      </c>
    </row>
    <row r="138" spans="1:3" x14ac:dyDescent="0.2">
      <c r="A138" t="s">
        <v>189</v>
      </c>
      <c r="B138" t="s">
        <v>526</v>
      </c>
      <c r="C138">
        <v>363837.32199999999</v>
      </c>
    </row>
    <row r="139" spans="1:3" x14ac:dyDescent="0.2">
      <c r="A139" t="s">
        <v>189</v>
      </c>
      <c r="B139" t="s">
        <v>527</v>
      </c>
      <c r="C139">
        <v>-6.6799999971408397E-2</v>
      </c>
    </row>
    <row r="140" spans="1:3" x14ac:dyDescent="0.2">
      <c r="A140" t="s">
        <v>189</v>
      </c>
      <c r="B140" t="s">
        <v>528</v>
      </c>
      <c r="C140">
        <v>18.7836</v>
      </c>
    </row>
    <row r="141" spans="1:3" x14ac:dyDescent="0.2">
      <c r="A141" t="s">
        <v>189</v>
      </c>
      <c r="B141" t="s">
        <v>529</v>
      </c>
      <c r="C141">
        <v>8.6400000000001143E-2</v>
      </c>
    </row>
    <row r="142" spans="1:3" x14ac:dyDescent="0.2">
      <c r="A142" t="s">
        <v>192</v>
      </c>
      <c r="B142" t="s">
        <v>523</v>
      </c>
      <c r="C142">
        <v>49.649799999999999</v>
      </c>
    </row>
    <row r="143" spans="1:3" x14ac:dyDescent="0.2">
      <c r="A143" t="s">
        <v>192</v>
      </c>
      <c r="B143" t="s">
        <v>524</v>
      </c>
      <c r="C143">
        <v>60063.750999999997</v>
      </c>
    </row>
    <row r="144" spans="1:3" x14ac:dyDescent="0.2">
      <c r="A144" t="s">
        <v>192</v>
      </c>
      <c r="B144" t="s">
        <v>525</v>
      </c>
      <c r="C144">
        <v>-2.3999999997613489E-2</v>
      </c>
    </row>
    <row r="145" spans="1:3" x14ac:dyDescent="0.2">
      <c r="A145" t="s">
        <v>192</v>
      </c>
      <c r="B145" t="s">
        <v>526</v>
      </c>
      <c r="C145">
        <v>363837.91800000001</v>
      </c>
    </row>
    <row r="146" spans="1:3" x14ac:dyDescent="0.2">
      <c r="A146" t="s">
        <v>192</v>
      </c>
      <c r="B146" t="s">
        <v>527</v>
      </c>
      <c r="C146">
        <v>-5.7000000000698499E-2</v>
      </c>
    </row>
    <row r="147" spans="1:3" x14ac:dyDescent="0.2">
      <c r="A147" t="s">
        <v>192</v>
      </c>
      <c r="B147" t="s">
        <v>528</v>
      </c>
      <c r="C147">
        <v>18.809000000000001</v>
      </c>
    </row>
    <row r="148" spans="1:3" x14ac:dyDescent="0.2">
      <c r="A148" t="s">
        <v>192</v>
      </c>
      <c r="B148" t="s">
        <v>529</v>
      </c>
      <c r="C148">
        <v>8.5999999999998522E-2</v>
      </c>
    </row>
    <row r="149" spans="1:3" x14ac:dyDescent="0.2">
      <c r="A149" t="s">
        <v>191</v>
      </c>
      <c r="B149" t="s">
        <v>523</v>
      </c>
      <c r="C149">
        <v>49.642600000000002</v>
      </c>
    </row>
    <row r="150" spans="1:3" x14ac:dyDescent="0.2">
      <c r="A150" t="s">
        <v>191</v>
      </c>
      <c r="B150" t="s">
        <v>524</v>
      </c>
      <c r="C150">
        <v>60063.421999999999</v>
      </c>
    </row>
    <row r="151" spans="1:3" x14ac:dyDescent="0.2">
      <c r="A151" t="s">
        <v>191</v>
      </c>
      <c r="B151" t="s">
        <v>525</v>
      </c>
      <c r="C151">
        <v>-1.4499999997497072E-2</v>
      </c>
    </row>
    <row r="152" spans="1:3" x14ac:dyDescent="0.2">
      <c r="A152" t="s">
        <v>191</v>
      </c>
      <c r="B152" t="s">
        <v>526</v>
      </c>
      <c r="C152">
        <v>363836.636</v>
      </c>
    </row>
    <row r="153" spans="1:3" x14ac:dyDescent="0.2">
      <c r="A153" t="s">
        <v>191</v>
      </c>
      <c r="B153" t="s">
        <v>527</v>
      </c>
      <c r="C153">
        <v>-5.9299999993527315E-2</v>
      </c>
    </row>
    <row r="154" spans="1:3" x14ac:dyDescent="0.2">
      <c r="A154" t="s">
        <v>191</v>
      </c>
      <c r="B154" t="s">
        <v>528</v>
      </c>
      <c r="C154">
        <v>18.794899999999998</v>
      </c>
    </row>
    <row r="155" spans="1:3" x14ac:dyDescent="0.2">
      <c r="A155" t="s">
        <v>191</v>
      </c>
      <c r="B155" t="s">
        <v>529</v>
      </c>
      <c r="C155">
        <v>8.510000000000062E-2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DF746-769D-4886-9506-89C85FF697D6}">
  <dimension ref="B1:H1221"/>
  <sheetViews>
    <sheetView topLeftCell="A1021" workbookViewId="0">
      <selection activeCell="F3" sqref="F3:H1221"/>
    </sheetView>
  </sheetViews>
  <sheetFormatPr defaultRowHeight="12.75" x14ac:dyDescent="0.2"/>
  <cols>
    <col min="2" max="2" width="12.140625" bestFit="1" customWidth="1"/>
    <col min="3" max="3" width="13.28515625" bestFit="1" customWidth="1"/>
    <col min="6" max="6" width="10.5703125" bestFit="1" customWidth="1"/>
    <col min="7" max="7" width="12.140625" bestFit="1" customWidth="1"/>
  </cols>
  <sheetData>
    <row r="1" spans="2:8" x14ac:dyDescent="0.2">
      <c r="B1">
        <v>8150</v>
      </c>
      <c r="C1">
        <v>204650</v>
      </c>
      <c r="D1">
        <v>0</v>
      </c>
    </row>
    <row r="3" spans="2:8" x14ac:dyDescent="0.2">
      <c r="B3" s="34">
        <v>51903.608</v>
      </c>
      <c r="C3" s="34">
        <v>159187.88200000001</v>
      </c>
      <c r="D3" s="34">
        <v>19.356999999999999</v>
      </c>
      <c r="F3" s="209">
        <f>B3+$B$1</f>
        <v>60053.608</v>
      </c>
      <c r="G3" s="209">
        <f>C3+$C$1</f>
        <v>363837.88199999998</v>
      </c>
      <c r="H3" s="209">
        <f>D3+$D$1</f>
        <v>19.356999999999999</v>
      </c>
    </row>
    <row r="4" spans="2:8" x14ac:dyDescent="0.2">
      <c r="B4" s="34">
        <v>51899.766000000003</v>
      </c>
      <c r="C4" s="34">
        <v>159188.99400000001</v>
      </c>
      <c r="D4" s="34">
        <v>19.344999999999999</v>
      </c>
      <c r="F4" s="209">
        <f t="shared" ref="F4:F67" si="0">B4+$B$1</f>
        <v>60049.766000000003</v>
      </c>
      <c r="G4" s="209">
        <f t="shared" ref="G4:G67" si="1">C4+$C$1</f>
        <v>363838.99400000001</v>
      </c>
      <c r="H4" s="209">
        <f t="shared" ref="H4:H67" si="2">D4+$D$1</f>
        <v>19.344999999999999</v>
      </c>
    </row>
    <row r="5" spans="2:8" x14ac:dyDescent="0.2">
      <c r="B5" s="34">
        <v>51895.92</v>
      </c>
      <c r="C5" s="34">
        <v>159190.1</v>
      </c>
      <c r="D5" s="34">
        <v>19.334</v>
      </c>
      <c r="F5" s="209">
        <f t="shared" si="0"/>
        <v>60045.919999999998</v>
      </c>
      <c r="G5" s="209">
        <f t="shared" si="1"/>
        <v>363840.1</v>
      </c>
      <c r="H5" s="209">
        <f t="shared" si="2"/>
        <v>19.334</v>
      </c>
    </row>
    <row r="6" spans="2:8" x14ac:dyDescent="0.2">
      <c r="B6" s="34">
        <v>51884.538999999997</v>
      </c>
      <c r="C6" s="34">
        <v>159193.38399999999</v>
      </c>
      <c r="D6" s="34">
        <v>19.332000000000001</v>
      </c>
      <c r="F6" s="209">
        <f t="shared" si="0"/>
        <v>60034.538999999997</v>
      </c>
      <c r="G6" s="209">
        <f t="shared" si="1"/>
        <v>363843.38399999996</v>
      </c>
      <c r="H6" s="209">
        <f t="shared" si="2"/>
        <v>19.332000000000001</v>
      </c>
    </row>
    <row r="7" spans="2:8" x14ac:dyDescent="0.2">
      <c r="B7" s="34">
        <v>51890.286999999997</v>
      </c>
      <c r="C7" s="34">
        <v>159191.73199999999</v>
      </c>
      <c r="D7" s="34">
        <v>19.321999999999999</v>
      </c>
      <c r="F7" s="209">
        <f t="shared" si="0"/>
        <v>60040.286999999997</v>
      </c>
      <c r="G7" s="209">
        <f t="shared" si="1"/>
        <v>363841.73199999996</v>
      </c>
      <c r="H7" s="209">
        <f t="shared" si="2"/>
        <v>19.321999999999999</v>
      </c>
    </row>
    <row r="8" spans="2:8" x14ac:dyDescent="0.2">
      <c r="B8" s="34">
        <v>51884.957999999999</v>
      </c>
      <c r="C8" s="34">
        <v>159194.47200000001</v>
      </c>
      <c r="D8" s="34">
        <v>18.777999999999999</v>
      </c>
      <c r="F8" s="209">
        <f t="shared" si="0"/>
        <v>60034.957999999999</v>
      </c>
      <c r="G8" s="209">
        <f t="shared" si="1"/>
        <v>363844.47200000001</v>
      </c>
      <c r="H8" s="209">
        <f t="shared" si="2"/>
        <v>18.777999999999999</v>
      </c>
    </row>
    <row r="9" spans="2:8" x14ac:dyDescent="0.2">
      <c r="B9" s="34">
        <v>51890.968000000001</v>
      </c>
      <c r="C9" s="34">
        <v>159194.11799999999</v>
      </c>
      <c r="D9" s="34">
        <v>18.779</v>
      </c>
      <c r="F9" s="209">
        <f t="shared" si="0"/>
        <v>60040.968000000001</v>
      </c>
      <c r="G9" s="209">
        <f t="shared" si="1"/>
        <v>363844.11800000002</v>
      </c>
      <c r="H9" s="209">
        <f t="shared" si="2"/>
        <v>18.779</v>
      </c>
    </row>
    <row r="10" spans="2:8" x14ac:dyDescent="0.2">
      <c r="B10" s="34">
        <v>51888.116999999998</v>
      </c>
      <c r="C10" s="34">
        <v>159194.946</v>
      </c>
      <c r="D10" s="34">
        <v>18.779</v>
      </c>
      <c r="F10" s="209">
        <f t="shared" si="0"/>
        <v>60038.116999999998</v>
      </c>
      <c r="G10" s="209">
        <f t="shared" si="1"/>
        <v>363844.946</v>
      </c>
      <c r="H10" s="209">
        <f t="shared" si="2"/>
        <v>18.779</v>
      </c>
    </row>
    <row r="11" spans="2:8" x14ac:dyDescent="0.2">
      <c r="B11" s="34">
        <v>51885.339</v>
      </c>
      <c r="C11" s="34">
        <v>159195.74</v>
      </c>
      <c r="D11" s="34">
        <v>18.782</v>
      </c>
      <c r="F11" s="209">
        <f t="shared" si="0"/>
        <v>60035.339</v>
      </c>
      <c r="G11" s="209">
        <f t="shared" si="1"/>
        <v>363845.74</v>
      </c>
      <c r="H11" s="209">
        <f t="shared" si="2"/>
        <v>18.782</v>
      </c>
    </row>
    <row r="12" spans="2:8" x14ac:dyDescent="0.2">
      <c r="B12" s="34">
        <v>51913.42</v>
      </c>
      <c r="C12" s="34">
        <v>159186.63699999999</v>
      </c>
      <c r="D12" s="34">
        <v>18.795000000000002</v>
      </c>
      <c r="F12" s="209">
        <f t="shared" si="0"/>
        <v>60063.42</v>
      </c>
      <c r="G12" s="209">
        <f t="shared" si="1"/>
        <v>363836.63699999999</v>
      </c>
      <c r="H12" s="209">
        <f t="shared" si="2"/>
        <v>18.795000000000002</v>
      </c>
    </row>
    <row r="13" spans="2:8" x14ac:dyDescent="0.2">
      <c r="B13" s="34">
        <v>51910.637999999999</v>
      </c>
      <c r="C13" s="34">
        <v>159187.323</v>
      </c>
      <c r="D13" s="34">
        <v>18.783000000000001</v>
      </c>
      <c r="F13" s="209">
        <f t="shared" si="0"/>
        <v>60060.637999999999</v>
      </c>
      <c r="G13" s="209">
        <f t="shared" si="1"/>
        <v>363837.32299999997</v>
      </c>
      <c r="H13" s="209">
        <f t="shared" si="2"/>
        <v>18.783000000000001</v>
      </c>
    </row>
    <row r="14" spans="2:8" x14ac:dyDescent="0.2">
      <c r="B14" s="34">
        <v>51907.576999999997</v>
      </c>
      <c r="C14" s="34">
        <v>159188.09899999999</v>
      </c>
      <c r="D14" s="34">
        <v>18.776</v>
      </c>
      <c r="F14" s="209">
        <f t="shared" si="0"/>
        <v>60057.576999999997</v>
      </c>
      <c r="G14" s="209">
        <f t="shared" si="1"/>
        <v>363838.09899999999</v>
      </c>
      <c r="H14" s="209">
        <f t="shared" si="2"/>
        <v>18.776</v>
      </c>
    </row>
    <row r="15" spans="2:8" x14ac:dyDescent="0.2">
      <c r="B15" s="34">
        <v>51904.883999999998</v>
      </c>
      <c r="C15" s="34">
        <v>159188.80600000001</v>
      </c>
      <c r="D15" s="34">
        <v>18.773</v>
      </c>
      <c r="F15" s="209">
        <f t="shared" si="0"/>
        <v>60054.883999999998</v>
      </c>
      <c r="G15" s="209">
        <f t="shared" si="1"/>
        <v>363838.80599999998</v>
      </c>
      <c r="H15" s="209">
        <f t="shared" si="2"/>
        <v>18.773</v>
      </c>
    </row>
    <row r="16" spans="2:8" x14ac:dyDescent="0.2">
      <c r="B16" s="34">
        <v>51901.987999999998</v>
      </c>
      <c r="C16" s="34">
        <v>159189.60399999999</v>
      </c>
      <c r="D16" s="34">
        <v>18.77</v>
      </c>
      <c r="F16" s="209">
        <f t="shared" si="0"/>
        <v>60051.987999999998</v>
      </c>
      <c r="G16" s="209">
        <f t="shared" si="1"/>
        <v>363839.60399999999</v>
      </c>
      <c r="H16" s="209">
        <f t="shared" si="2"/>
        <v>18.77</v>
      </c>
    </row>
    <row r="17" spans="2:8" x14ac:dyDescent="0.2">
      <c r="B17" s="34">
        <v>51899.040000000001</v>
      </c>
      <c r="C17" s="34">
        <v>159190.435</v>
      </c>
      <c r="D17" s="34">
        <v>18.771000000000001</v>
      </c>
      <c r="F17" s="209">
        <f t="shared" si="0"/>
        <v>60049.04</v>
      </c>
      <c r="G17" s="209">
        <f t="shared" si="1"/>
        <v>363840.435</v>
      </c>
      <c r="H17" s="209">
        <f t="shared" si="2"/>
        <v>18.771000000000001</v>
      </c>
    </row>
    <row r="18" spans="2:8" x14ac:dyDescent="0.2">
      <c r="B18" s="34">
        <v>51896.249000000003</v>
      </c>
      <c r="C18" s="34">
        <v>159191.22700000001</v>
      </c>
      <c r="D18" s="34">
        <v>18.77</v>
      </c>
      <c r="F18" s="209">
        <f t="shared" si="0"/>
        <v>60046.249000000003</v>
      </c>
      <c r="G18" s="209">
        <f t="shared" si="1"/>
        <v>363841.22700000001</v>
      </c>
      <c r="H18" s="209">
        <f t="shared" si="2"/>
        <v>18.77</v>
      </c>
    </row>
    <row r="19" spans="2:8" x14ac:dyDescent="0.2">
      <c r="B19" s="34">
        <v>51893.440000000002</v>
      </c>
      <c r="C19" s="34">
        <v>159192.041</v>
      </c>
      <c r="D19" s="34">
        <v>18.768000000000001</v>
      </c>
      <c r="F19" s="209">
        <f t="shared" si="0"/>
        <v>60043.44</v>
      </c>
      <c r="G19" s="209">
        <f t="shared" si="1"/>
        <v>363842.04099999997</v>
      </c>
      <c r="H19" s="209">
        <f t="shared" si="2"/>
        <v>18.768000000000001</v>
      </c>
    </row>
    <row r="20" spans="2:8" x14ac:dyDescent="0.2">
      <c r="B20" s="34">
        <v>51890.606</v>
      </c>
      <c r="C20" s="34">
        <v>159192.86199999999</v>
      </c>
      <c r="D20" s="34">
        <v>18.771999999999998</v>
      </c>
      <c r="F20" s="209">
        <f t="shared" si="0"/>
        <v>60040.606</v>
      </c>
      <c r="G20" s="209">
        <f t="shared" si="1"/>
        <v>363842.86199999996</v>
      </c>
      <c r="H20" s="209">
        <f t="shared" si="2"/>
        <v>18.771999999999998</v>
      </c>
    </row>
    <row r="21" spans="2:8" x14ac:dyDescent="0.2">
      <c r="B21" s="34">
        <v>51887.803999999996</v>
      </c>
      <c r="C21" s="34">
        <v>159193.658</v>
      </c>
      <c r="D21" s="34">
        <v>18.777999999999999</v>
      </c>
      <c r="F21" s="209">
        <f t="shared" si="0"/>
        <v>60037.803999999996</v>
      </c>
      <c r="G21" s="209">
        <f t="shared" si="1"/>
        <v>363843.658</v>
      </c>
      <c r="H21" s="209">
        <f t="shared" si="2"/>
        <v>18.777999999999999</v>
      </c>
    </row>
    <row r="22" spans="2:8" x14ac:dyDescent="0.2">
      <c r="B22" s="34">
        <v>51913.75</v>
      </c>
      <c r="C22" s="34">
        <v>159187.91800000001</v>
      </c>
      <c r="D22" s="34">
        <v>18.809000000000001</v>
      </c>
      <c r="F22" s="209">
        <f t="shared" si="0"/>
        <v>60063.75</v>
      </c>
      <c r="G22" s="209">
        <f t="shared" si="1"/>
        <v>363837.91800000001</v>
      </c>
      <c r="H22" s="209">
        <f t="shared" si="2"/>
        <v>18.809000000000001</v>
      </c>
    </row>
    <row r="23" spans="2:8" x14ac:dyDescent="0.2">
      <c r="B23" s="34">
        <v>51910.961000000003</v>
      </c>
      <c r="C23" s="34">
        <v>159188.601</v>
      </c>
      <c r="D23" s="34">
        <v>18.794</v>
      </c>
      <c r="F23" s="209">
        <f t="shared" si="0"/>
        <v>60060.961000000003</v>
      </c>
      <c r="G23" s="209">
        <f t="shared" si="1"/>
        <v>363838.60100000002</v>
      </c>
      <c r="H23" s="209">
        <f t="shared" si="2"/>
        <v>18.794</v>
      </c>
    </row>
    <row r="24" spans="2:8" x14ac:dyDescent="0.2">
      <c r="B24" s="34">
        <v>51907.951000000001</v>
      </c>
      <c r="C24" s="34">
        <v>159189.36300000001</v>
      </c>
      <c r="D24" s="34">
        <v>18.786000000000001</v>
      </c>
      <c r="F24" s="209">
        <f t="shared" si="0"/>
        <v>60057.951000000001</v>
      </c>
      <c r="G24" s="209">
        <f t="shared" si="1"/>
        <v>363839.36300000001</v>
      </c>
      <c r="H24" s="209">
        <f t="shared" si="2"/>
        <v>18.786000000000001</v>
      </c>
    </row>
    <row r="25" spans="2:8" x14ac:dyDescent="0.2">
      <c r="B25" s="34">
        <v>51905.195</v>
      </c>
      <c r="C25" s="34">
        <v>159190.095</v>
      </c>
      <c r="D25" s="34">
        <v>18.780999999999999</v>
      </c>
      <c r="F25" s="209">
        <f t="shared" si="0"/>
        <v>60055.195</v>
      </c>
      <c r="G25" s="209">
        <f t="shared" si="1"/>
        <v>363840.09499999997</v>
      </c>
      <c r="H25" s="209">
        <f t="shared" si="2"/>
        <v>18.780999999999999</v>
      </c>
    </row>
    <row r="26" spans="2:8" x14ac:dyDescent="0.2">
      <c r="B26" s="34">
        <v>51902.292000000001</v>
      </c>
      <c r="C26" s="34">
        <v>159190.88500000001</v>
      </c>
      <c r="D26" s="34">
        <v>18.779</v>
      </c>
      <c r="F26" s="209">
        <f t="shared" si="0"/>
        <v>60052.292000000001</v>
      </c>
      <c r="G26" s="209">
        <f t="shared" si="1"/>
        <v>363840.88500000001</v>
      </c>
      <c r="H26" s="209">
        <f t="shared" si="2"/>
        <v>18.779</v>
      </c>
    </row>
    <row r="27" spans="2:8" x14ac:dyDescent="0.2">
      <c r="B27" s="34">
        <v>51899.398000000001</v>
      </c>
      <c r="C27" s="34">
        <v>159191.698</v>
      </c>
      <c r="D27" s="34">
        <v>18.777999999999999</v>
      </c>
      <c r="F27" s="209">
        <f t="shared" si="0"/>
        <v>60049.398000000001</v>
      </c>
      <c r="G27" s="209">
        <f t="shared" si="1"/>
        <v>363841.69799999997</v>
      </c>
      <c r="H27" s="209">
        <f t="shared" si="2"/>
        <v>18.777999999999999</v>
      </c>
    </row>
    <row r="28" spans="2:8" x14ac:dyDescent="0.2">
      <c r="B28" s="34">
        <v>51896.631999999998</v>
      </c>
      <c r="C28" s="34">
        <v>159192.48499999999</v>
      </c>
      <c r="D28" s="34">
        <v>18.777000000000001</v>
      </c>
      <c r="F28" s="209">
        <f t="shared" si="0"/>
        <v>60046.631999999998</v>
      </c>
      <c r="G28" s="209">
        <f t="shared" si="1"/>
        <v>363842.48499999999</v>
      </c>
      <c r="H28" s="209">
        <f t="shared" si="2"/>
        <v>18.777000000000001</v>
      </c>
    </row>
    <row r="29" spans="2:8" x14ac:dyDescent="0.2">
      <c r="B29" s="34">
        <v>51893.758000000002</v>
      </c>
      <c r="C29" s="34">
        <v>159193.315</v>
      </c>
      <c r="D29" s="34">
        <v>18.774000000000001</v>
      </c>
      <c r="F29" s="209">
        <f t="shared" si="0"/>
        <v>60043.758000000002</v>
      </c>
      <c r="G29" s="209">
        <f t="shared" si="1"/>
        <v>363843.315</v>
      </c>
      <c r="H29" s="209">
        <f t="shared" si="2"/>
        <v>18.774000000000001</v>
      </c>
    </row>
    <row r="30" spans="2:8" x14ac:dyDescent="0.2">
      <c r="B30" s="152">
        <v>51910.065000000002</v>
      </c>
      <c r="C30" s="152">
        <v>159186.024</v>
      </c>
      <c r="D30" s="152">
        <v>19.356999999999999</v>
      </c>
      <c r="F30" s="209">
        <f t="shared" si="0"/>
        <v>60060.065000000002</v>
      </c>
      <c r="G30" s="209">
        <f t="shared" si="1"/>
        <v>363836.02399999998</v>
      </c>
      <c r="H30" s="209">
        <f t="shared" si="2"/>
        <v>19.356999999999999</v>
      </c>
    </row>
    <row r="31" spans="2:8" x14ac:dyDescent="0.2">
      <c r="B31" s="34">
        <v>51913.7503</v>
      </c>
      <c r="C31" s="34">
        <v>159187.9184</v>
      </c>
      <c r="D31" s="34">
        <v>18.809000000000001</v>
      </c>
      <c r="F31" s="209">
        <f t="shared" si="0"/>
        <v>60063.7503</v>
      </c>
      <c r="G31" s="209">
        <f t="shared" si="1"/>
        <v>363837.91839999997</v>
      </c>
      <c r="H31" s="209">
        <f t="shared" si="2"/>
        <v>18.809000000000001</v>
      </c>
    </row>
    <row r="32" spans="2:8" x14ac:dyDescent="0.2">
      <c r="B32" s="34">
        <v>51910.962299999999</v>
      </c>
      <c r="C32" s="34">
        <v>159188.60130000001</v>
      </c>
      <c r="D32" s="34">
        <v>18.794699999999999</v>
      </c>
      <c r="F32" s="209">
        <f t="shared" si="0"/>
        <v>60060.962299999999</v>
      </c>
      <c r="G32" s="209">
        <f t="shared" si="1"/>
        <v>363838.60129999998</v>
      </c>
      <c r="H32" s="209">
        <f t="shared" si="2"/>
        <v>18.794699999999999</v>
      </c>
    </row>
    <row r="33" spans="2:8" x14ac:dyDescent="0.2">
      <c r="B33" s="34">
        <v>51907.9516</v>
      </c>
      <c r="C33" s="34">
        <v>159189.3628</v>
      </c>
      <c r="D33" s="34">
        <v>18.786000000000001</v>
      </c>
      <c r="F33" s="209">
        <f t="shared" si="0"/>
        <v>60057.9516</v>
      </c>
      <c r="G33" s="209">
        <f t="shared" si="1"/>
        <v>363839.3628</v>
      </c>
      <c r="H33" s="209">
        <f t="shared" si="2"/>
        <v>18.786000000000001</v>
      </c>
    </row>
    <row r="34" spans="2:8" x14ac:dyDescent="0.2">
      <c r="B34" s="34">
        <v>51905.195599999999</v>
      </c>
      <c r="C34" s="34">
        <v>159190.0949</v>
      </c>
      <c r="D34" s="34">
        <v>18.7807</v>
      </c>
      <c r="F34" s="209">
        <f t="shared" si="0"/>
        <v>60055.195599999999</v>
      </c>
      <c r="G34" s="209">
        <f t="shared" si="1"/>
        <v>363840.09490000003</v>
      </c>
      <c r="H34" s="209">
        <f t="shared" si="2"/>
        <v>18.7807</v>
      </c>
    </row>
    <row r="35" spans="2:8" x14ac:dyDescent="0.2">
      <c r="B35" s="34">
        <v>51902.292099999999</v>
      </c>
      <c r="C35" s="34">
        <v>159190.8849</v>
      </c>
      <c r="D35" s="34">
        <v>18.7789</v>
      </c>
      <c r="F35" s="209">
        <f t="shared" si="0"/>
        <v>60052.292099999999</v>
      </c>
      <c r="G35" s="209">
        <f t="shared" si="1"/>
        <v>363840.8849</v>
      </c>
      <c r="H35" s="209">
        <f t="shared" si="2"/>
        <v>18.7789</v>
      </c>
    </row>
    <row r="36" spans="2:8" x14ac:dyDescent="0.2">
      <c r="B36" s="152">
        <v>51899.398200000003</v>
      </c>
      <c r="C36" s="152">
        <v>159191.69769999999</v>
      </c>
      <c r="D36" s="152">
        <v>18.778099999999998</v>
      </c>
      <c r="F36" s="209">
        <f t="shared" si="0"/>
        <v>60049.398200000003</v>
      </c>
      <c r="G36" s="209">
        <f t="shared" si="1"/>
        <v>363841.69770000002</v>
      </c>
      <c r="H36" s="209">
        <f t="shared" si="2"/>
        <v>18.778099999999998</v>
      </c>
    </row>
    <row r="37" spans="2:8" x14ac:dyDescent="0.2">
      <c r="B37" s="34">
        <v>51896.632899999997</v>
      </c>
      <c r="C37" s="34">
        <v>159192.48439999999</v>
      </c>
      <c r="D37" s="34">
        <v>18.777899999999999</v>
      </c>
      <c r="F37" s="209">
        <f t="shared" si="0"/>
        <v>60046.632899999997</v>
      </c>
      <c r="G37" s="209">
        <f t="shared" si="1"/>
        <v>363842.48439999996</v>
      </c>
      <c r="H37" s="209">
        <f t="shared" si="2"/>
        <v>18.777899999999999</v>
      </c>
    </row>
    <row r="38" spans="2:8" x14ac:dyDescent="0.2">
      <c r="B38" s="34">
        <v>51893.758199999997</v>
      </c>
      <c r="C38" s="34">
        <v>159193.31419999999</v>
      </c>
      <c r="D38" s="34">
        <v>18.7744</v>
      </c>
      <c r="F38" s="209">
        <f t="shared" si="0"/>
        <v>60043.758199999997</v>
      </c>
      <c r="G38" s="209">
        <f t="shared" si="1"/>
        <v>363843.31420000002</v>
      </c>
      <c r="H38" s="209">
        <f t="shared" si="2"/>
        <v>18.7744</v>
      </c>
    </row>
    <row r="39" spans="2:8" x14ac:dyDescent="0.2">
      <c r="B39" s="34">
        <v>51890.968200000003</v>
      </c>
      <c r="C39" s="34">
        <v>159194.11720000001</v>
      </c>
      <c r="D39" s="34">
        <v>18.779</v>
      </c>
      <c r="F39" s="209">
        <f t="shared" si="0"/>
        <v>60040.968200000003</v>
      </c>
      <c r="G39" s="209">
        <f t="shared" si="1"/>
        <v>363844.11719999998</v>
      </c>
      <c r="H39" s="209">
        <f t="shared" si="2"/>
        <v>18.779</v>
      </c>
    </row>
    <row r="40" spans="2:8" x14ac:dyDescent="0.2">
      <c r="B40" s="34">
        <v>51888.117200000001</v>
      </c>
      <c r="C40" s="34">
        <v>159194.9448</v>
      </c>
      <c r="D40" s="34">
        <v>18.778400000000001</v>
      </c>
      <c r="F40" s="209">
        <f t="shared" si="0"/>
        <v>60038.117200000001</v>
      </c>
      <c r="G40" s="209">
        <f t="shared" si="1"/>
        <v>363844.9448</v>
      </c>
      <c r="H40" s="209">
        <f t="shared" si="2"/>
        <v>18.778400000000001</v>
      </c>
    </row>
    <row r="41" spans="2:8" x14ac:dyDescent="0.2">
      <c r="B41" s="34">
        <v>51913.4205</v>
      </c>
      <c r="C41" s="34">
        <v>159186.63680000001</v>
      </c>
      <c r="D41" s="34">
        <v>18.794799999999999</v>
      </c>
      <c r="F41" s="209">
        <f t="shared" si="0"/>
        <v>60063.4205</v>
      </c>
      <c r="G41" s="209">
        <f t="shared" si="1"/>
        <v>363836.63679999998</v>
      </c>
      <c r="H41" s="209">
        <f t="shared" si="2"/>
        <v>18.794799999999999</v>
      </c>
    </row>
    <row r="42" spans="2:8" x14ac:dyDescent="0.2">
      <c r="B42" s="34">
        <v>51910.6394</v>
      </c>
      <c r="C42" s="34">
        <v>159187.32279999999</v>
      </c>
      <c r="D42" s="34">
        <v>18.783799999999999</v>
      </c>
      <c r="F42" s="209">
        <f t="shared" si="0"/>
        <v>60060.6394</v>
      </c>
      <c r="G42" s="209">
        <f t="shared" si="1"/>
        <v>363837.32279999997</v>
      </c>
      <c r="H42" s="209">
        <f t="shared" si="2"/>
        <v>18.783799999999999</v>
      </c>
    </row>
    <row r="43" spans="2:8" x14ac:dyDescent="0.2">
      <c r="B43" s="34">
        <v>51907.578099999999</v>
      </c>
      <c r="C43" s="34">
        <v>159188.09820000001</v>
      </c>
      <c r="D43" s="34">
        <v>18.7761</v>
      </c>
      <c r="F43" s="209">
        <f t="shared" si="0"/>
        <v>60057.578099999999</v>
      </c>
      <c r="G43" s="209">
        <f t="shared" si="1"/>
        <v>363838.09820000001</v>
      </c>
      <c r="H43" s="209">
        <f t="shared" si="2"/>
        <v>18.7761</v>
      </c>
    </row>
    <row r="44" spans="2:8" x14ac:dyDescent="0.2">
      <c r="B44" s="34">
        <v>51904.884899999997</v>
      </c>
      <c r="C44" s="34">
        <v>159188.80480000001</v>
      </c>
      <c r="D44" s="34">
        <v>18.773299999999999</v>
      </c>
      <c r="F44" s="209">
        <f t="shared" si="0"/>
        <v>60054.884899999997</v>
      </c>
      <c r="G44" s="209">
        <f t="shared" si="1"/>
        <v>363838.80480000004</v>
      </c>
      <c r="H44" s="209">
        <f t="shared" si="2"/>
        <v>18.773299999999999</v>
      </c>
    </row>
    <row r="45" spans="2:8" x14ac:dyDescent="0.2">
      <c r="B45" s="34">
        <v>51901.988599999997</v>
      </c>
      <c r="C45" s="34">
        <v>159189.60279999999</v>
      </c>
      <c r="D45" s="34">
        <v>18.770199999999999</v>
      </c>
      <c r="F45" s="209">
        <f t="shared" si="0"/>
        <v>60051.988599999997</v>
      </c>
      <c r="G45" s="209">
        <f t="shared" si="1"/>
        <v>363839.60279999999</v>
      </c>
      <c r="H45" s="209">
        <f t="shared" si="2"/>
        <v>18.770199999999999</v>
      </c>
    </row>
    <row r="46" spans="2:8" x14ac:dyDescent="0.2">
      <c r="B46" s="34">
        <v>51899.040300000001</v>
      </c>
      <c r="C46" s="34">
        <v>159190.4332</v>
      </c>
      <c r="D46" s="34">
        <v>18.7712</v>
      </c>
      <c r="F46" s="209">
        <f t="shared" si="0"/>
        <v>60049.040300000001</v>
      </c>
      <c r="G46" s="209">
        <f t="shared" si="1"/>
        <v>363840.43319999997</v>
      </c>
      <c r="H46" s="209">
        <f t="shared" si="2"/>
        <v>18.7712</v>
      </c>
    </row>
    <row r="47" spans="2:8" x14ac:dyDescent="0.2">
      <c r="B47" s="34">
        <v>51896.249300000003</v>
      </c>
      <c r="C47" s="34">
        <v>159191.22500000001</v>
      </c>
      <c r="D47" s="34">
        <v>18.770399999999999</v>
      </c>
      <c r="F47" s="209">
        <f t="shared" si="0"/>
        <v>60046.249300000003</v>
      </c>
      <c r="G47" s="209">
        <f t="shared" si="1"/>
        <v>363841.22499999998</v>
      </c>
      <c r="H47" s="209">
        <f t="shared" si="2"/>
        <v>18.770399999999999</v>
      </c>
    </row>
    <row r="48" spans="2:8" x14ac:dyDescent="0.2">
      <c r="B48" s="34">
        <v>51893.440900000001</v>
      </c>
      <c r="C48" s="34">
        <v>159192.03969999999</v>
      </c>
      <c r="D48" s="34">
        <v>18.768999999999998</v>
      </c>
      <c r="F48" s="209">
        <f t="shared" si="0"/>
        <v>60043.440900000001</v>
      </c>
      <c r="G48" s="209">
        <f t="shared" si="1"/>
        <v>363842.03969999996</v>
      </c>
      <c r="H48" s="209">
        <f t="shared" si="2"/>
        <v>18.768999999999998</v>
      </c>
    </row>
    <row r="49" spans="2:8" x14ac:dyDescent="0.2">
      <c r="B49" s="34">
        <v>51890.606399999997</v>
      </c>
      <c r="C49" s="34">
        <v>159192.8602</v>
      </c>
      <c r="D49" s="34">
        <v>18.771999999999998</v>
      </c>
      <c r="F49" s="209">
        <f t="shared" si="0"/>
        <v>60040.606399999997</v>
      </c>
      <c r="G49" s="209">
        <f t="shared" si="1"/>
        <v>363842.8602</v>
      </c>
      <c r="H49" s="209">
        <f t="shared" si="2"/>
        <v>18.771999999999998</v>
      </c>
    </row>
    <row r="50" spans="2:8" x14ac:dyDescent="0.2">
      <c r="B50" s="34">
        <v>51887.804300000003</v>
      </c>
      <c r="C50" s="34">
        <v>159193.65640000001</v>
      </c>
      <c r="D50" s="34">
        <v>18.778500000000001</v>
      </c>
      <c r="F50" s="209">
        <f t="shared" si="0"/>
        <v>60037.804300000003</v>
      </c>
      <c r="G50" s="209">
        <f t="shared" si="1"/>
        <v>363843.65639999998</v>
      </c>
      <c r="H50" s="209">
        <f t="shared" si="2"/>
        <v>18.778500000000001</v>
      </c>
    </row>
    <row r="51" spans="2:8" x14ac:dyDescent="0.2">
      <c r="B51" s="34">
        <v>51884.958700000003</v>
      </c>
      <c r="C51" s="34">
        <v>159194.47</v>
      </c>
      <c r="D51" s="34">
        <v>18.778300000000002</v>
      </c>
      <c r="F51" s="209">
        <f t="shared" si="0"/>
        <v>60034.958700000003</v>
      </c>
      <c r="G51" s="209">
        <f t="shared" si="1"/>
        <v>363844.47</v>
      </c>
      <c r="H51" s="209">
        <f t="shared" si="2"/>
        <v>18.778300000000002</v>
      </c>
    </row>
    <row r="52" spans="2:8" x14ac:dyDescent="0.2">
      <c r="B52" s="34">
        <v>51913.75</v>
      </c>
      <c r="C52" s="34">
        <v>159187.91800000001</v>
      </c>
      <c r="D52" s="34">
        <v>18.809000000000001</v>
      </c>
      <c r="F52" s="209">
        <f t="shared" si="0"/>
        <v>60063.75</v>
      </c>
      <c r="G52" s="209">
        <f t="shared" si="1"/>
        <v>363837.91800000001</v>
      </c>
      <c r="H52" s="209">
        <f t="shared" si="2"/>
        <v>18.809000000000001</v>
      </c>
    </row>
    <row r="53" spans="2:8" x14ac:dyDescent="0.2">
      <c r="B53" s="34">
        <v>51910.962</v>
      </c>
      <c r="C53" s="34">
        <v>159188.601</v>
      </c>
      <c r="D53" s="34">
        <v>18.795000000000002</v>
      </c>
      <c r="F53" s="209">
        <f t="shared" si="0"/>
        <v>60060.962</v>
      </c>
      <c r="G53" s="209">
        <f t="shared" si="1"/>
        <v>363838.60100000002</v>
      </c>
      <c r="H53" s="209">
        <f t="shared" si="2"/>
        <v>18.795000000000002</v>
      </c>
    </row>
    <row r="54" spans="2:8" x14ac:dyDescent="0.2">
      <c r="B54" s="34">
        <v>51907.951999999997</v>
      </c>
      <c r="C54" s="34">
        <v>159189.36300000001</v>
      </c>
      <c r="D54" s="34">
        <v>18.786000000000001</v>
      </c>
      <c r="F54" s="209">
        <f t="shared" si="0"/>
        <v>60057.951999999997</v>
      </c>
      <c r="G54" s="209">
        <f t="shared" si="1"/>
        <v>363839.36300000001</v>
      </c>
      <c r="H54" s="209">
        <f t="shared" si="2"/>
        <v>18.786000000000001</v>
      </c>
    </row>
    <row r="55" spans="2:8" x14ac:dyDescent="0.2">
      <c r="B55" s="34">
        <v>51905.196000000004</v>
      </c>
      <c r="C55" s="34">
        <v>159190.095</v>
      </c>
      <c r="D55" s="34">
        <v>18.780999999999999</v>
      </c>
      <c r="F55" s="209">
        <f t="shared" si="0"/>
        <v>60055.196000000004</v>
      </c>
      <c r="G55" s="209">
        <f t="shared" si="1"/>
        <v>363840.09499999997</v>
      </c>
      <c r="H55" s="209">
        <f t="shared" si="2"/>
        <v>18.780999999999999</v>
      </c>
    </row>
    <row r="56" spans="2:8" x14ac:dyDescent="0.2">
      <c r="B56" s="34">
        <v>51902.292000000001</v>
      </c>
      <c r="C56" s="34">
        <v>159190.88500000001</v>
      </c>
      <c r="D56" s="34">
        <v>18.779</v>
      </c>
      <c r="F56" s="209">
        <f t="shared" si="0"/>
        <v>60052.292000000001</v>
      </c>
      <c r="G56" s="209">
        <f t="shared" si="1"/>
        <v>363840.88500000001</v>
      </c>
      <c r="H56" s="209">
        <f t="shared" si="2"/>
        <v>18.779</v>
      </c>
    </row>
    <row r="57" spans="2:8" x14ac:dyDescent="0.2">
      <c r="B57" s="34">
        <v>51899.398000000001</v>
      </c>
      <c r="C57" s="34">
        <v>159191.698</v>
      </c>
      <c r="D57" s="34">
        <v>18.777999999999999</v>
      </c>
      <c r="F57" s="209">
        <f t="shared" si="0"/>
        <v>60049.398000000001</v>
      </c>
      <c r="G57" s="209">
        <f t="shared" si="1"/>
        <v>363841.69799999997</v>
      </c>
      <c r="H57" s="209">
        <f t="shared" si="2"/>
        <v>18.777999999999999</v>
      </c>
    </row>
    <row r="58" spans="2:8" x14ac:dyDescent="0.2">
      <c r="B58" s="34">
        <v>51896.633000000002</v>
      </c>
      <c r="C58" s="34">
        <v>159192.484</v>
      </c>
      <c r="D58" s="34">
        <v>18.777000000000001</v>
      </c>
      <c r="F58" s="209">
        <f t="shared" si="0"/>
        <v>60046.633000000002</v>
      </c>
      <c r="G58" s="209">
        <f t="shared" si="1"/>
        <v>363842.484</v>
      </c>
      <c r="H58" s="209">
        <f t="shared" si="2"/>
        <v>18.777000000000001</v>
      </c>
    </row>
    <row r="59" spans="2:8" x14ac:dyDescent="0.2">
      <c r="B59" s="34">
        <v>51893.758000000002</v>
      </c>
      <c r="C59" s="34">
        <v>159193.31400000001</v>
      </c>
      <c r="D59" s="34">
        <v>18.774000000000001</v>
      </c>
      <c r="F59" s="209">
        <f t="shared" si="0"/>
        <v>60043.758000000002</v>
      </c>
      <c r="G59" s="209">
        <f t="shared" si="1"/>
        <v>363843.31400000001</v>
      </c>
      <c r="H59" s="209">
        <f t="shared" si="2"/>
        <v>18.774000000000001</v>
      </c>
    </row>
    <row r="60" spans="2:8" x14ac:dyDescent="0.2">
      <c r="B60" s="34">
        <v>51890.968000000001</v>
      </c>
      <c r="C60" s="34">
        <v>159194.117</v>
      </c>
      <c r="D60" s="34">
        <v>18.779</v>
      </c>
      <c r="F60" s="209">
        <f t="shared" si="0"/>
        <v>60040.968000000001</v>
      </c>
      <c r="G60" s="209">
        <f t="shared" si="1"/>
        <v>363844.11699999997</v>
      </c>
      <c r="H60" s="209">
        <f t="shared" si="2"/>
        <v>18.779</v>
      </c>
    </row>
    <row r="61" spans="2:8" x14ac:dyDescent="0.2">
      <c r="B61" s="34">
        <v>51888.116999999998</v>
      </c>
      <c r="C61" s="34">
        <v>159194.94500000001</v>
      </c>
      <c r="D61" s="34">
        <v>18.779</v>
      </c>
      <c r="F61" s="209">
        <f t="shared" si="0"/>
        <v>60038.116999999998</v>
      </c>
      <c r="G61" s="209">
        <f t="shared" si="1"/>
        <v>363844.94500000001</v>
      </c>
      <c r="H61" s="209">
        <f t="shared" si="2"/>
        <v>18.779</v>
      </c>
    </row>
    <row r="62" spans="2:8" x14ac:dyDescent="0.2">
      <c r="B62" s="34">
        <v>51913.42</v>
      </c>
      <c r="C62" s="34">
        <v>159186.63699999999</v>
      </c>
      <c r="D62" s="34">
        <v>18.795000000000002</v>
      </c>
      <c r="F62" s="209">
        <f t="shared" si="0"/>
        <v>60063.42</v>
      </c>
      <c r="G62" s="209">
        <f t="shared" si="1"/>
        <v>363836.63699999999</v>
      </c>
      <c r="H62" s="209">
        <f t="shared" si="2"/>
        <v>18.795000000000002</v>
      </c>
    </row>
    <row r="63" spans="2:8" x14ac:dyDescent="0.2">
      <c r="B63" s="34">
        <v>51910.639000000003</v>
      </c>
      <c r="C63" s="34">
        <v>159187.323</v>
      </c>
      <c r="D63" s="34">
        <v>18.783000000000001</v>
      </c>
      <c r="F63" s="209">
        <f t="shared" si="0"/>
        <v>60060.639000000003</v>
      </c>
      <c r="G63" s="209">
        <f t="shared" si="1"/>
        <v>363837.32299999997</v>
      </c>
      <c r="H63" s="209">
        <f t="shared" si="2"/>
        <v>18.783000000000001</v>
      </c>
    </row>
    <row r="64" spans="2:8" x14ac:dyDescent="0.2">
      <c r="B64" s="152">
        <v>51907.578000000001</v>
      </c>
      <c r="C64" s="152">
        <v>159188.09899999999</v>
      </c>
      <c r="D64" s="152">
        <v>18.776</v>
      </c>
      <c r="F64" s="209">
        <f t="shared" si="0"/>
        <v>60057.578000000001</v>
      </c>
      <c r="G64" s="209">
        <f t="shared" si="1"/>
        <v>363838.09899999999</v>
      </c>
      <c r="H64" s="209">
        <f t="shared" si="2"/>
        <v>18.776</v>
      </c>
    </row>
    <row r="65" spans="2:8" x14ac:dyDescent="0.2">
      <c r="B65" s="34">
        <v>51904.885000000002</v>
      </c>
      <c r="C65" s="34">
        <v>159188.80499999999</v>
      </c>
      <c r="D65" s="34">
        <v>18.773</v>
      </c>
      <c r="F65" s="209">
        <f t="shared" si="0"/>
        <v>60054.885000000002</v>
      </c>
      <c r="G65" s="209">
        <f t="shared" si="1"/>
        <v>363838.80499999999</v>
      </c>
      <c r="H65" s="209">
        <f t="shared" si="2"/>
        <v>18.773</v>
      </c>
    </row>
    <row r="66" spans="2:8" x14ac:dyDescent="0.2">
      <c r="B66" s="34">
        <v>51901.987999999998</v>
      </c>
      <c r="C66" s="34">
        <v>159189.603</v>
      </c>
      <c r="D66" s="34">
        <v>18.77</v>
      </c>
      <c r="F66" s="209">
        <f t="shared" si="0"/>
        <v>60051.987999999998</v>
      </c>
      <c r="G66" s="209">
        <f t="shared" si="1"/>
        <v>363839.603</v>
      </c>
      <c r="H66" s="209">
        <f t="shared" si="2"/>
        <v>18.77</v>
      </c>
    </row>
    <row r="67" spans="2:8" x14ac:dyDescent="0.2">
      <c r="B67" s="34">
        <v>51899.040000000001</v>
      </c>
      <c r="C67" s="34">
        <v>159190.43400000001</v>
      </c>
      <c r="D67" s="34">
        <v>18.771000000000001</v>
      </c>
      <c r="F67" s="209">
        <f t="shared" si="0"/>
        <v>60049.04</v>
      </c>
      <c r="G67" s="209">
        <f t="shared" si="1"/>
        <v>363840.43400000001</v>
      </c>
      <c r="H67" s="209">
        <f t="shared" si="2"/>
        <v>18.771000000000001</v>
      </c>
    </row>
    <row r="68" spans="2:8" x14ac:dyDescent="0.2">
      <c r="B68" s="34">
        <v>51896.249000000003</v>
      </c>
      <c r="C68" s="34">
        <v>159191.226</v>
      </c>
      <c r="D68" s="34">
        <v>18.77</v>
      </c>
      <c r="F68" s="209">
        <f t="shared" ref="F68:F131" si="3">B68+$B$1</f>
        <v>60046.249000000003</v>
      </c>
      <c r="G68" s="209">
        <f t="shared" ref="G68:G131" si="4">C68+$C$1</f>
        <v>363841.22600000002</v>
      </c>
      <c r="H68" s="209">
        <f t="shared" ref="H68:H131" si="5">D68+$D$1</f>
        <v>18.77</v>
      </c>
    </row>
    <row r="69" spans="2:8" x14ac:dyDescent="0.2">
      <c r="B69" s="34">
        <v>51893.440999999999</v>
      </c>
      <c r="C69" s="34">
        <v>159192.04</v>
      </c>
      <c r="D69" s="34">
        <v>18.768999999999998</v>
      </c>
      <c r="F69" s="209">
        <f t="shared" si="3"/>
        <v>60043.440999999999</v>
      </c>
      <c r="G69" s="209">
        <f t="shared" si="4"/>
        <v>363842.04000000004</v>
      </c>
      <c r="H69" s="209">
        <f t="shared" si="5"/>
        <v>18.768999999999998</v>
      </c>
    </row>
    <row r="70" spans="2:8" x14ac:dyDescent="0.2">
      <c r="B70" s="34">
        <v>51890.606</v>
      </c>
      <c r="C70" s="34">
        <v>159192.861</v>
      </c>
      <c r="D70" s="34">
        <v>18.771999999999998</v>
      </c>
      <c r="F70" s="209">
        <f t="shared" si="3"/>
        <v>60040.606</v>
      </c>
      <c r="G70" s="209">
        <f t="shared" si="4"/>
        <v>363842.86100000003</v>
      </c>
      <c r="H70" s="209">
        <f t="shared" si="5"/>
        <v>18.771999999999998</v>
      </c>
    </row>
    <row r="71" spans="2:8" x14ac:dyDescent="0.2">
      <c r="B71" s="34">
        <v>51887.803999999996</v>
      </c>
      <c r="C71" s="34">
        <v>159193.65700000001</v>
      </c>
      <c r="D71" s="34">
        <v>18.779</v>
      </c>
      <c r="F71" s="209">
        <f t="shared" si="3"/>
        <v>60037.803999999996</v>
      </c>
      <c r="G71" s="209">
        <f t="shared" si="4"/>
        <v>363843.65700000001</v>
      </c>
      <c r="H71" s="209">
        <f t="shared" si="5"/>
        <v>18.779</v>
      </c>
    </row>
    <row r="72" spans="2:8" x14ac:dyDescent="0.2">
      <c r="B72" s="34">
        <v>51885.339</v>
      </c>
      <c r="C72" s="34">
        <v>159195.73800000001</v>
      </c>
      <c r="D72" s="34">
        <v>18.782</v>
      </c>
      <c r="F72" s="209">
        <f t="shared" si="3"/>
        <v>60035.339</v>
      </c>
      <c r="G72" s="209">
        <f t="shared" si="4"/>
        <v>363845.73800000001</v>
      </c>
      <c r="H72" s="209">
        <f t="shared" si="5"/>
        <v>18.782</v>
      </c>
    </row>
    <row r="73" spans="2:8" x14ac:dyDescent="0.2">
      <c r="B73" s="34">
        <v>51884.959000000003</v>
      </c>
      <c r="C73" s="34">
        <v>159194.47</v>
      </c>
      <c r="D73" s="34">
        <v>18.777999999999999</v>
      </c>
      <c r="F73" s="209">
        <f t="shared" si="3"/>
        <v>60034.959000000003</v>
      </c>
      <c r="G73" s="209">
        <f t="shared" si="4"/>
        <v>363844.47</v>
      </c>
      <c r="H73" s="209">
        <f t="shared" si="5"/>
        <v>18.777999999999999</v>
      </c>
    </row>
    <row r="74" spans="2:8" x14ac:dyDescent="0.2">
      <c r="B74" s="34">
        <v>51910.065000000002</v>
      </c>
      <c r="C74" s="34">
        <v>159186.024</v>
      </c>
      <c r="D74" s="34">
        <v>19.356999999999999</v>
      </c>
      <c r="F74" s="209">
        <f t="shared" si="3"/>
        <v>60060.065000000002</v>
      </c>
      <c r="G74" s="209">
        <f t="shared" si="4"/>
        <v>363836.02399999998</v>
      </c>
      <c r="H74" s="209">
        <f t="shared" si="5"/>
        <v>19.356999999999999</v>
      </c>
    </row>
    <row r="75" spans="2:8" x14ac:dyDescent="0.2">
      <c r="B75" s="34">
        <v>51890.286</v>
      </c>
      <c r="C75" s="34">
        <v>159191.73000000001</v>
      </c>
      <c r="D75" s="34">
        <v>19.321999999999999</v>
      </c>
      <c r="F75" s="209">
        <f t="shared" si="3"/>
        <v>60040.286</v>
      </c>
      <c r="G75" s="209">
        <f t="shared" si="4"/>
        <v>363841.73</v>
      </c>
      <c r="H75" s="209">
        <f t="shared" si="5"/>
        <v>19.321999999999999</v>
      </c>
    </row>
    <row r="76" spans="2:8" x14ac:dyDescent="0.2">
      <c r="B76" s="34">
        <v>51884.538999999997</v>
      </c>
      <c r="C76" s="34">
        <v>159193.38200000001</v>
      </c>
      <c r="D76" s="34">
        <v>19.331</v>
      </c>
      <c r="F76" s="209">
        <f t="shared" si="3"/>
        <v>60034.538999999997</v>
      </c>
      <c r="G76" s="209">
        <f t="shared" si="4"/>
        <v>363843.38199999998</v>
      </c>
      <c r="H76" s="209">
        <f t="shared" si="5"/>
        <v>19.331</v>
      </c>
    </row>
    <row r="77" spans="2:8" x14ac:dyDescent="0.2">
      <c r="B77" s="34">
        <v>51903.608</v>
      </c>
      <c r="C77" s="34">
        <v>159187.88200000001</v>
      </c>
      <c r="D77" s="34">
        <v>19.356999999999999</v>
      </c>
      <c r="F77" s="209">
        <f t="shared" si="3"/>
        <v>60053.608</v>
      </c>
      <c r="G77" s="209">
        <f t="shared" si="4"/>
        <v>363837.88199999998</v>
      </c>
      <c r="H77" s="209">
        <f t="shared" si="5"/>
        <v>19.356999999999999</v>
      </c>
    </row>
    <row r="78" spans="2:8" x14ac:dyDescent="0.2">
      <c r="B78" s="34">
        <v>51899.767</v>
      </c>
      <c r="C78" s="34">
        <v>159188.99299999999</v>
      </c>
      <c r="D78" s="34">
        <v>19.344999999999999</v>
      </c>
      <c r="F78" s="209">
        <f t="shared" si="3"/>
        <v>60049.767</v>
      </c>
      <c r="G78" s="209">
        <f t="shared" si="4"/>
        <v>363838.99300000002</v>
      </c>
      <c r="H78" s="209">
        <f t="shared" si="5"/>
        <v>19.344999999999999</v>
      </c>
    </row>
    <row r="79" spans="2:8" x14ac:dyDescent="0.2">
      <c r="B79" s="34">
        <v>51895.921000000002</v>
      </c>
      <c r="C79" s="34">
        <v>159190.1</v>
      </c>
      <c r="D79" s="34">
        <v>19.334</v>
      </c>
      <c r="F79" s="209">
        <f t="shared" si="3"/>
        <v>60045.921000000002</v>
      </c>
      <c r="G79" s="209">
        <f t="shared" si="4"/>
        <v>363840.1</v>
      </c>
      <c r="H79" s="209">
        <f t="shared" si="5"/>
        <v>19.334</v>
      </c>
    </row>
    <row r="80" spans="2:8" x14ac:dyDescent="0.2">
      <c r="B80" s="34">
        <v>51913.75</v>
      </c>
      <c r="C80" s="34">
        <v>159187.91800000001</v>
      </c>
      <c r="D80" s="34">
        <v>18.809000000000001</v>
      </c>
      <c r="F80" s="209">
        <f t="shared" si="3"/>
        <v>60063.75</v>
      </c>
      <c r="G80" s="209">
        <f t="shared" si="4"/>
        <v>363837.91800000001</v>
      </c>
      <c r="H80" s="209">
        <f t="shared" si="5"/>
        <v>18.809000000000001</v>
      </c>
    </row>
    <row r="81" spans="2:8" x14ac:dyDescent="0.2">
      <c r="B81" s="34">
        <v>51910.962</v>
      </c>
      <c r="C81" s="34">
        <v>159188.601</v>
      </c>
      <c r="D81" s="34">
        <v>18.795000000000002</v>
      </c>
      <c r="F81" s="209">
        <f t="shared" si="3"/>
        <v>60060.962</v>
      </c>
      <c r="G81" s="209">
        <f t="shared" si="4"/>
        <v>363838.60100000002</v>
      </c>
      <c r="H81" s="209">
        <f t="shared" si="5"/>
        <v>18.795000000000002</v>
      </c>
    </row>
    <row r="82" spans="2:8" x14ac:dyDescent="0.2">
      <c r="B82" s="34">
        <v>51907.951999999997</v>
      </c>
      <c r="C82" s="34">
        <v>159189.36300000001</v>
      </c>
      <c r="D82" s="34">
        <v>18.786000000000001</v>
      </c>
      <c r="F82" s="209">
        <f t="shared" si="3"/>
        <v>60057.951999999997</v>
      </c>
      <c r="G82" s="209">
        <f t="shared" si="4"/>
        <v>363839.36300000001</v>
      </c>
      <c r="H82" s="209">
        <f t="shared" si="5"/>
        <v>18.786000000000001</v>
      </c>
    </row>
    <row r="83" spans="2:8" x14ac:dyDescent="0.2">
      <c r="B83" s="34">
        <v>51905.196000000004</v>
      </c>
      <c r="C83" s="34">
        <v>159190.095</v>
      </c>
      <c r="D83" s="34">
        <v>18.780999999999999</v>
      </c>
      <c r="F83" s="209">
        <f t="shared" si="3"/>
        <v>60055.196000000004</v>
      </c>
      <c r="G83" s="209">
        <f t="shared" si="4"/>
        <v>363840.09499999997</v>
      </c>
      <c r="H83" s="209">
        <f t="shared" si="5"/>
        <v>18.780999999999999</v>
      </c>
    </row>
    <row r="84" spans="2:8" x14ac:dyDescent="0.2">
      <c r="B84" s="34">
        <v>51902.292000000001</v>
      </c>
      <c r="C84" s="34">
        <v>159190.88500000001</v>
      </c>
      <c r="D84" s="34">
        <v>18.779</v>
      </c>
      <c r="F84" s="209">
        <f t="shared" si="3"/>
        <v>60052.292000000001</v>
      </c>
      <c r="G84" s="209">
        <f t="shared" si="4"/>
        <v>363840.88500000001</v>
      </c>
      <c r="H84" s="209">
        <f t="shared" si="5"/>
        <v>18.779</v>
      </c>
    </row>
    <row r="85" spans="2:8" x14ac:dyDescent="0.2">
      <c r="B85" s="34">
        <v>51899.398000000001</v>
      </c>
      <c r="C85" s="34">
        <v>159191.698</v>
      </c>
      <c r="D85" s="34">
        <v>18.777999999999999</v>
      </c>
      <c r="F85" s="209">
        <f t="shared" si="3"/>
        <v>60049.398000000001</v>
      </c>
      <c r="G85" s="209">
        <f t="shared" si="4"/>
        <v>363841.69799999997</v>
      </c>
      <c r="H85" s="209">
        <f t="shared" si="5"/>
        <v>18.777999999999999</v>
      </c>
    </row>
    <row r="86" spans="2:8" x14ac:dyDescent="0.2">
      <c r="B86" s="34">
        <v>51896.633000000002</v>
      </c>
      <c r="C86" s="34">
        <v>159192.484</v>
      </c>
      <c r="D86" s="34">
        <v>18.777999999999999</v>
      </c>
      <c r="F86" s="209">
        <f t="shared" si="3"/>
        <v>60046.633000000002</v>
      </c>
      <c r="G86" s="209">
        <f t="shared" si="4"/>
        <v>363842.484</v>
      </c>
      <c r="H86" s="209">
        <f t="shared" si="5"/>
        <v>18.777999999999999</v>
      </c>
    </row>
    <row r="87" spans="2:8" x14ac:dyDescent="0.2">
      <c r="B87" s="34">
        <v>51893.758000000002</v>
      </c>
      <c r="C87" s="34">
        <v>159193.31400000001</v>
      </c>
      <c r="D87" s="34">
        <v>18.774000000000001</v>
      </c>
      <c r="F87" s="209">
        <f t="shared" si="3"/>
        <v>60043.758000000002</v>
      </c>
      <c r="G87" s="209">
        <f t="shared" si="4"/>
        <v>363843.31400000001</v>
      </c>
      <c r="H87" s="209">
        <f t="shared" si="5"/>
        <v>18.774000000000001</v>
      </c>
    </row>
    <row r="88" spans="2:8" x14ac:dyDescent="0.2">
      <c r="B88" s="34">
        <v>51890.968000000001</v>
      </c>
      <c r="C88" s="34">
        <v>159194.117</v>
      </c>
      <c r="D88" s="34">
        <v>18.779</v>
      </c>
      <c r="F88" s="209">
        <f t="shared" si="3"/>
        <v>60040.968000000001</v>
      </c>
      <c r="G88" s="209">
        <f t="shared" si="4"/>
        <v>363844.11699999997</v>
      </c>
      <c r="H88" s="209">
        <f t="shared" si="5"/>
        <v>18.779</v>
      </c>
    </row>
    <row r="89" spans="2:8" x14ac:dyDescent="0.2">
      <c r="B89" s="34">
        <v>51888.116999999998</v>
      </c>
      <c r="C89" s="34">
        <v>159194.94500000001</v>
      </c>
      <c r="D89" s="34">
        <v>18.779</v>
      </c>
      <c r="F89" s="209">
        <f t="shared" si="3"/>
        <v>60038.116999999998</v>
      </c>
      <c r="G89" s="209">
        <f t="shared" si="4"/>
        <v>363844.94500000001</v>
      </c>
      <c r="H89" s="209">
        <f t="shared" si="5"/>
        <v>18.779</v>
      </c>
    </row>
    <row r="90" spans="2:8" x14ac:dyDescent="0.2">
      <c r="B90" s="34">
        <v>51913.421000000002</v>
      </c>
      <c r="C90" s="34">
        <v>159186.63699999999</v>
      </c>
      <c r="D90" s="34">
        <v>18.795000000000002</v>
      </c>
      <c r="F90" s="209">
        <f t="shared" si="3"/>
        <v>60063.421000000002</v>
      </c>
      <c r="G90" s="209">
        <f t="shared" si="4"/>
        <v>363836.63699999999</v>
      </c>
      <c r="H90" s="209">
        <f t="shared" si="5"/>
        <v>18.795000000000002</v>
      </c>
    </row>
    <row r="91" spans="2:8" x14ac:dyDescent="0.2">
      <c r="B91" s="34">
        <v>51910.639000000003</v>
      </c>
      <c r="C91" s="34">
        <v>159187.323</v>
      </c>
      <c r="D91" s="34">
        <v>18.783999999999999</v>
      </c>
      <c r="F91" s="209">
        <f t="shared" si="3"/>
        <v>60060.639000000003</v>
      </c>
      <c r="G91" s="209">
        <f t="shared" si="4"/>
        <v>363837.32299999997</v>
      </c>
      <c r="H91" s="209">
        <f t="shared" si="5"/>
        <v>18.783999999999999</v>
      </c>
    </row>
    <row r="92" spans="2:8" x14ac:dyDescent="0.2">
      <c r="B92" s="152">
        <v>51907.578000000001</v>
      </c>
      <c r="C92" s="152">
        <v>159188.098</v>
      </c>
      <c r="D92" s="152">
        <v>18.776</v>
      </c>
      <c r="F92" s="209">
        <f t="shared" si="3"/>
        <v>60057.578000000001</v>
      </c>
      <c r="G92" s="209">
        <f t="shared" si="4"/>
        <v>363838.098</v>
      </c>
      <c r="H92" s="209">
        <f t="shared" si="5"/>
        <v>18.776</v>
      </c>
    </row>
    <row r="93" spans="2:8" x14ac:dyDescent="0.2">
      <c r="B93" s="34">
        <v>51904.885000000002</v>
      </c>
      <c r="C93" s="34">
        <v>159188.80499999999</v>
      </c>
      <c r="D93" s="34">
        <v>18.773</v>
      </c>
      <c r="F93" s="209">
        <f t="shared" si="3"/>
        <v>60054.885000000002</v>
      </c>
      <c r="G93" s="209">
        <f t="shared" si="4"/>
        <v>363838.80499999999</v>
      </c>
      <c r="H93" s="209">
        <f t="shared" si="5"/>
        <v>18.773</v>
      </c>
    </row>
    <row r="94" spans="2:8" x14ac:dyDescent="0.2">
      <c r="B94" s="34">
        <v>51901.989000000001</v>
      </c>
      <c r="C94" s="34">
        <v>159189.603</v>
      </c>
      <c r="D94" s="34">
        <v>18.77</v>
      </c>
      <c r="F94" s="209">
        <f t="shared" si="3"/>
        <v>60051.989000000001</v>
      </c>
      <c r="G94" s="209">
        <f t="shared" si="4"/>
        <v>363839.603</v>
      </c>
      <c r="H94" s="209">
        <f t="shared" si="5"/>
        <v>18.77</v>
      </c>
    </row>
    <row r="95" spans="2:8" x14ac:dyDescent="0.2">
      <c r="B95" s="34">
        <v>51899.040000000001</v>
      </c>
      <c r="C95" s="34">
        <v>159190.43400000001</v>
      </c>
      <c r="D95" s="34">
        <v>18.771000000000001</v>
      </c>
      <c r="F95" s="209">
        <f t="shared" si="3"/>
        <v>60049.04</v>
      </c>
      <c r="G95" s="209">
        <f t="shared" si="4"/>
        <v>363840.43400000001</v>
      </c>
      <c r="H95" s="209">
        <f t="shared" si="5"/>
        <v>18.771000000000001</v>
      </c>
    </row>
    <row r="96" spans="2:8" x14ac:dyDescent="0.2">
      <c r="B96" s="34">
        <v>51896.249000000003</v>
      </c>
      <c r="C96" s="34">
        <v>159191.226</v>
      </c>
      <c r="D96" s="34">
        <v>18.77</v>
      </c>
      <c r="F96" s="209">
        <f t="shared" si="3"/>
        <v>60046.249000000003</v>
      </c>
      <c r="G96" s="209">
        <f t="shared" si="4"/>
        <v>363841.22600000002</v>
      </c>
      <c r="H96" s="209">
        <f t="shared" si="5"/>
        <v>18.77</v>
      </c>
    </row>
    <row r="97" spans="2:8" x14ac:dyDescent="0.2">
      <c r="B97" s="34">
        <v>51893.440999999999</v>
      </c>
      <c r="C97" s="34">
        <v>159192.04</v>
      </c>
      <c r="D97" s="34">
        <v>18.768999999999998</v>
      </c>
      <c r="F97" s="209">
        <f t="shared" si="3"/>
        <v>60043.440999999999</v>
      </c>
      <c r="G97" s="209">
        <f t="shared" si="4"/>
        <v>363842.04000000004</v>
      </c>
      <c r="H97" s="209">
        <f t="shared" si="5"/>
        <v>18.768999999999998</v>
      </c>
    </row>
    <row r="98" spans="2:8" x14ac:dyDescent="0.2">
      <c r="B98" s="34">
        <v>51890.606</v>
      </c>
      <c r="C98" s="34">
        <v>159192.861</v>
      </c>
      <c r="D98" s="34">
        <v>18.771999999999998</v>
      </c>
      <c r="F98" s="209">
        <f t="shared" si="3"/>
        <v>60040.606</v>
      </c>
      <c r="G98" s="209">
        <f t="shared" si="4"/>
        <v>363842.86100000003</v>
      </c>
      <c r="H98" s="209">
        <f t="shared" si="5"/>
        <v>18.771999999999998</v>
      </c>
    </row>
    <row r="99" spans="2:8" x14ac:dyDescent="0.2">
      <c r="B99" s="34">
        <v>51887.803999999996</v>
      </c>
      <c r="C99" s="34">
        <v>159193.65700000001</v>
      </c>
      <c r="D99" s="34">
        <v>18.779</v>
      </c>
      <c r="F99" s="209">
        <f t="shared" si="3"/>
        <v>60037.803999999996</v>
      </c>
      <c r="G99" s="209">
        <f t="shared" si="4"/>
        <v>363843.65700000001</v>
      </c>
      <c r="H99" s="209">
        <f t="shared" si="5"/>
        <v>18.779</v>
      </c>
    </row>
    <row r="100" spans="2:8" x14ac:dyDescent="0.2">
      <c r="B100" s="34">
        <v>51885.339</v>
      </c>
      <c r="C100" s="34">
        <v>159195.73800000001</v>
      </c>
      <c r="D100" s="34">
        <v>18.782</v>
      </c>
      <c r="F100" s="209">
        <f t="shared" si="3"/>
        <v>60035.339</v>
      </c>
      <c r="G100" s="209">
        <f t="shared" si="4"/>
        <v>363845.73800000001</v>
      </c>
      <c r="H100" s="209">
        <f t="shared" si="5"/>
        <v>18.782</v>
      </c>
    </row>
    <row r="101" spans="2:8" x14ac:dyDescent="0.2">
      <c r="B101" s="34">
        <v>51884.959000000003</v>
      </c>
      <c r="C101" s="34">
        <v>159194.47099999999</v>
      </c>
      <c r="D101" s="34">
        <v>18.779</v>
      </c>
      <c r="F101" s="209">
        <f t="shared" si="3"/>
        <v>60034.959000000003</v>
      </c>
      <c r="G101" s="209">
        <f t="shared" si="4"/>
        <v>363844.47100000002</v>
      </c>
      <c r="H101" s="209">
        <f t="shared" si="5"/>
        <v>18.779</v>
      </c>
    </row>
    <row r="102" spans="2:8" x14ac:dyDescent="0.2">
      <c r="B102" s="34">
        <v>51910.065000000002</v>
      </c>
      <c r="C102" s="34">
        <v>159186.02299999999</v>
      </c>
      <c r="D102" s="34">
        <v>19.356999999999999</v>
      </c>
      <c r="F102" s="209">
        <f t="shared" si="3"/>
        <v>60060.065000000002</v>
      </c>
      <c r="G102" s="209">
        <f t="shared" si="4"/>
        <v>363836.02299999999</v>
      </c>
      <c r="H102" s="209">
        <f t="shared" si="5"/>
        <v>19.356999999999999</v>
      </c>
    </row>
    <row r="103" spans="2:8" x14ac:dyDescent="0.2">
      <c r="B103" s="34">
        <v>51890.286</v>
      </c>
      <c r="C103" s="34">
        <v>159191.73000000001</v>
      </c>
      <c r="D103" s="34">
        <v>19.321999999999999</v>
      </c>
      <c r="F103" s="209">
        <f t="shared" si="3"/>
        <v>60040.286</v>
      </c>
      <c r="G103" s="209">
        <f t="shared" si="4"/>
        <v>363841.73</v>
      </c>
      <c r="H103" s="209">
        <f t="shared" si="5"/>
        <v>19.321999999999999</v>
      </c>
    </row>
    <row r="104" spans="2:8" x14ac:dyDescent="0.2">
      <c r="B104" s="34">
        <v>51884.538999999997</v>
      </c>
      <c r="C104" s="34">
        <v>159193.38200000001</v>
      </c>
      <c r="D104" s="34">
        <v>19.332000000000001</v>
      </c>
      <c r="F104" s="209">
        <f t="shared" si="3"/>
        <v>60034.538999999997</v>
      </c>
      <c r="G104" s="209">
        <f t="shared" si="4"/>
        <v>363843.38199999998</v>
      </c>
      <c r="H104" s="209">
        <f t="shared" si="5"/>
        <v>19.332000000000001</v>
      </c>
    </row>
    <row r="105" spans="2:8" x14ac:dyDescent="0.2">
      <c r="B105" s="34">
        <v>51903.608999999997</v>
      </c>
      <c r="C105" s="34">
        <v>159187.88200000001</v>
      </c>
      <c r="D105" s="34">
        <v>19.356999999999999</v>
      </c>
      <c r="F105" s="209">
        <f t="shared" si="3"/>
        <v>60053.608999999997</v>
      </c>
      <c r="G105" s="209">
        <f t="shared" si="4"/>
        <v>363837.88199999998</v>
      </c>
      <c r="H105" s="209">
        <f t="shared" si="5"/>
        <v>19.356999999999999</v>
      </c>
    </row>
    <row r="106" spans="2:8" x14ac:dyDescent="0.2">
      <c r="B106" s="34">
        <v>51899.767</v>
      </c>
      <c r="C106" s="34">
        <v>159188.99299999999</v>
      </c>
      <c r="D106" s="34">
        <v>19.344999999999999</v>
      </c>
      <c r="F106" s="209">
        <f t="shared" si="3"/>
        <v>60049.767</v>
      </c>
      <c r="G106" s="209">
        <f t="shared" si="4"/>
        <v>363838.99300000002</v>
      </c>
      <c r="H106" s="209">
        <f t="shared" si="5"/>
        <v>19.344999999999999</v>
      </c>
    </row>
    <row r="107" spans="2:8" x14ac:dyDescent="0.2">
      <c r="B107" s="34">
        <v>51895.921000000002</v>
      </c>
      <c r="C107" s="34">
        <v>159190.1</v>
      </c>
      <c r="D107" s="34">
        <v>19.334</v>
      </c>
      <c r="F107" s="209">
        <f t="shared" si="3"/>
        <v>60045.921000000002</v>
      </c>
      <c r="G107" s="209">
        <f t="shared" si="4"/>
        <v>363840.1</v>
      </c>
      <c r="H107" s="209">
        <f t="shared" si="5"/>
        <v>19.334</v>
      </c>
    </row>
    <row r="108" spans="2:8" x14ac:dyDescent="0.2">
      <c r="B108" s="34">
        <v>51884.959000000003</v>
      </c>
      <c r="C108" s="34">
        <v>159194.47099999999</v>
      </c>
      <c r="D108" s="34">
        <v>18.779</v>
      </c>
      <c r="F108" s="209">
        <f t="shared" si="3"/>
        <v>60034.959000000003</v>
      </c>
      <c r="G108" s="209">
        <f t="shared" si="4"/>
        <v>363844.47100000002</v>
      </c>
      <c r="H108" s="209">
        <f t="shared" si="5"/>
        <v>18.779</v>
      </c>
    </row>
    <row r="109" spans="2:8" x14ac:dyDescent="0.2">
      <c r="B109" s="34">
        <v>51885.34</v>
      </c>
      <c r="C109" s="34">
        <v>159195.739</v>
      </c>
      <c r="D109" s="34">
        <v>18.783000000000001</v>
      </c>
      <c r="F109" s="209">
        <f t="shared" si="3"/>
        <v>60035.34</v>
      </c>
      <c r="G109" s="209">
        <f t="shared" si="4"/>
        <v>363845.739</v>
      </c>
      <c r="H109" s="209">
        <f t="shared" si="5"/>
        <v>18.783000000000001</v>
      </c>
    </row>
    <row r="110" spans="2:8" x14ac:dyDescent="0.2">
      <c r="B110" s="34">
        <v>51887.805</v>
      </c>
      <c r="C110" s="34">
        <v>159193.658</v>
      </c>
      <c r="D110" s="34">
        <v>18.779</v>
      </c>
      <c r="F110" s="209">
        <f t="shared" si="3"/>
        <v>60037.805</v>
      </c>
      <c r="G110" s="209">
        <f t="shared" si="4"/>
        <v>363843.658</v>
      </c>
      <c r="H110" s="209">
        <f t="shared" si="5"/>
        <v>18.779</v>
      </c>
    </row>
    <row r="111" spans="2:8" x14ac:dyDescent="0.2">
      <c r="B111" s="34">
        <v>51888.116999999998</v>
      </c>
      <c r="C111" s="34">
        <v>159194.946</v>
      </c>
      <c r="D111" s="34">
        <v>18.779</v>
      </c>
      <c r="F111" s="209">
        <f t="shared" si="3"/>
        <v>60038.116999999998</v>
      </c>
      <c r="G111" s="209">
        <f t="shared" si="4"/>
        <v>363844.946</v>
      </c>
      <c r="H111" s="209">
        <f t="shared" si="5"/>
        <v>18.779</v>
      </c>
    </row>
    <row r="112" spans="2:8" x14ac:dyDescent="0.2">
      <c r="B112" s="34">
        <v>51890.606</v>
      </c>
      <c r="C112" s="34">
        <v>159192.86199999999</v>
      </c>
      <c r="D112" s="34">
        <v>18.773</v>
      </c>
      <c r="F112" s="209">
        <f t="shared" si="3"/>
        <v>60040.606</v>
      </c>
      <c r="G112" s="209">
        <f t="shared" si="4"/>
        <v>363842.86199999996</v>
      </c>
      <c r="H112" s="209">
        <f t="shared" si="5"/>
        <v>18.773</v>
      </c>
    </row>
    <row r="113" spans="2:8" x14ac:dyDescent="0.2">
      <c r="B113" s="152">
        <v>51890.968999999997</v>
      </c>
      <c r="C113" s="152">
        <v>159194.11799999999</v>
      </c>
      <c r="D113" s="152">
        <v>18.78</v>
      </c>
      <c r="F113" s="209">
        <f t="shared" si="3"/>
        <v>60040.968999999997</v>
      </c>
      <c r="G113" s="209">
        <f t="shared" si="4"/>
        <v>363844.11800000002</v>
      </c>
      <c r="H113" s="209">
        <f t="shared" si="5"/>
        <v>18.78</v>
      </c>
    </row>
    <row r="114" spans="2:8" x14ac:dyDescent="0.2">
      <c r="B114" s="34">
        <v>51893.440999999999</v>
      </c>
      <c r="C114" s="34">
        <v>159192.041</v>
      </c>
      <c r="D114" s="34">
        <v>18.77</v>
      </c>
      <c r="F114" s="209">
        <f t="shared" si="3"/>
        <v>60043.440999999999</v>
      </c>
      <c r="G114" s="209">
        <f t="shared" si="4"/>
        <v>363842.04099999997</v>
      </c>
      <c r="H114" s="209">
        <f t="shared" si="5"/>
        <v>18.77</v>
      </c>
    </row>
    <row r="115" spans="2:8" x14ac:dyDescent="0.2">
      <c r="B115" s="34">
        <v>51893.758000000002</v>
      </c>
      <c r="C115" s="34">
        <v>159193.315</v>
      </c>
      <c r="D115" s="34">
        <v>18.774999999999999</v>
      </c>
      <c r="F115" s="209">
        <f t="shared" si="3"/>
        <v>60043.758000000002</v>
      </c>
      <c r="G115" s="209">
        <f t="shared" si="4"/>
        <v>363843.315</v>
      </c>
      <c r="H115" s="209">
        <f t="shared" si="5"/>
        <v>18.774999999999999</v>
      </c>
    </row>
    <row r="116" spans="2:8" x14ac:dyDescent="0.2">
      <c r="B116" s="34">
        <v>51896.249000000003</v>
      </c>
      <c r="C116" s="34">
        <v>159191.22700000001</v>
      </c>
      <c r="D116" s="34">
        <v>18.771000000000001</v>
      </c>
      <c r="F116" s="209">
        <f t="shared" si="3"/>
        <v>60046.249000000003</v>
      </c>
      <c r="G116" s="209">
        <f t="shared" si="4"/>
        <v>363841.22700000001</v>
      </c>
      <c r="H116" s="209">
        <f t="shared" si="5"/>
        <v>18.771000000000001</v>
      </c>
    </row>
    <row r="117" spans="2:8" x14ac:dyDescent="0.2">
      <c r="B117" s="34">
        <v>51896.633000000002</v>
      </c>
      <c r="C117" s="34">
        <v>159192.48499999999</v>
      </c>
      <c r="D117" s="34">
        <v>18.777999999999999</v>
      </c>
      <c r="F117" s="209">
        <f t="shared" si="3"/>
        <v>60046.633000000002</v>
      </c>
      <c r="G117" s="209">
        <f t="shared" si="4"/>
        <v>363842.48499999999</v>
      </c>
      <c r="H117" s="209">
        <f t="shared" si="5"/>
        <v>18.777999999999999</v>
      </c>
    </row>
    <row r="118" spans="2:8" x14ac:dyDescent="0.2">
      <c r="B118" s="34">
        <v>51899.040000000001</v>
      </c>
      <c r="C118" s="34">
        <v>159190.435</v>
      </c>
      <c r="D118" s="34">
        <v>18.771999999999998</v>
      </c>
      <c r="F118" s="209">
        <f t="shared" si="3"/>
        <v>60049.04</v>
      </c>
      <c r="G118" s="209">
        <f t="shared" si="4"/>
        <v>363840.435</v>
      </c>
      <c r="H118" s="209">
        <f t="shared" si="5"/>
        <v>18.771999999999998</v>
      </c>
    </row>
    <row r="119" spans="2:8" x14ac:dyDescent="0.2">
      <c r="B119" s="34">
        <v>51899.398000000001</v>
      </c>
      <c r="C119" s="34">
        <v>159191.698</v>
      </c>
      <c r="D119" s="34">
        <v>18.779</v>
      </c>
      <c r="F119" s="209">
        <f t="shared" si="3"/>
        <v>60049.398000000001</v>
      </c>
      <c r="G119" s="209">
        <f t="shared" si="4"/>
        <v>363841.69799999997</v>
      </c>
      <c r="H119" s="209">
        <f t="shared" si="5"/>
        <v>18.779</v>
      </c>
    </row>
    <row r="120" spans="2:8" x14ac:dyDescent="0.2">
      <c r="B120" s="34">
        <v>51901.989000000001</v>
      </c>
      <c r="C120" s="34">
        <v>159189.60399999999</v>
      </c>
      <c r="D120" s="34">
        <v>18.771000000000001</v>
      </c>
      <c r="F120" s="209">
        <f t="shared" si="3"/>
        <v>60051.989000000001</v>
      </c>
      <c r="G120" s="209">
        <f t="shared" si="4"/>
        <v>363839.60399999999</v>
      </c>
      <c r="H120" s="209">
        <f t="shared" si="5"/>
        <v>18.771000000000001</v>
      </c>
    </row>
    <row r="121" spans="2:8" x14ac:dyDescent="0.2">
      <c r="B121" s="34">
        <v>51902.292999999998</v>
      </c>
      <c r="C121" s="34">
        <v>159190.886</v>
      </c>
      <c r="D121" s="34">
        <v>18.779</v>
      </c>
      <c r="F121" s="209">
        <f t="shared" si="3"/>
        <v>60052.292999999998</v>
      </c>
      <c r="G121" s="209">
        <f t="shared" si="4"/>
        <v>363840.886</v>
      </c>
      <c r="H121" s="209">
        <f t="shared" si="5"/>
        <v>18.779</v>
      </c>
    </row>
    <row r="122" spans="2:8" x14ac:dyDescent="0.2">
      <c r="B122" s="34">
        <v>51904.885000000002</v>
      </c>
      <c r="C122" s="34">
        <v>159188.80600000001</v>
      </c>
      <c r="D122" s="34">
        <v>18.774000000000001</v>
      </c>
      <c r="F122" s="209">
        <f t="shared" si="3"/>
        <v>60054.885000000002</v>
      </c>
      <c r="G122" s="209">
        <f t="shared" si="4"/>
        <v>363838.80599999998</v>
      </c>
      <c r="H122" s="209">
        <f t="shared" si="5"/>
        <v>18.774000000000001</v>
      </c>
    </row>
    <row r="123" spans="2:8" x14ac:dyDescent="0.2">
      <c r="B123" s="34">
        <v>51905.196000000004</v>
      </c>
      <c r="C123" s="34">
        <v>159190.09599999999</v>
      </c>
      <c r="D123" s="34">
        <v>18.780999999999999</v>
      </c>
      <c r="F123" s="209">
        <f t="shared" si="3"/>
        <v>60055.196000000004</v>
      </c>
      <c r="G123" s="209">
        <f t="shared" si="4"/>
        <v>363840.09600000002</v>
      </c>
      <c r="H123" s="209">
        <f t="shared" si="5"/>
        <v>18.780999999999999</v>
      </c>
    </row>
    <row r="124" spans="2:8" x14ac:dyDescent="0.2">
      <c r="B124" s="34">
        <v>51907.578000000001</v>
      </c>
      <c r="C124" s="34">
        <v>159188.1</v>
      </c>
      <c r="D124" s="34">
        <v>18.776</v>
      </c>
      <c r="F124" s="209">
        <f t="shared" si="3"/>
        <v>60057.578000000001</v>
      </c>
      <c r="G124" s="209">
        <f t="shared" si="4"/>
        <v>363838.1</v>
      </c>
      <c r="H124" s="209">
        <f t="shared" si="5"/>
        <v>18.776</v>
      </c>
    </row>
    <row r="125" spans="2:8" x14ac:dyDescent="0.2">
      <c r="B125" s="34">
        <v>51907.951999999997</v>
      </c>
      <c r="C125" s="34">
        <v>159189.364</v>
      </c>
      <c r="D125" s="34">
        <v>18.786000000000001</v>
      </c>
      <c r="F125" s="209">
        <f t="shared" si="3"/>
        <v>60057.951999999997</v>
      </c>
      <c r="G125" s="209">
        <f t="shared" si="4"/>
        <v>363839.364</v>
      </c>
      <c r="H125" s="209">
        <f t="shared" si="5"/>
        <v>18.786000000000001</v>
      </c>
    </row>
    <row r="126" spans="2:8" x14ac:dyDescent="0.2">
      <c r="B126" s="34">
        <v>51910.639000000003</v>
      </c>
      <c r="C126" s="34">
        <v>159187.32399999999</v>
      </c>
      <c r="D126" s="34">
        <v>18.783999999999999</v>
      </c>
      <c r="F126" s="209">
        <f t="shared" si="3"/>
        <v>60060.639000000003</v>
      </c>
      <c r="G126" s="209">
        <f t="shared" si="4"/>
        <v>363837.32400000002</v>
      </c>
      <c r="H126" s="209">
        <f t="shared" si="5"/>
        <v>18.783999999999999</v>
      </c>
    </row>
    <row r="127" spans="2:8" x14ac:dyDescent="0.2">
      <c r="B127" s="34">
        <v>51910.962</v>
      </c>
      <c r="C127" s="34">
        <v>159188.60200000001</v>
      </c>
      <c r="D127" s="34">
        <v>18.795000000000002</v>
      </c>
      <c r="F127" s="209">
        <f t="shared" si="3"/>
        <v>60060.962</v>
      </c>
      <c r="G127" s="209">
        <f t="shared" si="4"/>
        <v>363838.60200000001</v>
      </c>
      <c r="H127" s="209">
        <f t="shared" si="5"/>
        <v>18.795000000000002</v>
      </c>
    </row>
    <row r="128" spans="2:8" x14ac:dyDescent="0.2">
      <c r="B128" s="34">
        <v>51913.421000000002</v>
      </c>
      <c r="C128" s="34">
        <v>159186.63800000001</v>
      </c>
      <c r="D128" s="34">
        <v>18.795000000000002</v>
      </c>
      <c r="F128" s="209">
        <f t="shared" si="3"/>
        <v>60063.421000000002</v>
      </c>
      <c r="G128" s="209">
        <f t="shared" si="4"/>
        <v>363836.63800000004</v>
      </c>
      <c r="H128" s="209">
        <f t="shared" si="5"/>
        <v>18.795000000000002</v>
      </c>
    </row>
    <row r="129" spans="2:8" x14ac:dyDescent="0.2">
      <c r="B129" s="34">
        <v>51913.75</v>
      </c>
      <c r="C129" s="34">
        <v>159187.91899999999</v>
      </c>
      <c r="D129" s="34">
        <v>18.809000000000001</v>
      </c>
      <c r="F129" s="209">
        <f t="shared" si="3"/>
        <v>60063.75</v>
      </c>
      <c r="G129" s="209">
        <f t="shared" si="4"/>
        <v>363837.91899999999</v>
      </c>
      <c r="H129" s="209">
        <f t="shared" si="5"/>
        <v>18.809000000000001</v>
      </c>
    </row>
    <row r="130" spans="2:8" x14ac:dyDescent="0.2">
      <c r="B130" s="34">
        <v>51884.538999999997</v>
      </c>
      <c r="C130" s="34">
        <v>159193.383</v>
      </c>
      <c r="D130" s="34">
        <v>19.332000000000001</v>
      </c>
      <c r="F130" s="209">
        <f t="shared" si="3"/>
        <v>60034.538999999997</v>
      </c>
      <c r="G130" s="209">
        <f t="shared" si="4"/>
        <v>363843.38300000003</v>
      </c>
      <c r="H130" s="209">
        <f t="shared" si="5"/>
        <v>19.332000000000001</v>
      </c>
    </row>
    <row r="131" spans="2:8" x14ac:dyDescent="0.2">
      <c r="B131" s="34">
        <v>51890.286999999997</v>
      </c>
      <c r="C131" s="34">
        <v>159191.731</v>
      </c>
      <c r="D131" s="34">
        <v>19.321999999999999</v>
      </c>
      <c r="F131" s="209">
        <f t="shared" si="3"/>
        <v>60040.286999999997</v>
      </c>
      <c r="G131" s="209">
        <f t="shared" si="4"/>
        <v>363841.73100000003</v>
      </c>
      <c r="H131" s="209">
        <f t="shared" si="5"/>
        <v>19.321999999999999</v>
      </c>
    </row>
    <row r="132" spans="2:8" x14ac:dyDescent="0.2">
      <c r="B132" s="34">
        <v>51895.921000000002</v>
      </c>
      <c r="C132" s="34">
        <v>159190.1</v>
      </c>
      <c r="D132" s="34">
        <v>19.335000000000001</v>
      </c>
      <c r="F132" s="209">
        <f t="shared" ref="F132:F195" si="6">B132+$B$1</f>
        <v>60045.921000000002</v>
      </c>
      <c r="G132" s="209">
        <f t="shared" ref="G132:G195" si="7">C132+$C$1</f>
        <v>363840.1</v>
      </c>
      <c r="H132" s="209">
        <f t="shared" ref="H132:H195" si="8">D132+$D$1</f>
        <v>19.335000000000001</v>
      </c>
    </row>
    <row r="133" spans="2:8" x14ac:dyDescent="0.2">
      <c r="B133" s="34">
        <v>51899.767999999996</v>
      </c>
      <c r="C133" s="34">
        <v>159188.99400000001</v>
      </c>
      <c r="D133" s="34">
        <v>19.346</v>
      </c>
      <c r="F133" s="209">
        <f t="shared" si="6"/>
        <v>60049.767999999996</v>
      </c>
      <c r="G133" s="209">
        <f t="shared" si="7"/>
        <v>363838.99400000001</v>
      </c>
      <c r="H133" s="209">
        <f t="shared" si="8"/>
        <v>19.346</v>
      </c>
    </row>
    <row r="134" spans="2:8" x14ac:dyDescent="0.2">
      <c r="B134" s="34">
        <v>51903.608999999997</v>
      </c>
      <c r="C134" s="34">
        <v>159187.88200000001</v>
      </c>
      <c r="D134" s="34">
        <v>19.356999999999999</v>
      </c>
      <c r="F134" s="209">
        <f t="shared" si="6"/>
        <v>60053.608999999997</v>
      </c>
      <c r="G134" s="209">
        <f t="shared" si="7"/>
        <v>363837.88199999998</v>
      </c>
      <c r="H134" s="209">
        <f t="shared" si="8"/>
        <v>19.356999999999999</v>
      </c>
    </row>
    <row r="135" spans="2:8" x14ac:dyDescent="0.2">
      <c r="B135" s="34">
        <v>51910.065000000002</v>
      </c>
      <c r="C135" s="34">
        <v>159186.024</v>
      </c>
      <c r="D135" s="34">
        <v>19.356999999999999</v>
      </c>
      <c r="F135" s="209">
        <f t="shared" si="6"/>
        <v>60060.065000000002</v>
      </c>
      <c r="G135" s="209">
        <f t="shared" si="7"/>
        <v>363836.02399999998</v>
      </c>
      <c r="H135" s="209">
        <f t="shared" si="8"/>
        <v>19.356999999999999</v>
      </c>
    </row>
    <row r="136" spans="2:8" x14ac:dyDescent="0.2">
      <c r="B136" s="34">
        <v>51884.538999999997</v>
      </c>
      <c r="C136" s="34">
        <v>159193.38200000001</v>
      </c>
      <c r="D136" s="34">
        <v>19.329999999999998</v>
      </c>
      <c r="F136" s="209">
        <f t="shared" si="6"/>
        <v>60034.538999999997</v>
      </c>
      <c r="G136" s="209">
        <f t="shared" si="7"/>
        <v>363843.38199999998</v>
      </c>
      <c r="H136" s="209">
        <f t="shared" si="8"/>
        <v>19.329999999999998</v>
      </c>
    </row>
    <row r="137" spans="2:8" x14ac:dyDescent="0.2">
      <c r="B137" s="34">
        <v>51890.286</v>
      </c>
      <c r="C137" s="34">
        <v>159191.73000000001</v>
      </c>
      <c r="D137" s="34">
        <v>19.321000000000002</v>
      </c>
      <c r="F137" s="209">
        <f t="shared" si="6"/>
        <v>60040.286</v>
      </c>
      <c r="G137" s="209">
        <f t="shared" si="7"/>
        <v>363841.73</v>
      </c>
      <c r="H137" s="209">
        <f t="shared" si="8"/>
        <v>19.321000000000002</v>
      </c>
    </row>
    <row r="138" spans="2:8" x14ac:dyDescent="0.2">
      <c r="B138" s="34">
        <v>51895.921000000002</v>
      </c>
      <c r="C138" s="34">
        <v>159190.1</v>
      </c>
      <c r="D138" s="34">
        <v>19.332999999999998</v>
      </c>
      <c r="F138" s="209">
        <f t="shared" si="6"/>
        <v>60045.921000000002</v>
      </c>
      <c r="G138" s="209">
        <f t="shared" si="7"/>
        <v>363840.1</v>
      </c>
      <c r="H138" s="209">
        <f t="shared" si="8"/>
        <v>19.332999999999998</v>
      </c>
    </row>
    <row r="139" spans="2:8" x14ac:dyDescent="0.2">
      <c r="B139" s="34">
        <v>51899.767</v>
      </c>
      <c r="C139" s="34">
        <v>159188.99299999999</v>
      </c>
      <c r="D139" s="34">
        <v>19.344000000000001</v>
      </c>
      <c r="F139" s="209">
        <f t="shared" si="6"/>
        <v>60049.767</v>
      </c>
      <c r="G139" s="209">
        <f t="shared" si="7"/>
        <v>363838.99300000002</v>
      </c>
      <c r="H139" s="209">
        <f t="shared" si="8"/>
        <v>19.344000000000001</v>
      </c>
    </row>
    <row r="140" spans="2:8" x14ac:dyDescent="0.2">
      <c r="B140" s="34">
        <v>51903.608</v>
      </c>
      <c r="C140" s="34">
        <v>159187.88200000001</v>
      </c>
      <c r="D140" s="34">
        <v>19.356000000000002</v>
      </c>
      <c r="F140" s="209">
        <f t="shared" si="6"/>
        <v>60053.608</v>
      </c>
      <c r="G140" s="209">
        <f t="shared" si="7"/>
        <v>363837.88199999998</v>
      </c>
      <c r="H140" s="209">
        <f t="shared" si="8"/>
        <v>19.356000000000002</v>
      </c>
    </row>
    <row r="141" spans="2:8" x14ac:dyDescent="0.2">
      <c r="B141" s="152">
        <v>51910.065000000002</v>
      </c>
      <c r="C141" s="152">
        <v>159186.02299999999</v>
      </c>
      <c r="D141" s="152">
        <v>19.356999999999999</v>
      </c>
      <c r="F141" s="209">
        <f t="shared" si="6"/>
        <v>60060.065000000002</v>
      </c>
      <c r="G141" s="209">
        <f t="shared" si="7"/>
        <v>363836.02299999999</v>
      </c>
      <c r="H141" s="209">
        <f t="shared" si="8"/>
        <v>19.356999999999999</v>
      </c>
    </row>
    <row r="142" spans="2:8" x14ac:dyDescent="0.2">
      <c r="B142" s="34">
        <v>51884.957999999999</v>
      </c>
      <c r="C142" s="34">
        <v>159194.47099999999</v>
      </c>
      <c r="D142" s="34">
        <v>18.777000000000001</v>
      </c>
      <c r="F142" s="209">
        <f t="shared" si="6"/>
        <v>60034.957999999999</v>
      </c>
      <c r="G142" s="209">
        <f t="shared" si="7"/>
        <v>363844.47100000002</v>
      </c>
      <c r="H142" s="209">
        <f t="shared" si="8"/>
        <v>18.777000000000001</v>
      </c>
    </row>
    <row r="143" spans="2:8" x14ac:dyDescent="0.2">
      <c r="B143" s="34">
        <v>51885.339</v>
      </c>
      <c r="C143" s="34">
        <v>159195.73800000001</v>
      </c>
      <c r="D143" s="34">
        <v>18.780999999999999</v>
      </c>
      <c r="F143" s="209">
        <f t="shared" si="6"/>
        <v>60035.339</v>
      </c>
      <c r="G143" s="209">
        <f t="shared" si="7"/>
        <v>363845.73800000001</v>
      </c>
      <c r="H143" s="209">
        <f t="shared" si="8"/>
        <v>18.780999999999999</v>
      </c>
    </row>
    <row r="144" spans="2:8" x14ac:dyDescent="0.2">
      <c r="B144" s="34">
        <v>51887.803999999996</v>
      </c>
      <c r="C144" s="34">
        <v>159193.65700000001</v>
      </c>
      <c r="D144" s="34">
        <v>18.777000000000001</v>
      </c>
      <c r="F144" s="209">
        <f t="shared" si="6"/>
        <v>60037.803999999996</v>
      </c>
      <c r="G144" s="209">
        <f t="shared" si="7"/>
        <v>363843.65700000001</v>
      </c>
      <c r="H144" s="209">
        <f t="shared" si="8"/>
        <v>18.777000000000001</v>
      </c>
    </row>
    <row r="145" spans="2:8" x14ac:dyDescent="0.2">
      <c r="B145" s="34">
        <v>51888.116999999998</v>
      </c>
      <c r="C145" s="34">
        <v>159194.94500000001</v>
      </c>
      <c r="D145" s="34">
        <v>18.777000000000001</v>
      </c>
      <c r="F145" s="209">
        <f t="shared" si="6"/>
        <v>60038.116999999998</v>
      </c>
      <c r="G145" s="209">
        <f t="shared" si="7"/>
        <v>363844.94500000001</v>
      </c>
      <c r="H145" s="209">
        <f t="shared" si="8"/>
        <v>18.777000000000001</v>
      </c>
    </row>
    <row r="146" spans="2:8" x14ac:dyDescent="0.2">
      <c r="B146" s="34">
        <v>51890.606</v>
      </c>
      <c r="C146" s="34">
        <v>159192.861</v>
      </c>
      <c r="D146" s="34">
        <v>18.771000000000001</v>
      </c>
      <c r="F146" s="209">
        <f t="shared" si="6"/>
        <v>60040.606</v>
      </c>
      <c r="G146" s="209">
        <f t="shared" si="7"/>
        <v>363842.86100000003</v>
      </c>
      <c r="H146" s="209">
        <f t="shared" si="8"/>
        <v>18.771000000000001</v>
      </c>
    </row>
    <row r="147" spans="2:8" x14ac:dyDescent="0.2">
      <c r="B147" s="34">
        <v>51890.968000000001</v>
      </c>
      <c r="C147" s="34">
        <v>159194.11799999999</v>
      </c>
      <c r="D147" s="34">
        <v>18.777999999999999</v>
      </c>
      <c r="F147" s="209">
        <f t="shared" si="6"/>
        <v>60040.968000000001</v>
      </c>
      <c r="G147" s="209">
        <f t="shared" si="7"/>
        <v>363844.11800000002</v>
      </c>
      <c r="H147" s="209">
        <f t="shared" si="8"/>
        <v>18.777999999999999</v>
      </c>
    </row>
    <row r="148" spans="2:8" x14ac:dyDescent="0.2">
      <c r="B148" s="34">
        <v>51893.440000000002</v>
      </c>
      <c r="C148" s="34">
        <v>159192.041</v>
      </c>
      <c r="D148" s="34">
        <v>18.768000000000001</v>
      </c>
      <c r="F148" s="209">
        <f t="shared" si="6"/>
        <v>60043.44</v>
      </c>
      <c r="G148" s="209">
        <f t="shared" si="7"/>
        <v>363842.04099999997</v>
      </c>
      <c r="H148" s="209">
        <f t="shared" si="8"/>
        <v>18.768000000000001</v>
      </c>
    </row>
    <row r="149" spans="2:8" x14ac:dyDescent="0.2">
      <c r="B149" s="34">
        <v>51893.758000000002</v>
      </c>
      <c r="C149" s="34">
        <v>159193.315</v>
      </c>
      <c r="D149" s="34">
        <v>18.773</v>
      </c>
      <c r="F149" s="209">
        <f t="shared" si="6"/>
        <v>60043.758000000002</v>
      </c>
      <c r="G149" s="209">
        <f t="shared" si="7"/>
        <v>363843.315</v>
      </c>
      <c r="H149" s="209">
        <f t="shared" si="8"/>
        <v>18.773</v>
      </c>
    </row>
    <row r="150" spans="2:8" x14ac:dyDescent="0.2">
      <c r="B150" s="34">
        <v>51896.249000000003</v>
      </c>
      <c r="C150" s="34">
        <v>159191.226</v>
      </c>
      <c r="D150" s="34">
        <v>18.768999999999998</v>
      </c>
      <c r="F150" s="209">
        <f t="shared" si="6"/>
        <v>60046.249000000003</v>
      </c>
      <c r="G150" s="209">
        <f t="shared" si="7"/>
        <v>363841.22600000002</v>
      </c>
      <c r="H150" s="209">
        <f t="shared" si="8"/>
        <v>18.768999999999998</v>
      </c>
    </row>
    <row r="151" spans="2:8" x14ac:dyDescent="0.2">
      <c r="B151" s="34">
        <v>51896.633000000002</v>
      </c>
      <c r="C151" s="34">
        <v>159192.48499999999</v>
      </c>
      <c r="D151" s="34">
        <v>18.777000000000001</v>
      </c>
      <c r="F151" s="209">
        <f t="shared" si="6"/>
        <v>60046.633000000002</v>
      </c>
      <c r="G151" s="209">
        <f t="shared" si="7"/>
        <v>363842.48499999999</v>
      </c>
      <c r="H151" s="209">
        <f t="shared" si="8"/>
        <v>18.777000000000001</v>
      </c>
    </row>
    <row r="152" spans="2:8" x14ac:dyDescent="0.2">
      <c r="B152" s="34">
        <v>51899.040000000001</v>
      </c>
      <c r="C152" s="34">
        <v>159190.43400000001</v>
      </c>
      <c r="D152" s="34">
        <v>18.77</v>
      </c>
      <c r="F152" s="209">
        <f t="shared" si="6"/>
        <v>60049.04</v>
      </c>
      <c r="G152" s="209">
        <f t="shared" si="7"/>
        <v>363840.43400000001</v>
      </c>
      <c r="H152" s="209">
        <f t="shared" si="8"/>
        <v>18.77</v>
      </c>
    </row>
    <row r="153" spans="2:8" x14ac:dyDescent="0.2">
      <c r="B153" s="34">
        <v>51899.398000000001</v>
      </c>
      <c r="C153" s="34">
        <v>159191.698</v>
      </c>
      <c r="D153" s="34">
        <v>18.777000000000001</v>
      </c>
      <c r="F153" s="209">
        <f t="shared" si="6"/>
        <v>60049.398000000001</v>
      </c>
      <c r="G153" s="209">
        <f t="shared" si="7"/>
        <v>363841.69799999997</v>
      </c>
      <c r="H153" s="209">
        <f t="shared" si="8"/>
        <v>18.777000000000001</v>
      </c>
    </row>
    <row r="154" spans="2:8" x14ac:dyDescent="0.2">
      <c r="B154" s="34">
        <v>51901.987999999998</v>
      </c>
      <c r="C154" s="34">
        <v>159189.60399999999</v>
      </c>
      <c r="D154" s="34">
        <v>18.768999999999998</v>
      </c>
      <c r="F154" s="209">
        <f t="shared" si="6"/>
        <v>60051.987999999998</v>
      </c>
      <c r="G154" s="209">
        <f t="shared" si="7"/>
        <v>363839.60399999999</v>
      </c>
      <c r="H154" s="209">
        <f t="shared" si="8"/>
        <v>18.768999999999998</v>
      </c>
    </row>
    <row r="155" spans="2:8" x14ac:dyDescent="0.2">
      <c r="B155" s="34">
        <v>51902.292000000001</v>
      </c>
      <c r="C155" s="34">
        <v>159190.88500000001</v>
      </c>
      <c r="D155" s="34">
        <v>18.777999999999999</v>
      </c>
      <c r="F155" s="209">
        <f t="shared" si="6"/>
        <v>60052.292000000001</v>
      </c>
      <c r="G155" s="209">
        <f t="shared" si="7"/>
        <v>363840.88500000001</v>
      </c>
      <c r="H155" s="209">
        <f t="shared" si="8"/>
        <v>18.777999999999999</v>
      </c>
    </row>
    <row r="156" spans="2:8" x14ac:dyDescent="0.2">
      <c r="B156" s="34">
        <v>51904.883999999998</v>
      </c>
      <c r="C156" s="34">
        <v>159188.80600000001</v>
      </c>
      <c r="D156" s="34">
        <v>18.773</v>
      </c>
      <c r="F156" s="209">
        <f t="shared" si="6"/>
        <v>60054.883999999998</v>
      </c>
      <c r="G156" s="209">
        <f t="shared" si="7"/>
        <v>363838.80599999998</v>
      </c>
      <c r="H156" s="209">
        <f t="shared" si="8"/>
        <v>18.773</v>
      </c>
    </row>
    <row r="157" spans="2:8" x14ac:dyDescent="0.2">
      <c r="B157" s="34">
        <v>51905.195</v>
      </c>
      <c r="C157" s="34">
        <v>159190.095</v>
      </c>
      <c r="D157" s="34">
        <v>18.78</v>
      </c>
      <c r="F157" s="209">
        <f t="shared" si="6"/>
        <v>60055.195</v>
      </c>
      <c r="G157" s="209">
        <f t="shared" si="7"/>
        <v>363840.09499999997</v>
      </c>
      <c r="H157" s="209">
        <f t="shared" si="8"/>
        <v>18.78</v>
      </c>
    </row>
    <row r="158" spans="2:8" x14ac:dyDescent="0.2">
      <c r="B158" s="34">
        <v>51907.578000000001</v>
      </c>
      <c r="C158" s="34">
        <v>159188.09899999999</v>
      </c>
      <c r="D158" s="34">
        <v>18.774999999999999</v>
      </c>
      <c r="F158" s="209">
        <f t="shared" si="6"/>
        <v>60057.578000000001</v>
      </c>
      <c r="G158" s="209">
        <f t="shared" si="7"/>
        <v>363838.09899999999</v>
      </c>
      <c r="H158" s="209">
        <f t="shared" si="8"/>
        <v>18.774999999999999</v>
      </c>
    </row>
    <row r="159" spans="2:8" x14ac:dyDescent="0.2">
      <c r="B159" s="34">
        <v>51907.951999999997</v>
      </c>
      <c r="C159" s="34">
        <v>159189.36300000001</v>
      </c>
      <c r="D159" s="34">
        <v>18.785</v>
      </c>
      <c r="F159" s="209">
        <f t="shared" si="6"/>
        <v>60057.951999999997</v>
      </c>
      <c r="G159" s="209">
        <f t="shared" si="7"/>
        <v>363839.36300000001</v>
      </c>
      <c r="H159" s="209">
        <f t="shared" si="8"/>
        <v>18.785</v>
      </c>
    </row>
    <row r="160" spans="2:8" x14ac:dyDescent="0.2">
      <c r="B160" s="34">
        <v>51910.639000000003</v>
      </c>
      <c r="C160" s="34">
        <v>159187.323</v>
      </c>
      <c r="D160" s="34">
        <v>18.783000000000001</v>
      </c>
      <c r="F160" s="209">
        <f t="shared" si="6"/>
        <v>60060.639000000003</v>
      </c>
      <c r="G160" s="209">
        <f t="shared" si="7"/>
        <v>363837.32299999997</v>
      </c>
      <c r="H160" s="209">
        <f t="shared" si="8"/>
        <v>18.783000000000001</v>
      </c>
    </row>
    <row r="161" spans="2:8" x14ac:dyDescent="0.2">
      <c r="B161" s="34">
        <v>51910.962</v>
      </c>
      <c r="C161" s="34">
        <v>159188.601</v>
      </c>
      <c r="D161" s="34">
        <v>18.794</v>
      </c>
      <c r="F161" s="209">
        <f t="shared" si="6"/>
        <v>60060.962</v>
      </c>
      <c r="G161" s="209">
        <f t="shared" si="7"/>
        <v>363838.60100000002</v>
      </c>
      <c r="H161" s="209">
        <f t="shared" si="8"/>
        <v>18.794</v>
      </c>
    </row>
    <row r="162" spans="2:8" x14ac:dyDescent="0.2">
      <c r="B162" s="34">
        <v>51913.42</v>
      </c>
      <c r="C162" s="34">
        <v>159186.63699999999</v>
      </c>
      <c r="D162" s="34">
        <v>18.794</v>
      </c>
      <c r="F162" s="209">
        <f t="shared" si="6"/>
        <v>60063.42</v>
      </c>
      <c r="G162" s="209">
        <f t="shared" si="7"/>
        <v>363836.63699999999</v>
      </c>
      <c r="H162" s="209">
        <f t="shared" si="8"/>
        <v>18.794</v>
      </c>
    </row>
    <row r="163" spans="2:8" x14ac:dyDescent="0.2">
      <c r="B163" s="152">
        <v>51913.75</v>
      </c>
      <c r="C163" s="152">
        <v>159187.91800000001</v>
      </c>
      <c r="D163" s="152">
        <v>18.808</v>
      </c>
      <c r="F163" s="209">
        <f t="shared" si="6"/>
        <v>60063.75</v>
      </c>
      <c r="G163" s="209">
        <f t="shared" si="7"/>
        <v>363837.91800000001</v>
      </c>
      <c r="H163" s="209">
        <f t="shared" si="8"/>
        <v>18.808</v>
      </c>
    </row>
    <row r="164" spans="2:8" x14ac:dyDescent="0.2">
      <c r="B164" s="34">
        <v>51884.538999999997</v>
      </c>
      <c r="C164" s="34">
        <v>159193.38200000001</v>
      </c>
      <c r="D164" s="34">
        <v>19.331</v>
      </c>
      <c r="F164" s="209">
        <f t="shared" si="6"/>
        <v>60034.538999999997</v>
      </c>
      <c r="G164" s="209">
        <f t="shared" si="7"/>
        <v>363843.38199999998</v>
      </c>
      <c r="H164" s="209">
        <f t="shared" si="8"/>
        <v>19.331</v>
      </c>
    </row>
    <row r="165" spans="2:8" x14ac:dyDescent="0.2">
      <c r="B165" s="34">
        <v>51890.286</v>
      </c>
      <c r="C165" s="34">
        <v>159191.73000000001</v>
      </c>
      <c r="D165" s="34">
        <v>19.321000000000002</v>
      </c>
      <c r="F165" s="209">
        <f t="shared" si="6"/>
        <v>60040.286</v>
      </c>
      <c r="G165" s="209">
        <f t="shared" si="7"/>
        <v>363841.73</v>
      </c>
      <c r="H165" s="209">
        <f t="shared" si="8"/>
        <v>19.321000000000002</v>
      </c>
    </row>
    <row r="166" spans="2:8" x14ac:dyDescent="0.2">
      <c r="B166" s="34">
        <v>51895.921000000002</v>
      </c>
      <c r="C166" s="34">
        <v>159190.1</v>
      </c>
      <c r="D166" s="34">
        <v>19.334</v>
      </c>
      <c r="F166" s="209">
        <f t="shared" si="6"/>
        <v>60045.921000000002</v>
      </c>
      <c r="G166" s="209">
        <f t="shared" si="7"/>
        <v>363840.1</v>
      </c>
      <c r="H166" s="209">
        <f t="shared" si="8"/>
        <v>19.334</v>
      </c>
    </row>
    <row r="167" spans="2:8" x14ac:dyDescent="0.2">
      <c r="B167" s="34">
        <v>51899.767</v>
      </c>
      <c r="C167" s="34">
        <v>159188.99400000001</v>
      </c>
      <c r="D167" s="34">
        <v>19.344999999999999</v>
      </c>
      <c r="F167" s="209">
        <f t="shared" si="6"/>
        <v>60049.767</v>
      </c>
      <c r="G167" s="209">
        <f t="shared" si="7"/>
        <v>363838.99400000001</v>
      </c>
      <c r="H167" s="209">
        <f t="shared" si="8"/>
        <v>19.344999999999999</v>
      </c>
    </row>
    <row r="168" spans="2:8" x14ac:dyDescent="0.2">
      <c r="B168" s="34">
        <v>51903.608</v>
      </c>
      <c r="C168" s="34">
        <v>159187.88200000001</v>
      </c>
      <c r="D168" s="34">
        <v>19.356999999999999</v>
      </c>
      <c r="F168" s="209">
        <f t="shared" si="6"/>
        <v>60053.608</v>
      </c>
      <c r="G168" s="209">
        <f t="shared" si="7"/>
        <v>363837.88199999998</v>
      </c>
      <c r="H168" s="209">
        <f t="shared" si="8"/>
        <v>19.356999999999999</v>
      </c>
    </row>
    <row r="169" spans="2:8" x14ac:dyDescent="0.2">
      <c r="B169" s="34">
        <v>51910.065000000002</v>
      </c>
      <c r="C169" s="34">
        <v>159186.02299999999</v>
      </c>
      <c r="D169" s="34">
        <v>19.356999999999999</v>
      </c>
      <c r="F169" s="209">
        <f t="shared" si="6"/>
        <v>60060.065000000002</v>
      </c>
      <c r="G169" s="209">
        <f t="shared" si="7"/>
        <v>363836.02299999999</v>
      </c>
      <c r="H169" s="209">
        <f t="shared" si="8"/>
        <v>19.356999999999999</v>
      </c>
    </row>
    <row r="170" spans="2:8" x14ac:dyDescent="0.2">
      <c r="B170" s="34">
        <v>51884.959000000003</v>
      </c>
      <c r="C170" s="34">
        <v>159194.47099999999</v>
      </c>
      <c r="D170" s="34">
        <v>18.777000000000001</v>
      </c>
      <c r="F170" s="209">
        <f t="shared" si="6"/>
        <v>60034.959000000003</v>
      </c>
      <c r="G170" s="209">
        <f t="shared" si="7"/>
        <v>363844.47100000002</v>
      </c>
      <c r="H170" s="209">
        <f t="shared" si="8"/>
        <v>18.777000000000001</v>
      </c>
    </row>
    <row r="171" spans="2:8" x14ac:dyDescent="0.2">
      <c r="B171" s="34">
        <v>51885.339</v>
      </c>
      <c r="C171" s="34">
        <v>159195.739</v>
      </c>
      <c r="D171" s="34">
        <v>18.780999999999999</v>
      </c>
      <c r="F171" s="209">
        <f t="shared" si="6"/>
        <v>60035.339</v>
      </c>
      <c r="G171" s="209">
        <f t="shared" si="7"/>
        <v>363845.739</v>
      </c>
      <c r="H171" s="209">
        <f t="shared" si="8"/>
        <v>18.780999999999999</v>
      </c>
    </row>
    <row r="172" spans="2:8" x14ac:dyDescent="0.2">
      <c r="B172" s="34">
        <v>51887.803999999996</v>
      </c>
      <c r="C172" s="34">
        <v>159193.658</v>
      </c>
      <c r="D172" s="34">
        <v>18.777999999999999</v>
      </c>
      <c r="F172" s="209">
        <f t="shared" si="6"/>
        <v>60037.803999999996</v>
      </c>
      <c r="G172" s="209">
        <f t="shared" si="7"/>
        <v>363843.658</v>
      </c>
      <c r="H172" s="209">
        <f t="shared" si="8"/>
        <v>18.777999999999999</v>
      </c>
    </row>
    <row r="173" spans="2:8" x14ac:dyDescent="0.2">
      <c r="B173" s="34">
        <v>51888.116999999998</v>
      </c>
      <c r="C173" s="34">
        <v>159194.94500000001</v>
      </c>
      <c r="D173" s="34">
        <v>18.777999999999999</v>
      </c>
      <c r="F173" s="209">
        <f t="shared" si="6"/>
        <v>60038.116999999998</v>
      </c>
      <c r="G173" s="209">
        <f t="shared" si="7"/>
        <v>363844.94500000001</v>
      </c>
      <c r="H173" s="209">
        <f t="shared" si="8"/>
        <v>18.777999999999999</v>
      </c>
    </row>
    <row r="174" spans="2:8" x14ac:dyDescent="0.2">
      <c r="B174" s="34">
        <v>51890.606</v>
      </c>
      <c r="C174" s="34">
        <v>159192.86199999999</v>
      </c>
      <c r="D174" s="34">
        <v>18.771000000000001</v>
      </c>
      <c r="F174" s="209">
        <f t="shared" si="6"/>
        <v>60040.606</v>
      </c>
      <c r="G174" s="209">
        <f t="shared" si="7"/>
        <v>363842.86199999996</v>
      </c>
      <c r="H174" s="209">
        <f t="shared" si="8"/>
        <v>18.771000000000001</v>
      </c>
    </row>
    <row r="175" spans="2:8" x14ac:dyDescent="0.2">
      <c r="B175" s="34">
        <v>51890.968000000001</v>
      </c>
      <c r="C175" s="34">
        <v>159194.11799999999</v>
      </c>
      <c r="D175" s="34">
        <v>18.777999999999999</v>
      </c>
      <c r="F175" s="209">
        <f t="shared" si="6"/>
        <v>60040.968000000001</v>
      </c>
      <c r="G175" s="209">
        <f t="shared" si="7"/>
        <v>363844.11800000002</v>
      </c>
      <c r="H175" s="209">
        <f t="shared" si="8"/>
        <v>18.777999999999999</v>
      </c>
    </row>
    <row r="176" spans="2:8" x14ac:dyDescent="0.2">
      <c r="B176" s="34">
        <v>51893.440000000002</v>
      </c>
      <c r="C176" s="34">
        <v>159192.041</v>
      </c>
      <c r="D176" s="34">
        <v>18.768000000000001</v>
      </c>
      <c r="F176" s="209">
        <f t="shared" si="6"/>
        <v>60043.44</v>
      </c>
      <c r="G176" s="209">
        <f t="shared" si="7"/>
        <v>363842.04099999997</v>
      </c>
      <c r="H176" s="209">
        <f t="shared" si="8"/>
        <v>18.768000000000001</v>
      </c>
    </row>
    <row r="177" spans="2:8" x14ac:dyDescent="0.2">
      <c r="B177" s="34">
        <v>51893.758000000002</v>
      </c>
      <c r="C177" s="34">
        <v>159193.315</v>
      </c>
      <c r="D177" s="34">
        <v>18.774000000000001</v>
      </c>
      <c r="F177" s="209">
        <f t="shared" si="6"/>
        <v>60043.758000000002</v>
      </c>
      <c r="G177" s="209">
        <f t="shared" si="7"/>
        <v>363843.315</v>
      </c>
      <c r="H177" s="209">
        <f t="shared" si="8"/>
        <v>18.774000000000001</v>
      </c>
    </row>
    <row r="178" spans="2:8" x14ac:dyDescent="0.2">
      <c r="B178" s="34">
        <v>51896.249000000003</v>
      </c>
      <c r="C178" s="34">
        <v>159191.226</v>
      </c>
      <c r="D178" s="34">
        <v>18.77</v>
      </c>
      <c r="F178" s="209">
        <f t="shared" si="6"/>
        <v>60046.249000000003</v>
      </c>
      <c r="G178" s="209">
        <f t="shared" si="7"/>
        <v>363841.22600000002</v>
      </c>
      <c r="H178" s="209">
        <f t="shared" si="8"/>
        <v>18.77</v>
      </c>
    </row>
    <row r="179" spans="2:8" x14ac:dyDescent="0.2">
      <c r="B179" s="34">
        <v>51896.631999999998</v>
      </c>
      <c r="C179" s="34">
        <v>159192.48499999999</v>
      </c>
      <c r="D179" s="34">
        <v>18.777000000000001</v>
      </c>
      <c r="F179" s="209">
        <f t="shared" si="6"/>
        <v>60046.631999999998</v>
      </c>
      <c r="G179" s="209">
        <f t="shared" si="7"/>
        <v>363842.48499999999</v>
      </c>
      <c r="H179" s="209">
        <f t="shared" si="8"/>
        <v>18.777000000000001</v>
      </c>
    </row>
    <row r="180" spans="2:8" x14ac:dyDescent="0.2">
      <c r="B180" s="34">
        <v>51899.040000000001</v>
      </c>
      <c r="C180" s="34">
        <v>159190.43400000001</v>
      </c>
      <c r="D180" s="34">
        <v>18.771000000000001</v>
      </c>
      <c r="F180" s="209">
        <f t="shared" si="6"/>
        <v>60049.04</v>
      </c>
      <c r="G180" s="209">
        <f t="shared" si="7"/>
        <v>363840.43400000001</v>
      </c>
      <c r="H180" s="209">
        <f t="shared" si="8"/>
        <v>18.771000000000001</v>
      </c>
    </row>
    <row r="181" spans="2:8" x14ac:dyDescent="0.2">
      <c r="B181" s="34">
        <v>51899.398000000001</v>
      </c>
      <c r="C181" s="34">
        <v>159191.698</v>
      </c>
      <c r="D181" s="34">
        <v>18.777999999999999</v>
      </c>
      <c r="F181" s="209">
        <f t="shared" si="6"/>
        <v>60049.398000000001</v>
      </c>
      <c r="G181" s="209">
        <f t="shared" si="7"/>
        <v>363841.69799999997</v>
      </c>
      <c r="H181" s="209">
        <f t="shared" si="8"/>
        <v>18.777999999999999</v>
      </c>
    </row>
    <row r="182" spans="2:8" x14ac:dyDescent="0.2">
      <c r="B182" s="34">
        <v>51901.987999999998</v>
      </c>
      <c r="C182" s="34">
        <v>159189.60399999999</v>
      </c>
      <c r="D182" s="34">
        <v>18.77</v>
      </c>
      <c r="F182" s="209">
        <f t="shared" si="6"/>
        <v>60051.987999999998</v>
      </c>
      <c r="G182" s="209">
        <f t="shared" si="7"/>
        <v>363839.60399999999</v>
      </c>
      <c r="H182" s="209">
        <f t="shared" si="8"/>
        <v>18.77</v>
      </c>
    </row>
    <row r="183" spans="2:8" x14ac:dyDescent="0.2">
      <c r="B183" s="34">
        <v>51902.292000000001</v>
      </c>
      <c r="C183" s="34">
        <v>159190.88500000001</v>
      </c>
      <c r="D183" s="34">
        <v>18.779</v>
      </c>
      <c r="F183" s="209">
        <f t="shared" si="6"/>
        <v>60052.292000000001</v>
      </c>
      <c r="G183" s="209">
        <f t="shared" si="7"/>
        <v>363840.88500000001</v>
      </c>
      <c r="H183" s="209">
        <f t="shared" si="8"/>
        <v>18.779</v>
      </c>
    </row>
    <row r="184" spans="2:8" x14ac:dyDescent="0.2">
      <c r="B184" s="34">
        <v>51904.883999999998</v>
      </c>
      <c r="C184" s="34">
        <v>159188.80600000001</v>
      </c>
      <c r="D184" s="34">
        <v>18.773</v>
      </c>
      <c r="F184" s="209">
        <f t="shared" si="6"/>
        <v>60054.883999999998</v>
      </c>
      <c r="G184" s="209">
        <f t="shared" si="7"/>
        <v>363838.80599999998</v>
      </c>
      <c r="H184" s="209">
        <f t="shared" si="8"/>
        <v>18.773</v>
      </c>
    </row>
    <row r="185" spans="2:8" x14ac:dyDescent="0.2">
      <c r="B185" s="34">
        <v>51905.196000000004</v>
      </c>
      <c r="C185" s="34">
        <v>159190.095</v>
      </c>
      <c r="D185" s="34">
        <v>18.78</v>
      </c>
      <c r="F185" s="209">
        <f t="shared" si="6"/>
        <v>60055.196000000004</v>
      </c>
      <c r="G185" s="209">
        <f t="shared" si="7"/>
        <v>363840.09499999997</v>
      </c>
      <c r="H185" s="209">
        <f t="shared" si="8"/>
        <v>18.78</v>
      </c>
    </row>
    <row r="186" spans="2:8" x14ac:dyDescent="0.2">
      <c r="B186" s="34">
        <v>51907.578000000001</v>
      </c>
      <c r="C186" s="34">
        <v>159188.09899999999</v>
      </c>
      <c r="D186" s="34">
        <v>18.776</v>
      </c>
      <c r="F186" s="209">
        <f t="shared" si="6"/>
        <v>60057.578000000001</v>
      </c>
      <c r="G186" s="209">
        <f t="shared" si="7"/>
        <v>363838.09899999999</v>
      </c>
      <c r="H186" s="209">
        <f t="shared" si="8"/>
        <v>18.776</v>
      </c>
    </row>
    <row r="187" spans="2:8" x14ac:dyDescent="0.2">
      <c r="B187" s="34">
        <v>51907.951999999997</v>
      </c>
      <c r="C187" s="34">
        <v>159189.36300000001</v>
      </c>
      <c r="D187" s="34">
        <v>18.786000000000001</v>
      </c>
      <c r="F187" s="209">
        <f t="shared" si="6"/>
        <v>60057.951999999997</v>
      </c>
      <c r="G187" s="209">
        <f t="shared" si="7"/>
        <v>363839.36300000001</v>
      </c>
      <c r="H187" s="209">
        <f t="shared" si="8"/>
        <v>18.786000000000001</v>
      </c>
    </row>
    <row r="188" spans="2:8" x14ac:dyDescent="0.2">
      <c r="B188" s="34">
        <v>51910.639000000003</v>
      </c>
      <c r="C188" s="34">
        <v>159187.32399999999</v>
      </c>
      <c r="D188" s="34">
        <v>18.783000000000001</v>
      </c>
      <c r="F188" s="209">
        <f t="shared" si="6"/>
        <v>60060.639000000003</v>
      </c>
      <c r="G188" s="209">
        <f t="shared" si="7"/>
        <v>363837.32400000002</v>
      </c>
      <c r="H188" s="209">
        <f t="shared" si="8"/>
        <v>18.783000000000001</v>
      </c>
    </row>
    <row r="189" spans="2:8" x14ac:dyDescent="0.2">
      <c r="B189" s="34">
        <v>51910.962</v>
      </c>
      <c r="C189" s="34">
        <v>159188.601</v>
      </c>
      <c r="D189" s="34">
        <v>18.794</v>
      </c>
      <c r="F189" s="209">
        <f t="shared" si="6"/>
        <v>60060.962</v>
      </c>
      <c r="G189" s="209">
        <f t="shared" si="7"/>
        <v>363838.60100000002</v>
      </c>
      <c r="H189" s="209">
        <f t="shared" si="8"/>
        <v>18.794</v>
      </c>
    </row>
    <row r="190" spans="2:8" x14ac:dyDescent="0.2">
      <c r="B190" s="34">
        <v>51913.42</v>
      </c>
      <c r="C190" s="34">
        <v>159186.63699999999</v>
      </c>
      <c r="D190" s="34">
        <v>18.795000000000002</v>
      </c>
      <c r="F190" s="209">
        <f t="shared" si="6"/>
        <v>60063.42</v>
      </c>
      <c r="G190" s="209">
        <f t="shared" si="7"/>
        <v>363836.63699999999</v>
      </c>
      <c r="H190" s="209">
        <f t="shared" si="8"/>
        <v>18.795000000000002</v>
      </c>
    </row>
    <row r="191" spans="2:8" x14ac:dyDescent="0.2">
      <c r="B191" s="152">
        <v>51913.75</v>
      </c>
      <c r="C191" s="152">
        <v>159187.91800000001</v>
      </c>
      <c r="D191" s="152">
        <v>18.809000000000001</v>
      </c>
      <c r="F191" s="209">
        <f t="shared" si="6"/>
        <v>60063.75</v>
      </c>
      <c r="G191" s="209">
        <f t="shared" si="7"/>
        <v>363837.91800000001</v>
      </c>
      <c r="H191" s="209">
        <f t="shared" si="8"/>
        <v>18.809000000000001</v>
      </c>
    </row>
    <row r="192" spans="2:8" x14ac:dyDescent="0.2">
      <c r="B192" s="34">
        <v>51913.75</v>
      </c>
      <c r="C192" s="34">
        <v>159187.91899999999</v>
      </c>
      <c r="D192" s="34">
        <v>18.809000000000001</v>
      </c>
      <c r="F192" s="209">
        <f t="shared" si="6"/>
        <v>60063.75</v>
      </c>
      <c r="G192" s="209">
        <f t="shared" si="7"/>
        <v>363837.91899999999</v>
      </c>
      <c r="H192" s="209">
        <f t="shared" si="8"/>
        <v>18.809000000000001</v>
      </c>
    </row>
    <row r="193" spans="2:8" x14ac:dyDescent="0.2">
      <c r="B193" s="34">
        <v>51910.963000000003</v>
      </c>
      <c r="C193" s="34">
        <v>159188.603</v>
      </c>
      <c r="D193" s="34">
        <v>18.794</v>
      </c>
      <c r="F193" s="209">
        <f t="shared" si="6"/>
        <v>60060.963000000003</v>
      </c>
      <c r="G193" s="209">
        <f t="shared" si="7"/>
        <v>363838.603</v>
      </c>
      <c r="H193" s="209">
        <f t="shared" si="8"/>
        <v>18.794</v>
      </c>
    </row>
    <row r="194" spans="2:8" x14ac:dyDescent="0.2">
      <c r="B194" s="34">
        <v>51907.951999999997</v>
      </c>
      <c r="C194" s="34">
        <v>159189.364</v>
      </c>
      <c r="D194" s="34">
        <v>18.786000000000001</v>
      </c>
      <c r="F194" s="209">
        <f t="shared" si="6"/>
        <v>60057.951999999997</v>
      </c>
      <c r="G194" s="209">
        <f t="shared" si="7"/>
        <v>363839.364</v>
      </c>
      <c r="H194" s="209">
        <f t="shared" si="8"/>
        <v>18.786000000000001</v>
      </c>
    </row>
    <row r="195" spans="2:8" x14ac:dyDescent="0.2">
      <c r="B195" s="34">
        <v>51905.196000000004</v>
      </c>
      <c r="C195" s="34">
        <v>159190.09599999999</v>
      </c>
      <c r="D195" s="34">
        <v>18.780999999999999</v>
      </c>
      <c r="F195" s="209">
        <f t="shared" si="6"/>
        <v>60055.196000000004</v>
      </c>
      <c r="G195" s="209">
        <f t="shared" si="7"/>
        <v>363840.09600000002</v>
      </c>
      <c r="H195" s="209">
        <f t="shared" si="8"/>
        <v>18.780999999999999</v>
      </c>
    </row>
    <row r="196" spans="2:8" x14ac:dyDescent="0.2">
      <c r="B196" s="34">
        <v>51902.292999999998</v>
      </c>
      <c r="C196" s="34">
        <v>159190.886</v>
      </c>
      <c r="D196" s="34">
        <v>18.779</v>
      </c>
      <c r="F196" s="209">
        <f t="shared" ref="F196:F259" si="9">B196+$B$1</f>
        <v>60052.292999999998</v>
      </c>
      <c r="G196" s="209">
        <f t="shared" ref="G196:G259" si="10">C196+$C$1</f>
        <v>363840.886</v>
      </c>
      <c r="H196" s="209">
        <f t="shared" ref="H196:H259" si="11">D196+$D$1</f>
        <v>18.779</v>
      </c>
    </row>
    <row r="197" spans="2:8" x14ac:dyDescent="0.2">
      <c r="B197" s="34">
        <v>51899.398999999998</v>
      </c>
      <c r="C197" s="34">
        <v>159191.698</v>
      </c>
      <c r="D197" s="34">
        <v>18.777999999999999</v>
      </c>
      <c r="F197" s="209">
        <f t="shared" si="9"/>
        <v>60049.398999999998</v>
      </c>
      <c r="G197" s="209">
        <f t="shared" si="10"/>
        <v>363841.69799999997</v>
      </c>
      <c r="H197" s="209">
        <f t="shared" si="11"/>
        <v>18.777999999999999</v>
      </c>
    </row>
    <row r="198" spans="2:8" x14ac:dyDescent="0.2">
      <c r="B198" s="34">
        <v>51896.633000000002</v>
      </c>
      <c r="C198" s="34">
        <v>159192.48499999999</v>
      </c>
      <c r="D198" s="34">
        <v>18.777999999999999</v>
      </c>
      <c r="F198" s="209">
        <f t="shared" si="9"/>
        <v>60046.633000000002</v>
      </c>
      <c r="G198" s="209">
        <f t="shared" si="10"/>
        <v>363842.48499999999</v>
      </c>
      <c r="H198" s="209">
        <f t="shared" si="11"/>
        <v>18.777999999999999</v>
      </c>
    </row>
    <row r="199" spans="2:8" x14ac:dyDescent="0.2">
      <c r="B199" s="34">
        <v>51893.758999999998</v>
      </c>
      <c r="C199" s="34">
        <v>159193.315</v>
      </c>
      <c r="D199" s="34">
        <v>18.774000000000001</v>
      </c>
      <c r="F199" s="209">
        <f t="shared" si="9"/>
        <v>60043.758999999998</v>
      </c>
      <c r="G199" s="209">
        <f t="shared" si="10"/>
        <v>363843.315</v>
      </c>
      <c r="H199" s="209">
        <f t="shared" si="11"/>
        <v>18.774000000000001</v>
      </c>
    </row>
    <row r="200" spans="2:8" x14ac:dyDescent="0.2">
      <c r="B200" s="34">
        <v>51890.968999999997</v>
      </c>
      <c r="C200" s="34">
        <v>159194.11799999999</v>
      </c>
      <c r="D200" s="34">
        <v>18.779</v>
      </c>
      <c r="F200" s="209">
        <f t="shared" si="9"/>
        <v>60040.968999999997</v>
      </c>
      <c r="G200" s="209">
        <f t="shared" si="10"/>
        <v>363844.11800000002</v>
      </c>
      <c r="H200" s="209">
        <f t="shared" si="11"/>
        <v>18.779</v>
      </c>
    </row>
    <row r="201" spans="2:8" x14ac:dyDescent="0.2">
      <c r="B201" s="34">
        <v>51888.116999999998</v>
      </c>
      <c r="C201" s="34">
        <v>159194.94500000001</v>
      </c>
      <c r="D201" s="34">
        <v>18.777999999999999</v>
      </c>
      <c r="F201" s="209">
        <f t="shared" si="9"/>
        <v>60038.116999999998</v>
      </c>
      <c r="G201" s="209">
        <f t="shared" si="10"/>
        <v>363844.94500000001</v>
      </c>
      <c r="H201" s="209">
        <f t="shared" si="11"/>
        <v>18.777999999999999</v>
      </c>
    </row>
    <row r="202" spans="2:8" x14ac:dyDescent="0.2">
      <c r="B202" s="34">
        <v>51913.421000000002</v>
      </c>
      <c r="C202" s="34">
        <v>159186.63800000001</v>
      </c>
      <c r="D202" s="34">
        <v>18.794</v>
      </c>
      <c r="F202" s="209">
        <f t="shared" si="9"/>
        <v>60063.421000000002</v>
      </c>
      <c r="G202" s="209">
        <f t="shared" si="10"/>
        <v>363836.63800000004</v>
      </c>
      <c r="H202" s="209">
        <f t="shared" si="11"/>
        <v>18.794</v>
      </c>
    </row>
    <row r="203" spans="2:8" x14ac:dyDescent="0.2">
      <c r="B203" s="34">
        <v>51910.639000000003</v>
      </c>
      <c r="C203" s="34">
        <v>159187.32500000001</v>
      </c>
      <c r="D203" s="34">
        <v>18.783000000000001</v>
      </c>
      <c r="F203" s="209">
        <f t="shared" si="9"/>
        <v>60060.639000000003</v>
      </c>
      <c r="G203" s="209">
        <f t="shared" si="10"/>
        <v>363837.32500000001</v>
      </c>
      <c r="H203" s="209">
        <f t="shared" si="11"/>
        <v>18.783000000000001</v>
      </c>
    </row>
    <row r="204" spans="2:8" x14ac:dyDescent="0.2">
      <c r="B204" s="34">
        <v>51907.578000000001</v>
      </c>
      <c r="C204" s="34">
        <v>159188.1</v>
      </c>
      <c r="D204" s="34">
        <v>18.776</v>
      </c>
      <c r="F204" s="209">
        <f t="shared" si="9"/>
        <v>60057.578000000001</v>
      </c>
      <c r="G204" s="209">
        <f t="shared" si="10"/>
        <v>363838.1</v>
      </c>
      <c r="H204" s="209">
        <f t="shared" si="11"/>
        <v>18.776</v>
      </c>
    </row>
    <row r="205" spans="2:8" x14ac:dyDescent="0.2">
      <c r="B205" s="34">
        <v>51904.885000000002</v>
      </c>
      <c r="C205" s="34">
        <v>159188.80600000001</v>
      </c>
      <c r="D205" s="34">
        <v>18.773</v>
      </c>
      <c r="F205" s="209">
        <f t="shared" si="9"/>
        <v>60054.885000000002</v>
      </c>
      <c r="G205" s="209">
        <f t="shared" si="10"/>
        <v>363838.80599999998</v>
      </c>
      <c r="H205" s="209">
        <f t="shared" si="11"/>
        <v>18.773</v>
      </c>
    </row>
    <row r="206" spans="2:8" x14ac:dyDescent="0.2">
      <c r="B206" s="34">
        <v>51901.989000000001</v>
      </c>
      <c r="C206" s="34">
        <v>159189.60399999999</v>
      </c>
      <c r="D206" s="34">
        <v>18.77</v>
      </c>
      <c r="F206" s="209">
        <f t="shared" si="9"/>
        <v>60051.989000000001</v>
      </c>
      <c r="G206" s="209">
        <f t="shared" si="10"/>
        <v>363839.60399999999</v>
      </c>
      <c r="H206" s="209">
        <f t="shared" si="11"/>
        <v>18.77</v>
      </c>
    </row>
    <row r="207" spans="2:8" x14ac:dyDescent="0.2">
      <c r="B207" s="34">
        <v>51899.040999999997</v>
      </c>
      <c r="C207" s="34">
        <v>159190.435</v>
      </c>
      <c r="D207" s="34">
        <v>18.771000000000001</v>
      </c>
      <c r="F207" s="209">
        <f t="shared" si="9"/>
        <v>60049.040999999997</v>
      </c>
      <c r="G207" s="209">
        <f t="shared" si="10"/>
        <v>363840.435</v>
      </c>
      <c r="H207" s="209">
        <f t="shared" si="11"/>
        <v>18.771000000000001</v>
      </c>
    </row>
    <row r="208" spans="2:8" x14ac:dyDescent="0.2">
      <c r="B208" s="34">
        <v>51896.249000000003</v>
      </c>
      <c r="C208" s="34">
        <v>159191.226</v>
      </c>
      <c r="D208" s="34">
        <v>18.77</v>
      </c>
      <c r="F208" s="209">
        <f t="shared" si="9"/>
        <v>60046.249000000003</v>
      </c>
      <c r="G208" s="209">
        <f t="shared" si="10"/>
        <v>363841.22600000002</v>
      </c>
      <c r="H208" s="209">
        <f t="shared" si="11"/>
        <v>18.77</v>
      </c>
    </row>
    <row r="209" spans="2:8" x14ac:dyDescent="0.2">
      <c r="B209" s="34">
        <v>51893.440999999999</v>
      </c>
      <c r="C209" s="34">
        <v>159192.041</v>
      </c>
      <c r="D209" s="34">
        <v>18.768999999999998</v>
      </c>
      <c r="F209" s="209">
        <f t="shared" si="9"/>
        <v>60043.440999999999</v>
      </c>
      <c r="G209" s="209">
        <f t="shared" si="10"/>
        <v>363842.04099999997</v>
      </c>
      <c r="H209" s="209">
        <f t="shared" si="11"/>
        <v>18.768999999999998</v>
      </c>
    </row>
    <row r="210" spans="2:8" x14ac:dyDescent="0.2">
      <c r="B210" s="34">
        <v>51890.606</v>
      </c>
      <c r="C210" s="34">
        <v>159192.861</v>
      </c>
      <c r="D210" s="34">
        <v>18.771999999999998</v>
      </c>
      <c r="F210" s="209">
        <f t="shared" si="9"/>
        <v>60040.606</v>
      </c>
      <c r="G210" s="209">
        <f t="shared" si="10"/>
        <v>363842.86100000003</v>
      </c>
      <c r="H210" s="209">
        <f t="shared" si="11"/>
        <v>18.771999999999998</v>
      </c>
    </row>
    <row r="211" spans="2:8" x14ac:dyDescent="0.2">
      <c r="B211" s="34">
        <v>51887.805</v>
      </c>
      <c r="C211" s="34">
        <v>159193.65700000001</v>
      </c>
      <c r="D211" s="34">
        <v>18.779</v>
      </c>
      <c r="F211" s="209">
        <f t="shared" si="9"/>
        <v>60037.805</v>
      </c>
      <c r="G211" s="209">
        <f t="shared" si="10"/>
        <v>363843.65700000001</v>
      </c>
      <c r="H211" s="209">
        <f t="shared" si="11"/>
        <v>18.779</v>
      </c>
    </row>
    <row r="212" spans="2:8" x14ac:dyDescent="0.2">
      <c r="B212" s="34">
        <v>51885.34</v>
      </c>
      <c r="C212" s="34">
        <v>159195.73800000001</v>
      </c>
      <c r="D212" s="34">
        <v>18.782</v>
      </c>
      <c r="F212" s="209">
        <f t="shared" si="9"/>
        <v>60035.34</v>
      </c>
      <c r="G212" s="209">
        <f t="shared" si="10"/>
        <v>363845.73800000001</v>
      </c>
      <c r="H212" s="209">
        <f t="shared" si="11"/>
        <v>18.782</v>
      </c>
    </row>
    <row r="213" spans="2:8" x14ac:dyDescent="0.2">
      <c r="B213" s="152">
        <v>51884.959000000003</v>
      </c>
      <c r="C213" s="152">
        <v>159194.47099999999</v>
      </c>
      <c r="D213" s="152">
        <v>18.777999999999999</v>
      </c>
      <c r="F213" s="209">
        <f t="shared" si="9"/>
        <v>60034.959000000003</v>
      </c>
      <c r="G213" s="209">
        <f t="shared" si="10"/>
        <v>363844.47100000002</v>
      </c>
      <c r="H213" s="209">
        <f t="shared" si="11"/>
        <v>18.777999999999999</v>
      </c>
    </row>
    <row r="214" spans="2:8" x14ac:dyDescent="0.2">
      <c r="B214" s="34">
        <v>51913.75</v>
      </c>
      <c r="C214" s="34">
        <v>159187.92000000001</v>
      </c>
      <c r="D214" s="34">
        <v>18.809000000000001</v>
      </c>
      <c r="F214" s="209">
        <f t="shared" si="9"/>
        <v>60063.75</v>
      </c>
      <c r="G214" s="209">
        <f t="shared" si="10"/>
        <v>363837.92000000004</v>
      </c>
      <c r="H214" s="209">
        <f t="shared" si="11"/>
        <v>18.809000000000001</v>
      </c>
    </row>
    <row r="215" spans="2:8" x14ac:dyDescent="0.2">
      <c r="B215" s="34">
        <v>51910.962</v>
      </c>
      <c r="C215" s="34">
        <v>159188.603</v>
      </c>
      <c r="D215" s="34">
        <v>18.794</v>
      </c>
      <c r="F215" s="209">
        <f t="shared" si="9"/>
        <v>60060.962</v>
      </c>
      <c r="G215" s="209">
        <f t="shared" si="10"/>
        <v>363838.603</v>
      </c>
      <c r="H215" s="209">
        <f t="shared" si="11"/>
        <v>18.794</v>
      </c>
    </row>
    <row r="216" spans="2:8" x14ac:dyDescent="0.2">
      <c r="B216" s="34">
        <v>51907.951999999997</v>
      </c>
      <c r="C216" s="34">
        <v>159189.364</v>
      </c>
      <c r="D216" s="34">
        <v>18.786000000000001</v>
      </c>
      <c r="F216" s="209">
        <f t="shared" si="9"/>
        <v>60057.951999999997</v>
      </c>
      <c r="G216" s="209">
        <f t="shared" si="10"/>
        <v>363839.364</v>
      </c>
      <c r="H216" s="209">
        <f t="shared" si="11"/>
        <v>18.786000000000001</v>
      </c>
    </row>
    <row r="217" spans="2:8" x14ac:dyDescent="0.2">
      <c r="B217" s="34">
        <v>51905.196000000004</v>
      </c>
      <c r="C217" s="34">
        <v>159190.09599999999</v>
      </c>
      <c r="D217" s="34">
        <v>18.78</v>
      </c>
      <c r="F217" s="209">
        <f t="shared" si="9"/>
        <v>60055.196000000004</v>
      </c>
      <c r="G217" s="209">
        <f t="shared" si="10"/>
        <v>363840.09600000002</v>
      </c>
      <c r="H217" s="209">
        <f t="shared" si="11"/>
        <v>18.78</v>
      </c>
    </row>
    <row r="218" spans="2:8" x14ac:dyDescent="0.2">
      <c r="B218" s="34">
        <v>51902.292999999998</v>
      </c>
      <c r="C218" s="34">
        <v>159190.886</v>
      </c>
      <c r="D218" s="34">
        <v>18.779</v>
      </c>
      <c r="F218" s="209">
        <f t="shared" si="9"/>
        <v>60052.292999999998</v>
      </c>
      <c r="G218" s="209">
        <f t="shared" si="10"/>
        <v>363840.886</v>
      </c>
      <c r="H218" s="209">
        <f t="shared" si="11"/>
        <v>18.779</v>
      </c>
    </row>
    <row r="219" spans="2:8" x14ac:dyDescent="0.2">
      <c r="B219" s="34">
        <v>51899.398999999998</v>
      </c>
      <c r="C219" s="34">
        <v>159191.698</v>
      </c>
      <c r="D219" s="34">
        <v>18.777999999999999</v>
      </c>
      <c r="F219" s="209">
        <f t="shared" si="9"/>
        <v>60049.398999999998</v>
      </c>
      <c r="G219" s="209">
        <f t="shared" si="10"/>
        <v>363841.69799999997</v>
      </c>
      <c r="H219" s="209">
        <f t="shared" si="11"/>
        <v>18.777999999999999</v>
      </c>
    </row>
    <row r="220" spans="2:8" x14ac:dyDescent="0.2">
      <c r="B220" s="34">
        <v>51896.633000000002</v>
      </c>
      <c r="C220" s="34">
        <v>159192.48499999999</v>
      </c>
      <c r="D220" s="34">
        <v>18.777999999999999</v>
      </c>
      <c r="F220" s="209">
        <f t="shared" si="9"/>
        <v>60046.633000000002</v>
      </c>
      <c r="G220" s="209">
        <f t="shared" si="10"/>
        <v>363842.48499999999</v>
      </c>
      <c r="H220" s="209">
        <f t="shared" si="11"/>
        <v>18.777999999999999</v>
      </c>
    </row>
    <row r="221" spans="2:8" x14ac:dyDescent="0.2">
      <c r="B221" s="34">
        <v>51893.758999999998</v>
      </c>
      <c r="C221" s="34">
        <v>159193.315</v>
      </c>
      <c r="D221" s="34">
        <v>18.774000000000001</v>
      </c>
      <c r="F221" s="209">
        <f t="shared" si="9"/>
        <v>60043.758999999998</v>
      </c>
      <c r="G221" s="209">
        <f t="shared" si="10"/>
        <v>363843.315</v>
      </c>
      <c r="H221" s="209">
        <f t="shared" si="11"/>
        <v>18.774000000000001</v>
      </c>
    </row>
    <row r="222" spans="2:8" x14ac:dyDescent="0.2">
      <c r="B222" s="34">
        <v>51890.968999999997</v>
      </c>
      <c r="C222" s="34">
        <v>159194.11799999999</v>
      </c>
      <c r="D222" s="34">
        <v>18.779</v>
      </c>
      <c r="F222" s="209">
        <f t="shared" si="9"/>
        <v>60040.968999999997</v>
      </c>
      <c r="G222" s="209">
        <f t="shared" si="10"/>
        <v>363844.11800000002</v>
      </c>
      <c r="H222" s="209">
        <f t="shared" si="11"/>
        <v>18.779</v>
      </c>
    </row>
    <row r="223" spans="2:8" x14ac:dyDescent="0.2">
      <c r="B223" s="34">
        <v>51888.116999999998</v>
      </c>
      <c r="C223" s="34">
        <v>159194.94500000001</v>
      </c>
      <c r="D223" s="34">
        <v>18.779</v>
      </c>
      <c r="F223" s="209">
        <f t="shared" si="9"/>
        <v>60038.116999999998</v>
      </c>
      <c r="G223" s="209">
        <f t="shared" si="10"/>
        <v>363844.94500000001</v>
      </c>
      <c r="H223" s="209">
        <f t="shared" si="11"/>
        <v>18.779</v>
      </c>
    </row>
    <row r="224" spans="2:8" x14ac:dyDescent="0.2">
      <c r="B224" s="34">
        <v>51913.421000000002</v>
      </c>
      <c r="C224" s="34">
        <v>159186.63800000001</v>
      </c>
      <c r="D224" s="34">
        <v>18.794</v>
      </c>
      <c r="F224" s="209">
        <f t="shared" si="9"/>
        <v>60063.421000000002</v>
      </c>
      <c r="G224" s="209">
        <f t="shared" si="10"/>
        <v>363836.63800000004</v>
      </c>
      <c r="H224" s="209">
        <f t="shared" si="11"/>
        <v>18.794</v>
      </c>
    </row>
    <row r="225" spans="2:8" x14ac:dyDescent="0.2">
      <c r="B225" s="34">
        <v>51910.64</v>
      </c>
      <c r="C225" s="34">
        <v>159187.32500000001</v>
      </c>
      <c r="D225" s="34">
        <v>18.783000000000001</v>
      </c>
      <c r="F225" s="209">
        <f t="shared" si="9"/>
        <v>60060.639999999999</v>
      </c>
      <c r="G225" s="209">
        <f t="shared" si="10"/>
        <v>363837.32500000001</v>
      </c>
      <c r="H225" s="209">
        <f t="shared" si="11"/>
        <v>18.783000000000001</v>
      </c>
    </row>
    <row r="226" spans="2:8" x14ac:dyDescent="0.2">
      <c r="B226" s="34">
        <v>51907.578000000001</v>
      </c>
      <c r="C226" s="34">
        <v>159188.1</v>
      </c>
      <c r="D226" s="34">
        <v>18.776</v>
      </c>
      <c r="F226" s="209">
        <f t="shared" si="9"/>
        <v>60057.578000000001</v>
      </c>
      <c r="G226" s="209">
        <f t="shared" si="10"/>
        <v>363838.1</v>
      </c>
      <c r="H226" s="209">
        <f t="shared" si="11"/>
        <v>18.776</v>
      </c>
    </row>
    <row r="227" spans="2:8" x14ac:dyDescent="0.2">
      <c r="B227" s="34">
        <v>51904.885000000002</v>
      </c>
      <c r="C227" s="34">
        <v>159188.807</v>
      </c>
      <c r="D227" s="34">
        <v>18.773</v>
      </c>
      <c r="F227" s="209">
        <f t="shared" si="9"/>
        <v>60054.885000000002</v>
      </c>
      <c r="G227" s="209">
        <f t="shared" si="10"/>
        <v>363838.80700000003</v>
      </c>
      <c r="H227" s="209">
        <f t="shared" si="11"/>
        <v>18.773</v>
      </c>
    </row>
    <row r="228" spans="2:8" x14ac:dyDescent="0.2">
      <c r="B228" s="34">
        <v>51901.989000000001</v>
      </c>
      <c r="C228" s="34">
        <v>159189.60500000001</v>
      </c>
      <c r="D228" s="34">
        <v>18.77</v>
      </c>
      <c r="F228" s="209">
        <f t="shared" si="9"/>
        <v>60051.989000000001</v>
      </c>
      <c r="G228" s="209">
        <f t="shared" si="10"/>
        <v>363839.60499999998</v>
      </c>
      <c r="H228" s="209">
        <f t="shared" si="11"/>
        <v>18.77</v>
      </c>
    </row>
    <row r="229" spans="2:8" x14ac:dyDescent="0.2">
      <c r="B229" s="34">
        <v>51899.040999999997</v>
      </c>
      <c r="C229" s="34">
        <v>159190.435</v>
      </c>
      <c r="D229" s="34">
        <v>18.771000000000001</v>
      </c>
      <c r="F229" s="209">
        <f t="shared" si="9"/>
        <v>60049.040999999997</v>
      </c>
      <c r="G229" s="209">
        <f t="shared" si="10"/>
        <v>363840.435</v>
      </c>
      <c r="H229" s="209">
        <f t="shared" si="11"/>
        <v>18.771000000000001</v>
      </c>
    </row>
    <row r="230" spans="2:8" x14ac:dyDescent="0.2">
      <c r="B230" s="34">
        <v>51896.25</v>
      </c>
      <c r="C230" s="34">
        <v>159191.22700000001</v>
      </c>
      <c r="D230" s="34">
        <v>18.77</v>
      </c>
      <c r="F230" s="209">
        <f t="shared" si="9"/>
        <v>60046.25</v>
      </c>
      <c r="G230" s="209">
        <f t="shared" si="10"/>
        <v>363841.22700000001</v>
      </c>
      <c r="H230" s="209">
        <f t="shared" si="11"/>
        <v>18.77</v>
      </c>
    </row>
    <row r="231" spans="2:8" x14ac:dyDescent="0.2">
      <c r="B231" s="34">
        <v>51893.440999999999</v>
      </c>
      <c r="C231" s="34">
        <v>159192.041</v>
      </c>
      <c r="D231" s="34">
        <v>18.768999999999998</v>
      </c>
      <c r="F231" s="209">
        <f t="shared" si="9"/>
        <v>60043.440999999999</v>
      </c>
      <c r="G231" s="209">
        <f t="shared" si="10"/>
        <v>363842.04099999997</v>
      </c>
      <c r="H231" s="209">
        <f t="shared" si="11"/>
        <v>18.768999999999998</v>
      </c>
    </row>
    <row r="232" spans="2:8" x14ac:dyDescent="0.2">
      <c r="B232" s="34">
        <v>51890.607000000004</v>
      </c>
      <c r="C232" s="34">
        <v>159192.86199999999</v>
      </c>
      <c r="D232" s="34">
        <v>18.771999999999998</v>
      </c>
      <c r="F232" s="209">
        <f t="shared" si="9"/>
        <v>60040.607000000004</v>
      </c>
      <c r="G232" s="209">
        <f t="shared" si="10"/>
        <v>363842.86199999996</v>
      </c>
      <c r="H232" s="209">
        <f t="shared" si="11"/>
        <v>18.771999999999998</v>
      </c>
    </row>
    <row r="233" spans="2:8" x14ac:dyDescent="0.2">
      <c r="B233" s="34">
        <v>51887.805</v>
      </c>
      <c r="C233" s="34">
        <v>159193.65700000001</v>
      </c>
      <c r="D233" s="34">
        <v>18.779</v>
      </c>
      <c r="F233" s="209">
        <f t="shared" si="9"/>
        <v>60037.805</v>
      </c>
      <c r="G233" s="209">
        <f t="shared" si="10"/>
        <v>363843.65700000001</v>
      </c>
      <c r="H233" s="209">
        <f t="shared" si="11"/>
        <v>18.779</v>
      </c>
    </row>
    <row r="234" spans="2:8" x14ac:dyDescent="0.2">
      <c r="B234" s="34">
        <v>51885.34</v>
      </c>
      <c r="C234" s="34">
        <v>159195.73800000001</v>
      </c>
      <c r="D234" s="34">
        <v>18.782</v>
      </c>
      <c r="F234" s="209">
        <f t="shared" si="9"/>
        <v>60035.34</v>
      </c>
      <c r="G234" s="209">
        <f t="shared" si="10"/>
        <v>363845.73800000001</v>
      </c>
      <c r="H234" s="209">
        <f t="shared" si="11"/>
        <v>18.782</v>
      </c>
    </row>
    <row r="235" spans="2:8" x14ac:dyDescent="0.2">
      <c r="B235" s="34">
        <v>51884.959000000003</v>
      </c>
      <c r="C235" s="34">
        <v>159194.47099999999</v>
      </c>
      <c r="D235" s="34">
        <v>18.777999999999999</v>
      </c>
      <c r="F235" s="209">
        <f t="shared" si="9"/>
        <v>60034.959000000003</v>
      </c>
      <c r="G235" s="209">
        <f t="shared" si="10"/>
        <v>363844.47100000002</v>
      </c>
      <c r="H235" s="209">
        <f t="shared" si="11"/>
        <v>18.777999999999999</v>
      </c>
    </row>
    <row r="236" spans="2:8" x14ac:dyDescent="0.2">
      <c r="B236" s="34">
        <v>51910.065000000002</v>
      </c>
      <c r="C236" s="34">
        <v>159186.024</v>
      </c>
      <c r="D236" s="34">
        <v>19.356999999999999</v>
      </c>
      <c r="F236" s="209">
        <f t="shared" si="9"/>
        <v>60060.065000000002</v>
      </c>
      <c r="G236" s="209">
        <f t="shared" si="10"/>
        <v>363836.02399999998</v>
      </c>
      <c r="H236" s="209">
        <f t="shared" si="11"/>
        <v>19.356999999999999</v>
      </c>
    </row>
    <row r="237" spans="2:8" x14ac:dyDescent="0.2">
      <c r="B237" s="34">
        <v>51890.286999999997</v>
      </c>
      <c r="C237" s="34">
        <v>159191.73000000001</v>
      </c>
      <c r="D237" s="34">
        <v>19.321999999999999</v>
      </c>
      <c r="F237" s="209">
        <f t="shared" si="9"/>
        <v>60040.286999999997</v>
      </c>
      <c r="G237" s="209">
        <f t="shared" si="10"/>
        <v>363841.73</v>
      </c>
      <c r="H237" s="209">
        <f t="shared" si="11"/>
        <v>19.321999999999999</v>
      </c>
    </row>
    <row r="238" spans="2:8" x14ac:dyDescent="0.2">
      <c r="B238" s="34">
        <v>51884.538999999997</v>
      </c>
      <c r="C238" s="34">
        <v>159193.38200000001</v>
      </c>
      <c r="D238" s="34">
        <v>19.332000000000001</v>
      </c>
      <c r="F238" s="209">
        <f t="shared" si="9"/>
        <v>60034.538999999997</v>
      </c>
      <c r="G238" s="209">
        <f t="shared" si="10"/>
        <v>363843.38199999998</v>
      </c>
      <c r="H238" s="209">
        <f t="shared" si="11"/>
        <v>19.332000000000001</v>
      </c>
    </row>
    <row r="239" spans="2:8" x14ac:dyDescent="0.2">
      <c r="B239" s="34">
        <v>51903.608999999997</v>
      </c>
      <c r="C239" s="34">
        <v>159187.883</v>
      </c>
      <c r="D239" s="34">
        <v>19.356999999999999</v>
      </c>
      <c r="F239" s="209">
        <f t="shared" si="9"/>
        <v>60053.608999999997</v>
      </c>
      <c r="G239" s="209">
        <f t="shared" si="10"/>
        <v>363837.88300000003</v>
      </c>
      <c r="H239" s="209">
        <f t="shared" si="11"/>
        <v>19.356999999999999</v>
      </c>
    </row>
    <row r="240" spans="2:8" x14ac:dyDescent="0.2">
      <c r="B240" s="34">
        <v>51899.767</v>
      </c>
      <c r="C240" s="34">
        <v>159188.99400000001</v>
      </c>
      <c r="D240" s="34">
        <v>19.344999999999999</v>
      </c>
      <c r="F240" s="209">
        <f t="shared" si="9"/>
        <v>60049.767</v>
      </c>
      <c r="G240" s="209">
        <f t="shared" si="10"/>
        <v>363838.99400000001</v>
      </c>
      <c r="H240" s="209">
        <f t="shared" si="11"/>
        <v>19.344999999999999</v>
      </c>
    </row>
    <row r="241" spans="2:8" x14ac:dyDescent="0.2">
      <c r="B241" s="152">
        <v>51895.921000000002</v>
      </c>
      <c r="C241" s="152">
        <v>159190.1</v>
      </c>
      <c r="D241" s="152">
        <v>19.334</v>
      </c>
      <c r="F241" s="209">
        <f t="shared" si="9"/>
        <v>60045.921000000002</v>
      </c>
      <c r="G241" s="209">
        <f t="shared" si="10"/>
        <v>363840.1</v>
      </c>
      <c r="H241" s="209">
        <f t="shared" si="11"/>
        <v>19.334</v>
      </c>
    </row>
    <row r="242" spans="2:8" x14ac:dyDescent="0.2">
      <c r="B242" s="34">
        <v>51913.421000000002</v>
      </c>
      <c r="C242" s="34">
        <v>159186.639</v>
      </c>
      <c r="D242" s="34">
        <v>18.794</v>
      </c>
      <c r="F242" s="209">
        <f t="shared" si="9"/>
        <v>60063.421000000002</v>
      </c>
      <c r="G242" s="209">
        <f t="shared" si="10"/>
        <v>363836.63899999997</v>
      </c>
      <c r="H242" s="209">
        <f t="shared" si="11"/>
        <v>18.794</v>
      </c>
    </row>
    <row r="243" spans="2:8" x14ac:dyDescent="0.2">
      <c r="B243" s="34">
        <v>51913.750999999997</v>
      </c>
      <c r="C243" s="34">
        <v>159187.92000000001</v>
      </c>
      <c r="D243" s="34">
        <v>18.809000000000001</v>
      </c>
      <c r="F243" s="209">
        <f t="shared" si="9"/>
        <v>60063.750999999997</v>
      </c>
      <c r="G243" s="209">
        <f t="shared" si="10"/>
        <v>363837.92000000004</v>
      </c>
      <c r="H243" s="209">
        <f t="shared" si="11"/>
        <v>18.809000000000001</v>
      </c>
    </row>
    <row r="244" spans="2:8" x14ac:dyDescent="0.2">
      <c r="B244" s="34">
        <v>51910.64</v>
      </c>
      <c r="C244" s="34">
        <v>159187.32500000001</v>
      </c>
      <c r="D244" s="34">
        <v>18.783000000000001</v>
      </c>
      <c r="F244" s="209">
        <f t="shared" si="9"/>
        <v>60060.639999999999</v>
      </c>
      <c r="G244" s="209">
        <f t="shared" si="10"/>
        <v>363837.32500000001</v>
      </c>
      <c r="H244" s="209">
        <f t="shared" si="11"/>
        <v>18.783000000000001</v>
      </c>
    </row>
    <row r="245" spans="2:8" x14ac:dyDescent="0.2">
      <c r="B245" s="34">
        <v>51910.963000000003</v>
      </c>
      <c r="C245" s="34">
        <v>159188.603</v>
      </c>
      <c r="D245" s="34">
        <v>18.794</v>
      </c>
      <c r="F245" s="209">
        <f t="shared" si="9"/>
        <v>60060.963000000003</v>
      </c>
      <c r="G245" s="209">
        <f t="shared" si="10"/>
        <v>363838.603</v>
      </c>
      <c r="H245" s="209">
        <f t="shared" si="11"/>
        <v>18.794</v>
      </c>
    </row>
    <row r="246" spans="2:8" x14ac:dyDescent="0.2">
      <c r="B246" s="34">
        <v>51907.578000000001</v>
      </c>
      <c r="C246" s="34">
        <v>159188.101</v>
      </c>
      <c r="D246" s="34">
        <v>18.776</v>
      </c>
      <c r="F246" s="209">
        <f t="shared" si="9"/>
        <v>60057.578000000001</v>
      </c>
      <c r="G246" s="209">
        <f t="shared" si="10"/>
        <v>363838.10100000002</v>
      </c>
      <c r="H246" s="209">
        <f t="shared" si="11"/>
        <v>18.776</v>
      </c>
    </row>
    <row r="247" spans="2:8" x14ac:dyDescent="0.2">
      <c r="B247" s="34">
        <v>51907.951999999997</v>
      </c>
      <c r="C247" s="34">
        <v>159189.36499999999</v>
      </c>
      <c r="D247" s="34">
        <v>18.786000000000001</v>
      </c>
      <c r="F247" s="209">
        <f t="shared" si="9"/>
        <v>60057.951999999997</v>
      </c>
      <c r="G247" s="209">
        <f t="shared" si="10"/>
        <v>363839.36499999999</v>
      </c>
      <c r="H247" s="209">
        <f t="shared" si="11"/>
        <v>18.786000000000001</v>
      </c>
    </row>
    <row r="248" spans="2:8" x14ac:dyDescent="0.2">
      <c r="B248" s="34">
        <v>51904.885000000002</v>
      </c>
      <c r="C248" s="34">
        <v>159188.807</v>
      </c>
      <c r="D248" s="34">
        <v>18.773</v>
      </c>
      <c r="F248" s="209">
        <f t="shared" si="9"/>
        <v>60054.885000000002</v>
      </c>
      <c r="G248" s="209">
        <f t="shared" si="10"/>
        <v>363838.80700000003</v>
      </c>
      <c r="H248" s="209">
        <f t="shared" si="11"/>
        <v>18.773</v>
      </c>
    </row>
    <row r="249" spans="2:8" x14ac:dyDescent="0.2">
      <c r="B249" s="34">
        <v>51905.196000000004</v>
      </c>
      <c r="C249" s="34">
        <v>159190.09700000001</v>
      </c>
      <c r="D249" s="34">
        <v>18.780999999999999</v>
      </c>
      <c r="F249" s="209">
        <f t="shared" si="9"/>
        <v>60055.196000000004</v>
      </c>
      <c r="G249" s="209">
        <f t="shared" si="10"/>
        <v>363840.09700000001</v>
      </c>
      <c r="H249" s="209">
        <f t="shared" si="11"/>
        <v>18.780999999999999</v>
      </c>
    </row>
    <row r="250" spans="2:8" x14ac:dyDescent="0.2">
      <c r="B250" s="34">
        <v>51901.989000000001</v>
      </c>
      <c r="C250" s="34">
        <v>159189.60500000001</v>
      </c>
      <c r="D250" s="34">
        <v>18.77</v>
      </c>
      <c r="F250" s="209">
        <f t="shared" si="9"/>
        <v>60051.989000000001</v>
      </c>
      <c r="G250" s="209">
        <f t="shared" si="10"/>
        <v>363839.60499999998</v>
      </c>
      <c r="H250" s="209">
        <f t="shared" si="11"/>
        <v>18.77</v>
      </c>
    </row>
    <row r="251" spans="2:8" x14ac:dyDescent="0.2">
      <c r="B251" s="34">
        <v>51902.292999999998</v>
      </c>
      <c r="C251" s="34">
        <v>159190.88699999999</v>
      </c>
      <c r="D251" s="34">
        <v>18.779</v>
      </c>
      <c r="F251" s="209">
        <f t="shared" si="9"/>
        <v>60052.292999999998</v>
      </c>
      <c r="G251" s="209">
        <f t="shared" si="10"/>
        <v>363840.88699999999</v>
      </c>
      <c r="H251" s="209">
        <f t="shared" si="11"/>
        <v>18.779</v>
      </c>
    </row>
    <row r="252" spans="2:8" x14ac:dyDescent="0.2">
      <c r="B252" s="34">
        <v>51899.040999999997</v>
      </c>
      <c r="C252" s="34">
        <v>159190.435</v>
      </c>
      <c r="D252" s="34">
        <v>18.771999999999998</v>
      </c>
      <c r="F252" s="209">
        <f t="shared" si="9"/>
        <v>60049.040999999997</v>
      </c>
      <c r="G252" s="209">
        <f t="shared" si="10"/>
        <v>363840.435</v>
      </c>
      <c r="H252" s="209">
        <f t="shared" si="11"/>
        <v>18.771999999999998</v>
      </c>
    </row>
    <row r="253" spans="2:8" x14ac:dyDescent="0.2">
      <c r="B253" s="34">
        <v>51899.398999999998</v>
      </c>
      <c r="C253" s="34">
        <v>159191.69899999999</v>
      </c>
      <c r="D253" s="34">
        <v>18.777999999999999</v>
      </c>
      <c r="F253" s="209">
        <f t="shared" si="9"/>
        <v>60049.398999999998</v>
      </c>
      <c r="G253" s="209">
        <f t="shared" si="10"/>
        <v>363841.69900000002</v>
      </c>
      <c r="H253" s="209">
        <f t="shared" si="11"/>
        <v>18.777999999999999</v>
      </c>
    </row>
    <row r="254" spans="2:8" x14ac:dyDescent="0.2">
      <c r="B254" s="34">
        <v>51896.25</v>
      </c>
      <c r="C254" s="34">
        <v>159191.22700000001</v>
      </c>
      <c r="D254" s="34">
        <v>18.77</v>
      </c>
      <c r="F254" s="209">
        <f t="shared" si="9"/>
        <v>60046.25</v>
      </c>
      <c r="G254" s="209">
        <f t="shared" si="10"/>
        <v>363841.22700000001</v>
      </c>
      <c r="H254" s="209">
        <f t="shared" si="11"/>
        <v>18.77</v>
      </c>
    </row>
    <row r="255" spans="2:8" x14ac:dyDescent="0.2">
      <c r="B255" s="34">
        <v>51896.633000000002</v>
      </c>
      <c r="C255" s="34">
        <v>159192.48499999999</v>
      </c>
      <c r="D255" s="34">
        <v>18.777999999999999</v>
      </c>
      <c r="F255" s="209">
        <f t="shared" si="9"/>
        <v>60046.633000000002</v>
      </c>
      <c r="G255" s="209">
        <f t="shared" si="10"/>
        <v>363842.48499999999</v>
      </c>
      <c r="H255" s="209">
        <f t="shared" si="11"/>
        <v>18.777999999999999</v>
      </c>
    </row>
    <row r="256" spans="2:8" x14ac:dyDescent="0.2">
      <c r="B256" s="34">
        <v>51893.440999999999</v>
      </c>
      <c r="C256" s="34">
        <v>159192.041</v>
      </c>
      <c r="D256" s="34">
        <v>18.768999999999998</v>
      </c>
      <c r="F256" s="209">
        <f t="shared" si="9"/>
        <v>60043.440999999999</v>
      </c>
      <c r="G256" s="209">
        <f t="shared" si="10"/>
        <v>363842.04099999997</v>
      </c>
      <c r="H256" s="209">
        <f t="shared" si="11"/>
        <v>18.768999999999998</v>
      </c>
    </row>
    <row r="257" spans="2:8" x14ac:dyDescent="0.2">
      <c r="B257" s="34">
        <v>51893.758999999998</v>
      </c>
      <c r="C257" s="34">
        <v>159193.315</v>
      </c>
      <c r="D257" s="34">
        <v>18.774000000000001</v>
      </c>
      <c r="F257" s="209">
        <f t="shared" si="9"/>
        <v>60043.758999999998</v>
      </c>
      <c r="G257" s="209">
        <f t="shared" si="10"/>
        <v>363843.315</v>
      </c>
      <c r="H257" s="209">
        <f t="shared" si="11"/>
        <v>18.774000000000001</v>
      </c>
    </row>
    <row r="258" spans="2:8" x14ac:dyDescent="0.2">
      <c r="B258" s="34">
        <v>51890.607000000004</v>
      </c>
      <c r="C258" s="34">
        <v>159192.86199999999</v>
      </c>
      <c r="D258" s="34">
        <v>18.771999999999998</v>
      </c>
      <c r="F258" s="209">
        <f t="shared" si="9"/>
        <v>60040.607000000004</v>
      </c>
      <c r="G258" s="209">
        <f t="shared" si="10"/>
        <v>363842.86199999996</v>
      </c>
      <c r="H258" s="209">
        <f t="shared" si="11"/>
        <v>18.771999999999998</v>
      </c>
    </row>
    <row r="259" spans="2:8" x14ac:dyDescent="0.2">
      <c r="B259" s="34">
        <v>51890.968999999997</v>
      </c>
      <c r="C259" s="34">
        <v>159194.11799999999</v>
      </c>
      <c r="D259" s="34">
        <v>18.779</v>
      </c>
      <c r="F259" s="209">
        <f t="shared" si="9"/>
        <v>60040.968999999997</v>
      </c>
      <c r="G259" s="209">
        <f t="shared" si="10"/>
        <v>363844.11800000002</v>
      </c>
      <c r="H259" s="209">
        <f t="shared" si="11"/>
        <v>18.779</v>
      </c>
    </row>
    <row r="260" spans="2:8" x14ac:dyDescent="0.2">
      <c r="B260" s="34">
        <v>51887.805</v>
      </c>
      <c r="C260" s="34">
        <v>159193.65700000001</v>
      </c>
      <c r="D260" s="34">
        <v>18.779</v>
      </c>
      <c r="F260" s="209">
        <f t="shared" ref="F260:F323" si="12">B260+$B$1</f>
        <v>60037.805</v>
      </c>
      <c r="G260" s="209">
        <f t="shared" ref="G260:G323" si="13">C260+$C$1</f>
        <v>363843.65700000001</v>
      </c>
      <c r="H260" s="209">
        <f t="shared" ref="H260:H323" si="14">D260+$D$1</f>
        <v>18.779</v>
      </c>
    </row>
    <row r="261" spans="2:8" x14ac:dyDescent="0.2">
      <c r="B261" s="34">
        <v>51888.116999999998</v>
      </c>
      <c r="C261" s="34">
        <v>159194.94500000001</v>
      </c>
      <c r="D261" s="34">
        <v>18.779</v>
      </c>
      <c r="F261" s="209">
        <f t="shared" si="12"/>
        <v>60038.116999999998</v>
      </c>
      <c r="G261" s="209">
        <f t="shared" si="13"/>
        <v>363844.94500000001</v>
      </c>
      <c r="H261" s="209">
        <f t="shared" si="14"/>
        <v>18.779</v>
      </c>
    </row>
    <row r="262" spans="2:8" x14ac:dyDescent="0.2">
      <c r="B262" s="34">
        <v>51884.959000000003</v>
      </c>
      <c r="C262" s="34">
        <v>159194.47099999999</v>
      </c>
      <c r="D262" s="34">
        <v>18.777999999999999</v>
      </c>
      <c r="F262" s="209">
        <f t="shared" si="12"/>
        <v>60034.959000000003</v>
      </c>
      <c r="G262" s="209">
        <f t="shared" si="13"/>
        <v>363844.47100000002</v>
      </c>
      <c r="H262" s="209">
        <f t="shared" si="14"/>
        <v>18.777999999999999</v>
      </c>
    </row>
    <row r="263" spans="2:8" x14ac:dyDescent="0.2">
      <c r="B263" s="34">
        <v>51885.34</v>
      </c>
      <c r="C263" s="34">
        <v>159195.73800000001</v>
      </c>
      <c r="D263" s="34">
        <v>18.782</v>
      </c>
      <c r="F263" s="209">
        <f t="shared" si="12"/>
        <v>60035.34</v>
      </c>
      <c r="G263" s="209">
        <f t="shared" si="13"/>
        <v>363845.73800000001</v>
      </c>
      <c r="H263" s="209">
        <f t="shared" si="14"/>
        <v>18.782</v>
      </c>
    </row>
    <row r="264" spans="2:8" x14ac:dyDescent="0.2">
      <c r="B264" s="34">
        <v>51910.065000000002</v>
      </c>
      <c r="C264" s="34">
        <v>159186.024</v>
      </c>
      <c r="D264" s="34">
        <v>19.356999999999999</v>
      </c>
      <c r="F264" s="209">
        <f t="shared" si="12"/>
        <v>60060.065000000002</v>
      </c>
      <c r="G264" s="209">
        <f t="shared" si="13"/>
        <v>363836.02399999998</v>
      </c>
      <c r="H264" s="209">
        <f t="shared" si="14"/>
        <v>19.356999999999999</v>
      </c>
    </row>
    <row r="265" spans="2:8" x14ac:dyDescent="0.2">
      <c r="B265" s="34">
        <v>51903.608999999997</v>
      </c>
      <c r="C265" s="34">
        <v>159187.883</v>
      </c>
      <c r="D265" s="34">
        <v>19.356999999999999</v>
      </c>
      <c r="F265" s="209">
        <f t="shared" si="12"/>
        <v>60053.608999999997</v>
      </c>
      <c r="G265" s="209">
        <f t="shared" si="13"/>
        <v>363837.88300000003</v>
      </c>
      <c r="H265" s="209">
        <f t="shared" si="14"/>
        <v>19.356999999999999</v>
      </c>
    </row>
    <row r="266" spans="2:8" x14ac:dyDescent="0.2">
      <c r="B266" s="34">
        <v>51899.767999999996</v>
      </c>
      <c r="C266" s="34">
        <v>159188.99400000001</v>
      </c>
      <c r="D266" s="34">
        <v>19.344999999999999</v>
      </c>
      <c r="F266" s="209">
        <f t="shared" si="12"/>
        <v>60049.767999999996</v>
      </c>
      <c r="G266" s="209">
        <f t="shared" si="13"/>
        <v>363838.99400000001</v>
      </c>
      <c r="H266" s="209">
        <f t="shared" si="14"/>
        <v>19.344999999999999</v>
      </c>
    </row>
    <row r="267" spans="2:8" x14ac:dyDescent="0.2">
      <c r="B267" s="34">
        <v>51895.921999999999</v>
      </c>
      <c r="C267" s="34">
        <v>159190.101</v>
      </c>
      <c r="D267" s="34">
        <v>19.334</v>
      </c>
      <c r="F267" s="209">
        <f t="shared" si="12"/>
        <v>60045.921999999999</v>
      </c>
      <c r="G267" s="209">
        <f t="shared" si="13"/>
        <v>363840.10100000002</v>
      </c>
      <c r="H267" s="209">
        <f t="shared" si="14"/>
        <v>19.334</v>
      </c>
    </row>
    <row r="268" spans="2:8" x14ac:dyDescent="0.2">
      <c r="B268" s="152">
        <v>51890.286999999997</v>
      </c>
      <c r="C268" s="152">
        <v>159191.73000000001</v>
      </c>
      <c r="D268" s="152">
        <v>19.321999999999999</v>
      </c>
      <c r="F268" s="209">
        <f t="shared" si="12"/>
        <v>60040.286999999997</v>
      </c>
      <c r="G268" s="209">
        <f t="shared" si="13"/>
        <v>363841.73</v>
      </c>
      <c r="H268" s="209">
        <f t="shared" si="14"/>
        <v>19.321999999999999</v>
      </c>
    </row>
    <row r="269" spans="2:8" x14ac:dyDescent="0.2">
      <c r="B269" s="34">
        <v>51884.538999999997</v>
      </c>
      <c r="C269" s="34">
        <v>159193.38200000001</v>
      </c>
      <c r="D269" s="34">
        <v>19.332000000000001</v>
      </c>
      <c r="F269" s="209">
        <f t="shared" si="12"/>
        <v>60034.538999999997</v>
      </c>
      <c r="G269" s="209">
        <f t="shared" si="13"/>
        <v>363843.38199999998</v>
      </c>
      <c r="H269" s="209">
        <f t="shared" si="14"/>
        <v>19.332000000000001</v>
      </c>
    </row>
    <row r="270" spans="2:8" x14ac:dyDescent="0.2">
      <c r="B270" s="34">
        <v>51884.538999999997</v>
      </c>
      <c r="C270" s="34">
        <v>159193.38200000001</v>
      </c>
      <c r="D270" s="34">
        <v>19.332000000000001</v>
      </c>
      <c r="F270" s="209">
        <f t="shared" si="12"/>
        <v>60034.538999999997</v>
      </c>
      <c r="G270" s="209">
        <f t="shared" si="13"/>
        <v>363843.38199999998</v>
      </c>
      <c r="H270" s="209">
        <f t="shared" si="14"/>
        <v>19.332000000000001</v>
      </c>
    </row>
    <row r="271" spans="2:8" x14ac:dyDescent="0.2">
      <c r="B271" s="34">
        <v>51890.286999999997</v>
      </c>
      <c r="C271" s="34">
        <v>159191.731</v>
      </c>
      <c r="D271" s="34">
        <v>19.321999999999999</v>
      </c>
      <c r="F271" s="209">
        <f t="shared" si="12"/>
        <v>60040.286999999997</v>
      </c>
      <c r="G271" s="209">
        <f t="shared" si="13"/>
        <v>363841.73100000003</v>
      </c>
      <c r="H271" s="209">
        <f t="shared" si="14"/>
        <v>19.321999999999999</v>
      </c>
    </row>
    <row r="272" spans="2:8" x14ac:dyDescent="0.2">
      <c r="B272" s="34">
        <v>51895.921000000002</v>
      </c>
      <c r="C272" s="34">
        <v>159190.101</v>
      </c>
      <c r="D272" s="34">
        <v>19.334</v>
      </c>
      <c r="F272" s="209">
        <f t="shared" si="12"/>
        <v>60045.921000000002</v>
      </c>
      <c r="G272" s="209">
        <f t="shared" si="13"/>
        <v>363840.10100000002</v>
      </c>
      <c r="H272" s="209">
        <f t="shared" si="14"/>
        <v>19.334</v>
      </c>
    </row>
    <row r="273" spans="2:8" x14ac:dyDescent="0.2">
      <c r="B273" s="34">
        <v>51899.767999999996</v>
      </c>
      <c r="C273" s="34">
        <v>159188.99400000001</v>
      </c>
      <c r="D273" s="34">
        <v>19.344999999999999</v>
      </c>
      <c r="F273" s="209">
        <f t="shared" si="12"/>
        <v>60049.767999999996</v>
      </c>
      <c r="G273" s="209">
        <f t="shared" si="13"/>
        <v>363838.99400000001</v>
      </c>
      <c r="H273" s="209">
        <f t="shared" si="14"/>
        <v>19.344999999999999</v>
      </c>
    </row>
    <row r="274" spans="2:8" x14ac:dyDescent="0.2">
      <c r="B274" s="34">
        <v>51903.608999999997</v>
      </c>
      <c r="C274" s="34">
        <v>159187.883</v>
      </c>
      <c r="D274" s="34">
        <v>19.356999999999999</v>
      </c>
      <c r="F274" s="209">
        <f t="shared" si="12"/>
        <v>60053.608999999997</v>
      </c>
      <c r="G274" s="209">
        <f t="shared" si="13"/>
        <v>363837.88300000003</v>
      </c>
      <c r="H274" s="209">
        <f t="shared" si="14"/>
        <v>19.356999999999999</v>
      </c>
    </row>
    <row r="275" spans="2:8" x14ac:dyDescent="0.2">
      <c r="B275" s="34">
        <v>51910.065000000002</v>
      </c>
      <c r="C275" s="34">
        <v>159186.02499999999</v>
      </c>
      <c r="D275" s="34">
        <v>19.356999999999999</v>
      </c>
      <c r="F275" s="209">
        <f t="shared" si="12"/>
        <v>60060.065000000002</v>
      </c>
      <c r="G275" s="209">
        <f t="shared" si="13"/>
        <v>363836.02500000002</v>
      </c>
      <c r="H275" s="209">
        <f t="shared" si="14"/>
        <v>19.356999999999999</v>
      </c>
    </row>
    <row r="276" spans="2:8" x14ac:dyDescent="0.2">
      <c r="B276" s="34">
        <v>51885.34</v>
      </c>
      <c r="C276" s="34">
        <v>159195.739</v>
      </c>
      <c r="D276" s="34">
        <v>18.782</v>
      </c>
      <c r="F276" s="209">
        <f t="shared" si="12"/>
        <v>60035.34</v>
      </c>
      <c r="G276" s="209">
        <f t="shared" si="13"/>
        <v>363845.739</v>
      </c>
      <c r="H276" s="209">
        <f t="shared" si="14"/>
        <v>18.782</v>
      </c>
    </row>
    <row r="277" spans="2:8" x14ac:dyDescent="0.2">
      <c r="B277" s="34">
        <v>51884.959000000003</v>
      </c>
      <c r="C277" s="34">
        <v>159194.47099999999</v>
      </c>
      <c r="D277" s="34">
        <v>18.777999999999999</v>
      </c>
      <c r="F277" s="209">
        <f t="shared" si="12"/>
        <v>60034.959000000003</v>
      </c>
      <c r="G277" s="209">
        <f t="shared" si="13"/>
        <v>363844.47100000002</v>
      </c>
      <c r="H277" s="209">
        <f t="shared" si="14"/>
        <v>18.777999999999999</v>
      </c>
    </row>
    <row r="278" spans="2:8" x14ac:dyDescent="0.2">
      <c r="B278" s="34">
        <v>51888.116999999998</v>
      </c>
      <c r="C278" s="34">
        <v>159194.94500000001</v>
      </c>
      <c r="D278" s="34">
        <v>18.779</v>
      </c>
      <c r="F278" s="209">
        <f t="shared" si="12"/>
        <v>60038.116999999998</v>
      </c>
      <c r="G278" s="209">
        <f t="shared" si="13"/>
        <v>363844.94500000001</v>
      </c>
      <c r="H278" s="209">
        <f t="shared" si="14"/>
        <v>18.779</v>
      </c>
    </row>
    <row r="279" spans="2:8" x14ac:dyDescent="0.2">
      <c r="B279" s="34">
        <v>51887.805</v>
      </c>
      <c r="C279" s="34">
        <v>159193.65700000001</v>
      </c>
      <c r="D279" s="34">
        <v>18.779</v>
      </c>
      <c r="F279" s="209">
        <f t="shared" si="12"/>
        <v>60037.805</v>
      </c>
      <c r="G279" s="209">
        <f t="shared" si="13"/>
        <v>363843.65700000001</v>
      </c>
      <c r="H279" s="209">
        <f t="shared" si="14"/>
        <v>18.779</v>
      </c>
    </row>
    <row r="280" spans="2:8" x14ac:dyDescent="0.2">
      <c r="B280" s="34">
        <v>51890.968999999997</v>
      </c>
      <c r="C280" s="34">
        <v>159194.11799999999</v>
      </c>
      <c r="D280" s="34">
        <v>18.779</v>
      </c>
      <c r="F280" s="209">
        <f t="shared" si="12"/>
        <v>60040.968999999997</v>
      </c>
      <c r="G280" s="209">
        <f t="shared" si="13"/>
        <v>363844.11800000002</v>
      </c>
      <c r="H280" s="209">
        <f t="shared" si="14"/>
        <v>18.779</v>
      </c>
    </row>
    <row r="281" spans="2:8" x14ac:dyDescent="0.2">
      <c r="B281" s="34">
        <v>51890.606</v>
      </c>
      <c r="C281" s="34">
        <v>159192.86199999999</v>
      </c>
      <c r="D281" s="34">
        <v>18.771999999999998</v>
      </c>
      <c r="F281" s="209">
        <f t="shared" si="12"/>
        <v>60040.606</v>
      </c>
      <c r="G281" s="209">
        <f t="shared" si="13"/>
        <v>363842.86199999996</v>
      </c>
      <c r="H281" s="209">
        <f t="shared" si="14"/>
        <v>18.771999999999998</v>
      </c>
    </row>
    <row r="282" spans="2:8" x14ac:dyDescent="0.2">
      <c r="B282" s="34">
        <v>51893.758999999998</v>
      </c>
      <c r="C282" s="34">
        <v>159193.315</v>
      </c>
      <c r="D282" s="34">
        <v>18.774000000000001</v>
      </c>
      <c r="F282" s="209">
        <f t="shared" si="12"/>
        <v>60043.758999999998</v>
      </c>
      <c r="G282" s="209">
        <f t="shared" si="13"/>
        <v>363843.315</v>
      </c>
      <c r="H282" s="209">
        <f t="shared" si="14"/>
        <v>18.774000000000001</v>
      </c>
    </row>
    <row r="283" spans="2:8" x14ac:dyDescent="0.2">
      <c r="B283" s="34">
        <v>51893.440999999999</v>
      </c>
      <c r="C283" s="34">
        <v>159192.04199999999</v>
      </c>
      <c r="D283" s="34">
        <v>18.768999999999998</v>
      </c>
      <c r="F283" s="209">
        <f t="shared" si="12"/>
        <v>60043.440999999999</v>
      </c>
      <c r="G283" s="209">
        <f t="shared" si="13"/>
        <v>363842.04200000002</v>
      </c>
      <c r="H283" s="209">
        <f t="shared" si="14"/>
        <v>18.768999999999998</v>
      </c>
    </row>
    <row r="284" spans="2:8" x14ac:dyDescent="0.2">
      <c r="B284" s="34">
        <v>51896.633000000002</v>
      </c>
      <c r="C284" s="34">
        <v>159192.486</v>
      </c>
      <c r="D284" s="34">
        <v>18.777000000000001</v>
      </c>
      <c r="F284" s="209">
        <f t="shared" si="12"/>
        <v>60046.633000000002</v>
      </c>
      <c r="G284" s="209">
        <f t="shared" si="13"/>
        <v>363842.48600000003</v>
      </c>
      <c r="H284" s="209">
        <f t="shared" si="14"/>
        <v>18.777000000000001</v>
      </c>
    </row>
    <row r="285" spans="2:8" x14ac:dyDescent="0.2">
      <c r="B285" s="34">
        <v>51896.25</v>
      </c>
      <c r="C285" s="34">
        <v>159191.22700000001</v>
      </c>
      <c r="D285" s="34">
        <v>18.77</v>
      </c>
      <c r="F285" s="209">
        <f t="shared" si="12"/>
        <v>60046.25</v>
      </c>
      <c r="G285" s="209">
        <f t="shared" si="13"/>
        <v>363841.22700000001</v>
      </c>
      <c r="H285" s="209">
        <f t="shared" si="14"/>
        <v>18.77</v>
      </c>
    </row>
    <row r="286" spans="2:8" x14ac:dyDescent="0.2">
      <c r="B286" s="34">
        <v>51899.398999999998</v>
      </c>
      <c r="C286" s="34">
        <v>159191.69899999999</v>
      </c>
      <c r="D286" s="34">
        <v>18.777999999999999</v>
      </c>
      <c r="F286" s="209">
        <f t="shared" si="12"/>
        <v>60049.398999999998</v>
      </c>
      <c r="G286" s="209">
        <f t="shared" si="13"/>
        <v>363841.69900000002</v>
      </c>
      <c r="H286" s="209">
        <f t="shared" si="14"/>
        <v>18.777999999999999</v>
      </c>
    </row>
    <row r="287" spans="2:8" x14ac:dyDescent="0.2">
      <c r="B287" s="34">
        <v>51899.040999999997</v>
      </c>
      <c r="C287" s="34">
        <v>159190.435</v>
      </c>
      <c r="D287" s="34">
        <v>18.771000000000001</v>
      </c>
      <c r="F287" s="209">
        <f t="shared" si="12"/>
        <v>60049.040999999997</v>
      </c>
      <c r="G287" s="209">
        <f t="shared" si="13"/>
        <v>363840.435</v>
      </c>
      <c r="H287" s="209">
        <f t="shared" si="14"/>
        <v>18.771000000000001</v>
      </c>
    </row>
    <row r="288" spans="2:8" x14ac:dyDescent="0.2">
      <c r="B288" s="34">
        <v>51902.292999999998</v>
      </c>
      <c r="C288" s="34">
        <v>159190.88699999999</v>
      </c>
      <c r="D288" s="34">
        <v>18.779</v>
      </c>
      <c r="F288" s="209">
        <f t="shared" si="12"/>
        <v>60052.292999999998</v>
      </c>
      <c r="G288" s="209">
        <f t="shared" si="13"/>
        <v>363840.88699999999</v>
      </c>
      <c r="H288" s="209">
        <f t="shared" si="14"/>
        <v>18.779</v>
      </c>
    </row>
    <row r="289" spans="2:8" x14ac:dyDescent="0.2">
      <c r="B289" s="34">
        <v>51901.989000000001</v>
      </c>
      <c r="C289" s="34">
        <v>159189.606</v>
      </c>
      <c r="D289" s="34">
        <v>18.77</v>
      </c>
      <c r="F289" s="209">
        <f t="shared" si="12"/>
        <v>60051.989000000001</v>
      </c>
      <c r="G289" s="209">
        <f t="shared" si="13"/>
        <v>363839.60600000003</v>
      </c>
      <c r="H289" s="209">
        <f t="shared" si="14"/>
        <v>18.77</v>
      </c>
    </row>
    <row r="290" spans="2:8" x14ac:dyDescent="0.2">
      <c r="B290" s="34">
        <v>51905.196000000004</v>
      </c>
      <c r="C290" s="34">
        <v>159190.09700000001</v>
      </c>
      <c r="D290" s="34">
        <v>18.78</v>
      </c>
      <c r="F290" s="209">
        <f t="shared" si="12"/>
        <v>60055.196000000004</v>
      </c>
      <c r="G290" s="209">
        <f t="shared" si="13"/>
        <v>363840.09700000001</v>
      </c>
      <c r="H290" s="209">
        <f t="shared" si="14"/>
        <v>18.78</v>
      </c>
    </row>
    <row r="291" spans="2:8" x14ac:dyDescent="0.2">
      <c r="B291" s="34">
        <v>51904.885000000002</v>
      </c>
      <c r="C291" s="34">
        <v>159188.807</v>
      </c>
      <c r="D291" s="34">
        <v>18.773</v>
      </c>
      <c r="F291" s="209">
        <f t="shared" si="12"/>
        <v>60054.885000000002</v>
      </c>
      <c r="G291" s="209">
        <f t="shared" si="13"/>
        <v>363838.80700000003</v>
      </c>
      <c r="H291" s="209">
        <f t="shared" si="14"/>
        <v>18.773</v>
      </c>
    </row>
    <row r="292" spans="2:8" x14ac:dyDescent="0.2">
      <c r="B292" s="34">
        <v>51907.951999999997</v>
      </c>
      <c r="C292" s="34">
        <v>159189.36499999999</v>
      </c>
      <c r="D292" s="34">
        <v>18.786000000000001</v>
      </c>
      <c r="F292" s="209">
        <f t="shared" si="12"/>
        <v>60057.951999999997</v>
      </c>
      <c r="G292" s="209">
        <f t="shared" si="13"/>
        <v>363839.36499999999</v>
      </c>
      <c r="H292" s="209">
        <f t="shared" si="14"/>
        <v>18.786000000000001</v>
      </c>
    </row>
    <row r="293" spans="2:8" x14ac:dyDescent="0.2">
      <c r="B293" s="34">
        <v>51907.578000000001</v>
      </c>
      <c r="C293" s="34">
        <v>159188.101</v>
      </c>
      <c r="D293" s="34">
        <v>18.776</v>
      </c>
      <c r="F293" s="209">
        <f t="shared" si="12"/>
        <v>60057.578000000001</v>
      </c>
      <c r="G293" s="209">
        <f t="shared" si="13"/>
        <v>363838.10100000002</v>
      </c>
      <c r="H293" s="209">
        <f t="shared" si="14"/>
        <v>18.776</v>
      </c>
    </row>
    <row r="294" spans="2:8" x14ac:dyDescent="0.2">
      <c r="B294" s="34">
        <v>51910.962</v>
      </c>
      <c r="C294" s="34">
        <v>159188.60399999999</v>
      </c>
      <c r="D294" s="34">
        <v>18.794</v>
      </c>
      <c r="F294" s="209">
        <f t="shared" si="12"/>
        <v>60060.962</v>
      </c>
      <c r="G294" s="209">
        <f t="shared" si="13"/>
        <v>363838.60399999999</v>
      </c>
      <c r="H294" s="209">
        <f t="shared" si="14"/>
        <v>18.794</v>
      </c>
    </row>
    <row r="295" spans="2:8" x14ac:dyDescent="0.2">
      <c r="B295" s="34">
        <v>51910.64</v>
      </c>
      <c r="C295" s="34">
        <v>159187.32500000001</v>
      </c>
      <c r="D295" s="34">
        <v>18.783000000000001</v>
      </c>
      <c r="F295" s="209">
        <f t="shared" si="12"/>
        <v>60060.639999999999</v>
      </c>
      <c r="G295" s="209">
        <f t="shared" si="13"/>
        <v>363837.32500000001</v>
      </c>
      <c r="H295" s="209">
        <f t="shared" si="14"/>
        <v>18.783000000000001</v>
      </c>
    </row>
    <row r="296" spans="2:8" x14ac:dyDescent="0.2">
      <c r="B296" s="34">
        <v>51913.75</v>
      </c>
      <c r="C296" s="34">
        <v>159187.92000000001</v>
      </c>
      <c r="D296" s="34">
        <v>18.808</v>
      </c>
      <c r="F296" s="209">
        <f t="shared" si="12"/>
        <v>60063.75</v>
      </c>
      <c r="G296" s="209">
        <f t="shared" si="13"/>
        <v>363837.92000000004</v>
      </c>
      <c r="H296" s="209">
        <f t="shared" si="14"/>
        <v>18.808</v>
      </c>
    </row>
    <row r="297" spans="2:8" x14ac:dyDescent="0.2">
      <c r="B297" s="152">
        <v>51913.421000000002</v>
      </c>
      <c r="C297" s="152">
        <v>159186.639</v>
      </c>
      <c r="D297" s="152">
        <v>18.794</v>
      </c>
      <c r="F297" s="209">
        <f t="shared" si="12"/>
        <v>60063.421000000002</v>
      </c>
      <c r="G297" s="209">
        <f t="shared" si="13"/>
        <v>363836.63899999997</v>
      </c>
      <c r="H297" s="209">
        <f t="shared" si="14"/>
        <v>18.794</v>
      </c>
    </row>
    <row r="298" spans="2:8" x14ac:dyDescent="0.2">
      <c r="B298" s="34">
        <v>51885.339</v>
      </c>
      <c r="C298" s="34">
        <v>159195.739</v>
      </c>
      <c r="D298" s="34">
        <v>18.783000000000001</v>
      </c>
      <c r="F298" s="209">
        <f t="shared" si="12"/>
        <v>60035.339</v>
      </c>
      <c r="G298" s="209">
        <f t="shared" si="13"/>
        <v>363845.739</v>
      </c>
      <c r="H298" s="209">
        <f t="shared" si="14"/>
        <v>18.783000000000001</v>
      </c>
    </row>
    <row r="299" spans="2:8" x14ac:dyDescent="0.2">
      <c r="B299" s="34">
        <v>51884.959000000003</v>
      </c>
      <c r="C299" s="34">
        <v>159194.47099999999</v>
      </c>
      <c r="D299" s="34">
        <v>18.779</v>
      </c>
      <c r="F299" s="209">
        <f t="shared" si="12"/>
        <v>60034.959000000003</v>
      </c>
      <c r="G299" s="209">
        <f t="shared" si="13"/>
        <v>363844.47100000002</v>
      </c>
      <c r="H299" s="209">
        <f t="shared" si="14"/>
        <v>18.779</v>
      </c>
    </row>
    <row r="300" spans="2:8" x14ac:dyDescent="0.2">
      <c r="B300" s="34">
        <v>51888.116999999998</v>
      </c>
      <c r="C300" s="34">
        <v>159194.94500000001</v>
      </c>
      <c r="D300" s="34">
        <v>18.779</v>
      </c>
      <c r="F300" s="209">
        <f t="shared" si="12"/>
        <v>60038.116999999998</v>
      </c>
      <c r="G300" s="209">
        <f t="shared" si="13"/>
        <v>363844.94500000001</v>
      </c>
      <c r="H300" s="209">
        <f t="shared" si="14"/>
        <v>18.779</v>
      </c>
    </row>
    <row r="301" spans="2:8" x14ac:dyDescent="0.2">
      <c r="B301" s="34">
        <v>51887.803999999996</v>
      </c>
      <c r="C301" s="34">
        <v>159193.658</v>
      </c>
      <c r="D301" s="34">
        <v>18.779</v>
      </c>
      <c r="F301" s="209">
        <f t="shared" si="12"/>
        <v>60037.803999999996</v>
      </c>
      <c r="G301" s="209">
        <f t="shared" si="13"/>
        <v>363843.658</v>
      </c>
      <c r="H301" s="209">
        <f t="shared" si="14"/>
        <v>18.779</v>
      </c>
    </row>
    <row r="302" spans="2:8" x14ac:dyDescent="0.2">
      <c r="B302" s="34">
        <v>51890.968000000001</v>
      </c>
      <c r="C302" s="34">
        <v>159194.11799999999</v>
      </c>
      <c r="D302" s="34">
        <v>18.779</v>
      </c>
      <c r="F302" s="209">
        <f t="shared" si="12"/>
        <v>60040.968000000001</v>
      </c>
      <c r="G302" s="209">
        <f t="shared" si="13"/>
        <v>363844.11800000002</v>
      </c>
      <c r="H302" s="209">
        <f t="shared" si="14"/>
        <v>18.779</v>
      </c>
    </row>
    <row r="303" spans="2:8" x14ac:dyDescent="0.2">
      <c r="B303" s="34">
        <v>51890.606</v>
      </c>
      <c r="C303" s="34">
        <v>159192.86199999999</v>
      </c>
      <c r="D303" s="34">
        <v>18.771999999999998</v>
      </c>
      <c r="F303" s="209">
        <f t="shared" si="12"/>
        <v>60040.606</v>
      </c>
      <c r="G303" s="209">
        <f t="shared" si="13"/>
        <v>363842.86199999996</v>
      </c>
      <c r="H303" s="209">
        <f t="shared" si="14"/>
        <v>18.771999999999998</v>
      </c>
    </row>
    <row r="304" spans="2:8" x14ac:dyDescent="0.2">
      <c r="B304" s="34">
        <v>51893.758000000002</v>
      </c>
      <c r="C304" s="34">
        <v>159193.315</v>
      </c>
      <c r="D304" s="34">
        <v>18.774000000000001</v>
      </c>
      <c r="F304" s="209">
        <f t="shared" si="12"/>
        <v>60043.758000000002</v>
      </c>
      <c r="G304" s="209">
        <f t="shared" si="13"/>
        <v>363843.315</v>
      </c>
      <c r="H304" s="209">
        <f t="shared" si="14"/>
        <v>18.774000000000001</v>
      </c>
    </row>
    <row r="305" spans="2:8" x14ac:dyDescent="0.2">
      <c r="B305" s="34">
        <v>51893.440999999999</v>
      </c>
      <c r="C305" s="34">
        <v>159192.041</v>
      </c>
      <c r="D305" s="34">
        <v>18.768999999999998</v>
      </c>
      <c r="F305" s="209">
        <f t="shared" si="12"/>
        <v>60043.440999999999</v>
      </c>
      <c r="G305" s="209">
        <f t="shared" si="13"/>
        <v>363842.04099999997</v>
      </c>
      <c r="H305" s="209">
        <f t="shared" si="14"/>
        <v>18.768999999999998</v>
      </c>
    </row>
    <row r="306" spans="2:8" x14ac:dyDescent="0.2">
      <c r="B306" s="34">
        <v>51896.633000000002</v>
      </c>
      <c r="C306" s="34">
        <v>159192.48499999999</v>
      </c>
      <c r="D306" s="34">
        <v>18.777999999999999</v>
      </c>
      <c r="F306" s="209">
        <f t="shared" si="12"/>
        <v>60046.633000000002</v>
      </c>
      <c r="G306" s="209">
        <f t="shared" si="13"/>
        <v>363842.48499999999</v>
      </c>
      <c r="H306" s="209">
        <f t="shared" si="14"/>
        <v>18.777999999999999</v>
      </c>
    </row>
    <row r="307" spans="2:8" x14ac:dyDescent="0.2">
      <c r="B307" s="34">
        <v>51896.249000000003</v>
      </c>
      <c r="C307" s="34">
        <v>159191.22700000001</v>
      </c>
      <c r="D307" s="34">
        <v>18.77</v>
      </c>
      <c r="F307" s="209">
        <f t="shared" si="12"/>
        <v>60046.249000000003</v>
      </c>
      <c r="G307" s="209">
        <f t="shared" si="13"/>
        <v>363841.22700000001</v>
      </c>
      <c r="H307" s="209">
        <f t="shared" si="14"/>
        <v>18.77</v>
      </c>
    </row>
    <row r="308" spans="2:8" x14ac:dyDescent="0.2">
      <c r="B308" s="34">
        <v>51899.398000000001</v>
      </c>
      <c r="C308" s="34">
        <v>159191.69899999999</v>
      </c>
      <c r="D308" s="34">
        <v>18.777999999999999</v>
      </c>
      <c r="F308" s="209">
        <f t="shared" si="12"/>
        <v>60049.398000000001</v>
      </c>
      <c r="G308" s="209">
        <f t="shared" si="13"/>
        <v>363841.69900000002</v>
      </c>
      <c r="H308" s="209">
        <f t="shared" si="14"/>
        <v>18.777999999999999</v>
      </c>
    </row>
    <row r="309" spans="2:8" x14ac:dyDescent="0.2">
      <c r="B309" s="34">
        <v>51899.040000000001</v>
      </c>
      <c r="C309" s="34">
        <v>159190.435</v>
      </c>
      <c r="D309" s="34">
        <v>18.771000000000001</v>
      </c>
      <c r="F309" s="209">
        <f t="shared" si="12"/>
        <v>60049.04</v>
      </c>
      <c r="G309" s="209">
        <f t="shared" si="13"/>
        <v>363840.435</v>
      </c>
      <c r="H309" s="209">
        <f t="shared" si="14"/>
        <v>18.771000000000001</v>
      </c>
    </row>
    <row r="310" spans="2:8" x14ac:dyDescent="0.2">
      <c r="B310" s="34">
        <v>51902.292000000001</v>
      </c>
      <c r="C310" s="34">
        <v>159190.886</v>
      </c>
      <c r="D310" s="34">
        <v>18.779</v>
      </c>
      <c r="F310" s="209">
        <f t="shared" si="12"/>
        <v>60052.292000000001</v>
      </c>
      <c r="G310" s="209">
        <f t="shared" si="13"/>
        <v>363840.886</v>
      </c>
      <c r="H310" s="209">
        <f t="shared" si="14"/>
        <v>18.779</v>
      </c>
    </row>
    <row r="311" spans="2:8" x14ac:dyDescent="0.2">
      <c r="B311" s="34">
        <v>51901.989000000001</v>
      </c>
      <c r="C311" s="34">
        <v>159189.60500000001</v>
      </c>
      <c r="D311" s="34">
        <v>18.77</v>
      </c>
      <c r="F311" s="209">
        <f t="shared" si="12"/>
        <v>60051.989000000001</v>
      </c>
      <c r="G311" s="209">
        <f t="shared" si="13"/>
        <v>363839.60499999998</v>
      </c>
      <c r="H311" s="209">
        <f t="shared" si="14"/>
        <v>18.77</v>
      </c>
    </row>
    <row r="312" spans="2:8" x14ac:dyDescent="0.2">
      <c r="B312" s="34">
        <v>51905.196000000004</v>
      </c>
      <c r="C312" s="34">
        <v>159190.09599999999</v>
      </c>
      <c r="D312" s="34">
        <v>18.780999999999999</v>
      </c>
      <c r="F312" s="209">
        <f t="shared" si="12"/>
        <v>60055.196000000004</v>
      </c>
      <c r="G312" s="209">
        <f t="shared" si="13"/>
        <v>363840.09600000002</v>
      </c>
      <c r="H312" s="209">
        <f t="shared" si="14"/>
        <v>18.780999999999999</v>
      </c>
    </row>
    <row r="313" spans="2:8" x14ac:dyDescent="0.2">
      <c r="B313" s="34">
        <v>51904.885000000002</v>
      </c>
      <c r="C313" s="34">
        <v>159188.807</v>
      </c>
      <c r="D313" s="34">
        <v>18.773</v>
      </c>
      <c r="F313" s="209">
        <f t="shared" si="12"/>
        <v>60054.885000000002</v>
      </c>
      <c r="G313" s="209">
        <f t="shared" si="13"/>
        <v>363838.80700000003</v>
      </c>
      <c r="H313" s="209">
        <f t="shared" si="14"/>
        <v>18.773</v>
      </c>
    </row>
    <row r="314" spans="2:8" x14ac:dyDescent="0.2">
      <c r="B314" s="34">
        <v>51907.951999999997</v>
      </c>
      <c r="C314" s="34">
        <v>159189.364</v>
      </c>
      <c r="D314" s="34">
        <v>18.786000000000001</v>
      </c>
      <c r="F314" s="209">
        <f t="shared" si="12"/>
        <v>60057.951999999997</v>
      </c>
      <c r="G314" s="209">
        <f t="shared" si="13"/>
        <v>363839.364</v>
      </c>
      <c r="H314" s="209">
        <f t="shared" si="14"/>
        <v>18.786000000000001</v>
      </c>
    </row>
    <row r="315" spans="2:8" x14ac:dyDescent="0.2">
      <c r="B315" s="34">
        <v>51907.578000000001</v>
      </c>
      <c r="C315" s="34">
        <v>159188.1</v>
      </c>
      <c r="D315" s="34">
        <v>18.776</v>
      </c>
      <c r="F315" s="209">
        <f t="shared" si="12"/>
        <v>60057.578000000001</v>
      </c>
      <c r="G315" s="209">
        <f t="shared" si="13"/>
        <v>363838.1</v>
      </c>
      <c r="H315" s="209">
        <f t="shared" si="14"/>
        <v>18.776</v>
      </c>
    </row>
    <row r="316" spans="2:8" x14ac:dyDescent="0.2">
      <c r="B316" s="34">
        <v>51910.962</v>
      </c>
      <c r="C316" s="34">
        <v>159188.603</v>
      </c>
      <c r="D316" s="34">
        <v>18.794</v>
      </c>
      <c r="F316" s="209">
        <f t="shared" si="12"/>
        <v>60060.962</v>
      </c>
      <c r="G316" s="209">
        <f t="shared" si="13"/>
        <v>363838.603</v>
      </c>
      <c r="H316" s="209">
        <f t="shared" si="14"/>
        <v>18.794</v>
      </c>
    </row>
    <row r="317" spans="2:8" x14ac:dyDescent="0.2">
      <c r="B317" s="34">
        <v>51910.64</v>
      </c>
      <c r="C317" s="34">
        <v>159187.32399999999</v>
      </c>
      <c r="D317" s="34">
        <v>18.783000000000001</v>
      </c>
      <c r="F317" s="209">
        <f t="shared" si="12"/>
        <v>60060.639999999999</v>
      </c>
      <c r="G317" s="209">
        <f t="shared" si="13"/>
        <v>363837.32400000002</v>
      </c>
      <c r="H317" s="209">
        <f t="shared" si="14"/>
        <v>18.783000000000001</v>
      </c>
    </row>
    <row r="318" spans="2:8" x14ac:dyDescent="0.2">
      <c r="B318" s="34">
        <v>51913.75</v>
      </c>
      <c r="C318" s="34">
        <v>159187.91899999999</v>
      </c>
      <c r="D318" s="34">
        <v>18.809000000000001</v>
      </c>
      <c r="F318" s="209">
        <f t="shared" si="12"/>
        <v>60063.75</v>
      </c>
      <c r="G318" s="209">
        <f t="shared" si="13"/>
        <v>363837.91899999999</v>
      </c>
      <c r="H318" s="209">
        <f t="shared" si="14"/>
        <v>18.809000000000001</v>
      </c>
    </row>
    <row r="319" spans="2:8" x14ac:dyDescent="0.2">
      <c r="B319" s="34">
        <v>51913.421000000002</v>
      </c>
      <c r="C319" s="34">
        <v>159186.63800000001</v>
      </c>
      <c r="D319" s="34">
        <v>18.794</v>
      </c>
      <c r="F319" s="209">
        <f t="shared" si="12"/>
        <v>60063.421000000002</v>
      </c>
      <c r="G319" s="209">
        <f t="shared" si="13"/>
        <v>363836.63800000004</v>
      </c>
      <c r="H319" s="209">
        <f t="shared" si="14"/>
        <v>18.794</v>
      </c>
    </row>
    <row r="320" spans="2:8" x14ac:dyDescent="0.2">
      <c r="B320" s="34">
        <v>51884.538999999997</v>
      </c>
      <c r="C320" s="34">
        <v>159193.383</v>
      </c>
      <c r="D320" s="34">
        <v>19.332000000000001</v>
      </c>
      <c r="F320" s="209">
        <f t="shared" si="12"/>
        <v>60034.538999999997</v>
      </c>
      <c r="G320" s="209">
        <f t="shared" si="13"/>
        <v>363843.38300000003</v>
      </c>
      <c r="H320" s="209">
        <f t="shared" si="14"/>
        <v>19.332000000000001</v>
      </c>
    </row>
    <row r="321" spans="2:8" x14ac:dyDescent="0.2">
      <c r="B321" s="34">
        <v>51890.286</v>
      </c>
      <c r="C321" s="34">
        <v>159191.731</v>
      </c>
      <c r="D321" s="34">
        <v>19.321999999999999</v>
      </c>
      <c r="F321" s="209">
        <f t="shared" si="12"/>
        <v>60040.286</v>
      </c>
      <c r="G321" s="209">
        <f t="shared" si="13"/>
        <v>363841.73100000003</v>
      </c>
      <c r="H321" s="209">
        <f t="shared" si="14"/>
        <v>19.321999999999999</v>
      </c>
    </row>
    <row r="322" spans="2:8" x14ac:dyDescent="0.2">
      <c r="B322" s="34">
        <v>51895.921000000002</v>
      </c>
      <c r="C322" s="34">
        <v>159190.101</v>
      </c>
      <c r="D322" s="34">
        <v>19.334</v>
      </c>
      <c r="F322" s="209">
        <f t="shared" si="12"/>
        <v>60045.921000000002</v>
      </c>
      <c r="G322" s="209">
        <f t="shared" si="13"/>
        <v>363840.10100000002</v>
      </c>
      <c r="H322" s="209">
        <f t="shared" si="14"/>
        <v>19.334</v>
      </c>
    </row>
    <row r="323" spans="2:8" x14ac:dyDescent="0.2">
      <c r="B323" s="34">
        <v>51899.767</v>
      </c>
      <c r="C323" s="34">
        <v>159188.99400000001</v>
      </c>
      <c r="D323" s="34">
        <v>19.344999999999999</v>
      </c>
      <c r="F323" s="209">
        <f t="shared" si="12"/>
        <v>60049.767</v>
      </c>
      <c r="G323" s="209">
        <f t="shared" si="13"/>
        <v>363838.99400000001</v>
      </c>
      <c r="H323" s="209">
        <f t="shared" si="14"/>
        <v>19.344999999999999</v>
      </c>
    </row>
    <row r="324" spans="2:8" x14ac:dyDescent="0.2">
      <c r="B324" s="34">
        <v>51903.608999999997</v>
      </c>
      <c r="C324" s="34">
        <v>159187.883</v>
      </c>
      <c r="D324" s="34">
        <v>19.356999999999999</v>
      </c>
      <c r="F324" s="209">
        <f t="shared" ref="F324:F387" si="15">B324+$B$1</f>
        <v>60053.608999999997</v>
      </c>
      <c r="G324" s="209">
        <f t="shared" ref="G324:G387" si="16">C324+$C$1</f>
        <v>363837.88300000003</v>
      </c>
      <c r="H324" s="209">
        <f t="shared" ref="H324:H387" si="17">D324+$D$1</f>
        <v>19.356999999999999</v>
      </c>
    </row>
    <row r="325" spans="2:8" x14ac:dyDescent="0.2">
      <c r="B325" s="152">
        <v>51910.065000000002</v>
      </c>
      <c r="C325" s="152">
        <v>159186.024</v>
      </c>
      <c r="D325" s="152">
        <v>19.356999999999999</v>
      </c>
      <c r="F325" s="209">
        <f t="shared" si="15"/>
        <v>60060.065000000002</v>
      </c>
      <c r="G325" s="209">
        <f t="shared" si="16"/>
        <v>363836.02399999998</v>
      </c>
      <c r="H325" s="209">
        <f t="shared" si="17"/>
        <v>19.356999999999999</v>
      </c>
    </row>
    <row r="326" spans="2:8" x14ac:dyDescent="0.2">
      <c r="B326" s="34">
        <v>51885.339</v>
      </c>
      <c r="C326" s="34">
        <v>159195.739</v>
      </c>
      <c r="D326" s="34">
        <v>18.783000000000001</v>
      </c>
      <c r="F326" s="209">
        <f t="shared" si="15"/>
        <v>60035.339</v>
      </c>
      <c r="G326" s="209">
        <f t="shared" si="16"/>
        <v>363845.739</v>
      </c>
      <c r="H326" s="209">
        <f t="shared" si="17"/>
        <v>18.783000000000001</v>
      </c>
    </row>
    <row r="327" spans="2:8" x14ac:dyDescent="0.2">
      <c r="B327" s="34">
        <v>51884.959000000003</v>
      </c>
      <c r="C327" s="34">
        <v>159194.47099999999</v>
      </c>
      <c r="D327" s="34">
        <v>18.777999999999999</v>
      </c>
      <c r="F327" s="209">
        <f t="shared" si="15"/>
        <v>60034.959000000003</v>
      </c>
      <c r="G327" s="209">
        <f t="shared" si="16"/>
        <v>363844.47100000002</v>
      </c>
      <c r="H327" s="209">
        <f t="shared" si="17"/>
        <v>18.777999999999999</v>
      </c>
    </row>
    <row r="328" spans="2:8" x14ac:dyDescent="0.2">
      <c r="B328" s="34">
        <v>51888.116999999998</v>
      </c>
      <c r="C328" s="34">
        <v>159194.946</v>
      </c>
      <c r="D328" s="34">
        <v>18.779</v>
      </c>
      <c r="F328" s="209">
        <f t="shared" si="15"/>
        <v>60038.116999999998</v>
      </c>
      <c r="G328" s="209">
        <f t="shared" si="16"/>
        <v>363844.946</v>
      </c>
      <c r="H328" s="209">
        <f t="shared" si="17"/>
        <v>18.779</v>
      </c>
    </row>
    <row r="329" spans="2:8" x14ac:dyDescent="0.2">
      <c r="B329" s="34">
        <v>51887.803999999996</v>
      </c>
      <c r="C329" s="34">
        <v>159193.658</v>
      </c>
      <c r="D329" s="34">
        <v>18.779</v>
      </c>
      <c r="F329" s="209">
        <f t="shared" si="15"/>
        <v>60037.803999999996</v>
      </c>
      <c r="G329" s="209">
        <f t="shared" si="16"/>
        <v>363843.658</v>
      </c>
      <c r="H329" s="209">
        <f t="shared" si="17"/>
        <v>18.779</v>
      </c>
    </row>
    <row r="330" spans="2:8" x14ac:dyDescent="0.2">
      <c r="B330" s="34">
        <v>51890.968000000001</v>
      </c>
      <c r="C330" s="34">
        <v>159194.11799999999</v>
      </c>
      <c r="D330" s="34">
        <v>18.779</v>
      </c>
      <c r="F330" s="209">
        <f t="shared" si="15"/>
        <v>60040.968000000001</v>
      </c>
      <c r="G330" s="209">
        <f t="shared" si="16"/>
        <v>363844.11800000002</v>
      </c>
      <c r="H330" s="209">
        <f t="shared" si="17"/>
        <v>18.779</v>
      </c>
    </row>
    <row r="331" spans="2:8" x14ac:dyDescent="0.2">
      <c r="B331" s="34">
        <v>51890.606</v>
      </c>
      <c r="C331" s="34">
        <v>159192.86199999999</v>
      </c>
      <c r="D331" s="34">
        <v>18.771999999999998</v>
      </c>
      <c r="F331" s="209">
        <f t="shared" si="15"/>
        <v>60040.606</v>
      </c>
      <c r="G331" s="209">
        <f t="shared" si="16"/>
        <v>363842.86199999996</v>
      </c>
      <c r="H331" s="209">
        <f t="shared" si="17"/>
        <v>18.771999999999998</v>
      </c>
    </row>
    <row r="332" spans="2:8" x14ac:dyDescent="0.2">
      <c r="B332" s="34">
        <v>51893.758000000002</v>
      </c>
      <c r="C332" s="34">
        <v>159193.31599999999</v>
      </c>
      <c r="D332" s="34">
        <v>18.774000000000001</v>
      </c>
      <c r="F332" s="209">
        <f t="shared" si="15"/>
        <v>60043.758000000002</v>
      </c>
      <c r="G332" s="209">
        <f t="shared" si="16"/>
        <v>363843.31599999999</v>
      </c>
      <c r="H332" s="209">
        <f t="shared" si="17"/>
        <v>18.774000000000001</v>
      </c>
    </row>
    <row r="333" spans="2:8" x14ac:dyDescent="0.2">
      <c r="B333" s="34">
        <v>51893.440999999999</v>
      </c>
      <c r="C333" s="34">
        <v>159192.04199999999</v>
      </c>
      <c r="D333" s="34">
        <v>18.768999999999998</v>
      </c>
      <c r="F333" s="209">
        <f t="shared" si="15"/>
        <v>60043.440999999999</v>
      </c>
      <c r="G333" s="209">
        <f t="shared" si="16"/>
        <v>363842.04200000002</v>
      </c>
      <c r="H333" s="209">
        <f t="shared" si="17"/>
        <v>18.768999999999998</v>
      </c>
    </row>
    <row r="334" spans="2:8" x14ac:dyDescent="0.2">
      <c r="B334" s="34">
        <v>51896.633000000002</v>
      </c>
      <c r="C334" s="34">
        <v>159192.486</v>
      </c>
      <c r="D334" s="34">
        <v>18.777999999999999</v>
      </c>
      <c r="F334" s="209">
        <f t="shared" si="15"/>
        <v>60046.633000000002</v>
      </c>
      <c r="G334" s="209">
        <f t="shared" si="16"/>
        <v>363842.48600000003</v>
      </c>
      <c r="H334" s="209">
        <f t="shared" si="17"/>
        <v>18.777999999999999</v>
      </c>
    </row>
    <row r="335" spans="2:8" x14ac:dyDescent="0.2">
      <c r="B335" s="34">
        <v>51896.249000000003</v>
      </c>
      <c r="C335" s="34">
        <v>159191.22700000001</v>
      </c>
      <c r="D335" s="34">
        <v>18.77</v>
      </c>
      <c r="F335" s="209">
        <f t="shared" si="15"/>
        <v>60046.249000000003</v>
      </c>
      <c r="G335" s="209">
        <f t="shared" si="16"/>
        <v>363841.22700000001</v>
      </c>
      <c r="H335" s="209">
        <f t="shared" si="17"/>
        <v>18.77</v>
      </c>
    </row>
    <row r="336" spans="2:8" x14ac:dyDescent="0.2">
      <c r="B336" s="34">
        <v>51899.398000000001</v>
      </c>
      <c r="C336" s="34">
        <v>159191.69899999999</v>
      </c>
      <c r="D336" s="34">
        <v>18.777999999999999</v>
      </c>
      <c r="F336" s="209">
        <f t="shared" si="15"/>
        <v>60049.398000000001</v>
      </c>
      <c r="G336" s="209">
        <f t="shared" si="16"/>
        <v>363841.69900000002</v>
      </c>
      <c r="H336" s="209">
        <f t="shared" si="17"/>
        <v>18.777999999999999</v>
      </c>
    </row>
    <row r="337" spans="2:8" x14ac:dyDescent="0.2">
      <c r="B337" s="34">
        <v>51899.040000000001</v>
      </c>
      <c r="C337" s="34">
        <v>159190.43599999999</v>
      </c>
      <c r="D337" s="34">
        <v>18.771000000000001</v>
      </c>
      <c r="F337" s="209">
        <f t="shared" si="15"/>
        <v>60049.04</v>
      </c>
      <c r="G337" s="209">
        <f t="shared" si="16"/>
        <v>363840.43599999999</v>
      </c>
      <c r="H337" s="209">
        <f t="shared" si="17"/>
        <v>18.771000000000001</v>
      </c>
    </row>
    <row r="338" spans="2:8" x14ac:dyDescent="0.2">
      <c r="B338" s="34">
        <v>51902.292000000001</v>
      </c>
      <c r="C338" s="34">
        <v>159190.88699999999</v>
      </c>
      <c r="D338" s="34">
        <v>18.779</v>
      </c>
      <c r="F338" s="209">
        <f t="shared" si="15"/>
        <v>60052.292000000001</v>
      </c>
      <c r="G338" s="209">
        <f t="shared" si="16"/>
        <v>363840.88699999999</v>
      </c>
      <c r="H338" s="209">
        <f t="shared" si="17"/>
        <v>18.779</v>
      </c>
    </row>
    <row r="339" spans="2:8" x14ac:dyDescent="0.2">
      <c r="B339" s="34">
        <v>51901.989000000001</v>
      </c>
      <c r="C339" s="34">
        <v>159189.606</v>
      </c>
      <c r="D339" s="34">
        <v>18.77</v>
      </c>
      <c r="F339" s="209">
        <f t="shared" si="15"/>
        <v>60051.989000000001</v>
      </c>
      <c r="G339" s="209">
        <f t="shared" si="16"/>
        <v>363839.60600000003</v>
      </c>
      <c r="H339" s="209">
        <f t="shared" si="17"/>
        <v>18.77</v>
      </c>
    </row>
    <row r="340" spans="2:8" x14ac:dyDescent="0.2">
      <c r="B340" s="34">
        <v>51905.196000000004</v>
      </c>
      <c r="C340" s="34">
        <v>159190.09700000001</v>
      </c>
      <c r="D340" s="34">
        <v>18.780999999999999</v>
      </c>
      <c r="F340" s="209">
        <f t="shared" si="15"/>
        <v>60055.196000000004</v>
      </c>
      <c r="G340" s="209">
        <f t="shared" si="16"/>
        <v>363840.09700000001</v>
      </c>
      <c r="H340" s="209">
        <f t="shared" si="17"/>
        <v>18.780999999999999</v>
      </c>
    </row>
    <row r="341" spans="2:8" x14ac:dyDescent="0.2">
      <c r="B341" s="34">
        <v>51904.885000000002</v>
      </c>
      <c r="C341" s="34">
        <v>159188.807</v>
      </c>
      <c r="D341" s="34">
        <v>18.773</v>
      </c>
      <c r="F341" s="209">
        <f t="shared" si="15"/>
        <v>60054.885000000002</v>
      </c>
      <c r="G341" s="209">
        <f t="shared" si="16"/>
        <v>363838.80700000003</v>
      </c>
      <c r="H341" s="209">
        <f t="shared" si="17"/>
        <v>18.773</v>
      </c>
    </row>
    <row r="342" spans="2:8" x14ac:dyDescent="0.2">
      <c r="B342" s="34">
        <v>51907.951999999997</v>
      </c>
      <c r="C342" s="34">
        <v>159189.36499999999</v>
      </c>
      <c r="D342" s="34">
        <v>18.786000000000001</v>
      </c>
      <c r="F342" s="209">
        <f t="shared" si="15"/>
        <v>60057.951999999997</v>
      </c>
      <c r="G342" s="209">
        <f t="shared" si="16"/>
        <v>363839.36499999999</v>
      </c>
      <c r="H342" s="209">
        <f t="shared" si="17"/>
        <v>18.786000000000001</v>
      </c>
    </row>
    <row r="343" spans="2:8" x14ac:dyDescent="0.2">
      <c r="B343" s="34">
        <v>51907.578000000001</v>
      </c>
      <c r="C343" s="34">
        <v>159188.101</v>
      </c>
      <c r="D343" s="34">
        <v>18.776</v>
      </c>
      <c r="F343" s="209">
        <f t="shared" si="15"/>
        <v>60057.578000000001</v>
      </c>
      <c r="G343" s="209">
        <f t="shared" si="16"/>
        <v>363838.10100000002</v>
      </c>
      <c r="H343" s="209">
        <f t="shared" si="17"/>
        <v>18.776</v>
      </c>
    </row>
    <row r="344" spans="2:8" x14ac:dyDescent="0.2">
      <c r="B344" s="34">
        <v>51910.962</v>
      </c>
      <c r="C344" s="34">
        <v>159188.60399999999</v>
      </c>
      <c r="D344" s="34">
        <v>18.794</v>
      </c>
      <c r="F344" s="209">
        <f t="shared" si="15"/>
        <v>60060.962</v>
      </c>
      <c r="G344" s="209">
        <f t="shared" si="16"/>
        <v>363838.60399999999</v>
      </c>
      <c r="H344" s="209">
        <f t="shared" si="17"/>
        <v>18.794</v>
      </c>
    </row>
    <row r="345" spans="2:8" x14ac:dyDescent="0.2">
      <c r="B345" s="34">
        <v>51910.64</v>
      </c>
      <c r="C345" s="34">
        <v>159187.32500000001</v>
      </c>
      <c r="D345" s="34">
        <v>18.783000000000001</v>
      </c>
      <c r="F345" s="209">
        <f t="shared" si="15"/>
        <v>60060.639999999999</v>
      </c>
      <c r="G345" s="209">
        <f t="shared" si="16"/>
        <v>363837.32500000001</v>
      </c>
      <c r="H345" s="209">
        <f t="shared" si="17"/>
        <v>18.783000000000001</v>
      </c>
    </row>
    <row r="346" spans="2:8" x14ac:dyDescent="0.2">
      <c r="B346" s="34">
        <v>51913.75</v>
      </c>
      <c r="C346" s="34">
        <v>159187.92000000001</v>
      </c>
      <c r="D346" s="34">
        <v>18.808</v>
      </c>
      <c r="F346" s="209">
        <f t="shared" si="15"/>
        <v>60063.75</v>
      </c>
      <c r="G346" s="209">
        <f t="shared" si="16"/>
        <v>363837.92000000004</v>
      </c>
      <c r="H346" s="209">
        <f t="shared" si="17"/>
        <v>18.808</v>
      </c>
    </row>
    <row r="347" spans="2:8" x14ac:dyDescent="0.2">
      <c r="B347" s="34">
        <v>51913.421000000002</v>
      </c>
      <c r="C347" s="34">
        <v>159186.639</v>
      </c>
      <c r="D347" s="34">
        <v>18.794</v>
      </c>
      <c r="F347" s="209">
        <f t="shared" si="15"/>
        <v>60063.421000000002</v>
      </c>
      <c r="G347" s="209">
        <f t="shared" si="16"/>
        <v>363836.63899999997</v>
      </c>
      <c r="H347" s="209">
        <f t="shared" si="17"/>
        <v>18.794</v>
      </c>
    </row>
    <row r="348" spans="2:8" x14ac:dyDescent="0.2">
      <c r="B348" s="34">
        <v>51884.538999999997</v>
      </c>
      <c r="C348" s="34">
        <v>159193.383</v>
      </c>
      <c r="D348" s="34">
        <v>19.332000000000001</v>
      </c>
      <c r="F348" s="209">
        <f t="shared" si="15"/>
        <v>60034.538999999997</v>
      </c>
      <c r="G348" s="209">
        <f t="shared" si="16"/>
        <v>363843.38300000003</v>
      </c>
      <c r="H348" s="209">
        <f t="shared" si="17"/>
        <v>19.332000000000001</v>
      </c>
    </row>
    <row r="349" spans="2:8" x14ac:dyDescent="0.2">
      <c r="B349" s="34">
        <v>51890.286</v>
      </c>
      <c r="C349" s="34">
        <v>159191.731</v>
      </c>
      <c r="D349" s="34">
        <v>19.321999999999999</v>
      </c>
      <c r="F349" s="209">
        <f t="shared" si="15"/>
        <v>60040.286</v>
      </c>
      <c r="G349" s="209">
        <f t="shared" si="16"/>
        <v>363841.73100000003</v>
      </c>
      <c r="H349" s="209">
        <f t="shared" si="17"/>
        <v>19.321999999999999</v>
      </c>
    </row>
    <row r="350" spans="2:8" x14ac:dyDescent="0.2">
      <c r="B350" s="34">
        <v>51895.921000000002</v>
      </c>
      <c r="C350" s="34">
        <v>159190.101</v>
      </c>
      <c r="D350" s="34">
        <v>19.334</v>
      </c>
      <c r="F350" s="209">
        <f t="shared" si="15"/>
        <v>60045.921000000002</v>
      </c>
      <c r="G350" s="209">
        <f t="shared" si="16"/>
        <v>363840.10100000002</v>
      </c>
      <c r="H350" s="209">
        <f t="shared" si="17"/>
        <v>19.334</v>
      </c>
    </row>
    <row r="351" spans="2:8" x14ac:dyDescent="0.2">
      <c r="B351" s="34">
        <v>51899.767</v>
      </c>
      <c r="C351" s="34">
        <v>159188.995</v>
      </c>
      <c r="D351" s="34">
        <v>19.344999999999999</v>
      </c>
      <c r="F351" s="209">
        <f t="shared" si="15"/>
        <v>60049.767</v>
      </c>
      <c r="G351" s="209">
        <f t="shared" si="16"/>
        <v>363838.995</v>
      </c>
      <c r="H351" s="209">
        <f t="shared" si="17"/>
        <v>19.344999999999999</v>
      </c>
    </row>
    <row r="352" spans="2:8" x14ac:dyDescent="0.2">
      <c r="B352" s="34">
        <v>51903.608999999997</v>
      </c>
      <c r="C352" s="34">
        <v>159187.883</v>
      </c>
      <c r="D352" s="34">
        <v>19.356999999999999</v>
      </c>
      <c r="F352" s="209">
        <f t="shared" si="15"/>
        <v>60053.608999999997</v>
      </c>
      <c r="G352" s="209">
        <f t="shared" si="16"/>
        <v>363837.88300000003</v>
      </c>
      <c r="H352" s="209">
        <f t="shared" si="17"/>
        <v>19.356999999999999</v>
      </c>
    </row>
    <row r="353" spans="2:8" x14ac:dyDescent="0.2">
      <c r="B353" s="152">
        <v>51910.065000000002</v>
      </c>
      <c r="C353" s="152">
        <v>159186.02499999999</v>
      </c>
      <c r="D353" s="152">
        <v>19.356999999999999</v>
      </c>
      <c r="F353" s="209">
        <f t="shared" si="15"/>
        <v>60060.065000000002</v>
      </c>
      <c r="G353" s="209">
        <f t="shared" si="16"/>
        <v>363836.02500000002</v>
      </c>
      <c r="H353" s="209">
        <f t="shared" si="17"/>
        <v>19.356999999999999</v>
      </c>
    </row>
    <row r="354" spans="2:8" x14ac:dyDescent="0.2">
      <c r="B354" s="34">
        <v>51885.339</v>
      </c>
      <c r="C354" s="34">
        <v>159195.739</v>
      </c>
      <c r="D354" s="34">
        <v>18.782</v>
      </c>
      <c r="F354" s="209">
        <f t="shared" si="15"/>
        <v>60035.339</v>
      </c>
      <c r="G354" s="209">
        <f t="shared" si="16"/>
        <v>363845.739</v>
      </c>
      <c r="H354" s="209">
        <f t="shared" si="17"/>
        <v>18.782</v>
      </c>
    </row>
    <row r="355" spans="2:8" x14ac:dyDescent="0.2">
      <c r="B355" s="34">
        <v>51884.957999999999</v>
      </c>
      <c r="C355" s="34">
        <v>159194.47099999999</v>
      </c>
      <c r="D355" s="34">
        <v>18.777999999999999</v>
      </c>
      <c r="F355" s="209">
        <f t="shared" si="15"/>
        <v>60034.957999999999</v>
      </c>
      <c r="G355" s="209">
        <f t="shared" si="16"/>
        <v>363844.47100000002</v>
      </c>
      <c r="H355" s="209">
        <f t="shared" si="17"/>
        <v>18.777999999999999</v>
      </c>
    </row>
    <row r="356" spans="2:8" x14ac:dyDescent="0.2">
      <c r="B356" s="34">
        <v>51888.116999999998</v>
      </c>
      <c r="C356" s="34">
        <v>159194.94500000001</v>
      </c>
      <c r="D356" s="34">
        <v>18.779</v>
      </c>
      <c r="F356" s="209">
        <f t="shared" si="15"/>
        <v>60038.116999999998</v>
      </c>
      <c r="G356" s="209">
        <f t="shared" si="16"/>
        <v>363844.94500000001</v>
      </c>
      <c r="H356" s="209">
        <f t="shared" si="17"/>
        <v>18.779</v>
      </c>
    </row>
    <row r="357" spans="2:8" x14ac:dyDescent="0.2">
      <c r="B357" s="34">
        <v>51887.803999999996</v>
      </c>
      <c r="C357" s="34">
        <v>159193.658</v>
      </c>
      <c r="D357" s="34">
        <v>18.779</v>
      </c>
      <c r="F357" s="209">
        <f t="shared" si="15"/>
        <v>60037.803999999996</v>
      </c>
      <c r="G357" s="209">
        <f t="shared" si="16"/>
        <v>363843.658</v>
      </c>
      <c r="H357" s="209">
        <f t="shared" si="17"/>
        <v>18.779</v>
      </c>
    </row>
    <row r="358" spans="2:8" x14ac:dyDescent="0.2">
      <c r="B358" s="34">
        <v>51890.968000000001</v>
      </c>
      <c r="C358" s="34">
        <v>159194.11799999999</v>
      </c>
      <c r="D358" s="34">
        <v>18.779</v>
      </c>
      <c r="F358" s="209">
        <f t="shared" si="15"/>
        <v>60040.968000000001</v>
      </c>
      <c r="G358" s="209">
        <f t="shared" si="16"/>
        <v>363844.11800000002</v>
      </c>
      <c r="H358" s="209">
        <f t="shared" si="17"/>
        <v>18.779</v>
      </c>
    </row>
    <row r="359" spans="2:8" x14ac:dyDescent="0.2">
      <c r="B359" s="34">
        <v>51890.606</v>
      </c>
      <c r="C359" s="34">
        <v>159192.86199999999</v>
      </c>
      <c r="D359" s="34">
        <v>18.771999999999998</v>
      </c>
      <c r="F359" s="209">
        <f t="shared" si="15"/>
        <v>60040.606</v>
      </c>
      <c r="G359" s="209">
        <f t="shared" si="16"/>
        <v>363842.86199999996</v>
      </c>
      <c r="H359" s="209">
        <f t="shared" si="17"/>
        <v>18.771999999999998</v>
      </c>
    </row>
    <row r="360" spans="2:8" x14ac:dyDescent="0.2">
      <c r="B360" s="34">
        <v>51893.758000000002</v>
      </c>
      <c r="C360" s="34">
        <v>159193.315</v>
      </c>
      <c r="D360" s="34">
        <v>18.774000000000001</v>
      </c>
      <c r="F360" s="209">
        <f t="shared" si="15"/>
        <v>60043.758000000002</v>
      </c>
      <c r="G360" s="209">
        <f t="shared" si="16"/>
        <v>363843.315</v>
      </c>
      <c r="H360" s="209">
        <f t="shared" si="17"/>
        <v>18.774000000000001</v>
      </c>
    </row>
    <row r="361" spans="2:8" x14ac:dyDescent="0.2">
      <c r="B361" s="34">
        <v>51893.440000000002</v>
      </c>
      <c r="C361" s="34">
        <v>159192.04199999999</v>
      </c>
      <c r="D361" s="34">
        <v>18.768999999999998</v>
      </c>
      <c r="F361" s="209">
        <f t="shared" si="15"/>
        <v>60043.44</v>
      </c>
      <c r="G361" s="209">
        <f t="shared" si="16"/>
        <v>363842.04200000002</v>
      </c>
      <c r="H361" s="209">
        <f t="shared" si="17"/>
        <v>18.768999999999998</v>
      </c>
    </row>
    <row r="362" spans="2:8" x14ac:dyDescent="0.2">
      <c r="B362" s="34">
        <v>51896.631999999998</v>
      </c>
      <c r="C362" s="34">
        <v>159192.486</v>
      </c>
      <c r="D362" s="34">
        <v>18.777000000000001</v>
      </c>
      <c r="F362" s="209">
        <f t="shared" si="15"/>
        <v>60046.631999999998</v>
      </c>
      <c r="G362" s="209">
        <f t="shared" si="16"/>
        <v>363842.48600000003</v>
      </c>
      <c r="H362" s="209">
        <f t="shared" si="17"/>
        <v>18.777000000000001</v>
      </c>
    </row>
    <row r="363" spans="2:8" x14ac:dyDescent="0.2">
      <c r="B363" s="34">
        <v>51896.249000000003</v>
      </c>
      <c r="C363" s="34">
        <v>159191.22700000001</v>
      </c>
      <c r="D363" s="34">
        <v>18.77</v>
      </c>
      <c r="F363" s="209">
        <f t="shared" si="15"/>
        <v>60046.249000000003</v>
      </c>
      <c r="G363" s="209">
        <f t="shared" si="16"/>
        <v>363841.22700000001</v>
      </c>
      <c r="H363" s="209">
        <f t="shared" si="17"/>
        <v>18.77</v>
      </c>
    </row>
    <row r="364" spans="2:8" x14ac:dyDescent="0.2">
      <c r="B364" s="34">
        <v>51899.398000000001</v>
      </c>
      <c r="C364" s="34">
        <v>159191.69899999999</v>
      </c>
      <c r="D364" s="34">
        <v>18.777999999999999</v>
      </c>
      <c r="F364" s="209">
        <f t="shared" si="15"/>
        <v>60049.398000000001</v>
      </c>
      <c r="G364" s="209">
        <f t="shared" si="16"/>
        <v>363841.69900000002</v>
      </c>
      <c r="H364" s="209">
        <f t="shared" si="17"/>
        <v>18.777999999999999</v>
      </c>
    </row>
    <row r="365" spans="2:8" x14ac:dyDescent="0.2">
      <c r="B365" s="34">
        <v>51899.040000000001</v>
      </c>
      <c r="C365" s="34">
        <v>159190.435</v>
      </c>
      <c r="D365" s="34">
        <v>18.771000000000001</v>
      </c>
      <c r="F365" s="209">
        <f t="shared" si="15"/>
        <v>60049.04</v>
      </c>
      <c r="G365" s="209">
        <f t="shared" si="16"/>
        <v>363840.435</v>
      </c>
      <c r="H365" s="209">
        <f t="shared" si="17"/>
        <v>18.771000000000001</v>
      </c>
    </row>
    <row r="366" spans="2:8" x14ac:dyDescent="0.2">
      <c r="B366" s="34">
        <v>51902.292000000001</v>
      </c>
      <c r="C366" s="34">
        <v>159190.88699999999</v>
      </c>
      <c r="D366" s="34">
        <v>18.779</v>
      </c>
      <c r="F366" s="209">
        <f t="shared" si="15"/>
        <v>60052.292000000001</v>
      </c>
      <c r="G366" s="209">
        <f t="shared" si="16"/>
        <v>363840.88699999999</v>
      </c>
      <c r="H366" s="209">
        <f t="shared" si="17"/>
        <v>18.779</v>
      </c>
    </row>
    <row r="367" spans="2:8" x14ac:dyDescent="0.2">
      <c r="B367" s="34">
        <v>51901.987999999998</v>
      </c>
      <c r="C367" s="34">
        <v>159189.606</v>
      </c>
      <c r="D367" s="34">
        <v>18.77</v>
      </c>
      <c r="F367" s="209">
        <f t="shared" si="15"/>
        <v>60051.987999999998</v>
      </c>
      <c r="G367" s="209">
        <f t="shared" si="16"/>
        <v>363839.60600000003</v>
      </c>
      <c r="H367" s="209">
        <f t="shared" si="17"/>
        <v>18.77</v>
      </c>
    </row>
    <row r="368" spans="2:8" x14ac:dyDescent="0.2">
      <c r="B368" s="34">
        <v>51905.196000000004</v>
      </c>
      <c r="C368" s="34">
        <v>159190.09700000001</v>
      </c>
      <c r="D368" s="34">
        <v>18.78</v>
      </c>
      <c r="F368" s="209">
        <f t="shared" si="15"/>
        <v>60055.196000000004</v>
      </c>
      <c r="G368" s="209">
        <f t="shared" si="16"/>
        <v>363840.09700000001</v>
      </c>
      <c r="H368" s="209">
        <f t="shared" si="17"/>
        <v>18.78</v>
      </c>
    </row>
    <row r="369" spans="2:8" x14ac:dyDescent="0.2">
      <c r="B369" s="34">
        <v>51904.883999999998</v>
      </c>
      <c r="C369" s="34">
        <v>159188.807</v>
      </c>
      <c r="D369" s="34">
        <v>18.773</v>
      </c>
      <c r="F369" s="209">
        <f t="shared" si="15"/>
        <v>60054.883999999998</v>
      </c>
      <c r="G369" s="209">
        <f t="shared" si="16"/>
        <v>363838.80700000003</v>
      </c>
      <c r="H369" s="209">
        <f t="shared" si="17"/>
        <v>18.773</v>
      </c>
    </row>
    <row r="370" spans="2:8" x14ac:dyDescent="0.2">
      <c r="B370" s="34">
        <v>51907.951999999997</v>
      </c>
      <c r="C370" s="34">
        <v>159189.36499999999</v>
      </c>
      <c r="D370" s="34">
        <v>18.786000000000001</v>
      </c>
      <c r="F370" s="209">
        <f t="shared" si="15"/>
        <v>60057.951999999997</v>
      </c>
      <c r="G370" s="209">
        <f t="shared" si="16"/>
        <v>363839.36499999999</v>
      </c>
      <c r="H370" s="209">
        <f t="shared" si="17"/>
        <v>18.786000000000001</v>
      </c>
    </row>
    <row r="371" spans="2:8" x14ac:dyDescent="0.2">
      <c r="B371" s="34">
        <v>51907.578000000001</v>
      </c>
      <c r="C371" s="34">
        <v>159188.101</v>
      </c>
      <c r="D371" s="34">
        <v>18.776</v>
      </c>
      <c r="F371" s="209">
        <f t="shared" si="15"/>
        <v>60057.578000000001</v>
      </c>
      <c r="G371" s="209">
        <f t="shared" si="16"/>
        <v>363838.10100000002</v>
      </c>
      <c r="H371" s="209">
        <f t="shared" si="17"/>
        <v>18.776</v>
      </c>
    </row>
    <row r="372" spans="2:8" x14ac:dyDescent="0.2">
      <c r="B372" s="34">
        <v>51910.962</v>
      </c>
      <c r="C372" s="34">
        <v>159188.603</v>
      </c>
      <c r="D372" s="34">
        <v>18.794</v>
      </c>
      <c r="F372" s="209">
        <f t="shared" si="15"/>
        <v>60060.962</v>
      </c>
      <c r="G372" s="209">
        <f t="shared" si="16"/>
        <v>363838.603</v>
      </c>
      <c r="H372" s="209">
        <f t="shared" si="17"/>
        <v>18.794</v>
      </c>
    </row>
    <row r="373" spans="2:8" x14ac:dyDescent="0.2">
      <c r="B373" s="34">
        <v>51910.64</v>
      </c>
      <c r="C373" s="34">
        <v>159187.32500000001</v>
      </c>
      <c r="D373" s="34">
        <v>18.783000000000001</v>
      </c>
      <c r="F373" s="209">
        <f t="shared" si="15"/>
        <v>60060.639999999999</v>
      </c>
      <c r="G373" s="209">
        <f t="shared" si="16"/>
        <v>363837.32500000001</v>
      </c>
      <c r="H373" s="209">
        <f t="shared" si="17"/>
        <v>18.783000000000001</v>
      </c>
    </row>
    <row r="374" spans="2:8" x14ac:dyDescent="0.2">
      <c r="B374" s="34">
        <v>51913.75</v>
      </c>
      <c r="C374" s="34">
        <v>159187.92000000001</v>
      </c>
      <c r="D374" s="34">
        <v>18.808</v>
      </c>
      <c r="F374" s="209">
        <f t="shared" si="15"/>
        <v>60063.75</v>
      </c>
      <c r="G374" s="209">
        <f t="shared" si="16"/>
        <v>363837.92000000004</v>
      </c>
      <c r="H374" s="209">
        <f t="shared" si="17"/>
        <v>18.808</v>
      </c>
    </row>
    <row r="375" spans="2:8" x14ac:dyDescent="0.2">
      <c r="B375" s="34">
        <v>51913.421000000002</v>
      </c>
      <c r="C375" s="34">
        <v>159186.639</v>
      </c>
      <c r="D375" s="34">
        <v>18.794</v>
      </c>
      <c r="F375" s="209">
        <f t="shared" si="15"/>
        <v>60063.421000000002</v>
      </c>
      <c r="G375" s="209">
        <f t="shared" si="16"/>
        <v>363836.63899999997</v>
      </c>
      <c r="H375" s="209">
        <f t="shared" si="17"/>
        <v>18.794</v>
      </c>
    </row>
    <row r="376" spans="2:8" x14ac:dyDescent="0.2">
      <c r="B376" s="34">
        <v>51884.538999999997</v>
      </c>
      <c r="C376" s="34">
        <v>159193.38200000001</v>
      </c>
      <c r="D376" s="34">
        <v>19.332000000000001</v>
      </c>
      <c r="F376" s="209">
        <f t="shared" si="15"/>
        <v>60034.538999999997</v>
      </c>
      <c r="G376" s="209">
        <f t="shared" si="16"/>
        <v>363843.38199999998</v>
      </c>
      <c r="H376" s="209">
        <f t="shared" si="17"/>
        <v>19.332000000000001</v>
      </c>
    </row>
    <row r="377" spans="2:8" x14ac:dyDescent="0.2">
      <c r="B377" s="34">
        <v>51890.286</v>
      </c>
      <c r="C377" s="34">
        <v>159191.731</v>
      </c>
      <c r="D377" s="34">
        <v>19.321999999999999</v>
      </c>
      <c r="F377" s="209">
        <f t="shared" si="15"/>
        <v>60040.286</v>
      </c>
      <c r="G377" s="209">
        <f t="shared" si="16"/>
        <v>363841.73100000003</v>
      </c>
      <c r="H377" s="209">
        <f t="shared" si="17"/>
        <v>19.321999999999999</v>
      </c>
    </row>
    <row r="378" spans="2:8" x14ac:dyDescent="0.2">
      <c r="B378" s="34">
        <v>51895.921000000002</v>
      </c>
      <c r="C378" s="34">
        <v>159190.101</v>
      </c>
      <c r="D378" s="34">
        <v>19.334</v>
      </c>
      <c r="F378" s="209">
        <f t="shared" si="15"/>
        <v>60045.921000000002</v>
      </c>
      <c r="G378" s="209">
        <f t="shared" si="16"/>
        <v>363840.10100000002</v>
      </c>
      <c r="H378" s="209">
        <f t="shared" si="17"/>
        <v>19.334</v>
      </c>
    </row>
    <row r="379" spans="2:8" x14ac:dyDescent="0.2">
      <c r="B379" s="34">
        <v>51899.767</v>
      </c>
      <c r="C379" s="34">
        <v>159188.99400000001</v>
      </c>
      <c r="D379" s="34">
        <v>19.344999999999999</v>
      </c>
      <c r="F379" s="209">
        <f t="shared" si="15"/>
        <v>60049.767</v>
      </c>
      <c r="G379" s="209">
        <f t="shared" si="16"/>
        <v>363838.99400000001</v>
      </c>
      <c r="H379" s="209">
        <f t="shared" si="17"/>
        <v>19.344999999999999</v>
      </c>
    </row>
    <row r="380" spans="2:8" x14ac:dyDescent="0.2">
      <c r="B380" s="34">
        <v>51903.608999999997</v>
      </c>
      <c r="C380" s="34">
        <v>159187.883</v>
      </c>
      <c r="D380" s="34">
        <v>19.356999999999999</v>
      </c>
      <c r="F380" s="209">
        <f t="shared" si="15"/>
        <v>60053.608999999997</v>
      </c>
      <c r="G380" s="209">
        <f t="shared" si="16"/>
        <v>363837.88300000003</v>
      </c>
      <c r="H380" s="209">
        <f t="shared" si="17"/>
        <v>19.356999999999999</v>
      </c>
    </row>
    <row r="381" spans="2:8" x14ac:dyDescent="0.2">
      <c r="B381" s="152">
        <v>51910.065000000002</v>
      </c>
      <c r="C381" s="152">
        <v>159186.024</v>
      </c>
      <c r="D381" s="152">
        <v>19.356999999999999</v>
      </c>
      <c r="F381" s="209">
        <f t="shared" si="15"/>
        <v>60060.065000000002</v>
      </c>
      <c r="G381" s="209">
        <f t="shared" si="16"/>
        <v>363836.02399999998</v>
      </c>
      <c r="H381" s="209">
        <f t="shared" si="17"/>
        <v>19.356999999999999</v>
      </c>
    </row>
    <row r="382" spans="2:8" x14ac:dyDescent="0.2">
      <c r="B382" s="34">
        <v>51885.339</v>
      </c>
      <c r="C382" s="34">
        <v>159195.73800000001</v>
      </c>
      <c r="D382" s="34">
        <v>18.783000000000001</v>
      </c>
      <c r="F382" s="209">
        <f t="shared" si="15"/>
        <v>60035.339</v>
      </c>
      <c r="G382" s="209">
        <f t="shared" si="16"/>
        <v>363845.73800000001</v>
      </c>
      <c r="H382" s="209">
        <f t="shared" si="17"/>
        <v>18.783000000000001</v>
      </c>
    </row>
    <row r="383" spans="2:8" x14ac:dyDescent="0.2">
      <c r="B383" s="34">
        <v>51884.957999999999</v>
      </c>
      <c r="C383" s="34">
        <v>159194.47099999999</v>
      </c>
      <c r="D383" s="34">
        <v>18.777999999999999</v>
      </c>
      <c r="F383" s="209">
        <f t="shared" si="15"/>
        <v>60034.957999999999</v>
      </c>
      <c r="G383" s="209">
        <f t="shared" si="16"/>
        <v>363844.47100000002</v>
      </c>
      <c r="H383" s="209">
        <f t="shared" si="17"/>
        <v>18.777999999999999</v>
      </c>
    </row>
    <row r="384" spans="2:8" x14ac:dyDescent="0.2">
      <c r="B384" s="34">
        <v>51888.116999999998</v>
      </c>
      <c r="C384" s="34">
        <v>159194.94500000001</v>
      </c>
      <c r="D384" s="34">
        <v>18.779</v>
      </c>
      <c r="F384" s="209">
        <f t="shared" si="15"/>
        <v>60038.116999999998</v>
      </c>
      <c r="G384" s="209">
        <f t="shared" si="16"/>
        <v>363844.94500000001</v>
      </c>
      <c r="H384" s="209">
        <f t="shared" si="17"/>
        <v>18.779</v>
      </c>
    </row>
    <row r="385" spans="2:8" x14ac:dyDescent="0.2">
      <c r="B385" s="34">
        <v>51887.803999999996</v>
      </c>
      <c r="C385" s="34">
        <v>159193.65700000001</v>
      </c>
      <c r="D385" s="34">
        <v>18.779</v>
      </c>
      <c r="F385" s="209">
        <f t="shared" si="15"/>
        <v>60037.803999999996</v>
      </c>
      <c r="G385" s="209">
        <f t="shared" si="16"/>
        <v>363843.65700000001</v>
      </c>
      <c r="H385" s="209">
        <f t="shared" si="17"/>
        <v>18.779</v>
      </c>
    </row>
    <row r="386" spans="2:8" x14ac:dyDescent="0.2">
      <c r="B386" s="34">
        <v>51890.968000000001</v>
      </c>
      <c r="C386" s="34">
        <v>159194.11799999999</v>
      </c>
      <c r="D386" s="34">
        <v>18.779</v>
      </c>
      <c r="F386" s="209">
        <f t="shared" si="15"/>
        <v>60040.968000000001</v>
      </c>
      <c r="G386" s="209">
        <f t="shared" si="16"/>
        <v>363844.11800000002</v>
      </c>
      <c r="H386" s="209">
        <f t="shared" si="17"/>
        <v>18.779</v>
      </c>
    </row>
    <row r="387" spans="2:8" x14ac:dyDescent="0.2">
      <c r="B387" s="34">
        <v>51890.606</v>
      </c>
      <c r="C387" s="34">
        <v>159192.86199999999</v>
      </c>
      <c r="D387" s="34">
        <v>18.771999999999998</v>
      </c>
      <c r="F387" s="209">
        <f t="shared" si="15"/>
        <v>60040.606</v>
      </c>
      <c r="G387" s="209">
        <f t="shared" si="16"/>
        <v>363842.86199999996</v>
      </c>
      <c r="H387" s="209">
        <f t="shared" si="17"/>
        <v>18.771999999999998</v>
      </c>
    </row>
    <row r="388" spans="2:8" x14ac:dyDescent="0.2">
      <c r="B388" s="34">
        <v>51893.758000000002</v>
      </c>
      <c r="C388" s="34">
        <v>159193.315</v>
      </c>
      <c r="D388" s="34">
        <v>18.774000000000001</v>
      </c>
      <c r="F388" s="209">
        <f t="shared" ref="F388:F451" si="18">B388+$B$1</f>
        <v>60043.758000000002</v>
      </c>
      <c r="G388" s="209">
        <f t="shared" ref="G388:G451" si="19">C388+$C$1</f>
        <v>363843.315</v>
      </c>
      <c r="H388" s="209">
        <f t="shared" ref="H388:H451" si="20">D388+$D$1</f>
        <v>18.774000000000001</v>
      </c>
    </row>
    <row r="389" spans="2:8" x14ac:dyDescent="0.2">
      <c r="B389" s="34">
        <v>51893.440999999999</v>
      </c>
      <c r="C389" s="34">
        <v>159192.041</v>
      </c>
      <c r="D389" s="34">
        <v>18.768999999999998</v>
      </c>
      <c r="F389" s="209">
        <f t="shared" si="18"/>
        <v>60043.440999999999</v>
      </c>
      <c r="G389" s="209">
        <f t="shared" si="19"/>
        <v>363842.04099999997</v>
      </c>
      <c r="H389" s="209">
        <f t="shared" si="20"/>
        <v>18.768999999999998</v>
      </c>
    </row>
    <row r="390" spans="2:8" x14ac:dyDescent="0.2">
      <c r="B390" s="34">
        <v>51896.633000000002</v>
      </c>
      <c r="C390" s="34">
        <v>159192.486</v>
      </c>
      <c r="D390" s="34">
        <v>18.777999999999999</v>
      </c>
      <c r="F390" s="209">
        <f t="shared" si="18"/>
        <v>60046.633000000002</v>
      </c>
      <c r="G390" s="209">
        <f t="shared" si="19"/>
        <v>363842.48600000003</v>
      </c>
      <c r="H390" s="209">
        <f t="shared" si="20"/>
        <v>18.777999999999999</v>
      </c>
    </row>
    <row r="391" spans="2:8" x14ac:dyDescent="0.2">
      <c r="B391" s="34">
        <v>51896.249000000003</v>
      </c>
      <c r="C391" s="34">
        <v>159191.22700000001</v>
      </c>
      <c r="D391" s="34">
        <v>18.77</v>
      </c>
      <c r="F391" s="209">
        <f t="shared" si="18"/>
        <v>60046.249000000003</v>
      </c>
      <c r="G391" s="209">
        <f t="shared" si="19"/>
        <v>363841.22700000001</v>
      </c>
      <c r="H391" s="209">
        <f t="shared" si="20"/>
        <v>18.77</v>
      </c>
    </row>
    <row r="392" spans="2:8" x14ac:dyDescent="0.2">
      <c r="B392" s="34">
        <v>51899.398000000001</v>
      </c>
      <c r="C392" s="34">
        <v>159191.69899999999</v>
      </c>
      <c r="D392" s="34">
        <v>18.777999999999999</v>
      </c>
      <c r="F392" s="209">
        <f t="shared" si="18"/>
        <v>60049.398000000001</v>
      </c>
      <c r="G392" s="209">
        <f t="shared" si="19"/>
        <v>363841.69900000002</v>
      </c>
      <c r="H392" s="209">
        <f t="shared" si="20"/>
        <v>18.777999999999999</v>
      </c>
    </row>
    <row r="393" spans="2:8" x14ac:dyDescent="0.2">
      <c r="B393" s="34">
        <v>51899.040000000001</v>
      </c>
      <c r="C393" s="34">
        <v>159190.435</v>
      </c>
      <c r="D393" s="34">
        <v>18.771000000000001</v>
      </c>
      <c r="F393" s="209">
        <f t="shared" si="18"/>
        <v>60049.04</v>
      </c>
      <c r="G393" s="209">
        <f t="shared" si="19"/>
        <v>363840.435</v>
      </c>
      <c r="H393" s="209">
        <f t="shared" si="20"/>
        <v>18.771000000000001</v>
      </c>
    </row>
    <row r="394" spans="2:8" x14ac:dyDescent="0.2">
      <c r="B394" s="34">
        <v>51902.292000000001</v>
      </c>
      <c r="C394" s="34">
        <v>159190.88699999999</v>
      </c>
      <c r="D394" s="34">
        <v>18.779</v>
      </c>
      <c r="F394" s="209">
        <f t="shared" si="18"/>
        <v>60052.292000000001</v>
      </c>
      <c r="G394" s="209">
        <f t="shared" si="19"/>
        <v>363840.88699999999</v>
      </c>
      <c r="H394" s="209">
        <f t="shared" si="20"/>
        <v>18.779</v>
      </c>
    </row>
    <row r="395" spans="2:8" x14ac:dyDescent="0.2">
      <c r="B395" s="34">
        <v>51901.987999999998</v>
      </c>
      <c r="C395" s="34">
        <v>159189.60500000001</v>
      </c>
      <c r="D395" s="34">
        <v>18.77</v>
      </c>
      <c r="F395" s="209">
        <f t="shared" si="18"/>
        <v>60051.987999999998</v>
      </c>
      <c r="G395" s="209">
        <f t="shared" si="19"/>
        <v>363839.60499999998</v>
      </c>
      <c r="H395" s="209">
        <f t="shared" si="20"/>
        <v>18.77</v>
      </c>
    </row>
    <row r="396" spans="2:8" x14ac:dyDescent="0.2">
      <c r="B396" s="34">
        <v>51905.196000000004</v>
      </c>
      <c r="C396" s="34">
        <v>159190.09700000001</v>
      </c>
      <c r="D396" s="34">
        <v>18.780999999999999</v>
      </c>
      <c r="F396" s="209">
        <f t="shared" si="18"/>
        <v>60055.196000000004</v>
      </c>
      <c r="G396" s="209">
        <f t="shared" si="19"/>
        <v>363840.09700000001</v>
      </c>
      <c r="H396" s="209">
        <f t="shared" si="20"/>
        <v>18.780999999999999</v>
      </c>
    </row>
    <row r="397" spans="2:8" x14ac:dyDescent="0.2">
      <c r="B397" s="34">
        <v>51904.885000000002</v>
      </c>
      <c r="C397" s="34">
        <v>159188.807</v>
      </c>
      <c r="D397" s="34">
        <v>18.773</v>
      </c>
      <c r="F397" s="209">
        <f t="shared" si="18"/>
        <v>60054.885000000002</v>
      </c>
      <c r="G397" s="209">
        <f t="shared" si="19"/>
        <v>363838.80700000003</v>
      </c>
      <c r="H397" s="209">
        <f t="shared" si="20"/>
        <v>18.773</v>
      </c>
    </row>
    <row r="398" spans="2:8" x14ac:dyDescent="0.2">
      <c r="B398" s="34">
        <v>51907.951999999997</v>
      </c>
      <c r="C398" s="34">
        <v>159189.36499999999</v>
      </c>
      <c r="D398" s="34">
        <v>18.786000000000001</v>
      </c>
      <c r="F398" s="209">
        <f t="shared" si="18"/>
        <v>60057.951999999997</v>
      </c>
      <c r="G398" s="209">
        <f t="shared" si="19"/>
        <v>363839.36499999999</v>
      </c>
      <c r="H398" s="209">
        <f t="shared" si="20"/>
        <v>18.786000000000001</v>
      </c>
    </row>
    <row r="399" spans="2:8" x14ac:dyDescent="0.2">
      <c r="B399" s="34">
        <v>51907.578000000001</v>
      </c>
      <c r="C399" s="34">
        <v>159188.101</v>
      </c>
      <c r="D399" s="34">
        <v>18.776</v>
      </c>
      <c r="F399" s="209">
        <f t="shared" si="18"/>
        <v>60057.578000000001</v>
      </c>
      <c r="G399" s="209">
        <f t="shared" si="19"/>
        <v>363838.10100000002</v>
      </c>
      <c r="H399" s="209">
        <f t="shared" si="20"/>
        <v>18.776</v>
      </c>
    </row>
    <row r="400" spans="2:8" x14ac:dyDescent="0.2">
      <c r="B400" s="34">
        <v>51910.962</v>
      </c>
      <c r="C400" s="34">
        <v>159188.603</v>
      </c>
      <c r="D400" s="34">
        <v>18.794</v>
      </c>
      <c r="F400" s="209">
        <f t="shared" si="18"/>
        <v>60060.962</v>
      </c>
      <c r="G400" s="209">
        <f t="shared" si="19"/>
        <v>363838.603</v>
      </c>
      <c r="H400" s="209">
        <f t="shared" si="20"/>
        <v>18.794</v>
      </c>
    </row>
    <row r="401" spans="2:8" x14ac:dyDescent="0.2">
      <c r="B401" s="34">
        <v>51910.64</v>
      </c>
      <c r="C401" s="34">
        <v>159187.32500000001</v>
      </c>
      <c r="D401" s="34">
        <v>18.783000000000001</v>
      </c>
      <c r="F401" s="209">
        <f t="shared" si="18"/>
        <v>60060.639999999999</v>
      </c>
      <c r="G401" s="209">
        <f t="shared" si="19"/>
        <v>363837.32500000001</v>
      </c>
      <c r="H401" s="209">
        <f t="shared" si="20"/>
        <v>18.783000000000001</v>
      </c>
    </row>
    <row r="402" spans="2:8" x14ac:dyDescent="0.2">
      <c r="B402" s="34">
        <v>51913.75</v>
      </c>
      <c r="C402" s="34">
        <v>159187.92000000001</v>
      </c>
      <c r="D402" s="34">
        <v>18.808</v>
      </c>
      <c r="F402" s="209">
        <f t="shared" si="18"/>
        <v>60063.75</v>
      </c>
      <c r="G402" s="209">
        <f t="shared" si="19"/>
        <v>363837.92000000004</v>
      </c>
      <c r="H402" s="209">
        <f t="shared" si="20"/>
        <v>18.808</v>
      </c>
    </row>
    <row r="403" spans="2:8" x14ac:dyDescent="0.2">
      <c r="B403" s="34">
        <v>51913.421000000002</v>
      </c>
      <c r="C403" s="34">
        <v>159186.639</v>
      </c>
      <c r="D403" s="34">
        <v>18.794</v>
      </c>
      <c r="F403" s="209">
        <f t="shared" si="18"/>
        <v>60063.421000000002</v>
      </c>
      <c r="G403" s="209">
        <f t="shared" si="19"/>
        <v>363836.63899999997</v>
      </c>
      <c r="H403" s="209">
        <f t="shared" si="20"/>
        <v>18.794</v>
      </c>
    </row>
    <row r="404" spans="2:8" x14ac:dyDescent="0.2">
      <c r="B404" s="34">
        <v>51884.538999999997</v>
      </c>
      <c r="C404" s="34">
        <v>159193.38200000001</v>
      </c>
      <c r="D404" s="34">
        <v>19.332000000000001</v>
      </c>
      <c r="F404" s="209">
        <f t="shared" si="18"/>
        <v>60034.538999999997</v>
      </c>
      <c r="G404" s="209">
        <f t="shared" si="19"/>
        <v>363843.38199999998</v>
      </c>
      <c r="H404" s="209">
        <f t="shared" si="20"/>
        <v>19.332000000000001</v>
      </c>
    </row>
    <row r="405" spans="2:8" x14ac:dyDescent="0.2">
      <c r="B405" s="34">
        <v>51890.286</v>
      </c>
      <c r="C405" s="34">
        <v>159191.73000000001</v>
      </c>
      <c r="D405" s="34">
        <v>19.321999999999999</v>
      </c>
      <c r="F405" s="209">
        <f t="shared" si="18"/>
        <v>60040.286</v>
      </c>
      <c r="G405" s="209">
        <f t="shared" si="19"/>
        <v>363841.73</v>
      </c>
      <c r="H405" s="209">
        <f t="shared" si="20"/>
        <v>19.321999999999999</v>
      </c>
    </row>
    <row r="406" spans="2:8" x14ac:dyDescent="0.2">
      <c r="B406" s="34">
        <v>51895.921000000002</v>
      </c>
      <c r="C406" s="34">
        <v>159190.1</v>
      </c>
      <c r="D406" s="34">
        <v>19.334</v>
      </c>
      <c r="F406" s="209">
        <f t="shared" si="18"/>
        <v>60045.921000000002</v>
      </c>
      <c r="G406" s="209">
        <f t="shared" si="19"/>
        <v>363840.1</v>
      </c>
      <c r="H406" s="209">
        <f t="shared" si="20"/>
        <v>19.334</v>
      </c>
    </row>
    <row r="407" spans="2:8" x14ac:dyDescent="0.2">
      <c r="B407" s="34">
        <v>51899.767</v>
      </c>
      <c r="C407" s="34">
        <v>159188.99400000001</v>
      </c>
      <c r="D407" s="34">
        <v>19.344999999999999</v>
      </c>
      <c r="F407" s="209">
        <f t="shared" si="18"/>
        <v>60049.767</v>
      </c>
      <c r="G407" s="209">
        <f t="shared" si="19"/>
        <v>363838.99400000001</v>
      </c>
      <c r="H407" s="209">
        <f t="shared" si="20"/>
        <v>19.344999999999999</v>
      </c>
    </row>
    <row r="408" spans="2:8" x14ac:dyDescent="0.2">
      <c r="B408" s="34">
        <v>51903.608999999997</v>
      </c>
      <c r="C408" s="34">
        <v>159187.883</v>
      </c>
      <c r="D408" s="34">
        <v>19.356999999999999</v>
      </c>
      <c r="F408" s="209">
        <f t="shared" si="18"/>
        <v>60053.608999999997</v>
      </c>
      <c r="G408" s="209">
        <f t="shared" si="19"/>
        <v>363837.88300000003</v>
      </c>
      <c r="H408" s="209">
        <f t="shared" si="20"/>
        <v>19.356999999999999</v>
      </c>
    </row>
    <row r="409" spans="2:8" x14ac:dyDescent="0.2">
      <c r="B409" s="152">
        <v>51910.065000000002</v>
      </c>
      <c r="C409" s="152">
        <v>159186.024</v>
      </c>
      <c r="D409" s="152">
        <v>19.356999999999999</v>
      </c>
      <c r="F409" s="209">
        <f t="shared" si="18"/>
        <v>60060.065000000002</v>
      </c>
      <c r="G409" s="209">
        <f t="shared" si="19"/>
        <v>363836.02399999998</v>
      </c>
      <c r="H409" s="209">
        <f t="shared" si="20"/>
        <v>19.356999999999999</v>
      </c>
    </row>
    <row r="410" spans="2:8" x14ac:dyDescent="0.2">
      <c r="B410" s="34">
        <v>51885.339</v>
      </c>
      <c r="C410" s="34">
        <v>159195.73800000001</v>
      </c>
      <c r="D410" s="34">
        <v>18.783000000000001</v>
      </c>
      <c r="F410" s="209">
        <f t="shared" si="18"/>
        <v>60035.339</v>
      </c>
      <c r="G410" s="209">
        <f t="shared" si="19"/>
        <v>363845.73800000001</v>
      </c>
      <c r="H410" s="209">
        <f t="shared" si="20"/>
        <v>18.783000000000001</v>
      </c>
    </row>
    <row r="411" spans="2:8" x14ac:dyDescent="0.2">
      <c r="B411" s="34">
        <v>51884.957999999999</v>
      </c>
      <c r="C411" s="34">
        <v>159194.47099999999</v>
      </c>
      <c r="D411" s="34">
        <v>18.777999999999999</v>
      </c>
      <c r="F411" s="209">
        <f t="shared" si="18"/>
        <v>60034.957999999999</v>
      </c>
      <c r="G411" s="209">
        <f t="shared" si="19"/>
        <v>363844.47100000002</v>
      </c>
      <c r="H411" s="209">
        <f t="shared" si="20"/>
        <v>18.777999999999999</v>
      </c>
    </row>
    <row r="412" spans="2:8" x14ac:dyDescent="0.2">
      <c r="B412" s="34">
        <v>51888.116999999998</v>
      </c>
      <c r="C412" s="34">
        <v>159194.94500000001</v>
      </c>
      <c r="D412" s="34">
        <v>18.779</v>
      </c>
      <c r="F412" s="209">
        <f t="shared" si="18"/>
        <v>60038.116999999998</v>
      </c>
      <c r="G412" s="209">
        <f t="shared" si="19"/>
        <v>363844.94500000001</v>
      </c>
      <c r="H412" s="209">
        <f t="shared" si="20"/>
        <v>18.779</v>
      </c>
    </row>
    <row r="413" spans="2:8" x14ac:dyDescent="0.2">
      <c r="B413" s="34">
        <v>51887.803999999996</v>
      </c>
      <c r="C413" s="34">
        <v>159193.658</v>
      </c>
      <c r="D413" s="34">
        <v>18.779</v>
      </c>
      <c r="F413" s="209">
        <f t="shared" si="18"/>
        <v>60037.803999999996</v>
      </c>
      <c r="G413" s="209">
        <f t="shared" si="19"/>
        <v>363843.658</v>
      </c>
      <c r="H413" s="209">
        <f t="shared" si="20"/>
        <v>18.779</v>
      </c>
    </row>
    <row r="414" spans="2:8" x14ac:dyDescent="0.2">
      <c r="B414" s="34">
        <v>51890.968000000001</v>
      </c>
      <c r="C414" s="34">
        <v>159194.11799999999</v>
      </c>
      <c r="D414" s="34">
        <v>18.779</v>
      </c>
      <c r="F414" s="209">
        <f t="shared" si="18"/>
        <v>60040.968000000001</v>
      </c>
      <c r="G414" s="209">
        <f t="shared" si="19"/>
        <v>363844.11800000002</v>
      </c>
      <c r="H414" s="209">
        <f t="shared" si="20"/>
        <v>18.779</v>
      </c>
    </row>
    <row r="415" spans="2:8" x14ac:dyDescent="0.2">
      <c r="B415" s="34">
        <v>51890.606</v>
      </c>
      <c r="C415" s="34">
        <v>159192.86199999999</v>
      </c>
      <c r="D415" s="34">
        <v>18.771999999999998</v>
      </c>
      <c r="F415" s="209">
        <f t="shared" si="18"/>
        <v>60040.606</v>
      </c>
      <c r="G415" s="209">
        <f t="shared" si="19"/>
        <v>363842.86199999996</v>
      </c>
      <c r="H415" s="209">
        <f t="shared" si="20"/>
        <v>18.771999999999998</v>
      </c>
    </row>
    <row r="416" spans="2:8" x14ac:dyDescent="0.2">
      <c r="B416" s="34">
        <v>51893.758000000002</v>
      </c>
      <c r="C416" s="34">
        <v>159193.315</v>
      </c>
      <c r="D416" s="34">
        <v>18.774000000000001</v>
      </c>
      <c r="F416" s="209">
        <f t="shared" si="18"/>
        <v>60043.758000000002</v>
      </c>
      <c r="G416" s="209">
        <f t="shared" si="19"/>
        <v>363843.315</v>
      </c>
      <c r="H416" s="209">
        <f t="shared" si="20"/>
        <v>18.774000000000001</v>
      </c>
    </row>
    <row r="417" spans="2:8" x14ac:dyDescent="0.2">
      <c r="B417" s="34">
        <v>51893.440999999999</v>
      </c>
      <c r="C417" s="34">
        <v>159192.04199999999</v>
      </c>
      <c r="D417" s="34">
        <v>18.768999999999998</v>
      </c>
      <c r="F417" s="209">
        <f t="shared" si="18"/>
        <v>60043.440999999999</v>
      </c>
      <c r="G417" s="209">
        <f t="shared" si="19"/>
        <v>363842.04200000002</v>
      </c>
      <c r="H417" s="209">
        <f t="shared" si="20"/>
        <v>18.768999999999998</v>
      </c>
    </row>
    <row r="418" spans="2:8" x14ac:dyDescent="0.2">
      <c r="B418" s="34">
        <v>51896.633000000002</v>
      </c>
      <c r="C418" s="34">
        <v>159192.486</v>
      </c>
      <c r="D418" s="34">
        <v>18.777999999999999</v>
      </c>
      <c r="F418" s="209">
        <f t="shared" si="18"/>
        <v>60046.633000000002</v>
      </c>
      <c r="G418" s="209">
        <f t="shared" si="19"/>
        <v>363842.48600000003</v>
      </c>
      <c r="H418" s="209">
        <f t="shared" si="20"/>
        <v>18.777999999999999</v>
      </c>
    </row>
    <row r="419" spans="2:8" x14ac:dyDescent="0.2">
      <c r="B419" s="34">
        <v>51896.249000000003</v>
      </c>
      <c r="C419" s="34">
        <v>159191.22700000001</v>
      </c>
      <c r="D419" s="34">
        <v>18.77</v>
      </c>
      <c r="F419" s="209">
        <f t="shared" si="18"/>
        <v>60046.249000000003</v>
      </c>
      <c r="G419" s="209">
        <f t="shared" si="19"/>
        <v>363841.22700000001</v>
      </c>
      <c r="H419" s="209">
        <f t="shared" si="20"/>
        <v>18.77</v>
      </c>
    </row>
    <row r="420" spans="2:8" x14ac:dyDescent="0.2">
      <c r="B420" s="34">
        <v>51899.398000000001</v>
      </c>
      <c r="C420" s="34">
        <v>159191.69899999999</v>
      </c>
      <c r="D420" s="34">
        <v>18.777999999999999</v>
      </c>
      <c r="F420" s="209">
        <f t="shared" si="18"/>
        <v>60049.398000000001</v>
      </c>
      <c r="G420" s="209">
        <f t="shared" si="19"/>
        <v>363841.69900000002</v>
      </c>
      <c r="H420" s="209">
        <f t="shared" si="20"/>
        <v>18.777999999999999</v>
      </c>
    </row>
    <row r="421" spans="2:8" x14ac:dyDescent="0.2">
      <c r="B421" s="34">
        <v>51899.040000000001</v>
      </c>
      <c r="C421" s="34">
        <v>159190.43599999999</v>
      </c>
      <c r="D421" s="34">
        <v>18.771000000000001</v>
      </c>
      <c r="F421" s="209">
        <f t="shared" si="18"/>
        <v>60049.04</v>
      </c>
      <c r="G421" s="209">
        <f t="shared" si="19"/>
        <v>363840.43599999999</v>
      </c>
      <c r="H421" s="209">
        <f t="shared" si="20"/>
        <v>18.771000000000001</v>
      </c>
    </row>
    <row r="422" spans="2:8" x14ac:dyDescent="0.2">
      <c r="B422" s="34">
        <v>51902.292000000001</v>
      </c>
      <c r="C422" s="34">
        <v>159190.88699999999</v>
      </c>
      <c r="D422" s="34">
        <v>18.779</v>
      </c>
      <c r="F422" s="209">
        <f t="shared" si="18"/>
        <v>60052.292000000001</v>
      </c>
      <c r="G422" s="209">
        <f t="shared" si="19"/>
        <v>363840.88699999999</v>
      </c>
      <c r="H422" s="209">
        <f t="shared" si="20"/>
        <v>18.779</v>
      </c>
    </row>
    <row r="423" spans="2:8" x14ac:dyDescent="0.2">
      <c r="B423" s="34">
        <v>51901.987999999998</v>
      </c>
      <c r="C423" s="34">
        <v>159189.606</v>
      </c>
      <c r="D423" s="34">
        <v>18.77</v>
      </c>
      <c r="F423" s="209">
        <f t="shared" si="18"/>
        <v>60051.987999999998</v>
      </c>
      <c r="G423" s="209">
        <f t="shared" si="19"/>
        <v>363839.60600000003</v>
      </c>
      <c r="H423" s="209">
        <f t="shared" si="20"/>
        <v>18.77</v>
      </c>
    </row>
    <row r="424" spans="2:8" x14ac:dyDescent="0.2">
      <c r="B424" s="34">
        <v>51905.196000000004</v>
      </c>
      <c r="C424" s="34">
        <v>159190.09700000001</v>
      </c>
      <c r="D424" s="34">
        <v>18.780999999999999</v>
      </c>
      <c r="F424" s="209">
        <f t="shared" si="18"/>
        <v>60055.196000000004</v>
      </c>
      <c r="G424" s="209">
        <f t="shared" si="19"/>
        <v>363840.09700000001</v>
      </c>
      <c r="H424" s="209">
        <f t="shared" si="20"/>
        <v>18.780999999999999</v>
      </c>
    </row>
    <row r="425" spans="2:8" x14ac:dyDescent="0.2">
      <c r="B425" s="34">
        <v>51904.885000000002</v>
      </c>
      <c r="C425" s="34">
        <v>159188.80799999999</v>
      </c>
      <c r="D425" s="34">
        <v>18.773</v>
      </c>
      <c r="F425" s="209">
        <f t="shared" si="18"/>
        <v>60054.885000000002</v>
      </c>
      <c r="G425" s="209">
        <f t="shared" si="19"/>
        <v>363838.80799999996</v>
      </c>
      <c r="H425" s="209">
        <f t="shared" si="20"/>
        <v>18.773</v>
      </c>
    </row>
    <row r="426" spans="2:8" x14ac:dyDescent="0.2">
      <c r="B426" s="34">
        <v>51907.951999999997</v>
      </c>
      <c r="C426" s="34">
        <v>159189.36499999999</v>
      </c>
      <c r="D426" s="34">
        <v>18.786000000000001</v>
      </c>
      <c r="F426" s="209">
        <f t="shared" si="18"/>
        <v>60057.951999999997</v>
      </c>
      <c r="G426" s="209">
        <f t="shared" si="19"/>
        <v>363839.36499999999</v>
      </c>
      <c r="H426" s="209">
        <f t="shared" si="20"/>
        <v>18.786000000000001</v>
      </c>
    </row>
    <row r="427" spans="2:8" x14ac:dyDescent="0.2">
      <c r="B427" s="34">
        <v>51907.578000000001</v>
      </c>
      <c r="C427" s="34">
        <v>159188.101</v>
      </c>
      <c r="D427" s="34">
        <v>18.776</v>
      </c>
      <c r="F427" s="209">
        <f t="shared" si="18"/>
        <v>60057.578000000001</v>
      </c>
      <c r="G427" s="209">
        <f t="shared" si="19"/>
        <v>363838.10100000002</v>
      </c>
      <c r="H427" s="209">
        <f t="shared" si="20"/>
        <v>18.776</v>
      </c>
    </row>
    <row r="428" spans="2:8" x14ac:dyDescent="0.2">
      <c r="B428" s="34">
        <v>51910.962</v>
      </c>
      <c r="C428" s="34">
        <v>159188.60399999999</v>
      </c>
      <c r="D428" s="34">
        <v>18.794</v>
      </c>
      <c r="F428" s="209">
        <f t="shared" si="18"/>
        <v>60060.962</v>
      </c>
      <c r="G428" s="209">
        <f t="shared" si="19"/>
        <v>363838.60399999999</v>
      </c>
      <c r="H428" s="209">
        <f t="shared" si="20"/>
        <v>18.794</v>
      </c>
    </row>
    <row r="429" spans="2:8" x14ac:dyDescent="0.2">
      <c r="B429" s="34">
        <v>51910.64</v>
      </c>
      <c r="C429" s="34">
        <v>159187.326</v>
      </c>
      <c r="D429" s="34">
        <v>18.783000000000001</v>
      </c>
      <c r="F429" s="209">
        <f t="shared" si="18"/>
        <v>60060.639999999999</v>
      </c>
      <c r="G429" s="209">
        <f t="shared" si="19"/>
        <v>363837.326</v>
      </c>
      <c r="H429" s="209">
        <f t="shared" si="20"/>
        <v>18.783000000000001</v>
      </c>
    </row>
    <row r="430" spans="2:8" x14ac:dyDescent="0.2">
      <c r="B430" s="34">
        <v>51913.75</v>
      </c>
      <c r="C430" s="34">
        <v>159187.92000000001</v>
      </c>
      <c r="D430" s="34">
        <v>18.808</v>
      </c>
      <c r="F430" s="209">
        <f t="shared" si="18"/>
        <v>60063.75</v>
      </c>
      <c r="G430" s="209">
        <f t="shared" si="19"/>
        <v>363837.92000000004</v>
      </c>
      <c r="H430" s="209">
        <f t="shared" si="20"/>
        <v>18.808</v>
      </c>
    </row>
    <row r="431" spans="2:8" x14ac:dyDescent="0.2">
      <c r="B431" s="34">
        <v>51913.421000000002</v>
      </c>
      <c r="C431" s="34">
        <v>159186.639</v>
      </c>
      <c r="D431" s="34">
        <v>18.794</v>
      </c>
      <c r="F431" s="209">
        <f t="shared" si="18"/>
        <v>60063.421000000002</v>
      </c>
      <c r="G431" s="209">
        <f t="shared" si="19"/>
        <v>363836.63899999997</v>
      </c>
      <c r="H431" s="209">
        <f t="shared" si="20"/>
        <v>18.794</v>
      </c>
    </row>
    <row r="432" spans="2:8" x14ac:dyDescent="0.2">
      <c r="B432" s="34">
        <v>51884.538999999997</v>
      </c>
      <c r="C432" s="34">
        <v>159193.38200000001</v>
      </c>
      <c r="D432" s="34">
        <v>19.332000000000001</v>
      </c>
      <c r="F432" s="209">
        <f t="shared" si="18"/>
        <v>60034.538999999997</v>
      </c>
      <c r="G432" s="209">
        <f t="shared" si="19"/>
        <v>363843.38199999998</v>
      </c>
      <c r="H432" s="209">
        <f t="shared" si="20"/>
        <v>19.332000000000001</v>
      </c>
    </row>
    <row r="433" spans="2:8" x14ac:dyDescent="0.2">
      <c r="B433" s="34">
        <v>51890.286</v>
      </c>
      <c r="C433" s="34">
        <v>159191.731</v>
      </c>
      <c r="D433" s="34">
        <v>19.321999999999999</v>
      </c>
      <c r="F433" s="209">
        <f t="shared" si="18"/>
        <v>60040.286</v>
      </c>
      <c r="G433" s="209">
        <f t="shared" si="19"/>
        <v>363841.73100000003</v>
      </c>
      <c r="H433" s="209">
        <f t="shared" si="20"/>
        <v>19.321999999999999</v>
      </c>
    </row>
    <row r="434" spans="2:8" x14ac:dyDescent="0.2">
      <c r="B434" s="34">
        <v>51895.921000000002</v>
      </c>
      <c r="C434" s="34">
        <v>159190.101</v>
      </c>
      <c r="D434" s="34">
        <v>19.334</v>
      </c>
      <c r="F434" s="209">
        <f t="shared" si="18"/>
        <v>60045.921000000002</v>
      </c>
      <c r="G434" s="209">
        <f t="shared" si="19"/>
        <v>363840.10100000002</v>
      </c>
      <c r="H434" s="209">
        <f t="shared" si="20"/>
        <v>19.334</v>
      </c>
    </row>
    <row r="435" spans="2:8" x14ac:dyDescent="0.2">
      <c r="B435" s="34">
        <v>51899.767</v>
      </c>
      <c r="C435" s="34">
        <v>159188.995</v>
      </c>
      <c r="D435" s="34">
        <v>19.344999999999999</v>
      </c>
      <c r="F435" s="209">
        <f t="shared" si="18"/>
        <v>60049.767</v>
      </c>
      <c r="G435" s="209">
        <f t="shared" si="19"/>
        <v>363838.995</v>
      </c>
      <c r="H435" s="209">
        <f t="shared" si="20"/>
        <v>19.344999999999999</v>
      </c>
    </row>
    <row r="436" spans="2:8" x14ac:dyDescent="0.2">
      <c r="B436" s="34">
        <v>51903.608</v>
      </c>
      <c r="C436" s="34">
        <v>159187.883</v>
      </c>
      <c r="D436" s="34">
        <v>19.356999999999999</v>
      </c>
      <c r="F436" s="209">
        <f t="shared" si="18"/>
        <v>60053.608</v>
      </c>
      <c r="G436" s="209">
        <f t="shared" si="19"/>
        <v>363837.88300000003</v>
      </c>
      <c r="H436" s="209">
        <f t="shared" si="20"/>
        <v>19.356999999999999</v>
      </c>
    </row>
    <row r="437" spans="2:8" x14ac:dyDescent="0.2">
      <c r="B437" s="152">
        <v>51910.065000000002</v>
      </c>
      <c r="C437" s="152">
        <v>159186.02499999999</v>
      </c>
      <c r="D437" s="152">
        <v>19.356999999999999</v>
      </c>
      <c r="F437" s="209">
        <f t="shared" si="18"/>
        <v>60060.065000000002</v>
      </c>
      <c r="G437" s="209">
        <f t="shared" si="19"/>
        <v>363836.02500000002</v>
      </c>
      <c r="H437" s="209">
        <f t="shared" si="20"/>
        <v>19.356999999999999</v>
      </c>
    </row>
    <row r="438" spans="2:8" x14ac:dyDescent="0.2">
      <c r="B438" s="34">
        <v>51885.339</v>
      </c>
      <c r="C438" s="34">
        <v>159195.739</v>
      </c>
      <c r="D438" s="34">
        <v>18.782</v>
      </c>
      <c r="F438" s="209">
        <f t="shared" si="18"/>
        <v>60035.339</v>
      </c>
      <c r="G438" s="209">
        <f t="shared" si="19"/>
        <v>363845.739</v>
      </c>
      <c r="H438" s="209">
        <f t="shared" si="20"/>
        <v>18.782</v>
      </c>
    </row>
    <row r="439" spans="2:8" x14ac:dyDescent="0.2">
      <c r="B439" s="34">
        <v>51884.957999999999</v>
      </c>
      <c r="C439" s="34">
        <v>159194.47099999999</v>
      </c>
      <c r="D439" s="34">
        <v>18.777999999999999</v>
      </c>
      <c r="F439" s="209">
        <f t="shared" si="18"/>
        <v>60034.957999999999</v>
      </c>
      <c r="G439" s="209">
        <f t="shared" si="19"/>
        <v>363844.47100000002</v>
      </c>
      <c r="H439" s="209">
        <f t="shared" si="20"/>
        <v>18.777999999999999</v>
      </c>
    </row>
    <row r="440" spans="2:8" x14ac:dyDescent="0.2">
      <c r="B440" s="34">
        <v>51888.116999999998</v>
      </c>
      <c r="C440" s="34">
        <v>159194.94500000001</v>
      </c>
      <c r="D440" s="34">
        <v>18.779</v>
      </c>
      <c r="F440" s="209">
        <f t="shared" si="18"/>
        <v>60038.116999999998</v>
      </c>
      <c r="G440" s="209">
        <f t="shared" si="19"/>
        <v>363844.94500000001</v>
      </c>
      <c r="H440" s="209">
        <f t="shared" si="20"/>
        <v>18.779</v>
      </c>
    </row>
    <row r="441" spans="2:8" x14ac:dyDescent="0.2">
      <c r="B441" s="34">
        <v>51887.803999999996</v>
      </c>
      <c r="C441" s="34">
        <v>159193.658</v>
      </c>
      <c r="D441" s="34">
        <v>18.779</v>
      </c>
      <c r="F441" s="209">
        <f t="shared" si="18"/>
        <v>60037.803999999996</v>
      </c>
      <c r="G441" s="209">
        <f t="shared" si="19"/>
        <v>363843.658</v>
      </c>
      <c r="H441" s="209">
        <f t="shared" si="20"/>
        <v>18.779</v>
      </c>
    </row>
    <row r="442" spans="2:8" x14ac:dyDescent="0.2">
      <c r="B442" s="34">
        <v>51890.968000000001</v>
      </c>
      <c r="C442" s="34">
        <v>159194.11799999999</v>
      </c>
      <c r="D442" s="34">
        <v>18.779</v>
      </c>
      <c r="F442" s="209">
        <f t="shared" si="18"/>
        <v>60040.968000000001</v>
      </c>
      <c r="G442" s="209">
        <f t="shared" si="19"/>
        <v>363844.11800000002</v>
      </c>
      <c r="H442" s="209">
        <f t="shared" si="20"/>
        <v>18.779</v>
      </c>
    </row>
    <row r="443" spans="2:8" x14ac:dyDescent="0.2">
      <c r="B443" s="34">
        <v>51890.606</v>
      </c>
      <c r="C443" s="34">
        <v>159192.86199999999</v>
      </c>
      <c r="D443" s="34">
        <v>18.771999999999998</v>
      </c>
      <c r="F443" s="209">
        <f t="shared" si="18"/>
        <v>60040.606</v>
      </c>
      <c r="G443" s="209">
        <f t="shared" si="19"/>
        <v>363842.86199999996</v>
      </c>
      <c r="H443" s="209">
        <f t="shared" si="20"/>
        <v>18.771999999999998</v>
      </c>
    </row>
    <row r="444" spans="2:8" x14ac:dyDescent="0.2">
      <c r="B444" s="34">
        <v>51893.758000000002</v>
      </c>
      <c r="C444" s="34">
        <v>159193.315</v>
      </c>
      <c r="D444" s="34">
        <v>18.774000000000001</v>
      </c>
      <c r="F444" s="209">
        <f t="shared" si="18"/>
        <v>60043.758000000002</v>
      </c>
      <c r="G444" s="209">
        <f t="shared" si="19"/>
        <v>363843.315</v>
      </c>
      <c r="H444" s="209">
        <f t="shared" si="20"/>
        <v>18.774000000000001</v>
      </c>
    </row>
    <row r="445" spans="2:8" x14ac:dyDescent="0.2">
      <c r="B445" s="34">
        <v>51893.440999999999</v>
      </c>
      <c r="C445" s="34">
        <v>159192.04199999999</v>
      </c>
      <c r="D445" s="34">
        <v>18.768999999999998</v>
      </c>
      <c r="F445" s="209">
        <f t="shared" si="18"/>
        <v>60043.440999999999</v>
      </c>
      <c r="G445" s="209">
        <f t="shared" si="19"/>
        <v>363842.04200000002</v>
      </c>
      <c r="H445" s="209">
        <f t="shared" si="20"/>
        <v>18.768999999999998</v>
      </c>
    </row>
    <row r="446" spans="2:8" x14ac:dyDescent="0.2">
      <c r="B446" s="34">
        <v>51896.633000000002</v>
      </c>
      <c r="C446" s="34">
        <v>159192.486</v>
      </c>
      <c r="D446" s="34">
        <v>18.777999999999999</v>
      </c>
      <c r="F446" s="209">
        <f t="shared" si="18"/>
        <v>60046.633000000002</v>
      </c>
      <c r="G446" s="209">
        <f t="shared" si="19"/>
        <v>363842.48600000003</v>
      </c>
      <c r="H446" s="209">
        <f t="shared" si="20"/>
        <v>18.777999999999999</v>
      </c>
    </row>
    <row r="447" spans="2:8" x14ac:dyDescent="0.2">
      <c r="B447" s="34">
        <v>51896.249000000003</v>
      </c>
      <c r="C447" s="34">
        <v>159191.22700000001</v>
      </c>
      <c r="D447" s="34">
        <v>18.77</v>
      </c>
      <c r="F447" s="209">
        <f t="shared" si="18"/>
        <v>60046.249000000003</v>
      </c>
      <c r="G447" s="209">
        <f t="shared" si="19"/>
        <v>363841.22700000001</v>
      </c>
      <c r="H447" s="209">
        <f t="shared" si="20"/>
        <v>18.77</v>
      </c>
    </row>
    <row r="448" spans="2:8" x14ac:dyDescent="0.2">
      <c r="B448" s="34">
        <v>51899.398000000001</v>
      </c>
      <c r="C448" s="34">
        <v>159191.69899999999</v>
      </c>
      <c r="D448" s="34">
        <v>18.777999999999999</v>
      </c>
      <c r="F448" s="209">
        <f t="shared" si="18"/>
        <v>60049.398000000001</v>
      </c>
      <c r="G448" s="209">
        <f t="shared" si="19"/>
        <v>363841.69900000002</v>
      </c>
      <c r="H448" s="209">
        <f t="shared" si="20"/>
        <v>18.777999999999999</v>
      </c>
    </row>
    <row r="449" spans="2:8" x14ac:dyDescent="0.2">
      <c r="B449" s="34">
        <v>51899.040000000001</v>
      </c>
      <c r="C449" s="34">
        <v>159190.43599999999</v>
      </c>
      <c r="D449" s="34">
        <v>18.771000000000001</v>
      </c>
      <c r="F449" s="209">
        <f t="shared" si="18"/>
        <v>60049.04</v>
      </c>
      <c r="G449" s="209">
        <f t="shared" si="19"/>
        <v>363840.43599999999</v>
      </c>
      <c r="H449" s="209">
        <f t="shared" si="20"/>
        <v>18.771000000000001</v>
      </c>
    </row>
    <row r="450" spans="2:8" x14ac:dyDescent="0.2">
      <c r="B450" s="34">
        <v>51902.292000000001</v>
      </c>
      <c r="C450" s="34">
        <v>159190.88699999999</v>
      </c>
      <c r="D450" s="34">
        <v>18.779</v>
      </c>
      <c r="F450" s="209">
        <f t="shared" si="18"/>
        <v>60052.292000000001</v>
      </c>
      <c r="G450" s="209">
        <f t="shared" si="19"/>
        <v>363840.88699999999</v>
      </c>
      <c r="H450" s="209">
        <f t="shared" si="20"/>
        <v>18.779</v>
      </c>
    </row>
    <row r="451" spans="2:8" x14ac:dyDescent="0.2">
      <c r="B451" s="34">
        <v>51901.987999999998</v>
      </c>
      <c r="C451" s="34">
        <v>159189.606</v>
      </c>
      <c r="D451" s="34">
        <v>18.77</v>
      </c>
      <c r="F451" s="209">
        <f t="shared" si="18"/>
        <v>60051.987999999998</v>
      </c>
      <c r="G451" s="209">
        <f t="shared" si="19"/>
        <v>363839.60600000003</v>
      </c>
      <c r="H451" s="209">
        <f t="shared" si="20"/>
        <v>18.77</v>
      </c>
    </row>
    <row r="452" spans="2:8" x14ac:dyDescent="0.2">
      <c r="B452" s="34">
        <v>51905.196000000004</v>
      </c>
      <c r="C452" s="34">
        <v>159190.09700000001</v>
      </c>
      <c r="D452" s="34">
        <v>18.78</v>
      </c>
      <c r="F452" s="209">
        <f t="shared" ref="F452:F515" si="21">B452+$B$1</f>
        <v>60055.196000000004</v>
      </c>
      <c r="G452" s="209">
        <f t="shared" ref="G452:G515" si="22">C452+$C$1</f>
        <v>363840.09700000001</v>
      </c>
      <c r="H452" s="209">
        <f t="shared" ref="H452:H515" si="23">D452+$D$1</f>
        <v>18.78</v>
      </c>
    </row>
    <row r="453" spans="2:8" x14ac:dyDescent="0.2">
      <c r="B453" s="34">
        <v>51904.885000000002</v>
      </c>
      <c r="C453" s="34">
        <v>159188.80799999999</v>
      </c>
      <c r="D453" s="34">
        <v>18.773</v>
      </c>
      <c r="F453" s="209">
        <f t="shared" si="21"/>
        <v>60054.885000000002</v>
      </c>
      <c r="G453" s="209">
        <f t="shared" si="22"/>
        <v>363838.80799999996</v>
      </c>
      <c r="H453" s="209">
        <f t="shared" si="23"/>
        <v>18.773</v>
      </c>
    </row>
    <row r="454" spans="2:8" x14ac:dyDescent="0.2">
      <c r="B454" s="34">
        <v>51907.951999999997</v>
      </c>
      <c r="C454" s="34">
        <v>159189.36600000001</v>
      </c>
      <c r="D454" s="34">
        <v>18.786000000000001</v>
      </c>
      <c r="F454" s="209">
        <f t="shared" si="21"/>
        <v>60057.951999999997</v>
      </c>
      <c r="G454" s="209">
        <f t="shared" si="22"/>
        <v>363839.36600000004</v>
      </c>
      <c r="H454" s="209">
        <f t="shared" si="23"/>
        <v>18.786000000000001</v>
      </c>
    </row>
    <row r="455" spans="2:8" x14ac:dyDescent="0.2">
      <c r="B455" s="34">
        <v>51907.578000000001</v>
      </c>
      <c r="C455" s="34">
        <v>159188.101</v>
      </c>
      <c r="D455" s="34">
        <v>18.774999999999999</v>
      </c>
      <c r="F455" s="209">
        <f t="shared" si="21"/>
        <v>60057.578000000001</v>
      </c>
      <c r="G455" s="209">
        <f t="shared" si="22"/>
        <v>363838.10100000002</v>
      </c>
      <c r="H455" s="209">
        <f t="shared" si="23"/>
        <v>18.774999999999999</v>
      </c>
    </row>
    <row r="456" spans="2:8" x14ac:dyDescent="0.2">
      <c r="B456" s="34">
        <v>51910.962</v>
      </c>
      <c r="C456" s="34">
        <v>159188.60399999999</v>
      </c>
      <c r="D456" s="34">
        <v>18.794</v>
      </c>
      <c r="F456" s="209">
        <f t="shared" si="21"/>
        <v>60060.962</v>
      </c>
      <c r="G456" s="209">
        <f t="shared" si="22"/>
        <v>363838.60399999999</v>
      </c>
      <c r="H456" s="209">
        <f t="shared" si="23"/>
        <v>18.794</v>
      </c>
    </row>
    <row r="457" spans="2:8" x14ac:dyDescent="0.2">
      <c r="B457" s="34">
        <v>51910.64</v>
      </c>
      <c r="C457" s="34">
        <v>159187.326</v>
      </c>
      <c r="D457" s="34">
        <v>18.783000000000001</v>
      </c>
      <c r="F457" s="209">
        <f t="shared" si="21"/>
        <v>60060.639999999999</v>
      </c>
      <c r="G457" s="209">
        <f t="shared" si="22"/>
        <v>363837.326</v>
      </c>
      <c r="H457" s="209">
        <f t="shared" si="23"/>
        <v>18.783000000000001</v>
      </c>
    </row>
    <row r="458" spans="2:8" x14ac:dyDescent="0.2">
      <c r="B458" s="34">
        <v>51913.75</v>
      </c>
      <c r="C458" s="34">
        <v>159187.921</v>
      </c>
      <c r="D458" s="34">
        <v>18.808</v>
      </c>
      <c r="F458" s="209">
        <f t="shared" si="21"/>
        <v>60063.75</v>
      </c>
      <c r="G458" s="209">
        <f t="shared" si="22"/>
        <v>363837.92099999997</v>
      </c>
      <c r="H458" s="209">
        <f t="shared" si="23"/>
        <v>18.808</v>
      </c>
    </row>
    <row r="459" spans="2:8" x14ac:dyDescent="0.2">
      <c r="B459" s="34">
        <v>51913.421000000002</v>
      </c>
      <c r="C459" s="34">
        <v>159186.64000000001</v>
      </c>
      <c r="D459" s="34">
        <v>18.794</v>
      </c>
      <c r="F459" s="209">
        <f t="shared" si="21"/>
        <v>60063.421000000002</v>
      </c>
      <c r="G459" s="209">
        <f t="shared" si="22"/>
        <v>363836.64</v>
      </c>
      <c r="H459" s="209">
        <f t="shared" si="23"/>
        <v>18.794</v>
      </c>
    </row>
    <row r="460" spans="2:8" x14ac:dyDescent="0.2">
      <c r="B460" s="34">
        <v>51884.538999999997</v>
      </c>
      <c r="C460" s="34">
        <v>159193.38200000001</v>
      </c>
      <c r="D460" s="34">
        <v>19.332000000000001</v>
      </c>
      <c r="F460" s="209">
        <f t="shared" si="21"/>
        <v>60034.538999999997</v>
      </c>
      <c r="G460" s="209">
        <f t="shared" si="22"/>
        <v>363843.38199999998</v>
      </c>
      <c r="H460" s="209">
        <f t="shared" si="23"/>
        <v>19.332000000000001</v>
      </c>
    </row>
    <row r="461" spans="2:8" x14ac:dyDescent="0.2">
      <c r="B461" s="34">
        <v>51890.286</v>
      </c>
      <c r="C461" s="34">
        <v>159191.731</v>
      </c>
      <c r="D461" s="34">
        <v>19.321999999999999</v>
      </c>
      <c r="F461" s="209">
        <f t="shared" si="21"/>
        <v>60040.286</v>
      </c>
      <c r="G461" s="209">
        <f t="shared" si="22"/>
        <v>363841.73100000003</v>
      </c>
      <c r="H461" s="209">
        <f t="shared" si="23"/>
        <v>19.321999999999999</v>
      </c>
    </row>
    <row r="462" spans="2:8" x14ac:dyDescent="0.2">
      <c r="B462" s="34">
        <v>51895.921000000002</v>
      </c>
      <c r="C462" s="34">
        <v>159190.101</v>
      </c>
      <c r="D462" s="34">
        <v>19.334</v>
      </c>
      <c r="F462" s="209">
        <f t="shared" si="21"/>
        <v>60045.921000000002</v>
      </c>
      <c r="G462" s="209">
        <f t="shared" si="22"/>
        <v>363840.10100000002</v>
      </c>
      <c r="H462" s="209">
        <f t="shared" si="23"/>
        <v>19.334</v>
      </c>
    </row>
    <row r="463" spans="2:8" x14ac:dyDescent="0.2">
      <c r="B463" s="34">
        <v>51899.767</v>
      </c>
      <c r="C463" s="34">
        <v>159188.995</v>
      </c>
      <c r="D463" s="34">
        <v>19.344999999999999</v>
      </c>
      <c r="F463" s="209">
        <f t="shared" si="21"/>
        <v>60049.767</v>
      </c>
      <c r="G463" s="209">
        <f t="shared" si="22"/>
        <v>363838.995</v>
      </c>
      <c r="H463" s="209">
        <f t="shared" si="23"/>
        <v>19.344999999999999</v>
      </c>
    </row>
    <row r="464" spans="2:8" x14ac:dyDescent="0.2">
      <c r="B464" s="34">
        <v>51903.608999999997</v>
      </c>
      <c r="C464" s="34">
        <v>159187.883</v>
      </c>
      <c r="D464" s="34">
        <v>19.356999999999999</v>
      </c>
      <c r="F464" s="209">
        <f t="shared" si="21"/>
        <v>60053.608999999997</v>
      </c>
      <c r="G464" s="209">
        <f t="shared" si="22"/>
        <v>363837.88300000003</v>
      </c>
      <c r="H464" s="209">
        <f t="shared" si="23"/>
        <v>19.356999999999999</v>
      </c>
    </row>
    <row r="465" spans="2:8" x14ac:dyDescent="0.2">
      <c r="B465" s="152">
        <v>51910.065000000002</v>
      </c>
      <c r="C465" s="152">
        <v>159186.02499999999</v>
      </c>
      <c r="D465" s="152">
        <v>19.356999999999999</v>
      </c>
      <c r="F465" s="209">
        <f t="shared" si="21"/>
        <v>60060.065000000002</v>
      </c>
      <c r="G465" s="209">
        <f t="shared" si="22"/>
        <v>363836.02500000002</v>
      </c>
      <c r="H465" s="209">
        <f t="shared" si="23"/>
        <v>19.356999999999999</v>
      </c>
    </row>
    <row r="466" spans="2:8" x14ac:dyDescent="0.2">
      <c r="B466" s="34">
        <v>51885.339</v>
      </c>
      <c r="C466" s="34">
        <v>159195.739</v>
      </c>
      <c r="D466" s="34">
        <v>18.782</v>
      </c>
      <c r="F466" s="209">
        <f t="shared" si="21"/>
        <v>60035.339</v>
      </c>
      <c r="G466" s="209">
        <f t="shared" si="22"/>
        <v>363845.739</v>
      </c>
      <c r="H466" s="209">
        <f t="shared" si="23"/>
        <v>18.782</v>
      </c>
    </row>
    <row r="467" spans="2:8" x14ac:dyDescent="0.2">
      <c r="B467" s="34">
        <v>51884.957999999999</v>
      </c>
      <c r="C467" s="34">
        <v>159194.47099999999</v>
      </c>
      <c r="D467" s="34">
        <v>18.777999999999999</v>
      </c>
      <c r="F467" s="209">
        <f t="shared" si="21"/>
        <v>60034.957999999999</v>
      </c>
      <c r="G467" s="209">
        <f t="shared" si="22"/>
        <v>363844.47100000002</v>
      </c>
      <c r="H467" s="209">
        <f t="shared" si="23"/>
        <v>18.777999999999999</v>
      </c>
    </row>
    <row r="468" spans="2:8" x14ac:dyDescent="0.2">
      <c r="B468" s="34">
        <v>51888.116999999998</v>
      </c>
      <c r="C468" s="34">
        <v>159194.94500000001</v>
      </c>
      <c r="D468" s="34">
        <v>18.777999999999999</v>
      </c>
      <c r="F468" s="209">
        <f t="shared" si="21"/>
        <v>60038.116999999998</v>
      </c>
      <c r="G468" s="209">
        <f t="shared" si="22"/>
        <v>363844.94500000001</v>
      </c>
      <c r="H468" s="209">
        <f t="shared" si="23"/>
        <v>18.777999999999999</v>
      </c>
    </row>
    <row r="469" spans="2:8" x14ac:dyDescent="0.2">
      <c r="B469" s="34">
        <v>51887.803999999996</v>
      </c>
      <c r="C469" s="34">
        <v>159193.65700000001</v>
      </c>
      <c r="D469" s="34">
        <v>18.779</v>
      </c>
      <c r="F469" s="209">
        <f t="shared" si="21"/>
        <v>60037.803999999996</v>
      </c>
      <c r="G469" s="209">
        <f t="shared" si="22"/>
        <v>363843.65700000001</v>
      </c>
      <c r="H469" s="209">
        <f t="shared" si="23"/>
        <v>18.779</v>
      </c>
    </row>
    <row r="470" spans="2:8" x14ac:dyDescent="0.2">
      <c r="B470" s="34">
        <v>51890.968000000001</v>
      </c>
      <c r="C470" s="34">
        <v>159194.11799999999</v>
      </c>
      <c r="D470" s="34">
        <v>18.779</v>
      </c>
      <c r="F470" s="209">
        <f t="shared" si="21"/>
        <v>60040.968000000001</v>
      </c>
      <c r="G470" s="209">
        <f t="shared" si="22"/>
        <v>363844.11800000002</v>
      </c>
      <c r="H470" s="209">
        <f t="shared" si="23"/>
        <v>18.779</v>
      </c>
    </row>
    <row r="471" spans="2:8" x14ac:dyDescent="0.2">
      <c r="B471" s="34">
        <v>51890.606</v>
      </c>
      <c r="C471" s="34">
        <v>159192.861</v>
      </c>
      <c r="D471" s="34">
        <v>18.771999999999998</v>
      </c>
      <c r="F471" s="209">
        <f t="shared" si="21"/>
        <v>60040.606</v>
      </c>
      <c r="G471" s="209">
        <f t="shared" si="22"/>
        <v>363842.86100000003</v>
      </c>
      <c r="H471" s="209">
        <f t="shared" si="23"/>
        <v>18.771999999999998</v>
      </c>
    </row>
    <row r="472" spans="2:8" x14ac:dyDescent="0.2">
      <c r="B472" s="34">
        <v>51893.758000000002</v>
      </c>
      <c r="C472" s="34">
        <v>159193.315</v>
      </c>
      <c r="D472" s="34">
        <v>18.774000000000001</v>
      </c>
      <c r="F472" s="209">
        <f t="shared" si="21"/>
        <v>60043.758000000002</v>
      </c>
      <c r="G472" s="209">
        <f t="shared" si="22"/>
        <v>363843.315</v>
      </c>
      <c r="H472" s="209">
        <f t="shared" si="23"/>
        <v>18.774000000000001</v>
      </c>
    </row>
    <row r="473" spans="2:8" x14ac:dyDescent="0.2">
      <c r="B473" s="34">
        <v>51893.440999999999</v>
      </c>
      <c r="C473" s="34">
        <v>159192.041</v>
      </c>
      <c r="D473" s="34">
        <v>18.768999999999998</v>
      </c>
      <c r="F473" s="209">
        <f t="shared" si="21"/>
        <v>60043.440999999999</v>
      </c>
      <c r="G473" s="209">
        <f t="shared" si="22"/>
        <v>363842.04099999997</v>
      </c>
      <c r="H473" s="209">
        <f t="shared" si="23"/>
        <v>18.768999999999998</v>
      </c>
    </row>
    <row r="474" spans="2:8" x14ac:dyDescent="0.2">
      <c r="B474" s="34">
        <v>51896.633000000002</v>
      </c>
      <c r="C474" s="34">
        <v>159192.48499999999</v>
      </c>
      <c r="D474" s="34">
        <v>18.777000000000001</v>
      </c>
      <c r="F474" s="209">
        <f t="shared" si="21"/>
        <v>60046.633000000002</v>
      </c>
      <c r="G474" s="209">
        <f t="shared" si="22"/>
        <v>363842.48499999999</v>
      </c>
      <c r="H474" s="209">
        <f t="shared" si="23"/>
        <v>18.777000000000001</v>
      </c>
    </row>
    <row r="475" spans="2:8" x14ac:dyDescent="0.2">
      <c r="B475" s="34">
        <v>51896.249000000003</v>
      </c>
      <c r="C475" s="34">
        <v>159191.22700000001</v>
      </c>
      <c r="D475" s="34">
        <v>18.77</v>
      </c>
      <c r="F475" s="209">
        <f t="shared" si="21"/>
        <v>60046.249000000003</v>
      </c>
      <c r="G475" s="209">
        <f t="shared" si="22"/>
        <v>363841.22700000001</v>
      </c>
      <c r="H475" s="209">
        <f t="shared" si="23"/>
        <v>18.77</v>
      </c>
    </row>
    <row r="476" spans="2:8" x14ac:dyDescent="0.2">
      <c r="B476" s="34">
        <v>51899.398000000001</v>
      </c>
      <c r="C476" s="34">
        <v>159191.69899999999</v>
      </c>
      <c r="D476" s="34">
        <v>18.777999999999999</v>
      </c>
      <c r="F476" s="209">
        <f t="shared" si="21"/>
        <v>60049.398000000001</v>
      </c>
      <c r="G476" s="209">
        <f t="shared" si="22"/>
        <v>363841.69900000002</v>
      </c>
      <c r="H476" s="209">
        <f t="shared" si="23"/>
        <v>18.777999999999999</v>
      </c>
    </row>
    <row r="477" spans="2:8" x14ac:dyDescent="0.2">
      <c r="B477" s="34">
        <v>51899.040000000001</v>
      </c>
      <c r="C477" s="34">
        <v>159190.435</v>
      </c>
      <c r="D477" s="34">
        <v>18.771000000000001</v>
      </c>
      <c r="F477" s="209">
        <f t="shared" si="21"/>
        <v>60049.04</v>
      </c>
      <c r="G477" s="209">
        <f t="shared" si="22"/>
        <v>363840.435</v>
      </c>
      <c r="H477" s="209">
        <f t="shared" si="23"/>
        <v>18.771000000000001</v>
      </c>
    </row>
    <row r="478" spans="2:8" x14ac:dyDescent="0.2">
      <c r="B478" s="34">
        <v>51902.292000000001</v>
      </c>
      <c r="C478" s="34">
        <v>159190.88699999999</v>
      </c>
      <c r="D478" s="34">
        <v>18.779</v>
      </c>
      <c r="F478" s="209">
        <f t="shared" si="21"/>
        <v>60052.292000000001</v>
      </c>
      <c r="G478" s="209">
        <f t="shared" si="22"/>
        <v>363840.88699999999</v>
      </c>
      <c r="H478" s="209">
        <f t="shared" si="23"/>
        <v>18.779</v>
      </c>
    </row>
    <row r="479" spans="2:8" x14ac:dyDescent="0.2">
      <c r="B479" s="34">
        <v>51901.989000000001</v>
      </c>
      <c r="C479" s="34">
        <v>159189.60500000001</v>
      </c>
      <c r="D479" s="34">
        <v>18.77</v>
      </c>
      <c r="F479" s="209">
        <f t="shared" si="21"/>
        <v>60051.989000000001</v>
      </c>
      <c r="G479" s="209">
        <f t="shared" si="22"/>
        <v>363839.60499999998</v>
      </c>
      <c r="H479" s="209">
        <f t="shared" si="23"/>
        <v>18.77</v>
      </c>
    </row>
    <row r="480" spans="2:8" x14ac:dyDescent="0.2">
      <c r="B480" s="34">
        <v>51905.196000000004</v>
      </c>
      <c r="C480" s="34">
        <v>159190.09700000001</v>
      </c>
      <c r="D480" s="34">
        <v>18.78</v>
      </c>
      <c r="F480" s="209">
        <f t="shared" si="21"/>
        <v>60055.196000000004</v>
      </c>
      <c r="G480" s="209">
        <f t="shared" si="22"/>
        <v>363840.09700000001</v>
      </c>
      <c r="H480" s="209">
        <f t="shared" si="23"/>
        <v>18.78</v>
      </c>
    </row>
    <row r="481" spans="2:8" x14ac:dyDescent="0.2">
      <c r="B481" s="34">
        <v>51904.885000000002</v>
      </c>
      <c r="C481" s="34">
        <v>159188.807</v>
      </c>
      <c r="D481" s="34">
        <v>18.773</v>
      </c>
      <c r="F481" s="209">
        <f t="shared" si="21"/>
        <v>60054.885000000002</v>
      </c>
      <c r="G481" s="209">
        <f t="shared" si="22"/>
        <v>363838.80700000003</v>
      </c>
      <c r="H481" s="209">
        <f t="shared" si="23"/>
        <v>18.773</v>
      </c>
    </row>
    <row r="482" spans="2:8" x14ac:dyDescent="0.2">
      <c r="B482" s="34">
        <v>51907.951999999997</v>
      </c>
      <c r="C482" s="34">
        <v>159189.36499999999</v>
      </c>
      <c r="D482" s="34">
        <v>18.785</v>
      </c>
      <c r="F482" s="209">
        <f t="shared" si="21"/>
        <v>60057.951999999997</v>
      </c>
      <c r="G482" s="209">
        <f t="shared" si="22"/>
        <v>363839.36499999999</v>
      </c>
      <c r="H482" s="209">
        <f t="shared" si="23"/>
        <v>18.785</v>
      </c>
    </row>
    <row r="483" spans="2:8" x14ac:dyDescent="0.2">
      <c r="B483" s="34">
        <v>51907.578000000001</v>
      </c>
      <c r="C483" s="34">
        <v>159188.101</v>
      </c>
      <c r="D483" s="34">
        <v>18.774999999999999</v>
      </c>
      <c r="F483" s="209">
        <f t="shared" si="21"/>
        <v>60057.578000000001</v>
      </c>
      <c r="G483" s="209">
        <f t="shared" si="22"/>
        <v>363838.10100000002</v>
      </c>
      <c r="H483" s="209">
        <f t="shared" si="23"/>
        <v>18.774999999999999</v>
      </c>
    </row>
    <row r="484" spans="2:8" x14ac:dyDescent="0.2">
      <c r="B484" s="34">
        <v>51910.962</v>
      </c>
      <c r="C484" s="34">
        <v>159188.603</v>
      </c>
      <c r="D484" s="34">
        <v>18.794</v>
      </c>
      <c r="F484" s="209">
        <f t="shared" si="21"/>
        <v>60060.962</v>
      </c>
      <c r="G484" s="209">
        <f t="shared" si="22"/>
        <v>363838.603</v>
      </c>
      <c r="H484" s="209">
        <f t="shared" si="23"/>
        <v>18.794</v>
      </c>
    </row>
    <row r="485" spans="2:8" x14ac:dyDescent="0.2">
      <c r="B485" s="34">
        <v>51910.64</v>
      </c>
      <c r="C485" s="34">
        <v>159187.32500000001</v>
      </c>
      <c r="D485" s="34">
        <v>18.783000000000001</v>
      </c>
      <c r="F485" s="209">
        <f t="shared" si="21"/>
        <v>60060.639999999999</v>
      </c>
      <c r="G485" s="209">
        <f t="shared" si="22"/>
        <v>363837.32500000001</v>
      </c>
      <c r="H485" s="209">
        <f t="shared" si="23"/>
        <v>18.783000000000001</v>
      </c>
    </row>
    <row r="486" spans="2:8" x14ac:dyDescent="0.2">
      <c r="B486" s="34">
        <v>51913.75</v>
      </c>
      <c r="C486" s="34">
        <v>159187.92000000001</v>
      </c>
      <c r="D486" s="34">
        <v>18.808</v>
      </c>
      <c r="F486" s="209">
        <f t="shared" si="21"/>
        <v>60063.75</v>
      </c>
      <c r="G486" s="209">
        <f t="shared" si="22"/>
        <v>363837.92000000004</v>
      </c>
      <c r="H486" s="209">
        <f t="shared" si="23"/>
        <v>18.808</v>
      </c>
    </row>
    <row r="487" spans="2:8" x14ac:dyDescent="0.2">
      <c r="B487" s="34">
        <v>51913.421000000002</v>
      </c>
      <c r="C487" s="34">
        <v>159186.639</v>
      </c>
      <c r="D487" s="34">
        <v>18.794</v>
      </c>
      <c r="F487" s="209">
        <f t="shared" si="21"/>
        <v>60063.421000000002</v>
      </c>
      <c r="G487" s="209">
        <f t="shared" si="22"/>
        <v>363836.63899999997</v>
      </c>
      <c r="H487" s="209">
        <f t="shared" si="23"/>
        <v>18.794</v>
      </c>
    </row>
    <row r="488" spans="2:8" x14ac:dyDescent="0.2">
      <c r="B488" s="34">
        <v>51884.538999999997</v>
      </c>
      <c r="C488" s="34">
        <v>159193.38200000001</v>
      </c>
      <c r="D488" s="34">
        <v>19.331</v>
      </c>
      <c r="F488" s="209">
        <f t="shared" si="21"/>
        <v>60034.538999999997</v>
      </c>
      <c r="G488" s="209">
        <f t="shared" si="22"/>
        <v>363843.38199999998</v>
      </c>
      <c r="H488" s="209">
        <f t="shared" si="23"/>
        <v>19.331</v>
      </c>
    </row>
    <row r="489" spans="2:8" x14ac:dyDescent="0.2">
      <c r="B489" s="34">
        <v>51890.286</v>
      </c>
      <c r="C489" s="34">
        <v>159191.73000000001</v>
      </c>
      <c r="D489" s="34">
        <v>19.321999999999999</v>
      </c>
      <c r="F489" s="209">
        <f t="shared" si="21"/>
        <v>60040.286</v>
      </c>
      <c r="G489" s="209">
        <f t="shared" si="22"/>
        <v>363841.73</v>
      </c>
      <c r="H489" s="209">
        <f t="shared" si="23"/>
        <v>19.321999999999999</v>
      </c>
    </row>
    <row r="490" spans="2:8" x14ac:dyDescent="0.2">
      <c r="B490" s="34">
        <v>51895.921000000002</v>
      </c>
      <c r="C490" s="34">
        <v>159190.1</v>
      </c>
      <c r="D490" s="34">
        <v>19.334</v>
      </c>
      <c r="F490" s="209">
        <f t="shared" si="21"/>
        <v>60045.921000000002</v>
      </c>
      <c r="G490" s="209">
        <f t="shared" si="22"/>
        <v>363840.1</v>
      </c>
      <c r="H490" s="209">
        <f t="shared" si="23"/>
        <v>19.334</v>
      </c>
    </row>
    <row r="491" spans="2:8" x14ac:dyDescent="0.2">
      <c r="B491" s="34">
        <v>51899.767999999996</v>
      </c>
      <c r="C491" s="34">
        <v>159188.99400000001</v>
      </c>
      <c r="D491" s="34">
        <v>19.344999999999999</v>
      </c>
      <c r="F491" s="209">
        <f t="shared" si="21"/>
        <v>60049.767999999996</v>
      </c>
      <c r="G491" s="209">
        <f t="shared" si="22"/>
        <v>363838.99400000001</v>
      </c>
      <c r="H491" s="209">
        <f t="shared" si="23"/>
        <v>19.344999999999999</v>
      </c>
    </row>
    <row r="492" spans="2:8" x14ac:dyDescent="0.2">
      <c r="B492" s="34">
        <v>51903.608999999997</v>
      </c>
      <c r="C492" s="34">
        <v>159187.883</v>
      </c>
      <c r="D492" s="34">
        <v>19.356999999999999</v>
      </c>
      <c r="F492" s="209">
        <f t="shared" si="21"/>
        <v>60053.608999999997</v>
      </c>
      <c r="G492" s="209">
        <f t="shared" si="22"/>
        <v>363837.88300000003</v>
      </c>
      <c r="H492" s="209">
        <f t="shared" si="23"/>
        <v>19.356999999999999</v>
      </c>
    </row>
    <row r="493" spans="2:8" x14ac:dyDescent="0.2">
      <c r="B493" s="152">
        <v>51910.065000000002</v>
      </c>
      <c r="C493" s="152">
        <v>159186.024</v>
      </c>
      <c r="D493" s="152">
        <v>19.356999999999999</v>
      </c>
      <c r="F493" s="209">
        <f t="shared" si="21"/>
        <v>60060.065000000002</v>
      </c>
      <c r="G493" s="209">
        <f t="shared" si="22"/>
        <v>363836.02399999998</v>
      </c>
      <c r="H493" s="209">
        <f t="shared" si="23"/>
        <v>19.356999999999999</v>
      </c>
    </row>
    <row r="494" spans="2:8" x14ac:dyDescent="0.2">
      <c r="B494" s="34">
        <v>51885.339</v>
      </c>
      <c r="C494" s="34">
        <v>159195.739</v>
      </c>
      <c r="D494" s="34">
        <v>18.783000000000001</v>
      </c>
      <c r="F494" s="209">
        <f t="shared" si="21"/>
        <v>60035.339</v>
      </c>
      <c r="G494" s="209">
        <f t="shared" si="22"/>
        <v>363845.739</v>
      </c>
      <c r="H494" s="209">
        <f t="shared" si="23"/>
        <v>18.783000000000001</v>
      </c>
    </row>
    <row r="495" spans="2:8" x14ac:dyDescent="0.2">
      <c r="B495" s="34">
        <v>51884.957999999999</v>
      </c>
      <c r="C495" s="34">
        <v>159194.47099999999</v>
      </c>
      <c r="D495" s="34">
        <v>18.777999999999999</v>
      </c>
      <c r="F495" s="209">
        <f t="shared" si="21"/>
        <v>60034.957999999999</v>
      </c>
      <c r="G495" s="209">
        <f t="shared" si="22"/>
        <v>363844.47100000002</v>
      </c>
      <c r="H495" s="209">
        <f t="shared" si="23"/>
        <v>18.777999999999999</v>
      </c>
    </row>
    <row r="496" spans="2:8" x14ac:dyDescent="0.2">
      <c r="B496" s="34">
        <v>51888.116999999998</v>
      </c>
      <c r="C496" s="34">
        <v>159194.946</v>
      </c>
      <c r="D496" s="34">
        <v>18.779</v>
      </c>
      <c r="F496" s="209">
        <f t="shared" si="21"/>
        <v>60038.116999999998</v>
      </c>
      <c r="G496" s="209">
        <f t="shared" si="22"/>
        <v>363844.946</v>
      </c>
      <c r="H496" s="209">
        <f t="shared" si="23"/>
        <v>18.779</v>
      </c>
    </row>
    <row r="497" spans="2:8" x14ac:dyDescent="0.2">
      <c r="B497" s="34">
        <v>51887.803999999996</v>
      </c>
      <c r="C497" s="34">
        <v>159193.658</v>
      </c>
      <c r="D497" s="34">
        <v>18.779</v>
      </c>
      <c r="F497" s="209">
        <f t="shared" si="21"/>
        <v>60037.803999999996</v>
      </c>
      <c r="G497" s="209">
        <f t="shared" si="22"/>
        <v>363843.658</v>
      </c>
      <c r="H497" s="209">
        <f t="shared" si="23"/>
        <v>18.779</v>
      </c>
    </row>
    <row r="498" spans="2:8" x14ac:dyDescent="0.2">
      <c r="B498" s="34">
        <v>51890.968000000001</v>
      </c>
      <c r="C498" s="34">
        <v>159194.11799999999</v>
      </c>
      <c r="D498" s="34">
        <v>18.779</v>
      </c>
      <c r="F498" s="209">
        <f t="shared" si="21"/>
        <v>60040.968000000001</v>
      </c>
      <c r="G498" s="209">
        <f t="shared" si="22"/>
        <v>363844.11800000002</v>
      </c>
      <c r="H498" s="209">
        <f t="shared" si="23"/>
        <v>18.779</v>
      </c>
    </row>
    <row r="499" spans="2:8" x14ac:dyDescent="0.2">
      <c r="B499" s="34">
        <v>51890.606</v>
      </c>
      <c r="C499" s="34">
        <v>159192.86199999999</v>
      </c>
      <c r="D499" s="34">
        <v>18.771999999999998</v>
      </c>
      <c r="F499" s="209">
        <f t="shared" si="21"/>
        <v>60040.606</v>
      </c>
      <c r="G499" s="209">
        <f t="shared" si="22"/>
        <v>363842.86199999996</v>
      </c>
      <c r="H499" s="209">
        <f t="shared" si="23"/>
        <v>18.771999999999998</v>
      </c>
    </row>
    <row r="500" spans="2:8" x14ac:dyDescent="0.2">
      <c r="B500" s="34">
        <v>51893.758000000002</v>
      </c>
      <c r="C500" s="34">
        <v>159193.31599999999</v>
      </c>
      <c r="D500" s="34">
        <v>18.774000000000001</v>
      </c>
      <c r="F500" s="209">
        <f t="shared" si="21"/>
        <v>60043.758000000002</v>
      </c>
      <c r="G500" s="209">
        <f t="shared" si="22"/>
        <v>363843.31599999999</v>
      </c>
      <c r="H500" s="209">
        <f t="shared" si="23"/>
        <v>18.774000000000001</v>
      </c>
    </row>
    <row r="501" spans="2:8" x14ac:dyDescent="0.2">
      <c r="B501" s="34">
        <v>51893.440999999999</v>
      </c>
      <c r="C501" s="34">
        <v>159192.04199999999</v>
      </c>
      <c r="D501" s="34">
        <v>18.768999999999998</v>
      </c>
      <c r="F501" s="209">
        <f t="shared" si="21"/>
        <v>60043.440999999999</v>
      </c>
      <c r="G501" s="209">
        <f t="shared" si="22"/>
        <v>363842.04200000002</v>
      </c>
      <c r="H501" s="209">
        <f t="shared" si="23"/>
        <v>18.768999999999998</v>
      </c>
    </row>
    <row r="502" spans="2:8" x14ac:dyDescent="0.2">
      <c r="B502" s="34">
        <v>51896.631999999998</v>
      </c>
      <c r="C502" s="34">
        <v>159192.486</v>
      </c>
      <c r="D502" s="34">
        <v>18.777999999999999</v>
      </c>
      <c r="F502" s="209">
        <f t="shared" si="21"/>
        <v>60046.631999999998</v>
      </c>
      <c r="G502" s="209">
        <f t="shared" si="22"/>
        <v>363842.48600000003</v>
      </c>
      <c r="H502" s="209">
        <f t="shared" si="23"/>
        <v>18.777999999999999</v>
      </c>
    </row>
    <row r="503" spans="2:8" x14ac:dyDescent="0.2">
      <c r="B503" s="34">
        <v>51896.249000000003</v>
      </c>
      <c r="C503" s="34">
        <v>159191.22700000001</v>
      </c>
      <c r="D503" s="34">
        <v>18.77</v>
      </c>
      <c r="F503" s="209">
        <f t="shared" si="21"/>
        <v>60046.249000000003</v>
      </c>
      <c r="G503" s="209">
        <f t="shared" si="22"/>
        <v>363841.22700000001</v>
      </c>
      <c r="H503" s="209">
        <f t="shared" si="23"/>
        <v>18.77</v>
      </c>
    </row>
    <row r="504" spans="2:8" x14ac:dyDescent="0.2">
      <c r="B504" s="34">
        <v>51899.398000000001</v>
      </c>
      <c r="C504" s="34">
        <v>159191.69899999999</v>
      </c>
      <c r="D504" s="34">
        <v>18.777999999999999</v>
      </c>
      <c r="F504" s="209">
        <f t="shared" si="21"/>
        <v>60049.398000000001</v>
      </c>
      <c r="G504" s="209">
        <f t="shared" si="22"/>
        <v>363841.69900000002</v>
      </c>
      <c r="H504" s="209">
        <f t="shared" si="23"/>
        <v>18.777999999999999</v>
      </c>
    </row>
    <row r="505" spans="2:8" x14ac:dyDescent="0.2">
      <c r="B505" s="34">
        <v>51899.040000000001</v>
      </c>
      <c r="C505" s="34">
        <v>159190.43599999999</v>
      </c>
      <c r="D505" s="34">
        <v>18.771000000000001</v>
      </c>
      <c r="F505" s="209">
        <f t="shared" si="21"/>
        <v>60049.04</v>
      </c>
      <c r="G505" s="209">
        <f t="shared" si="22"/>
        <v>363840.43599999999</v>
      </c>
      <c r="H505" s="209">
        <f t="shared" si="23"/>
        <v>18.771000000000001</v>
      </c>
    </row>
    <row r="506" spans="2:8" x14ac:dyDescent="0.2">
      <c r="B506" s="34">
        <v>51902.292000000001</v>
      </c>
      <c r="C506" s="34">
        <v>159190.88699999999</v>
      </c>
      <c r="D506" s="34">
        <v>18.779</v>
      </c>
      <c r="F506" s="209">
        <f t="shared" si="21"/>
        <v>60052.292000000001</v>
      </c>
      <c r="G506" s="209">
        <f t="shared" si="22"/>
        <v>363840.88699999999</v>
      </c>
      <c r="H506" s="209">
        <f t="shared" si="23"/>
        <v>18.779</v>
      </c>
    </row>
    <row r="507" spans="2:8" x14ac:dyDescent="0.2">
      <c r="B507" s="34">
        <v>51901.987999999998</v>
      </c>
      <c r="C507" s="34">
        <v>159189.60500000001</v>
      </c>
      <c r="D507" s="34">
        <v>18.77</v>
      </c>
      <c r="F507" s="209">
        <f t="shared" si="21"/>
        <v>60051.987999999998</v>
      </c>
      <c r="G507" s="209">
        <f t="shared" si="22"/>
        <v>363839.60499999998</v>
      </c>
      <c r="H507" s="209">
        <f t="shared" si="23"/>
        <v>18.77</v>
      </c>
    </row>
    <row r="508" spans="2:8" x14ac:dyDescent="0.2">
      <c r="B508" s="34">
        <v>51905.196000000004</v>
      </c>
      <c r="C508" s="34">
        <v>159190.09700000001</v>
      </c>
      <c r="D508" s="34">
        <v>18.780999999999999</v>
      </c>
      <c r="F508" s="209">
        <f t="shared" si="21"/>
        <v>60055.196000000004</v>
      </c>
      <c r="G508" s="209">
        <f t="shared" si="22"/>
        <v>363840.09700000001</v>
      </c>
      <c r="H508" s="209">
        <f t="shared" si="23"/>
        <v>18.780999999999999</v>
      </c>
    </row>
    <row r="509" spans="2:8" x14ac:dyDescent="0.2">
      <c r="B509" s="34">
        <v>51904.885000000002</v>
      </c>
      <c r="C509" s="34">
        <v>159188.807</v>
      </c>
      <c r="D509" s="34">
        <v>18.773</v>
      </c>
      <c r="F509" s="209">
        <f t="shared" si="21"/>
        <v>60054.885000000002</v>
      </c>
      <c r="G509" s="209">
        <f t="shared" si="22"/>
        <v>363838.80700000003</v>
      </c>
      <c r="H509" s="209">
        <f t="shared" si="23"/>
        <v>18.773</v>
      </c>
    </row>
    <row r="510" spans="2:8" x14ac:dyDescent="0.2">
      <c r="B510" s="34">
        <v>51907.951999999997</v>
      </c>
      <c r="C510" s="34">
        <v>159189.36499999999</v>
      </c>
      <c r="D510" s="34">
        <v>18.786000000000001</v>
      </c>
      <c r="F510" s="209">
        <f t="shared" si="21"/>
        <v>60057.951999999997</v>
      </c>
      <c r="G510" s="209">
        <f t="shared" si="22"/>
        <v>363839.36499999999</v>
      </c>
      <c r="H510" s="209">
        <f t="shared" si="23"/>
        <v>18.786000000000001</v>
      </c>
    </row>
    <row r="511" spans="2:8" x14ac:dyDescent="0.2">
      <c r="B511" s="34">
        <v>51907.578000000001</v>
      </c>
      <c r="C511" s="34">
        <v>159188.1</v>
      </c>
      <c r="D511" s="34">
        <v>18.776</v>
      </c>
      <c r="F511" s="209">
        <f t="shared" si="21"/>
        <v>60057.578000000001</v>
      </c>
      <c r="G511" s="209">
        <f t="shared" si="22"/>
        <v>363838.1</v>
      </c>
      <c r="H511" s="209">
        <f t="shared" si="23"/>
        <v>18.776</v>
      </c>
    </row>
    <row r="512" spans="2:8" x14ac:dyDescent="0.2">
      <c r="B512" s="34">
        <v>51910.962</v>
      </c>
      <c r="C512" s="34">
        <v>159188.603</v>
      </c>
      <c r="D512" s="34">
        <v>18.794</v>
      </c>
      <c r="F512" s="209">
        <f t="shared" si="21"/>
        <v>60060.962</v>
      </c>
      <c r="G512" s="209">
        <f t="shared" si="22"/>
        <v>363838.603</v>
      </c>
      <c r="H512" s="209">
        <f t="shared" si="23"/>
        <v>18.794</v>
      </c>
    </row>
    <row r="513" spans="2:8" x14ac:dyDescent="0.2">
      <c r="B513" s="34">
        <v>51910.639000000003</v>
      </c>
      <c r="C513" s="34">
        <v>159187.32500000001</v>
      </c>
      <c r="D513" s="34">
        <v>18.783000000000001</v>
      </c>
      <c r="F513" s="209">
        <f t="shared" si="21"/>
        <v>60060.639000000003</v>
      </c>
      <c r="G513" s="209">
        <f t="shared" si="22"/>
        <v>363837.32500000001</v>
      </c>
      <c r="H513" s="209">
        <f t="shared" si="23"/>
        <v>18.783000000000001</v>
      </c>
    </row>
    <row r="514" spans="2:8" x14ac:dyDescent="0.2">
      <c r="B514" s="34">
        <v>51913.75</v>
      </c>
      <c r="C514" s="34">
        <v>159187.92000000001</v>
      </c>
      <c r="D514" s="34">
        <v>18.808</v>
      </c>
      <c r="F514" s="209">
        <f t="shared" si="21"/>
        <v>60063.75</v>
      </c>
      <c r="G514" s="209">
        <f t="shared" si="22"/>
        <v>363837.92000000004</v>
      </c>
      <c r="H514" s="209">
        <f t="shared" si="23"/>
        <v>18.808</v>
      </c>
    </row>
    <row r="515" spans="2:8" x14ac:dyDescent="0.2">
      <c r="B515" s="34">
        <v>51913.421000000002</v>
      </c>
      <c r="C515" s="34">
        <v>159186.63800000001</v>
      </c>
      <c r="D515" s="34">
        <v>18.794</v>
      </c>
      <c r="F515" s="209">
        <f t="shared" si="21"/>
        <v>60063.421000000002</v>
      </c>
      <c r="G515" s="209">
        <f t="shared" si="22"/>
        <v>363836.63800000004</v>
      </c>
      <c r="H515" s="209">
        <f t="shared" si="23"/>
        <v>18.794</v>
      </c>
    </row>
    <row r="516" spans="2:8" x14ac:dyDescent="0.2">
      <c r="B516" s="34">
        <v>51884.538999999997</v>
      </c>
      <c r="C516" s="34">
        <v>159193.383</v>
      </c>
      <c r="D516" s="34">
        <v>19.331</v>
      </c>
      <c r="F516" s="209">
        <f t="shared" ref="F516:F579" si="24">B516+$B$1</f>
        <v>60034.538999999997</v>
      </c>
      <c r="G516" s="209">
        <f t="shared" ref="G516:G579" si="25">C516+$C$1</f>
        <v>363843.38300000003</v>
      </c>
      <c r="H516" s="209">
        <f t="shared" ref="H516:H579" si="26">D516+$D$1</f>
        <v>19.331</v>
      </c>
    </row>
    <row r="517" spans="2:8" x14ac:dyDescent="0.2">
      <c r="B517" s="34">
        <v>51890.286</v>
      </c>
      <c r="C517" s="34">
        <v>159191.731</v>
      </c>
      <c r="D517" s="34">
        <v>19.321999999999999</v>
      </c>
      <c r="F517" s="209">
        <f t="shared" si="24"/>
        <v>60040.286</v>
      </c>
      <c r="G517" s="209">
        <f t="shared" si="25"/>
        <v>363841.73100000003</v>
      </c>
      <c r="H517" s="209">
        <f t="shared" si="26"/>
        <v>19.321999999999999</v>
      </c>
    </row>
    <row r="518" spans="2:8" x14ac:dyDescent="0.2">
      <c r="B518" s="34">
        <v>51895.921000000002</v>
      </c>
      <c r="C518" s="34">
        <v>159190.101</v>
      </c>
      <c r="D518" s="34">
        <v>19.334</v>
      </c>
      <c r="F518" s="209">
        <f t="shared" si="24"/>
        <v>60045.921000000002</v>
      </c>
      <c r="G518" s="209">
        <f t="shared" si="25"/>
        <v>363840.10100000002</v>
      </c>
      <c r="H518" s="209">
        <f t="shared" si="26"/>
        <v>19.334</v>
      </c>
    </row>
    <row r="519" spans="2:8" x14ac:dyDescent="0.2">
      <c r="B519" s="34">
        <v>51899.767</v>
      </c>
      <c r="C519" s="34">
        <v>159188.995</v>
      </c>
      <c r="D519" s="34">
        <v>19.344999999999999</v>
      </c>
      <c r="F519" s="209">
        <f t="shared" si="24"/>
        <v>60049.767</v>
      </c>
      <c r="G519" s="209">
        <f t="shared" si="25"/>
        <v>363838.995</v>
      </c>
      <c r="H519" s="209">
        <f t="shared" si="26"/>
        <v>19.344999999999999</v>
      </c>
    </row>
    <row r="520" spans="2:8" x14ac:dyDescent="0.2">
      <c r="B520" s="34">
        <v>51903.608</v>
      </c>
      <c r="C520" s="34">
        <v>159187.883</v>
      </c>
      <c r="D520" s="34">
        <v>19.356999999999999</v>
      </c>
      <c r="F520" s="209">
        <f t="shared" si="24"/>
        <v>60053.608</v>
      </c>
      <c r="G520" s="209">
        <f t="shared" si="25"/>
        <v>363837.88300000003</v>
      </c>
      <c r="H520" s="209">
        <f t="shared" si="26"/>
        <v>19.356999999999999</v>
      </c>
    </row>
    <row r="521" spans="2:8" x14ac:dyDescent="0.2">
      <c r="B521" s="152">
        <v>51910.065000000002</v>
      </c>
      <c r="C521" s="152">
        <v>159186.024</v>
      </c>
      <c r="D521" s="152">
        <v>19.356999999999999</v>
      </c>
      <c r="F521" s="209">
        <f t="shared" si="24"/>
        <v>60060.065000000002</v>
      </c>
      <c r="G521" s="209">
        <f t="shared" si="25"/>
        <v>363836.02399999998</v>
      </c>
      <c r="H521" s="209">
        <f t="shared" si="26"/>
        <v>19.356999999999999</v>
      </c>
    </row>
    <row r="522" spans="2:8" x14ac:dyDescent="0.2">
      <c r="B522" s="34">
        <v>51885.338000000003</v>
      </c>
      <c r="C522" s="34">
        <v>159195.739</v>
      </c>
      <c r="D522" s="34">
        <v>18.782</v>
      </c>
      <c r="F522" s="209">
        <f t="shared" si="24"/>
        <v>60035.338000000003</v>
      </c>
      <c r="G522" s="209">
        <f t="shared" si="25"/>
        <v>363845.739</v>
      </c>
      <c r="H522" s="209">
        <f t="shared" si="26"/>
        <v>18.782</v>
      </c>
    </row>
    <row r="523" spans="2:8" x14ac:dyDescent="0.2">
      <c r="B523" s="34">
        <v>51884.957999999999</v>
      </c>
      <c r="C523" s="34">
        <v>159194.47200000001</v>
      </c>
      <c r="D523" s="34">
        <v>18.777999999999999</v>
      </c>
      <c r="F523" s="209">
        <f t="shared" si="24"/>
        <v>60034.957999999999</v>
      </c>
      <c r="G523" s="209">
        <f t="shared" si="25"/>
        <v>363844.47200000001</v>
      </c>
      <c r="H523" s="209">
        <f t="shared" si="26"/>
        <v>18.777999999999999</v>
      </c>
    </row>
    <row r="524" spans="2:8" x14ac:dyDescent="0.2">
      <c r="B524" s="34">
        <v>51888.116000000002</v>
      </c>
      <c r="C524" s="34">
        <v>159194.946</v>
      </c>
      <c r="D524" s="34">
        <v>18.777999999999999</v>
      </c>
      <c r="F524" s="209">
        <f t="shared" si="24"/>
        <v>60038.116000000002</v>
      </c>
      <c r="G524" s="209">
        <f t="shared" si="25"/>
        <v>363844.946</v>
      </c>
      <c r="H524" s="209">
        <f t="shared" si="26"/>
        <v>18.777999999999999</v>
      </c>
    </row>
    <row r="525" spans="2:8" x14ac:dyDescent="0.2">
      <c r="B525" s="34">
        <v>51887.803999999996</v>
      </c>
      <c r="C525" s="34">
        <v>159193.658</v>
      </c>
      <c r="D525" s="34">
        <v>18.777999999999999</v>
      </c>
      <c r="F525" s="209">
        <f t="shared" si="24"/>
        <v>60037.803999999996</v>
      </c>
      <c r="G525" s="209">
        <f t="shared" si="25"/>
        <v>363843.658</v>
      </c>
      <c r="H525" s="209">
        <f t="shared" si="26"/>
        <v>18.777999999999999</v>
      </c>
    </row>
    <row r="526" spans="2:8" x14ac:dyDescent="0.2">
      <c r="B526" s="34">
        <v>51890.968000000001</v>
      </c>
      <c r="C526" s="34">
        <v>159194.11799999999</v>
      </c>
      <c r="D526" s="34">
        <v>18.779</v>
      </c>
      <c r="F526" s="209">
        <f t="shared" si="24"/>
        <v>60040.968000000001</v>
      </c>
      <c r="G526" s="209">
        <f t="shared" si="25"/>
        <v>363844.11800000002</v>
      </c>
      <c r="H526" s="209">
        <f t="shared" si="26"/>
        <v>18.779</v>
      </c>
    </row>
    <row r="527" spans="2:8" x14ac:dyDescent="0.2">
      <c r="B527" s="34">
        <v>51890.606</v>
      </c>
      <c r="C527" s="34">
        <v>159192.86199999999</v>
      </c>
      <c r="D527" s="34">
        <v>18.771999999999998</v>
      </c>
      <c r="F527" s="209">
        <f t="shared" si="24"/>
        <v>60040.606</v>
      </c>
      <c r="G527" s="209">
        <f t="shared" si="25"/>
        <v>363842.86199999996</v>
      </c>
      <c r="H527" s="209">
        <f t="shared" si="26"/>
        <v>18.771999999999998</v>
      </c>
    </row>
    <row r="528" spans="2:8" x14ac:dyDescent="0.2">
      <c r="B528" s="34">
        <v>51893.758000000002</v>
      </c>
      <c r="C528" s="34">
        <v>159193.31599999999</v>
      </c>
      <c r="D528" s="34">
        <v>18.774000000000001</v>
      </c>
      <c r="F528" s="209">
        <f t="shared" si="24"/>
        <v>60043.758000000002</v>
      </c>
      <c r="G528" s="209">
        <f t="shared" si="25"/>
        <v>363843.31599999999</v>
      </c>
      <c r="H528" s="209">
        <f t="shared" si="26"/>
        <v>18.774000000000001</v>
      </c>
    </row>
    <row r="529" spans="2:8" x14ac:dyDescent="0.2">
      <c r="B529" s="34">
        <v>51893.440000000002</v>
      </c>
      <c r="C529" s="34">
        <v>159192.04199999999</v>
      </c>
      <c r="D529" s="34">
        <v>18.768000000000001</v>
      </c>
      <c r="F529" s="209">
        <f t="shared" si="24"/>
        <v>60043.44</v>
      </c>
      <c r="G529" s="209">
        <f t="shared" si="25"/>
        <v>363842.04200000002</v>
      </c>
      <c r="H529" s="209">
        <f t="shared" si="26"/>
        <v>18.768000000000001</v>
      </c>
    </row>
    <row r="530" spans="2:8" x14ac:dyDescent="0.2">
      <c r="B530" s="34">
        <v>51896.631999999998</v>
      </c>
      <c r="C530" s="34">
        <v>159192.486</v>
      </c>
      <c r="D530" s="34">
        <v>18.777000000000001</v>
      </c>
      <c r="F530" s="209">
        <f t="shared" si="24"/>
        <v>60046.631999999998</v>
      </c>
      <c r="G530" s="209">
        <f t="shared" si="25"/>
        <v>363842.48600000003</v>
      </c>
      <c r="H530" s="209">
        <f t="shared" si="26"/>
        <v>18.777000000000001</v>
      </c>
    </row>
    <row r="531" spans="2:8" x14ac:dyDescent="0.2">
      <c r="B531" s="34">
        <v>51896.249000000003</v>
      </c>
      <c r="C531" s="34">
        <v>159191.22700000001</v>
      </c>
      <c r="D531" s="34">
        <v>18.77</v>
      </c>
      <c r="F531" s="209">
        <f t="shared" si="24"/>
        <v>60046.249000000003</v>
      </c>
      <c r="G531" s="209">
        <f t="shared" si="25"/>
        <v>363841.22700000001</v>
      </c>
      <c r="H531" s="209">
        <f t="shared" si="26"/>
        <v>18.77</v>
      </c>
    </row>
    <row r="532" spans="2:8" x14ac:dyDescent="0.2">
      <c r="B532" s="34">
        <v>51899.398000000001</v>
      </c>
      <c r="C532" s="34">
        <v>159191.69899999999</v>
      </c>
      <c r="D532" s="34">
        <v>18.777999999999999</v>
      </c>
      <c r="F532" s="209">
        <f t="shared" si="24"/>
        <v>60049.398000000001</v>
      </c>
      <c r="G532" s="209">
        <f t="shared" si="25"/>
        <v>363841.69900000002</v>
      </c>
      <c r="H532" s="209">
        <f t="shared" si="26"/>
        <v>18.777999999999999</v>
      </c>
    </row>
    <row r="533" spans="2:8" x14ac:dyDescent="0.2">
      <c r="B533" s="34">
        <v>51899.040000000001</v>
      </c>
      <c r="C533" s="34">
        <v>159190.43599999999</v>
      </c>
      <c r="D533" s="34">
        <v>18.771000000000001</v>
      </c>
      <c r="F533" s="209">
        <f t="shared" si="24"/>
        <v>60049.04</v>
      </c>
      <c r="G533" s="209">
        <f t="shared" si="25"/>
        <v>363840.43599999999</v>
      </c>
      <c r="H533" s="209">
        <f t="shared" si="26"/>
        <v>18.771000000000001</v>
      </c>
    </row>
    <row r="534" spans="2:8" x14ac:dyDescent="0.2">
      <c r="B534" s="34">
        <v>51902.292000000001</v>
      </c>
      <c r="C534" s="34">
        <v>159190.88699999999</v>
      </c>
      <c r="D534" s="34">
        <v>18.779</v>
      </c>
      <c r="F534" s="209">
        <f t="shared" si="24"/>
        <v>60052.292000000001</v>
      </c>
      <c r="G534" s="209">
        <f t="shared" si="25"/>
        <v>363840.88699999999</v>
      </c>
      <c r="H534" s="209">
        <f t="shared" si="26"/>
        <v>18.779</v>
      </c>
    </row>
    <row r="535" spans="2:8" x14ac:dyDescent="0.2">
      <c r="B535" s="34">
        <v>51901.987999999998</v>
      </c>
      <c r="C535" s="34">
        <v>159189.606</v>
      </c>
      <c r="D535" s="34">
        <v>18.77</v>
      </c>
      <c r="F535" s="209">
        <f t="shared" si="24"/>
        <v>60051.987999999998</v>
      </c>
      <c r="G535" s="209">
        <f t="shared" si="25"/>
        <v>363839.60600000003</v>
      </c>
      <c r="H535" s="209">
        <f t="shared" si="26"/>
        <v>18.77</v>
      </c>
    </row>
    <row r="536" spans="2:8" x14ac:dyDescent="0.2">
      <c r="B536" s="34">
        <v>51905.196000000004</v>
      </c>
      <c r="C536" s="34">
        <v>159190.09700000001</v>
      </c>
      <c r="D536" s="34">
        <v>18.78</v>
      </c>
      <c r="F536" s="209">
        <f t="shared" si="24"/>
        <v>60055.196000000004</v>
      </c>
      <c r="G536" s="209">
        <f t="shared" si="25"/>
        <v>363840.09700000001</v>
      </c>
      <c r="H536" s="209">
        <f t="shared" si="26"/>
        <v>18.78</v>
      </c>
    </row>
    <row r="537" spans="2:8" x14ac:dyDescent="0.2">
      <c r="B537" s="34">
        <v>51904.883999999998</v>
      </c>
      <c r="C537" s="34">
        <v>159188.807</v>
      </c>
      <c r="D537" s="34">
        <v>18.773</v>
      </c>
      <c r="F537" s="209">
        <f t="shared" si="24"/>
        <v>60054.883999999998</v>
      </c>
      <c r="G537" s="209">
        <f t="shared" si="25"/>
        <v>363838.80700000003</v>
      </c>
      <c r="H537" s="209">
        <f t="shared" si="26"/>
        <v>18.773</v>
      </c>
    </row>
    <row r="538" spans="2:8" x14ac:dyDescent="0.2">
      <c r="B538" s="34">
        <v>51907.951999999997</v>
      </c>
      <c r="C538" s="34">
        <v>159189.36499999999</v>
      </c>
      <c r="D538" s="34">
        <v>18.785</v>
      </c>
      <c r="F538" s="209">
        <f t="shared" si="24"/>
        <v>60057.951999999997</v>
      </c>
      <c r="G538" s="209">
        <f t="shared" si="25"/>
        <v>363839.36499999999</v>
      </c>
      <c r="H538" s="209">
        <f t="shared" si="26"/>
        <v>18.785</v>
      </c>
    </row>
    <row r="539" spans="2:8" x14ac:dyDescent="0.2">
      <c r="B539" s="34">
        <v>51907.578000000001</v>
      </c>
      <c r="C539" s="34">
        <v>159188.1</v>
      </c>
      <c r="D539" s="34">
        <v>18.774999999999999</v>
      </c>
      <c r="F539" s="209">
        <f t="shared" si="24"/>
        <v>60057.578000000001</v>
      </c>
      <c r="G539" s="209">
        <f t="shared" si="25"/>
        <v>363838.1</v>
      </c>
      <c r="H539" s="209">
        <f t="shared" si="26"/>
        <v>18.774999999999999</v>
      </c>
    </row>
    <row r="540" spans="2:8" x14ac:dyDescent="0.2">
      <c r="B540" s="34">
        <v>51910.962</v>
      </c>
      <c r="C540" s="34">
        <v>159188.603</v>
      </c>
      <c r="D540" s="34">
        <v>18.794</v>
      </c>
      <c r="F540" s="209">
        <f t="shared" si="24"/>
        <v>60060.962</v>
      </c>
      <c r="G540" s="209">
        <f t="shared" si="25"/>
        <v>363838.603</v>
      </c>
      <c r="H540" s="209">
        <f t="shared" si="26"/>
        <v>18.794</v>
      </c>
    </row>
    <row r="541" spans="2:8" x14ac:dyDescent="0.2">
      <c r="B541" s="34">
        <v>51910.639000000003</v>
      </c>
      <c r="C541" s="34">
        <v>159187.32500000001</v>
      </c>
      <c r="D541" s="34">
        <v>18.783000000000001</v>
      </c>
      <c r="F541" s="209">
        <f t="shared" si="24"/>
        <v>60060.639000000003</v>
      </c>
      <c r="G541" s="209">
        <f t="shared" si="25"/>
        <v>363837.32500000001</v>
      </c>
      <c r="H541" s="209">
        <f t="shared" si="26"/>
        <v>18.783000000000001</v>
      </c>
    </row>
    <row r="542" spans="2:8" x14ac:dyDescent="0.2">
      <c r="B542" s="34">
        <v>51913.75</v>
      </c>
      <c r="C542" s="34">
        <v>159187.92000000001</v>
      </c>
      <c r="D542" s="34">
        <v>18.808</v>
      </c>
      <c r="F542" s="209">
        <f t="shared" si="24"/>
        <v>60063.75</v>
      </c>
      <c r="G542" s="209">
        <f t="shared" si="25"/>
        <v>363837.92000000004</v>
      </c>
      <c r="H542" s="209">
        <f t="shared" si="26"/>
        <v>18.808</v>
      </c>
    </row>
    <row r="543" spans="2:8" x14ac:dyDescent="0.2">
      <c r="B543" s="34">
        <v>51913.42</v>
      </c>
      <c r="C543" s="34">
        <v>159186.639</v>
      </c>
      <c r="D543" s="34">
        <v>18.794</v>
      </c>
      <c r="F543" s="209">
        <f t="shared" si="24"/>
        <v>60063.42</v>
      </c>
      <c r="G543" s="209">
        <f t="shared" si="25"/>
        <v>363836.63899999997</v>
      </c>
      <c r="H543" s="209">
        <f t="shared" si="26"/>
        <v>18.794</v>
      </c>
    </row>
    <row r="544" spans="2:8" x14ac:dyDescent="0.2">
      <c r="B544" s="34">
        <v>51884.538999999997</v>
      </c>
      <c r="C544" s="34">
        <v>159193.383</v>
      </c>
      <c r="D544" s="34">
        <v>19.331</v>
      </c>
      <c r="F544" s="209">
        <f t="shared" si="24"/>
        <v>60034.538999999997</v>
      </c>
      <c r="G544" s="209">
        <f t="shared" si="25"/>
        <v>363843.38300000003</v>
      </c>
      <c r="H544" s="209">
        <f t="shared" si="26"/>
        <v>19.331</v>
      </c>
    </row>
    <row r="545" spans="2:8" x14ac:dyDescent="0.2">
      <c r="B545" s="34">
        <v>51890.286</v>
      </c>
      <c r="C545" s="34">
        <v>159191.731</v>
      </c>
      <c r="D545" s="34">
        <v>19.321000000000002</v>
      </c>
      <c r="F545" s="209">
        <f t="shared" si="24"/>
        <v>60040.286</v>
      </c>
      <c r="G545" s="209">
        <f t="shared" si="25"/>
        <v>363841.73100000003</v>
      </c>
      <c r="H545" s="209">
        <f t="shared" si="26"/>
        <v>19.321000000000002</v>
      </c>
    </row>
    <row r="546" spans="2:8" x14ac:dyDescent="0.2">
      <c r="B546" s="34">
        <v>51895.921000000002</v>
      </c>
      <c r="C546" s="34">
        <v>159190.101</v>
      </c>
      <c r="D546" s="34">
        <v>19.334</v>
      </c>
      <c r="F546" s="209">
        <f t="shared" si="24"/>
        <v>60045.921000000002</v>
      </c>
      <c r="G546" s="209">
        <f t="shared" si="25"/>
        <v>363840.10100000002</v>
      </c>
      <c r="H546" s="209">
        <f t="shared" si="26"/>
        <v>19.334</v>
      </c>
    </row>
    <row r="547" spans="2:8" x14ac:dyDescent="0.2">
      <c r="B547" s="34">
        <v>51899.767</v>
      </c>
      <c r="C547" s="34">
        <v>159188.995</v>
      </c>
      <c r="D547" s="34">
        <v>19.344999999999999</v>
      </c>
      <c r="F547" s="209">
        <f t="shared" si="24"/>
        <v>60049.767</v>
      </c>
      <c r="G547" s="209">
        <f t="shared" si="25"/>
        <v>363838.995</v>
      </c>
      <c r="H547" s="209">
        <f t="shared" si="26"/>
        <v>19.344999999999999</v>
      </c>
    </row>
    <row r="548" spans="2:8" x14ac:dyDescent="0.2">
      <c r="B548" s="34">
        <v>51903.608</v>
      </c>
      <c r="C548" s="34">
        <v>159187.883</v>
      </c>
      <c r="D548" s="34">
        <v>19.356999999999999</v>
      </c>
      <c r="F548" s="209">
        <f t="shared" si="24"/>
        <v>60053.608</v>
      </c>
      <c r="G548" s="209">
        <f t="shared" si="25"/>
        <v>363837.88300000003</v>
      </c>
      <c r="H548" s="209">
        <f t="shared" si="26"/>
        <v>19.356999999999999</v>
      </c>
    </row>
    <row r="549" spans="2:8" x14ac:dyDescent="0.2">
      <c r="B549" s="152">
        <v>51910.065000000002</v>
      </c>
      <c r="C549" s="152">
        <v>159186.024</v>
      </c>
      <c r="D549" s="152">
        <v>19.356999999999999</v>
      </c>
      <c r="F549" s="209">
        <f t="shared" si="24"/>
        <v>60060.065000000002</v>
      </c>
      <c r="G549" s="209">
        <f t="shared" si="25"/>
        <v>363836.02399999998</v>
      </c>
      <c r="H549" s="209">
        <f t="shared" si="26"/>
        <v>19.356999999999999</v>
      </c>
    </row>
    <row r="550" spans="2:8" x14ac:dyDescent="0.2">
      <c r="B550" s="34">
        <v>51885.339</v>
      </c>
      <c r="C550" s="34">
        <v>159195.739</v>
      </c>
      <c r="D550" s="34">
        <v>18.782</v>
      </c>
      <c r="F550" s="209">
        <f t="shared" si="24"/>
        <v>60035.339</v>
      </c>
      <c r="G550" s="209">
        <f t="shared" si="25"/>
        <v>363845.739</v>
      </c>
      <c r="H550" s="209">
        <f t="shared" si="26"/>
        <v>18.782</v>
      </c>
    </row>
    <row r="551" spans="2:8" x14ac:dyDescent="0.2">
      <c r="B551" s="34">
        <v>51884.957999999999</v>
      </c>
      <c r="C551" s="34">
        <v>159194.47099999999</v>
      </c>
      <c r="D551" s="34">
        <v>18.777999999999999</v>
      </c>
      <c r="F551" s="209">
        <f t="shared" si="24"/>
        <v>60034.957999999999</v>
      </c>
      <c r="G551" s="209">
        <f t="shared" si="25"/>
        <v>363844.47100000002</v>
      </c>
      <c r="H551" s="209">
        <f t="shared" si="26"/>
        <v>18.777999999999999</v>
      </c>
    </row>
    <row r="552" spans="2:8" x14ac:dyDescent="0.2">
      <c r="B552" s="34">
        <v>51888.116999999998</v>
      </c>
      <c r="C552" s="34">
        <v>159194.94500000001</v>
      </c>
      <c r="D552" s="34">
        <v>18.777999999999999</v>
      </c>
      <c r="F552" s="209">
        <f t="shared" si="24"/>
        <v>60038.116999999998</v>
      </c>
      <c r="G552" s="209">
        <f t="shared" si="25"/>
        <v>363844.94500000001</v>
      </c>
      <c r="H552" s="209">
        <f t="shared" si="26"/>
        <v>18.777999999999999</v>
      </c>
    </row>
    <row r="553" spans="2:8" x14ac:dyDescent="0.2">
      <c r="B553" s="34">
        <v>51887.803999999996</v>
      </c>
      <c r="C553" s="34">
        <v>159193.65700000001</v>
      </c>
      <c r="D553" s="34">
        <v>18.777999999999999</v>
      </c>
      <c r="F553" s="209">
        <f t="shared" si="24"/>
        <v>60037.803999999996</v>
      </c>
      <c r="G553" s="209">
        <f t="shared" si="25"/>
        <v>363843.65700000001</v>
      </c>
      <c r="H553" s="209">
        <f t="shared" si="26"/>
        <v>18.777999999999999</v>
      </c>
    </row>
    <row r="554" spans="2:8" x14ac:dyDescent="0.2">
      <c r="B554" s="34">
        <v>51890.968000000001</v>
      </c>
      <c r="C554" s="34">
        <v>159194.11799999999</v>
      </c>
      <c r="D554" s="34">
        <v>18.779</v>
      </c>
      <c r="F554" s="209">
        <f t="shared" si="24"/>
        <v>60040.968000000001</v>
      </c>
      <c r="G554" s="209">
        <f t="shared" si="25"/>
        <v>363844.11800000002</v>
      </c>
      <c r="H554" s="209">
        <f t="shared" si="26"/>
        <v>18.779</v>
      </c>
    </row>
    <row r="555" spans="2:8" x14ac:dyDescent="0.2">
      <c r="B555" s="34">
        <v>51890.606</v>
      </c>
      <c r="C555" s="34">
        <v>159192.86199999999</v>
      </c>
      <c r="D555" s="34">
        <v>18.771999999999998</v>
      </c>
      <c r="F555" s="209">
        <f t="shared" si="24"/>
        <v>60040.606</v>
      </c>
      <c r="G555" s="209">
        <f t="shared" si="25"/>
        <v>363842.86199999996</v>
      </c>
      <c r="H555" s="209">
        <f t="shared" si="26"/>
        <v>18.771999999999998</v>
      </c>
    </row>
    <row r="556" spans="2:8" x14ac:dyDescent="0.2">
      <c r="B556" s="34">
        <v>51893.758000000002</v>
      </c>
      <c r="C556" s="34">
        <v>159193.315</v>
      </c>
      <c r="D556" s="34">
        <v>18.774000000000001</v>
      </c>
      <c r="F556" s="209">
        <f t="shared" si="24"/>
        <v>60043.758000000002</v>
      </c>
      <c r="G556" s="209">
        <f t="shared" si="25"/>
        <v>363843.315</v>
      </c>
      <c r="H556" s="209">
        <f t="shared" si="26"/>
        <v>18.774000000000001</v>
      </c>
    </row>
    <row r="557" spans="2:8" x14ac:dyDescent="0.2">
      <c r="B557" s="34">
        <v>51893.440999999999</v>
      </c>
      <c r="C557" s="34">
        <v>159192.041</v>
      </c>
      <c r="D557" s="34">
        <v>18.768000000000001</v>
      </c>
      <c r="F557" s="209">
        <f t="shared" si="24"/>
        <v>60043.440999999999</v>
      </c>
      <c r="G557" s="209">
        <f t="shared" si="25"/>
        <v>363842.04099999997</v>
      </c>
      <c r="H557" s="209">
        <f t="shared" si="26"/>
        <v>18.768000000000001</v>
      </c>
    </row>
    <row r="558" spans="2:8" x14ac:dyDescent="0.2">
      <c r="B558" s="34">
        <v>51896.633000000002</v>
      </c>
      <c r="C558" s="34">
        <v>159192.48499999999</v>
      </c>
      <c r="D558" s="34">
        <v>18.777000000000001</v>
      </c>
      <c r="F558" s="209">
        <f t="shared" si="24"/>
        <v>60046.633000000002</v>
      </c>
      <c r="G558" s="209">
        <f t="shared" si="25"/>
        <v>363842.48499999999</v>
      </c>
      <c r="H558" s="209">
        <f t="shared" si="26"/>
        <v>18.777000000000001</v>
      </c>
    </row>
    <row r="559" spans="2:8" x14ac:dyDescent="0.2">
      <c r="B559" s="34">
        <v>51896.249000000003</v>
      </c>
      <c r="C559" s="34">
        <v>159191.226</v>
      </c>
      <c r="D559" s="34">
        <v>18.77</v>
      </c>
      <c r="F559" s="209">
        <f t="shared" si="24"/>
        <v>60046.249000000003</v>
      </c>
      <c r="G559" s="209">
        <f t="shared" si="25"/>
        <v>363841.22600000002</v>
      </c>
      <c r="H559" s="209">
        <f t="shared" si="26"/>
        <v>18.77</v>
      </c>
    </row>
    <row r="560" spans="2:8" x14ac:dyDescent="0.2">
      <c r="B560" s="34">
        <v>51899.398999999998</v>
      </c>
      <c r="C560" s="34">
        <v>159191.69899999999</v>
      </c>
      <c r="D560" s="34">
        <v>18.777999999999999</v>
      </c>
      <c r="F560" s="209">
        <f t="shared" si="24"/>
        <v>60049.398999999998</v>
      </c>
      <c r="G560" s="209">
        <f t="shared" si="25"/>
        <v>363841.69900000002</v>
      </c>
      <c r="H560" s="209">
        <f t="shared" si="26"/>
        <v>18.777999999999999</v>
      </c>
    </row>
    <row r="561" spans="2:8" x14ac:dyDescent="0.2">
      <c r="B561" s="34">
        <v>51899.040000000001</v>
      </c>
      <c r="C561" s="34">
        <v>159190.435</v>
      </c>
      <c r="D561" s="34">
        <v>18.771000000000001</v>
      </c>
      <c r="F561" s="209">
        <f t="shared" si="24"/>
        <v>60049.04</v>
      </c>
      <c r="G561" s="209">
        <f t="shared" si="25"/>
        <v>363840.435</v>
      </c>
      <c r="H561" s="209">
        <f t="shared" si="26"/>
        <v>18.771000000000001</v>
      </c>
    </row>
    <row r="562" spans="2:8" x14ac:dyDescent="0.2">
      <c r="B562" s="34">
        <v>51902.292999999998</v>
      </c>
      <c r="C562" s="34">
        <v>159190.886</v>
      </c>
      <c r="D562" s="34">
        <v>18.777999999999999</v>
      </c>
      <c r="F562" s="209">
        <f t="shared" si="24"/>
        <v>60052.292999999998</v>
      </c>
      <c r="G562" s="209">
        <f t="shared" si="25"/>
        <v>363840.886</v>
      </c>
      <c r="H562" s="209">
        <f t="shared" si="26"/>
        <v>18.777999999999999</v>
      </c>
    </row>
    <row r="563" spans="2:8" x14ac:dyDescent="0.2">
      <c r="B563" s="34">
        <v>51901.989000000001</v>
      </c>
      <c r="C563" s="34">
        <v>159189.60399999999</v>
      </c>
      <c r="D563" s="34">
        <v>18.77</v>
      </c>
      <c r="F563" s="209">
        <f t="shared" si="24"/>
        <v>60051.989000000001</v>
      </c>
      <c r="G563" s="209">
        <f t="shared" si="25"/>
        <v>363839.60399999999</v>
      </c>
      <c r="H563" s="209">
        <f t="shared" si="26"/>
        <v>18.77</v>
      </c>
    </row>
    <row r="564" spans="2:8" x14ac:dyDescent="0.2">
      <c r="B564" s="34">
        <v>51905.196000000004</v>
      </c>
      <c r="C564" s="34">
        <v>159190.09599999999</v>
      </c>
      <c r="D564" s="34">
        <v>18.78</v>
      </c>
      <c r="F564" s="209">
        <f t="shared" si="24"/>
        <v>60055.196000000004</v>
      </c>
      <c r="G564" s="209">
        <f t="shared" si="25"/>
        <v>363840.09600000002</v>
      </c>
      <c r="H564" s="209">
        <f t="shared" si="26"/>
        <v>18.78</v>
      </c>
    </row>
    <row r="565" spans="2:8" x14ac:dyDescent="0.2">
      <c r="B565" s="34">
        <v>51904.885000000002</v>
      </c>
      <c r="C565" s="34">
        <v>159188.80600000001</v>
      </c>
      <c r="D565" s="34">
        <v>18.773</v>
      </c>
      <c r="F565" s="209">
        <f t="shared" si="24"/>
        <v>60054.885000000002</v>
      </c>
      <c r="G565" s="209">
        <f t="shared" si="25"/>
        <v>363838.80599999998</v>
      </c>
      <c r="H565" s="209">
        <f t="shared" si="26"/>
        <v>18.773</v>
      </c>
    </row>
    <row r="566" spans="2:8" x14ac:dyDescent="0.2">
      <c r="B566" s="34">
        <v>51907.951999999997</v>
      </c>
      <c r="C566" s="34">
        <v>159189.364</v>
      </c>
      <c r="D566" s="34">
        <v>18.785</v>
      </c>
      <c r="F566" s="209">
        <f t="shared" si="24"/>
        <v>60057.951999999997</v>
      </c>
      <c r="G566" s="209">
        <f t="shared" si="25"/>
        <v>363839.364</v>
      </c>
      <c r="H566" s="209">
        <f t="shared" si="26"/>
        <v>18.785</v>
      </c>
    </row>
    <row r="567" spans="2:8" x14ac:dyDescent="0.2">
      <c r="B567" s="34">
        <v>51907.578000000001</v>
      </c>
      <c r="C567" s="34">
        <v>159188.1</v>
      </c>
      <c r="D567" s="34">
        <v>18.774999999999999</v>
      </c>
      <c r="F567" s="209">
        <f t="shared" si="24"/>
        <v>60057.578000000001</v>
      </c>
      <c r="G567" s="209">
        <f t="shared" si="25"/>
        <v>363838.1</v>
      </c>
      <c r="H567" s="209">
        <f t="shared" si="26"/>
        <v>18.774999999999999</v>
      </c>
    </row>
    <row r="568" spans="2:8" x14ac:dyDescent="0.2">
      <c r="B568" s="34">
        <v>51910.963000000003</v>
      </c>
      <c r="C568" s="34">
        <v>159188.603</v>
      </c>
      <c r="D568" s="34">
        <v>18.794</v>
      </c>
      <c r="F568" s="209">
        <f t="shared" si="24"/>
        <v>60060.963000000003</v>
      </c>
      <c r="G568" s="209">
        <f t="shared" si="25"/>
        <v>363838.603</v>
      </c>
      <c r="H568" s="209">
        <f t="shared" si="26"/>
        <v>18.794</v>
      </c>
    </row>
    <row r="569" spans="2:8" x14ac:dyDescent="0.2">
      <c r="B569" s="34">
        <v>51910.64</v>
      </c>
      <c r="C569" s="34">
        <v>159187.32399999999</v>
      </c>
      <c r="D569" s="34">
        <v>18.783000000000001</v>
      </c>
      <c r="F569" s="209">
        <f t="shared" si="24"/>
        <v>60060.639999999999</v>
      </c>
      <c r="G569" s="209">
        <f t="shared" si="25"/>
        <v>363837.32400000002</v>
      </c>
      <c r="H569" s="209">
        <f t="shared" si="26"/>
        <v>18.783000000000001</v>
      </c>
    </row>
    <row r="570" spans="2:8" x14ac:dyDescent="0.2">
      <c r="B570" s="34">
        <v>51913.750999999997</v>
      </c>
      <c r="C570" s="34">
        <v>159187.91899999999</v>
      </c>
      <c r="D570" s="34">
        <v>18.808</v>
      </c>
      <c r="F570" s="209">
        <f t="shared" si="24"/>
        <v>60063.750999999997</v>
      </c>
      <c r="G570" s="209">
        <f t="shared" si="25"/>
        <v>363837.91899999999</v>
      </c>
      <c r="H570" s="209">
        <f t="shared" si="26"/>
        <v>18.808</v>
      </c>
    </row>
    <row r="571" spans="2:8" x14ac:dyDescent="0.2">
      <c r="B571" s="34">
        <v>51913.421000000002</v>
      </c>
      <c r="C571" s="34">
        <v>159186.63800000001</v>
      </c>
      <c r="D571" s="34">
        <v>18.794</v>
      </c>
      <c r="F571" s="209">
        <f t="shared" si="24"/>
        <v>60063.421000000002</v>
      </c>
      <c r="G571" s="209">
        <f t="shared" si="25"/>
        <v>363836.63800000004</v>
      </c>
      <c r="H571" s="209">
        <f t="shared" si="26"/>
        <v>18.794</v>
      </c>
    </row>
    <row r="572" spans="2:8" x14ac:dyDescent="0.2">
      <c r="B572" s="34">
        <v>51884.538999999997</v>
      </c>
      <c r="C572" s="34">
        <v>159193.38200000001</v>
      </c>
      <c r="D572" s="34">
        <v>19.331</v>
      </c>
      <c r="F572" s="209">
        <f t="shared" si="24"/>
        <v>60034.538999999997</v>
      </c>
      <c r="G572" s="209">
        <f t="shared" si="25"/>
        <v>363843.38199999998</v>
      </c>
      <c r="H572" s="209">
        <f t="shared" si="26"/>
        <v>19.331</v>
      </c>
    </row>
    <row r="573" spans="2:8" x14ac:dyDescent="0.2">
      <c r="B573" s="34">
        <v>51890.286</v>
      </c>
      <c r="C573" s="34">
        <v>159191.73000000001</v>
      </c>
      <c r="D573" s="34">
        <v>19.321000000000002</v>
      </c>
      <c r="F573" s="209">
        <f t="shared" si="24"/>
        <v>60040.286</v>
      </c>
      <c r="G573" s="209">
        <f t="shared" si="25"/>
        <v>363841.73</v>
      </c>
      <c r="H573" s="209">
        <f t="shared" si="26"/>
        <v>19.321000000000002</v>
      </c>
    </row>
    <row r="574" spans="2:8" x14ac:dyDescent="0.2">
      <c r="B574" s="34">
        <v>51895.921000000002</v>
      </c>
      <c r="C574" s="34">
        <v>159190.101</v>
      </c>
      <c r="D574" s="34">
        <v>19.334</v>
      </c>
      <c r="F574" s="209">
        <f t="shared" si="24"/>
        <v>60045.921000000002</v>
      </c>
      <c r="G574" s="209">
        <f t="shared" si="25"/>
        <v>363840.10100000002</v>
      </c>
      <c r="H574" s="209">
        <f t="shared" si="26"/>
        <v>19.334</v>
      </c>
    </row>
    <row r="575" spans="2:8" x14ac:dyDescent="0.2">
      <c r="B575" s="34">
        <v>51899.767</v>
      </c>
      <c r="C575" s="34">
        <v>159188.99400000001</v>
      </c>
      <c r="D575" s="34">
        <v>19.344999999999999</v>
      </c>
      <c r="F575" s="209">
        <f t="shared" si="24"/>
        <v>60049.767</v>
      </c>
      <c r="G575" s="209">
        <f t="shared" si="25"/>
        <v>363838.99400000001</v>
      </c>
      <c r="H575" s="209">
        <f t="shared" si="26"/>
        <v>19.344999999999999</v>
      </c>
    </row>
    <row r="576" spans="2:8" x14ac:dyDescent="0.2">
      <c r="B576" s="34">
        <v>51903.608</v>
      </c>
      <c r="C576" s="34">
        <v>159187.883</v>
      </c>
      <c r="D576" s="34">
        <v>19.356000000000002</v>
      </c>
      <c r="F576" s="209">
        <f t="shared" si="24"/>
        <v>60053.608</v>
      </c>
      <c r="G576" s="209">
        <f t="shared" si="25"/>
        <v>363837.88300000003</v>
      </c>
      <c r="H576" s="209">
        <f t="shared" si="26"/>
        <v>19.356000000000002</v>
      </c>
    </row>
    <row r="577" spans="2:8" x14ac:dyDescent="0.2">
      <c r="B577" s="152">
        <v>51910.065000000002</v>
      </c>
      <c r="C577" s="152">
        <v>159186.024</v>
      </c>
      <c r="D577" s="152">
        <v>19.356999999999999</v>
      </c>
      <c r="F577" s="209">
        <f t="shared" si="24"/>
        <v>60060.065000000002</v>
      </c>
      <c r="G577" s="209">
        <f t="shared" si="25"/>
        <v>363836.02399999998</v>
      </c>
      <c r="H577" s="209">
        <f t="shared" si="26"/>
        <v>19.356999999999999</v>
      </c>
    </row>
    <row r="578" spans="2:8" x14ac:dyDescent="0.2">
      <c r="B578" s="34">
        <v>51885.339</v>
      </c>
      <c r="C578" s="34">
        <v>159195.73800000001</v>
      </c>
      <c r="D578" s="34">
        <v>18.783000000000001</v>
      </c>
      <c r="F578" s="209">
        <f t="shared" si="24"/>
        <v>60035.339</v>
      </c>
      <c r="G578" s="209">
        <f t="shared" si="25"/>
        <v>363845.73800000001</v>
      </c>
      <c r="H578" s="209">
        <f t="shared" si="26"/>
        <v>18.783000000000001</v>
      </c>
    </row>
    <row r="579" spans="2:8" x14ac:dyDescent="0.2">
      <c r="B579" s="34">
        <v>51884.959000000003</v>
      </c>
      <c r="C579" s="34">
        <v>159194.47099999999</v>
      </c>
      <c r="D579" s="34">
        <v>18.779</v>
      </c>
      <c r="F579" s="209">
        <f t="shared" si="24"/>
        <v>60034.959000000003</v>
      </c>
      <c r="G579" s="209">
        <f t="shared" si="25"/>
        <v>363844.47100000002</v>
      </c>
      <c r="H579" s="209">
        <f t="shared" si="26"/>
        <v>18.779</v>
      </c>
    </row>
    <row r="580" spans="2:8" x14ac:dyDescent="0.2">
      <c r="B580" s="34">
        <v>51888.116999999998</v>
      </c>
      <c r="C580" s="34">
        <v>159194.94500000001</v>
      </c>
      <c r="D580" s="34">
        <v>18.779</v>
      </c>
      <c r="F580" s="209">
        <f t="shared" ref="F580:F643" si="27">B580+$B$1</f>
        <v>60038.116999999998</v>
      </c>
      <c r="G580" s="209">
        <f t="shared" ref="G580:G643" si="28">C580+$C$1</f>
        <v>363844.94500000001</v>
      </c>
      <c r="H580" s="209">
        <f t="shared" ref="H580:H643" si="29">D580+$D$1</f>
        <v>18.779</v>
      </c>
    </row>
    <row r="581" spans="2:8" x14ac:dyDescent="0.2">
      <c r="B581" s="34">
        <v>51887.803999999996</v>
      </c>
      <c r="C581" s="34">
        <v>159193.658</v>
      </c>
      <c r="D581" s="34">
        <v>18.779</v>
      </c>
      <c r="F581" s="209">
        <f t="shared" si="27"/>
        <v>60037.803999999996</v>
      </c>
      <c r="G581" s="209">
        <f t="shared" si="28"/>
        <v>363843.658</v>
      </c>
      <c r="H581" s="209">
        <f t="shared" si="29"/>
        <v>18.779</v>
      </c>
    </row>
    <row r="582" spans="2:8" x14ac:dyDescent="0.2">
      <c r="B582" s="34">
        <v>51890.968000000001</v>
      </c>
      <c r="C582" s="34">
        <v>159194.11799999999</v>
      </c>
      <c r="D582" s="34">
        <v>18.779</v>
      </c>
      <c r="F582" s="209">
        <f t="shared" si="27"/>
        <v>60040.968000000001</v>
      </c>
      <c r="G582" s="209">
        <f t="shared" si="28"/>
        <v>363844.11800000002</v>
      </c>
      <c r="H582" s="209">
        <f t="shared" si="29"/>
        <v>18.779</v>
      </c>
    </row>
    <row r="583" spans="2:8" x14ac:dyDescent="0.2">
      <c r="B583" s="34">
        <v>51890.606</v>
      </c>
      <c r="C583" s="34">
        <v>159192.86199999999</v>
      </c>
      <c r="D583" s="34">
        <v>18.771999999999998</v>
      </c>
      <c r="F583" s="209">
        <f t="shared" si="27"/>
        <v>60040.606</v>
      </c>
      <c r="G583" s="209">
        <f t="shared" si="28"/>
        <v>363842.86199999996</v>
      </c>
      <c r="H583" s="209">
        <f t="shared" si="29"/>
        <v>18.771999999999998</v>
      </c>
    </row>
    <row r="584" spans="2:8" x14ac:dyDescent="0.2">
      <c r="B584" s="34">
        <v>51893.758000000002</v>
      </c>
      <c r="C584" s="34">
        <v>159193.315</v>
      </c>
      <c r="D584" s="34">
        <v>18.774000000000001</v>
      </c>
      <c r="F584" s="209">
        <f t="shared" si="27"/>
        <v>60043.758000000002</v>
      </c>
      <c r="G584" s="209">
        <f t="shared" si="28"/>
        <v>363843.315</v>
      </c>
      <c r="H584" s="209">
        <f t="shared" si="29"/>
        <v>18.774000000000001</v>
      </c>
    </row>
    <row r="585" spans="2:8" x14ac:dyDescent="0.2">
      <c r="B585" s="34">
        <v>51893.440999999999</v>
      </c>
      <c r="C585" s="34">
        <v>159192.041</v>
      </c>
      <c r="D585" s="34">
        <v>18.768999999999998</v>
      </c>
      <c r="F585" s="209">
        <f t="shared" si="27"/>
        <v>60043.440999999999</v>
      </c>
      <c r="G585" s="209">
        <f t="shared" si="28"/>
        <v>363842.04099999997</v>
      </c>
      <c r="H585" s="209">
        <f t="shared" si="29"/>
        <v>18.768999999999998</v>
      </c>
    </row>
    <row r="586" spans="2:8" x14ac:dyDescent="0.2">
      <c r="B586" s="34">
        <v>51896.633000000002</v>
      </c>
      <c r="C586" s="34">
        <v>159192.486</v>
      </c>
      <c r="D586" s="34">
        <v>18.777999999999999</v>
      </c>
      <c r="F586" s="209">
        <f t="shared" si="27"/>
        <v>60046.633000000002</v>
      </c>
      <c r="G586" s="209">
        <f t="shared" si="28"/>
        <v>363842.48600000003</v>
      </c>
      <c r="H586" s="209">
        <f t="shared" si="29"/>
        <v>18.777999999999999</v>
      </c>
    </row>
    <row r="587" spans="2:8" x14ac:dyDescent="0.2">
      <c r="B587" s="34">
        <v>51896.249000000003</v>
      </c>
      <c r="C587" s="34">
        <v>159191.22700000001</v>
      </c>
      <c r="D587" s="34">
        <v>18.77</v>
      </c>
      <c r="F587" s="209">
        <f t="shared" si="27"/>
        <v>60046.249000000003</v>
      </c>
      <c r="G587" s="209">
        <f t="shared" si="28"/>
        <v>363841.22700000001</v>
      </c>
      <c r="H587" s="209">
        <f t="shared" si="29"/>
        <v>18.77</v>
      </c>
    </row>
    <row r="588" spans="2:8" x14ac:dyDescent="0.2">
      <c r="B588" s="34">
        <v>51899.398000000001</v>
      </c>
      <c r="C588" s="34">
        <v>159191.69899999999</v>
      </c>
      <c r="D588" s="34">
        <v>18.777999999999999</v>
      </c>
      <c r="F588" s="209">
        <f t="shared" si="27"/>
        <v>60049.398000000001</v>
      </c>
      <c r="G588" s="209">
        <f t="shared" si="28"/>
        <v>363841.69900000002</v>
      </c>
      <c r="H588" s="209">
        <f t="shared" si="29"/>
        <v>18.777999999999999</v>
      </c>
    </row>
    <row r="589" spans="2:8" x14ac:dyDescent="0.2">
      <c r="B589" s="34">
        <v>51899.040000000001</v>
      </c>
      <c r="C589" s="34">
        <v>159190.435</v>
      </c>
      <c r="D589" s="34">
        <v>18.771000000000001</v>
      </c>
      <c r="F589" s="209">
        <f t="shared" si="27"/>
        <v>60049.04</v>
      </c>
      <c r="G589" s="209">
        <f t="shared" si="28"/>
        <v>363840.435</v>
      </c>
      <c r="H589" s="209">
        <f t="shared" si="29"/>
        <v>18.771000000000001</v>
      </c>
    </row>
    <row r="590" spans="2:8" x14ac:dyDescent="0.2">
      <c r="B590" s="34">
        <v>51902.292000000001</v>
      </c>
      <c r="C590" s="34">
        <v>159190.88699999999</v>
      </c>
      <c r="D590" s="34">
        <v>18.779</v>
      </c>
      <c r="F590" s="209">
        <f t="shared" si="27"/>
        <v>60052.292000000001</v>
      </c>
      <c r="G590" s="209">
        <f t="shared" si="28"/>
        <v>363840.88699999999</v>
      </c>
      <c r="H590" s="209">
        <f t="shared" si="29"/>
        <v>18.779</v>
      </c>
    </row>
    <row r="591" spans="2:8" x14ac:dyDescent="0.2">
      <c r="B591" s="34">
        <v>51901.987999999998</v>
      </c>
      <c r="C591" s="34">
        <v>159189.606</v>
      </c>
      <c r="D591" s="34">
        <v>18.77</v>
      </c>
      <c r="F591" s="209">
        <f t="shared" si="27"/>
        <v>60051.987999999998</v>
      </c>
      <c r="G591" s="209">
        <f t="shared" si="28"/>
        <v>363839.60600000003</v>
      </c>
      <c r="H591" s="209">
        <f t="shared" si="29"/>
        <v>18.77</v>
      </c>
    </row>
    <row r="592" spans="2:8" x14ac:dyDescent="0.2">
      <c r="B592" s="34">
        <v>51905.196000000004</v>
      </c>
      <c r="C592" s="34">
        <v>159190.09700000001</v>
      </c>
      <c r="D592" s="34">
        <v>18.780999999999999</v>
      </c>
      <c r="F592" s="209">
        <f t="shared" si="27"/>
        <v>60055.196000000004</v>
      </c>
      <c r="G592" s="209">
        <f t="shared" si="28"/>
        <v>363840.09700000001</v>
      </c>
      <c r="H592" s="209">
        <f t="shared" si="29"/>
        <v>18.780999999999999</v>
      </c>
    </row>
    <row r="593" spans="2:8" x14ac:dyDescent="0.2">
      <c r="B593" s="34">
        <v>51904.885000000002</v>
      </c>
      <c r="C593" s="34">
        <v>159188.807</v>
      </c>
      <c r="D593" s="34">
        <v>18.773</v>
      </c>
      <c r="F593" s="209">
        <f t="shared" si="27"/>
        <v>60054.885000000002</v>
      </c>
      <c r="G593" s="209">
        <f t="shared" si="28"/>
        <v>363838.80700000003</v>
      </c>
      <c r="H593" s="209">
        <f t="shared" si="29"/>
        <v>18.773</v>
      </c>
    </row>
    <row r="594" spans="2:8" x14ac:dyDescent="0.2">
      <c r="B594" s="34">
        <v>51907.951999999997</v>
      </c>
      <c r="C594" s="34">
        <v>159189.36499999999</v>
      </c>
      <c r="D594" s="34">
        <v>18.786000000000001</v>
      </c>
      <c r="F594" s="209">
        <f t="shared" si="27"/>
        <v>60057.951999999997</v>
      </c>
      <c r="G594" s="209">
        <f t="shared" si="28"/>
        <v>363839.36499999999</v>
      </c>
      <c r="H594" s="209">
        <f t="shared" si="29"/>
        <v>18.786000000000001</v>
      </c>
    </row>
    <row r="595" spans="2:8" x14ac:dyDescent="0.2">
      <c r="B595" s="34">
        <v>51907.578000000001</v>
      </c>
      <c r="C595" s="34">
        <v>159188.101</v>
      </c>
      <c r="D595" s="34">
        <v>18.776</v>
      </c>
      <c r="F595" s="209">
        <f t="shared" si="27"/>
        <v>60057.578000000001</v>
      </c>
      <c r="G595" s="209">
        <f t="shared" si="28"/>
        <v>363838.10100000002</v>
      </c>
      <c r="H595" s="209">
        <f t="shared" si="29"/>
        <v>18.776</v>
      </c>
    </row>
    <row r="596" spans="2:8" x14ac:dyDescent="0.2">
      <c r="B596" s="34">
        <v>51910.962</v>
      </c>
      <c r="C596" s="34">
        <v>159188.60399999999</v>
      </c>
      <c r="D596" s="34">
        <v>18.794</v>
      </c>
      <c r="F596" s="209">
        <f t="shared" si="27"/>
        <v>60060.962</v>
      </c>
      <c r="G596" s="209">
        <f t="shared" si="28"/>
        <v>363838.60399999999</v>
      </c>
      <c r="H596" s="209">
        <f t="shared" si="29"/>
        <v>18.794</v>
      </c>
    </row>
    <row r="597" spans="2:8" x14ac:dyDescent="0.2">
      <c r="B597" s="34">
        <v>51910.639000000003</v>
      </c>
      <c r="C597" s="34">
        <v>159187.32500000001</v>
      </c>
      <c r="D597" s="34">
        <v>18.783000000000001</v>
      </c>
      <c r="F597" s="209">
        <f t="shared" si="27"/>
        <v>60060.639000000003</v>
      </c>
      <c r="G597" s="209">
        <f t="shared" si="28"/>
        <v>363837.32500000001</v>
      </c>
      <c r="H597" s="209">
        <f t="shared" si="29"/>
        <v>18.783000000000001</v>
      </c>
    </row>
    <row r="598" spans="2:8" x14ac:dyDescent="0.2">
      <c r="B598" s="34">
        <v>51913.75</v>
      </c>
      <c r="C598" s="34">
        <v>159187.92000000001</v>
      </c>
      <c r="D598" s="34">
        <v>18.808</v>
      </c>
      <c r="F598" s="209">
        <f t="shared" si="27"/>
        <v>60063.75</v>
      </c>
      <c r="G598" s="209">
        <f t="shared" si="28"/>
        <v>363837.92000000004</v>
      </c>
      <c r="H598" s="209">
        <f t="shared" si="29"/>
        <v>18.808</v>
      </c>
    </row>
    <row r="599" spans="2:8" x14ac:dyDescent="0.2">
      <c r="B599" s="34">
        <v>51913.421000000002</v>
      </c>
      <c r="C599" s="34">
        <v>159186.639</v>
      </c>
      <c r="D599" s="34">
        <v>18.794</v>
      </c>
      <c r="F599" s="209">
        <f t="shared" si="27"/>
        <v>60063.421000000002</v>
      </c>
      <c r="G599" s="209">
        <f t="shared" si="28"/>
        <v>363836.63899999997</v>
      </c>
      <c r="H599" s="209">
        <f t="shared" si="29"/>
        <v>18.794</v>
      </c>
    </row>
    <row r="600" spans="2:8" x14ac:dyDescent="0.2">
      <c r="B600" s="34">
        <v>51884.538999999997</v>
      </c>
      <c r="C600" s="34">
        <v>159193.38200000001</v>
      </c>
      <c r="D600" s="34">
        <v>19.332000000000001</v>
      </c>
      <c r="F600" s="209">
        <f t="shared" si="27"/>
        <v>60034.538999999997</v>
      </c>
      <c r="G600" s="209">
        <f t="shared" si="28"/>
        <v>363843.38199999998</v>
      </c>
      <c r="H600" s="209">
        <f t="shared" si="29"/>
        <v>19.332000000000001</v>
      </c>
    </row>
    <row r="601" spans="2:8" x14ac:dyDescent="0.2">
      <c r="B601" s="34">
        <v>51890.286</v>
      </c>
      <c r="C601" s="34">
        <v>159191.73000000001</v>
      </c>
      <c r="D601" s="34">
        <v>19.321999999999999</v>
      </c>
      <c r="F601" s="209">
        <f t="shared" si="27"/>
        <v>60040.286</v>
      </c>
      <c r="G601" s="209">
        <f t="shared" si="28"/>
        <v>363841.73</v>
      </c>
      <c r="H601" s="209">
        <f t="shared" si="29"/>
        <v>19.321999999999999</v>
      </c>
    </row>
    <row r="602" spans="2:8" x14ac:dyDescent="0.2">
      <c r="B602" s="34">
        <v>51895.921000000002</v>
      </c>
      <c r="C602" s="34">
        <v>159190.101</v>
      </c>
      <c r="D602" s="34">
        <v>19.334</v>
      </c>
      <c r="F602" s="209">
        <f t="shared" si="27"/>
        <v>60045.921000000002</v>
      </c>
      <c r="G602" s="209">
        <f t="shared" si="28"/>
        <v>363840.10100000002</v>
      </c>
      <c r="H602" s="209">
        <f t="shared" si="29"/>
        <v>19.334</v>
      </c>
    </row>
    <row r="603" spans="2:8" x14ac:dyDescent="0.2">
      <c r="B603" s="34">
        <v>51899.767</v>
      </c>
      <c r="C603" s="34">
        <v>159188.99400000001</v>
      </c>
      <c r="D603" s="34">
        <v>19.344999999999999</v>
      </c>
      <c r="F603" s="209">
        <f t="shared" si="27"/>
        <v>60049.767</v>
      </c>
      <c r="G603" s="209">
        <f t="shared" si="28"/>
        <v>363838.99400000001</v>
      </c>
      <c r="H603" s="209">
        <f t="shared" si="29"/>
        <v>19.344999999999999</v>
      </c>
    </row>
    <row r="604" spans="2:8" x14ac:dyDescent="0.2">
      <c r="B604" s="34">
        <v>51903.608</v>
      </c>
      <c r="C604" s="34">
        <v>159187.883</v>
      </c>
      <c r="D604" s="34">
        <v>19.356999999999999</v>
      </c>
      <c r="F604" s="209">
        <f t="shared" si="27"/>
        <v>60053.608</v>
      </c>
      <c r="G604" s="209">
        <f t="shared" si="28"/>
        <v>363837.88300000003</v>
      </c>
      <c r="H604" s="209">
        <f t="shared" si="29"/>
        <v>19.356999999999999</v>
      </c>
    </row>
    <row r="605" spans="2:8" x14ac:dyDescent="0.2">
      <c r="B605" s="152">
        <v>51910.065000000002</v>
      </c>
      <c r="C605" s="152">
        <v>159186.02499999999</v>
      </c>
      <c r="D605" s="152">
        <v>19.356999999999999</v>
      </c>
      <c r="F605" s="209">
        <f t="shared" si="27"/>
        <v>60060.065000000002</v>
      </c>
      <c r="G605" s="209">
        <f t="shared" si="28"/>
        <v>363836.02500000002</v>
      </c>
      <c r="H605" s="209">
        <f t="shared" si="29"/>
        <v>19.356999999999999</v>
      </c>
    </row>
    <row r="606" spans="2:8" x14ac:dyDescent="0.2">
      <c r="B606" s="34">
        <v>51885.339</v>
      </c>
      <c r="C606" s="34">
        <v>159195.73800000001</v>
      </c>
      <c r="D606" s="34">
        <v>18.782</v>
      </c>
      <c r="F606" s="209">
        <f t="shared" si="27"/>
        <v>60035.339</v>
      </c>
      <c r="G606" s="209">
        <f t="shared" si="28"/>
        <v>363845.73800000001</v>
      </c>
      <c r="H606" s="209">
        <f t="shared" si="29"/>
        <v>18.782</v>
      </c>
    </row>
    <row r="607" spans="2:8" x14ac:dyDescent="0.2">
      <c r="B607" s="34">
        <v>51884.959000000003</v>
      </c>
      <c r="C607" s="34">
        <v>159194.47099999999</v>
      </c>
      <c r="D607" s="34">
        <v>18.777999999999999</v>
      </c>
      <c r="F607" s="209">
        <f t="shared" si="27"/>
        <v>60034.959000000003</v>
      </c>
      <c r="G607" s="209">
        <f t="shared" si="28"/>
        <v>363844.47100000002</v>
      </c>
      <c r="H607" s="209">
        <f t="shared" si="29"/>
        <v>18.777999999999999</v>
      </c>
    </row>
    <row r="608" spans="2:8" x14ac:dyDescent="0.2">
      <c r="B608" s="34">
        <v>51888.116999999998</v>
      </c>
      <c r="C608" s="34">
        <v>159194.94500000001</v>
      </c>
      <c r="D608" s="34">
        <v>18.777999999999999</v>
      </c>
      <c r="F608" s="209">
        <f t="shared" si="27"/>
        <v>60038.116999999998</v>
      </c>
      <c r="G608" s="209">
        <f t="shared" si="28"/>
        <v>363844.94500000001</v>
      </c>
      <c r="H608" s="209">
        <f t="shared" si="29"/>
        <v>18.777999999999999</v>
      </c>
    </row>
    <row r="609" spans="2:8" x14ac:dyDescent="0.2">
      <c r="B609" s="34">
        <v>51887.803999999996</v>
      </c>
      <c r="C609" s="34">
        <v>159193.658</v>
      </c>
      <c r="D609" s="34">
        <v>18.777999999999999</v>
      </c>
      <c r="F609" s="209">
        <f t="shared" si="27"/>
        <v>60037.803999999996</v>
      </c>
      <c r="G609" s="209">
        <f t="shared" si="28"/>
        <v>363843.658</v>
      </c>
      <c r="H609" s="209">
        <f t="shared" si="29"/>
        <v>18.777999999999999</v>
      </c>
    </row>
    <row r="610" spans="2:8" x14ac:dyDescent="0.2">
      <c r="B610" s="34">
        <v>51890.968000000001</v>
      </c>
      <c r="C610" s="34">
        <v>159194.11799999999</v>
      </c>
      <c r="D610" s="34">
        <v>18.779</v>
      </c>
      <c r="F610" s="209">
        <f t="shared" si="27"/>
        <v>60040.968000000001</v>
      </c>
      <c r="G610" s="209">
        <f t="shared" si="28"/>
        <v>363844.11800000002</v>
      </c>
      <c r="H610" s="209">
        <f t="shared" si="29"/>
        <v>18.779</v>
      </c>
    </row>
    <row r="611" spans="2:8" x14ac:dyDescent="0.2">
      <c r="B611" s="34">
        <v>51890.606</v>
      </c>
      <c r="C611" s="34">
        <v>159192.86199999999</v>
      </c>
      <c r="D611" s="34">
        <v>18.771999999999998</v>
      </c>
      <c r="F611" s="209">
        <f t="shared" si="27"/>
        <v>60040.606</v>
      </c>
      <c r="G611" s="209">
        <f t="shared" si="28"/>
        <v>363842.86199999996</v>
      </c>
      <c r="H611" s="209">
        <f t="shared" si="29"/>
        <v>18.771999999999998</v>
      </c>
    </row>
    <row r="612" spans="2:8" x14ac:dyDescent="0.2">
      <c r="B612" s="34">
        <v>51893.758000000002</v>
      </c>
      <c r="C612" s="34">
        <v>159193.315</v>
      </c>
      <c r="D612" s="34">
        <v>18.774000000000001</v>
      </c>
      <c r="F612" s="209">
        <f t="shared" si="27"/>
        <v>60043.758000000002</v>
      </c>
      <c r="G612" s="209">
        <f t="shared" si="28"/>
        <v>363843.315</v>
      </c>
      <c r="H612" s="209">
        <f t="shared" si="29"/>
        <v>18.774000000000001</v>
      </c>
    </row>
    <row r="613" spans="2:8" x14ac:dyDescent="0.2">
      <c r="B613" s="34">
        <v>51893.440999999999</v>
      </c>
      <c r="C613" s="34">
        <v>159192.041</v>
      </c>
      <c r="D613" s="34">
        <v>18.768999999999998</v>
      </c>
      <c r="F613" s="209">
        <f t="shared" si="27"/>
        <v>60043.440999999999</v>
      </c>
      <c r="G613" s="209">
        <f t="shared" si="28"/>
        <v>363842.04099999997</v>
      </c>
      <c r="H613" s="209">
        <f t="shared" si="29"/>
        <v>18.768999999999998</v>
      </c>
    </row>
    <row r="614" spans="2:8" x14ac:dyDescent="0.2">
      <c r="B614" s="34">
        <v>51896.633000000002</v>
      </c>
      <c r="C614" s="34">
        <v>159192.486</v>
      </c>
      <c r="D614" s="34">
        <v>18.777000000000001</v>
      </c>
      <c r="F614" s="209">
        <f t="shared" si="27"/>
        <v>60046.633000000002</v>
      </c>
      <c r="G614" s="209">
        <f t="shared" si="28"/>
        <v>363842.48600000003</v>
      </c>
      <c r="H614" s="209">
        <f t="shared" si="29"/>
        <v>18.777000000000001</v>
      </c>
    </row>
    <row r="615" spans="2:8" x14ac:dyDescent="0.2">
      <c r="B615" s="34">
        <v>51896.249000000003</v>
      </c>
      <c r="C615" s="34">
        <v>159191.22700000001</v>
      </c>
      <c r="D615" s="34">
        <v>18.77</v>
      </c>
      <c r="F615" s="209">
        <f t="shared" si="27"/>
        <v>60046.249000000003</v>
      </c>
      <c r="G615" s="209">
        <f t="shared" si="28"/>
        <v>363841.22700000001</v>
      </c>
      <c r="H615" s="209">
        <f t="shared" si="29"/>
        <v>18.77</v>
      </c>
    </row>
    <row r="616" spans="2:8" x14ac:dyDescent="0.2">
      <c r="B616" s="34">
        <v>51899.398000000001</v>
      </c>
      <c r="C616" s="34">
        <v>159191.69899999999</v>
      </c>
      <c r="D616" s="34">
        <v>18.777999999999999</v>
      </c>
      <c r="F616" s="209">
        <f t="shared" si="27"/>
        <v>60049.398000000001</v>
      </c>
      <c r="G616" s="209">
        <f t="shared" si="28"/>
        <v>363841.69900000002</v>
      </c>
      <c r="H616" s="209">
        <f t="shared" si="29"/>
        <v>18.777999999999999</v>
      </c>
    </row>
    <row r="617" spans="2:8" x14ac:dyDescent="0.2">
      <c r="B617" s="34">
        <v>51899.040000000001</v>
      </c>
      <c r="C617" s="34">
        <v>159190.43599999999</v>
      </c>
      <c r="D617" s="34">
        <v>18.771000000000001</v>
      </c>
      <c r="F617" s="209">
        <f t="shared" si="27"/>
        <v>60049.04</v>
      </c>
      <c r="G617" s="209">
        <f t="shared" si="28"/>
        <v>363840.43599999999</v>
      </c>
      <c r="H617" s="209">
        <f t="shared" si="29"/>
        <v>18.771000000000001</v>
      </c>
    </row>
    <row r="618" spans="2:8" x14ac:dyDescent="0.2">
      <c r="B618" s="34">
        <v>51902.292000000001</v>
      </c>
      <c r="C618" s="34">
        <v>159190.88699999999</v>
      </c>
      <c r="D618" s="34">
        <v>18.779</v>
      </c>
      <c r="F618" s="209">
        <f t="shared" si="27"/>
        <v>60052.292000000001</v>
      </c>
      <c r="G618" s="209">
        <f t="shared" si="28"/>
        <v>363840.88699999999</v>
      </c>
      <c r="H618" s="209">
        <f t="shared" si="29"/>
        <v>18.779</v>
      </c>
    </row>
    <row r="619" spans="2:8" x14ac:dyDescent="0.2">
      <c r="B619" s="34">
        <v>51901.989000000001</v>
      </c>
      <c r="C619" s="34">
        <v>159189.606</v>
      </c>
      <c r="D619" s="34">
        <v>18.77</v>
      </c>
      <c r="F619" s="209">
        <f t="shared" si="27"/>
        <v>60051.989000000001</v>
      </c>
      <c r="G619" s="209">
        <f t="shared" si="28"/>
        <v>363839.60600000003</v>
      </c>
      <c r="H619" s="209">
        <f t="shared" si="29"/>
        <v>18.77</v>
      </c>
    </row>
    <row r="620" spans="2:8" x14ac:dyDescent="0.2">
      <c r="B620" s="34">
        <v>51905.196000000004</v>
      </c>
      <c r="C620" s="34">
        <v>159190.09700000001</v>
      </c>
      <c r="D620" s="34">
        <v>18.78</v>
      </c>
      <c r="F620" s="209">
        <f t="shared" si="27"/>
        <v>60055.196000000004</v>
      </c>
      <c r="G620" s="209">
        <f t="shared" si="28"/>
        <v>363840.09700000001</v>
      </c>
      <c r="H620" s="209">
        <f t="shared" si="29"/>
        <v>18.78</v>
      </c>
    </row>
    <row r="621" spans="2:8" x14ac:dyDescent="0.2">
      <c r="B621" s="34">
        <v>51904.885000000002</v>
      </c>
      <c r="C621" s="34">
        <v>159188.80799999999</v>
      </c>
      <c r="D621" s="34">
        <v>18.773</v>
      </c>
      <c r="F621" s="209">
        <f t="shared" si="27"/>
        <v>60054.885000000002</v>
      </c>
      <c r="G621" s="209">
        <f t="shared" si="28"/>
        <v>363838.80799999996</v>
      </c>
      <c r="H621" s="209">
        <f t="shared" si="29"/>
        <v>18.773</v>
      </c>
    </row>
    <row r="622" spans="2:8" x14ac:dyDescent="0.2">
      <c r="B622" s="34">
        <v>51907.951999999997</v>
      </c>
      <c r="C622" s="34">
        <v>159189.36499999999</v>
      </c>
      <c r="D622" s="34">
        <v>18.785</v>
      </c>
      <c r="F622" s="209">
        <f t="shared" si="27"/>
        <v>60057.951999999997</v>
      </c>
      <c r="G622" s="209">
        <f t="shared" si="28"/>
        <v>363839.36499999999</v>
      </c>
      <c r="H622" s="209">
        <f t="shared" si="29"/>
        <v>18.785</v>
      </c>
    </row>
    <row r="623" spans="2:8" x14ac:dyDescent="0.2">
      <c r="B623" s="34">
        <v>51907.578000000001</v>
      </c>
      <c r="C623" s="34">
        <v>159188.101</v>
      </c>
      <c r="D623" s="34">
        <v>18.774999999999999</v>
      </c>
      <c r="F623" s="209">
        <f t="shared" si="27"/>
        <v>60057.578000000001</v>
      </c>
      <c r="G623" s="209">
        <f t="shared" si="28"/>
        <v>363838.10100000002</v>
      </c>
      <c r="H623" s="209">
        <f t="shared" si="29"/>
        <v>18.774999999999999</v>
      </c>
    </row>
    <row r="624" spans="2:8" x14ac:dyDescent="0.2">
      <c r="B624" s="34">
        <v>51910.962</v>
      </c>
      <c r="C624" s="34">
        <v>159188.60399999999</v>
      </c>
      <c r="D624" s="34">
        <v>18.794</v>
      </c>
      <c r="F624" s="209">
        <f t="shared" si="27"/>
        <v>60060.962</v>
      </c>
      <c r="G624" s="209">
        <f t="shared" si="28"/>
        <v>363838.60399999999</v>
      </c>
      <c r="H624" s="209">
        <f t="shared" si="29"/>
        <v>18.794</v>
      </c>
    </row>
    <row r="625" spans="2:8" x14ac:dyDescent="0.2">
      <c r="B625" s="34">
        <v>51910.64</v>
      </c>
      <c r="C625" s="34">
        <v>159187.326</v>
      </c>
      <c r="D625" s="34">
        <v>18.783000000000001</v>
      </c>
      <c r="F625" s="209">
        <f t="shared" si="27"/>
        <v>60060.639999999999</v>
      </c>
      <c r="G625" s="209">
        <f t="shared" si="28"/>
        <v>363837.326</v>
      </c>
      <c r="H625" s="209">
        <f t="shared" si="29"/>
        <v>18.783000000000001</v>
      </c>
    </row>
    <row r="626" spans="2:8" x14ac:dyDescent="0.2">
      <c r="B626" s="34">
        <v>51913.75</v>
      </c>
      <c r="C626" s="34">
        <v>159187.92000000001</v>
      </c>
      <c r="D626" s="34">
        <v>18.808</v>
      </c>
      <c r="F626" s="209">
        <f t="shared" si="27"/>
        <v>60063.75</v>
      </c>
      <c r="G626" s="209">
        <f t="shared" si="28"/>
        <v>363837.92000000004</v>
      </c>
      <c r="H626" s="209">
        <f t="shared" si="29"/>
        <v>18.808</v>
      </c>
    </row>
    <row r="627" spans="2:8" x14ac:dyDescent="0.2">
      <c r="B627" s="34">
        <v>51913.421000000002</v>
      </c>
      <c r="C627" s="34">
        <v>159186.639</v>
      </c>
      <c r="D627" s="34">
        <v>18.794</v>
      </c>
      <c r="F627" s="209">
        <f t="shared" si="27"/>
        <v>60063.421000000002</v>
      </c>
      <c r="G627" s="209">
        <f t="shared" si="28"/>
        <v>363836.63899999997</v>
      </c>
      <c r="H627" s="209">
        <f t="shared" si="29"/>
        <v>18.794</v>
      </c>
    </row>
    <row r="628" spans="2:8" x14ac:dyDescent="0.2">
      <c r="B628" s="34">
        <v>51884.538999999997</v>
      </c>
      <c r="C628" s="34">
        <v>159193.38200000001</v>
      </c>
      <c r="D628" s="34">
        <v>19.331</v>
      </c>
      <c r="F628" s="209">
        <f t="shared" si="27"/>
        <v>60034.538999999997</v>
      </c>
      <c r="G628" s="209">
        <f t="shared" si="28"/>
        <v>363843.38199999998</v>
      </c>
      <c r="H628" s="209">
        <f t="shared" si="29"/>
        <v>19.331</v>
      </c>
    </row>
    <row r="629" spans="2:8" x14ac:dyDescent="0.2">
      <c r="B629" s="34">
        <v>51890.286999999997</v>
      </c>
      <c r="C629" s="34">
        <v>159191.731</v>
      </c>
      <c r="D629" s="34">
        <v>19.321999999999999</v>
      </c>
      <c r="F629" s="209">
        <f t="shared" si="27"/>
        <v>60040.286999999997</v>
      </c>
      <c r="G629" s="209">
        <f t="shared" si="28"/>
        <v>363841.73100000003</v>
      </c>
      <c r="H629" s="209">
        <f t="shared" si="29"/>
        <v>19.321999999999999</v>
      </c>
    </row>
    <row r="630" spans="2:8" x14ac:dyDescent="0.2">
      <c r="B630" s="34">
        <v>51895.921000000002</v>
      </c>
      <c r="C630" s="34">
        <v>159190.101</v>
      </c>
      <c r="D630" s="34">
        <v>19.334</v>
      </c>
      <c r="F630" s="209">
        <f t="shared" si="27"/>
        <v>60045.921000000002</v>
      </c>
      <c r="G630" s="209">
        <f t="shared" si="28"/>
        <v>363840.10100000002</v>
      </c>
      <c r="H630" s="209">
        <f t="shared" si="29"/>
        <v>19.334</v>
      </c>
    </row>
    <row r="631" spans="2:8" x14ac:dyDescent="0.2">
      <c r="B631" s="34">
        <v>51899.767</v>
      </c>
      <c r="C631" s="34">
        <v>159188.99400000001</v>
      </c>
      <c r="D631" s="34">
        <v>19.344999999999999</v>
      </c>
      <c r="F631" s="209">
        <f t="shared" si="27"/>
        <v>60049.767</v>
      </c>
      <c r="G631" s="209">
        <f t="shared" si="28"/>
        <v>363838.99400000001</v>
      </c>
      <c r="H631" s="209">
        <f t="shared" si="29"/>
        <v>19.344999999999999</v>
      </c>
    </row>
    <row r="632" spans="2:8" x14ac:dyDescent="0.2">
      <c r="B632" s="34">
        <v>51903.608</v>
      </c>
      <c r="C632" s="34">
        <v>159187.883</v>
      </c>
      <c r="D632" s="34">
        <v>19.356999999999999</v>
      </c>
      <c r="F632" s="209">
        <f t="shared" si="27"/>
        <v>60053.608</v>
      </c>
      <c r="G632" s="209">
        <f t="shared" si="28"/>
        <v>363837.88300000003</v>
      </c>
      <c r="H632" s="209">
        <f t="shared" si="29"/>
        <v>19.356999999999999</v>
      </c>
    </row>
    <row r="633" spans="2:8" x14ac:dyDescent="0.2">
      <c r="B633" s="152">
        <v>51910.065000000002</v>
      </c>
      <c r="C633" s="152">
        <v>159186.024</v>
      </c>
      <c r="D633" s="152">
        <v>19.356999999999999</v>
      </c>
      <c r="F633" s="209">
        <f t="shared" si="27"/>
        <v>60060.065000000002</v>
      </c>
      <c r="G633" s="209">
        <f t="shared" si="28"/>
        <v>363836.02399999998</v>
      </c>
      <c r="H633" s="209">
        <f t="shared" si="29"/>
        <v>19.356999999999999</v>
      </c>
    </row>
    <row r="634" spans="2:8" x14ac:dyDescent="0.2">
      <c r="B634" s="34">
        <v>51885.339</v>
      </c>
      <c r="C634" s="34">
        <v>159195.739</v>
      </c>
      <c r="D634" s="34">
        <v>18.782</v>
      </c>
      <c r="F634" s="209">
        <f t="shared" si="27"/>
        <v>60035.339</v>
      </c>
      <c r="G634" s="209">
        <f t="shared" si="28"/>
        <v>363845.739</v>
      </c>
      <c r="H634" s="209">
        <f t="shared" si="29"/>
        <v>18.782</v>
      </c>
    </row>
    <row r="635" spans="2:8" x14ac:dyDescent="0.2">
      <c r="B635" s="34">
        <v>51884.959000000003</v>
      </c>
      <c r="C635" s="34">
        <v>159194.47099999999</v>
      </c>
      <c r="D635" s="34">
        <v>18.777999999999999</v>
      </c>
      <c r="F635" s="209">
        <f t="shared" si="27"/>
        <v>60034.959000000003</v>
      </c>
      <c r="G635" s="209">
        <f t="shared" si="28"/>
        <v>363844.47100000002</v>
      </c>
      <c r="H635" s="209">
        <f t="shared" si="29"/>
        <v>18.777999999999999</v>
      </c>
    </row>
    <row r="636" spans="2:8" x14ac:dyDescent="0.2">
      <c r="B636" s="34">
        <v>51888.116999999998</v>
      </c>
      <c r="C636" s="34">
        <v>159194.94500000001</v>
      </c>
      <c r="D636" s="34">
        <v>18.779</v>
      </c>
      <c r="F636" s="209">
        <f t="shared" si="27"/>
        <v>60038.116999999998</v>
      </c>
      <c r="G636" s="209">
        <f t="shared" si="28"/>
        <v>363844.94500000001</v>
      </c>
      <c r="H636" s="209">
        <f t="shared" si="29"/>
        <v>18.779</v>
      </c>
    </row>
    <row r="637" spans="2:8" x14ac:dyDescent="0.2">
      <c r="B637" s="34">
        <v>51887.803999999996</v>
      </c>
      <c r="C637" s="34">
        <v>159193.658</v>
      </c>
      <c r="D637" s="34">
        <v>18.779</v>
      </c>
      <c r="F637" s="209">
        <f t="shared" si="27"/>
        <v>60037.803999999996</v>
      </c>
      <c r="G637" s="209">
        <f t="shared" si="28"/>
        <v>363843.658</v>
      </c>
      <c r="H637" s="209">
        <f t="shared" si="29"/>
        <v>18.779</v>
      </c>
    </row>
    <row r="638" spans="2:8" x14ac:dyDescent="0.2">
      <c r="B638" s="34">
        <v>51890.968000000001</v>
      </c>
      <c r="C638" s="34">
        <v>159194.11799999999</v>
      </c>
      <c r="D638" s="34">
        <v>18.779</v>
      </c>
      <c r="F638" s="209">
        <f t="shared" si="27"/>
        <v>60040.968000000001</v>
      </c>
      <c r="G638" s="209">
        <f t="shared" si="28"/>
        <v>363844.11800000002</v>
      </c>
      <c r="H638" s="209">
        <f t="shared" si="29"/>
        <v>18.779</v>
      </c>
    </row>
    <row r="639" spans="2:8" x14ac:dyDescent="0.2">
      <c r="B639" s="34">
        <v>51890.606</v>
      </c>
      <c r="C639" s="34">
        <v>159192.86199999999</v>
      </c>
      <c r="D639" s="34">
        <v>18.771999999999998</v>
      </c>
      <c r="F639" s="209">
        <f t="shared" si="27"/>
        <v>60040.606</v>
      </c>
      <c r="G639" s="209">
        <f t="shared" si="28"/>
        <v>363842.86199999996</v>
      </c>
      <c r="H639" s="209">
        <f t="shared" si="29"/>
        <v>18.771999999999998</v>
      </c>
    </row>
    <row r="640" spans="2:8" x14ac:dyDescent="0.2">
      <c r="B640" s="34">
        <v>51893.758000000002</v>
      </c>
      <c r="C640" s="34">
        <v>159193.315</v>
      </c>
      <c r="D640" s="34">
        <v>18.774000000000001</v>
      </c>
      <c r="F640" s="209">
        <f t="shared" si="27"/>
        <v>60043.758000000002</v>
      </c>
      <c r="G640" s="209">
        <f t="shared" si="28"/>
        <v>363843.315</v>
      </c>
      <c r="H640" s="209">
        <f t="shared" si="29"/>
        <v>18.774000000000001</v>
      </c>
    </row>
    <row r="641" spans="2:8" x14ac:dyDescent="0.2">
      <c r="B641" s="34">
        <v>51893.440999999999</v>
      </c>
      <c r="C641" s="34">
        <v>159192.04199999999</v>
      </c>
      <c r="D641" s="34">
        <v>18.768999999999998</v>
      </c>
      <c r="F641" s="209">
        <f t="shared" si="27"/>
        <v>60043.440999999999</v>
      </c>
      <c r="G641" s="209">
        <f t="shared" si="28"/>
        <v>363842.04200000002</v>
      </c>
      <c r="H641" s="209">
        <f t="shared" si="29"/>
        <v>18.768999999999998</v>
      </c>
    </row>
    <row r="642" spans="2:8" x14ac:dyDescent="0.2">
      <c r="B642" s="34">
        <v>51896.633000000002</v>
      </c>
      <c r="C642" s="34">
        <v>159192.486</v>
      </c>
      <c r="D642" s="34">
        <v>18.777999999999999</v>
      </c>
      <c r="F642" s="209">
        <f t="shared" si="27"/>
        <v>60046.633000000002</v>
      </c>
      <c r="G642" s="209">
        <f t="shared" si="28"/>
        <v>363842.48600000003</v>
      </c>
      <c r="H642" s="209">
        <f t="shared" si="29"/>
        <v>18.777999999999999</v>
      </c>
    </row>
    <row r="643" spans="2:8" x14ac:dyDescent="0.2">
      <c r="B643" s="34">
        <v>51896.249000000003</v>
      </c>
      <c r="C643" s="34">
        <v>159191.22700000001</v>
      </c>
      <c r="D643" s="34">
        <v>18.77</v>
      </c>
      <c r="F643" s="209">
        <f t="shared" si="27"/>
        <v>60046.249000000003</v>
      </c>
      <c r="G643" s="209">
        <f t="shared" si="28"/>
        <v>363841.22700000001</v>
      </c>
      <c r="H643" s="209">
        <f t="shared" si="29"/>
        <v>18.77</v>
      </c>
    </row>
    <row r="644" spans="2:8" x14ac:dyDescent="0.2">
      <c r="B644" s="34">
        <v>51899.398000000001</v>
      </c>
      <c r="C644" s="34">
        <v>159191.69899999999</v>
      </c>
      <c r="D644" s="34">
        <v>18.777999999999999</v>
      </c>
      <c r="F644" s="209">
        <f t="shared" ref="F644:F707" si="30">B644+$B$1</f>
        <v>60049.398000000001</v>
      </c>
      <c r="G644" s="209">
        <f t="shared" ref="G644:G707" si="31">C644+$C$1</f>
        <v>363841.69900000002</v>
      </c>
      <c r="H644" s="209">
        <f t="shared" ref="H644:H707" si="32">D644+$D$1</f>
        <v>18.777999999999999</v>
      </c>
    </row>
    <row r="645" spans="2:8" x14ac:dyDescent="0.2">
      <c r="B645" s="34">
        <v>51899.040000000001</v>
      </c>
      <c r="C645" s="34">
        <v>159190.43599999999</v>
      </c>
      <c r="D645" s="34">
        <v>18.771000000000001</v>
      </c>
      <c r="F645" s="209">
        <f t="shared" si="30"/>
        <v>60049.04</v>
      </c>
      <c r="G645" s="209">
        <f t="shared" si="31"/>
        <v>363840.43599999999</v>
      </c>
      <c r="H645" s="209">
        <f t="shared" si="32"/>
        <v>18.771000000000001</v>
      </c>
    </row>
    <row r="646" spans="2:8" x14ac:dyDescent="0.2">
      <c r="B646" s="34">
        <v>51902.292000000001</v>
      </c>
      <c r="C646" s="34">
        <v>159190.88699999999</v>
      </c>
      <c r="D646" s="34">
        <v>18.779</v>
      </c>
      <c r="F646" s="209">
        <f t="shared" si="30"/>
        <v>60052.292000000001</v>
      </c>
      <c r="G646" s="209">
        <f t="shared" si="31"/>
        <v>363840.88699999999</v>
      </c>
      <c r="H646" s="209">
        <f t="shared" si="32"/>
        <v>18.779</v>
      </c>
    </row>
    <row r="647" spans="2:8" x14ac:dyDescent="0.2">
      <c r="B647" s="34">
        <v>51901.989000000001</v>
      </c>
      <c r="C647" s="34">
        <v>159189.606</v>
      </c>
      <c r="D647" s="34">
        <v>18.77</v>
      </c>
      <c r="F647" s="209">
        <f t="shared" si="30"/>
        <v>60051.989000000001</v>
      </c>
      <c r="G647" s="209">
        <f t="shared" si="31"/>
        <v>363839.60600000003</v>
      </c>
      <c r="H647" s="209">
        <f t="shared" si="32"/>
        <v>18.77</v>
      </c>
    </row>
    <row r="648" spans="2:8" x14ac:dyDescent="0.2">
      <c r="B648" s="34">
        <v>51905.196000000004</v>
      </c>
      <c r="C648" s="34">
        <v>159190.09700000001</v>
      </c>
      <c r="D648" s="34">
        <v>18.78</v>
      </c>
      <c r="F648" s="209">
        <f t="shared" si="30"/>
        <v>60055.196000000004</v>
      </c>
      <c r="G648" s="209">
        <f t="shared" si="31"/>
        <v>363840.09700000001</v>
      </c>
      <c r="H648" s="209">
        <f t="shared" si="32"/>
        <v>18.78</v>
      </c>
    </row>
    <row r="649" spans="2:8" x14ac:dyDescent="0.2">
      <c r="B649" s="34">
        <v>51904.885000000002</v>
      </c>
      <c r="C649" s="34">
        <v>159188.807</v>
      </c>
      <c r="D649" s="34">
        <v>18.773</v>
      </c>
      <c r="F649" s="209">
        <f t="shared" si="30"/>
        <v>60054.885000000002</v>
      </c>
      <c r="G649" s="209">
        <f t="shared" si="31"/>
        <v>363838.80700000003</v>
      </c>
      <c r="H649" s="209">
        <f t="shared" si="32"/>
        <v>18.773</v>
      </c>
    </row>
    <row r="650" spans="2:8" x14ac:dyDescent="0.2">
      <c r="B650" s="34">
        <v>51907.951999999997</v>
      </c>
      <c r="C650" s="34">
        <v>159189.36499999999</v>
      </c>
      <c r="D650" s="34">
        <v>18.786000000000001</v>
      </c>
      <c r="F650" s="209">
        <f t="shared" si="30"/>
        <v>60057.951999999997</v>
      </c>
      <c r="G650" s="209">
        <f t="shared" si="31"/>
        <v>363839.36499999999</v>
      </c>
      <c r="H650" s="209">
        <f t="shared" si="32"/>
        <v>18.786000000000001</v>
      </c>
    </row>
    <row r="651" spans="2:8" x14ac:dyDescent="0.2">
      <c r="B651" s="34">
        <v>51907.578000000001</v>
      </c>
      <c r="C651" s="34">
        <v>159188.101</v>
      </c>
      <c r="D651" s="34">
        <v>18.776</v>
      </c>
      <c r="F651" s="209">
        <f t="shared" si="30"/>
        <v>60057.578000000001</v>
      </c>
      <c r="G651" s="209">
        <f t="shared" si="31"/>
        <v>363838.10100000002</v>
      </c>
      <c r="H651" s="209">
        <f t="shared" si="32"/>
        <v>18.776</v>
      </c>
    </row>
    <row r="652" spans="2:8" x14ac:dyDescent="0.2">
      <c r="B652" s="34">
        <v>51910.962</v>
      </c>
      <c r="C652" s="34">
        <v>159188.60399999999</v>
      </c>
      <c r="D652" s="34">
        <v>18.794</v>
      </c>
      <c r="F652" s="209">
        <f t="shared" si="30"/>
        <v>60060.962</v>
      </c>
      <c r="G652" s="209">
        <f t="shared" si="31"/>
        <v>363838.60399999999</v>
      </c>
      <c r="H652" s="209">
        <f t="shared" si="32"/>
        <v>18.794</v>
      </c>
    </row>
    <row r="653" spans="2:8" x14ac:dyDescent="0.2">
      <c r="B653" s="34">
        <v>51910.64</v>
      </c>
      <c r="C653" s="34">
        <v>159187.32500000001</v>
      </c>
      <c r="D653" s="34">
        <v>18.783000000000001</v>
      </c>
      <c r="F653" s="209">
        <f t="shared" si="30"/>
        <v>60060.639999999999</v>
      </c>
      <c r="G653" s="209">
        <f t="shared" si="31"/>
        <v>363837.32500000001</v>
      </c>
      <c r="H653" s="209">
        <f t="shared" si="32"/>
        <v>18.783000000000001</v>
      </c>
    </row>
    <row r="654" spans="2:8" x14ac:dyDescent="0.2">
      <c r="B654" s="34">
        <v>51913.75</v>
      </c>
      <c r="C654" s="34">
        <v>159187.92000000001</v>
      </c>
      <c r="D654" s="34">
        <v>18.808</v>
      </c>
      <c r="F654" s="209">
        <f t="shared" si="30"/>
        <v>60063.75</v>
      </c>
      <c r="G654" s="209">
        <f t="shared" si="31"/>
        <v>363837.92000000004</v>
      </c>
      <c r="H654" s="209">
        <f t="shared" si="32"/>
        <v>18.808</v>
      </c>
    </row>
    <row r="655" spans="2:8" x14ac:dyDescent="0.2">
      <c r="B655" s="34">
        <v>51913.421000000002</v>
      </c>
      <c r="C655" s="34">
        <v>159186.639</v>
      </c>
      <c r="D655" s="34">
        <v>18.794</v>
      </c>
      <c r="F655" s="209">
        <f t="shared" si="30"/>
        <v>60063.421000000002</v>
      </c>
      <c r="G655" s="209">
        <f t="shared" si="31"/>
        <v>363836.63899999997</v>
      </c>
      <c r="H655" s="209">
        <f t="shared" si="32"/>
        <v>18.794</v>
      </c>
    </row>
    <row r="656" spans="2:8" x14ac:dyDescent="0.2">
      <c r="B656" s="34">
        <v>51884.538999999997</v>
      </c>
      <c r="C656" s="34">
        <v>159193.38200000001</v>
      </c>
      <c r="D656" s="34">
        <v>19.332000000000001</v>
      </c>
      <c r="F656" s="209">
        <f t="shared" si="30"/>
        <v>60034.538999999997</v>
      </c>
      <c r="G656" s="209">
        <f t="shared" si="31"/>
        <v>363843.38199999998</v>
      </c>
      <c r="H656" s="209">
        <f t="shared" si="32"/>
        <v>19.332000000000001</v>
      </c>
    </row>
    <row r="657" spans="2:8" x14ac:dyDescent="0.2">
      <c r="B657" s="34">
        <v>51890.286999999997</v>
      </c>
      <c r="C657" s="34">
        <v>159191.73000000001</v>
      </c>
      <c r="D657" s="34">
        <v>19.321999999999999</v>
      </c>
      <c r="F657" s="209">
        <f t="shared" si="30"/>
        <v>60040.286999999997</v>
      </c>
      <c r="G657" s="209">
        <f t="shared" si="31"/>
        <v>363841.73</v>
      </c>
      <c r="H657" s="209">
        <f t="shared" si="32"/>
        <v>19.321999999999999</v>
      </c>
    </row>
    <row r="658" spans="2:8" x14ac:dyDescent="0.2">
      <c r="B658" s="34">
        <v>51895.921000000002</v>
      </c>
      <c r="C658" s="34">
        <v>159190.101</v>
      </c>
      <c r="D658" s="34">
        <v>19.334</v>
      </c>
      <c r="F658" s="209">
        <f t="shared" si="30"/>
        <v>60045.921000000002</v>
      </c>
      <c r="G658" s="209">
        <f t="shared" si="31"/>
        <v>363840.10100000002</v>
      </c>
      <c r="H658" s="209">
        <f t="shared" si="32"/>
        <v>19.334</v>
      </c>
    </row>
    <row r="659" spans="2:8" x14ac:dyDescent="0.2">
      <c r="B659" s="34">
        <v>51899.767999999996</v>
      </c>
      <c r="C659" s="34">
        <v>159188.99400000001</v>
      </c>
      <c r="D659" s="34">
        <v>19.344999999999999</v>
      </c>
      <c r="F659" s="209">
        <f t="shared" si="30"/>
        <v>60049.767999999996</v>
      </c>
      <c r="G659" s="209">
        <f t="shared" si="31"/>
        <v>363838.99400000001</v>
      </c>
      <c r="H659" s="209">
        <f t="shared" si="32"/>
        <v>19.344999999999999</v>
      </c>
    </row>
    <row r="660" spans="2:8" x14ac:dyDescent="0.2">
      <c r="B660" s="34">
        <v>51903.608999999997</v>
      </c>
      <c r="C660" s="34">
        <v>159187.883</v>
      </c>
      <c r="D660" s="34">
        <v>19.356999999999999</v>
      </c>
      <c r="F660" s="209">
        <f t="shared" si="30"/>
        <v>60053.608999999997</v>
      </c>
      <c r="G660" s="209">
        <f t="shared" si="31"/>
        <v>363837.88300000003</v>
      </c>
      <c r="H660" s="209">
        <f t="shared" si="32"/>
        <v>19.356999999999999</v>
      </c>
    </row>
    <row r="661" spans="2:8" x14ac:dyDescent="0.2">
      <c r="B661" s="152">
        <v>51910.065000000002</v>
      </c>
      <c r="C661" s="152">
        <v>159186.024</v>
      </c>
      <c r="D661" s="152">
        <v>19.356999999999999</v>
      </c>
      <c r="F661" s="209">
        <f t="shared" si="30"/>
        <v>60060.065000000002</v>
      </c>
      <c r="G661" s="209">
        <f t="shared" si="31"/>
        <v>363836.02399999998</v>
      </c>
      <c r="H661" s="209">
        <f t="shared" si="32"/>
        <v>19.356999999999999</v>
      </c>
    </row>
    <row r="662" spans="2:8" x14ac:dyDescent="0.2">
      <c r="B662" s="34">
        <v>51885.339</v>
      </c>
      <c r="C662" s="34">
        <v>159195.739</v>
      </c>
      <c r="D662" s="34">
        <v>18.782</v>
      </c>
      <c r="F662" s="209">
        <f t="shared" si="30"/>
        <v>60035.339</v>
      </c>
      <c r="G662" s="209">
        <f t="shared" si="31"/>
        <v>363845.739</v>
      </c>
      <c r="H662" s="209">
        <f t="shared" si="32"/>
        <v>18.782</v>
      </c>
    </row>
    <row r="663" spans="2:8" x14ac:dyDescent="0.2">
      <c r="B663" s="34">
        <v>51884.959000000003</v>
      </c>
      <c r="C663" s="34">
        <v>159194.47099999999</v>
      </c>
      <c r="D663" s="34">
        <v>18.777999999999999</v>
      </c>
      <c r="F663" s="209">
        <f t="shared" si="30"/>
        <v>60034.959000000003</v>
      </c>
      <c r="G663" s="209">
        <f t="shared" si="31"/>
        <v>363844.47100000002</v>
      </c>
      <c r="H663" s="209">
        <f t="shared" si="32"/>
        <v>18.777999999999999</v>
      </c>
    </row>
    <row r="664" spans="2:8" x14ac:dyDescent="0.2">
      <c r="B664" s="34">
        <v>51888.116999999998</v>
      </c>
      <c r="C664" s="34">
        <v>159194.94500000001</v>
      </c>
      <c r="D664" s="34">
        <v>18.779</v>
      </c>
      <c r="F664" s="209">
        <f t="shared" si="30"/>
        <v>60038.116999999998</v>
      </c>
      <c r="G664" s="209">
        <f t="shared" si="31"/>
        <v>363844.94500000001</v>
      </c>
      <c r="H664" s="209">
        <f t="shared" si="32"/>
        <v>18.779</v>
      </c>
    </row>
    <row r="665" spans="2:8" x14ac:dyDescent="0.2">
      <c r="B665" s="34">
        <v>51887.803999999996</v>
      </c>
      <c r="C665" s="34">
        <v>159193.658</v>
      </c>
      <c r="D665" s="34">
        <v>18.779</v>
      </c>
      <c r="F665" s="209">
        <f t="shared" si="30"/>
        <v>60037.803999999996</v>
      </c>
      <c r="G665" s="209">
        <f t="shared" si="31"/>
        <v>363843.658</v>
      </c>
      <c r="H665" s="209">
        <f t="shared" si="32"/>
        <v>18.779</v>
      </c>
    </row>
    <row r="666" spans="2:8" x14ac:dyDescent="0.2">
      <c r="B666" s="34">
        <v>51890.968000000001</v>
      </c>
      <c r="C666" s="34">
        <v>159194.11799999999</v>
      </c>
      <c r="D666" s="34">
        <v>18.779</v>
      </c>
      <c r="F666" s="209">
        <f t="shared" si="30"/>
        <v>60040.968000000001</v>
      </c>
      <c r="G666" s="209">
        <f t="shared" si="31"/>
        <v>363844.11800000002</v>
      </c>
      <c r="H666" s="209">
        <f t="shared" si="32"/>
        <v>18.779</v>
      </c>
    </row>
    <row r="667" spans="2:8" x14ac:dyDescent="0.2">
      <c r="B667" s="34">
        <v>51890.606</v>
      </c>
      <c r="C667" s="34">
        <v>159192.86199999999</v>
      </c>
      <c r="D667" s="34">
        <v>18.771999999999998</v>
      </c>
      <c r="F667" s="209">
        <f t="shared" si="30"/>
        <v>60040.606</v>
      </c>
      <c r="G667" s="209">
        <f t="shared" si="31"/>
        <v>363842.86199999996</v>
      </c>
      <c r="H667" s="209">
        <f t="shared" si="32"/>
        <v>18.771999999999998</v>
      </c>
    </row>
    <row r="668" spans="2:8" x14ac:dyDescent="0.2">
      <c r="B668" s="34">
        <v>51893.758000000002</v>
      </c>
      <c r="C668" s="34">
        <v>159193.31599999999</v>
      </c>
      <c r="D668" s="34">
        <v>18.774000000000001</v>
      </c>
      <c r="F668" s="209">
        <f t="shared" si="30"/>
        <v>60043.758000000002</v>
      </c>
      <c r="G668" s="209">
        <f t="shared" si="31"/>
        <v>363843.31599999999</v>
      </c>
      <c r="H668" s="209">
        <f t="shared" si="32"/>
        <v>18.774000000000001</v>
      </c>
    </row>
    <row r="669" spans="2:8" x14ac:dyDescent="0.2">
      <c r="B669" s="34">
        <v>51893.440999999999</v>
      </c>
      <c r="C669" s="34">
        <v>159192.04199999999</v>
      </c>
      <c r="D669" s="34">
        <v>18.768999999999998</v>
      </c>
      <c r="F669" s="209">
        <f t="shared" si="30"/>
        <v>60043.440999999999</v>
      </c>
      <c r="G669" s="209">
        <f t="shared" si="31"/>
        <v>363842.04200000002</v>
      </c>
      <c r="H669" s="209">
        <f t="shared" si="32"/>
        <v>18.768999999999998</v>
      </c>
    </row>
    <row r="670" spans="2:8" x14ac:dyDescent="0.2">
      <c r="B670" s="34">
        <v>51896.633000000002</v>
      </c>
      <c r="C670" s="34">
        <v>159192.486</v>
      </c>
      <c r="D670" s="34">
        <v>18.777999999999999</v>
      </c>
      <c r="F670" s="209">
        <f t="shared" si="30"/>
        <v>60046.633000000002</v>
      </c>
      <c r="G670" s="209">
        <f t="shared" si="31"/>
        <v>363842.48600000003</v>
      </c>
      <c r="H670" s="209">
        <f t="shared" si="32"/>
        <v>18.777999999999999</v>
      </c>
    </row>
    <row r="671" spans="2:8" x14ac:dyDescent="0.2">
      <c r="B671" s="34">
        <v>51896.249000000003</v>
      </c>
      <c r="C671" s="34">
        <v>159191.228</v>
      </c>
      <c r="D671" s="34">
        <v>18.77</v>
      </c>
      <c r="F671" s="209">
        <f t="shared" si="30"/>
        <v>60046.249000000003</v>
      </c>
      <c r="G671" s="209">
        <f t="shared" si="31"/>
        <v>363841.228</v>
      </c>
      <c r="H671" s="209">
        <f t="shared" si="32"/>
        <v>18.77</v>
      </c>
    </row>
    <row r="672" spans="2:8" x14ac:dyDescent="0.2">
      <c r="B672" s="34">
        <v>51899.398000000001</v>
      </c>
      <c r="C672" s="34">
        <v>159191.70000000001</v>
      </c>
      <c r="D672" s="34">
        <v>18.777999999999999</v>
      </c>
      <c r="F672" s="209">
        <f t="shared" si="30"/>
        <v>60049.398000000001</v>
      </c>
      <c r="G672" s="209">
        <f t="shared" si="31"/>
        <v>363841.7</v>
      </c>
      <c r="H672" s="209">
        <f t="shared" si="32"/>
        <v>18.777999999999999</v>
      </c>
    </row>
    <row r="673" spans="2:8" x14ac:dyDescent="0.2">
      <c r="B673" s="34">
        <v>51899.040999999997</v>
      </c>
      <c r="C673" s="34">
        <v>159190.43599999999</v>
      </c>
      <c r="D673" s="34">
        <v>18.771000000000001</v>
      </c>
      <c r="F673" s="209">
        <f t="shared" si="30"/>
        <v>60049.040999999997</v>
      </c>
      <c r="G673" s="209">
        <f t="shared" si="31"/>
        <v>363840.43599999999</v>
      </c>
      <c r="H673" s="209">
        <f t="shared" si="32"/>
        <v>18.771000000000001</v>
      </c>
    </row>
    <row r="674" spans="2:8" x14ac:dyDescent="0.2">
      <c r="B674" s="34">
        <v>51902.292999999998</v>
      </c>
      <c r="C674" s="34">
        <v>159190.88800000001</v>
      </c>
      <c r="D674" s="34">
        <v>18.779</v>
      </c>
      <c r="F674" s="209">
        <f t="shared" si="30"/>
        <v>60052.292999999998</v>
      </c>
      <c r="G674" s="209">
        <f t="shared" si="31"/>
        <v>363840.88800000004</v>
      </c>
      <c r="H674" s="209">
        <f t="shared" si="32"/>
        <v>18.779</v>
      </c>
    </row>
    <row r="675" spans="2:8" x14ac:dyDescent="0.2">
      <c r="B675" s="34">
        <v>51901.989000000001</v>
      </c>
      <c r="C675" s="34">
        <v>159189.606</v>
      </c>
      <c r="D675" s="34">
        <v>18.77</v>
      </c>
      <c r="F675" s="209">
        <f t="shared" si="30"/>
        <v>60051.989000000001</v>
      </c>
      <c r="G675" s="209">
        <f t="shared" si="31"/>
        <v>363839.60600000003</v>
      </c>
      <c r="H675" s="209">
        <f t="shared" si="32"/>
        <v>18.77</v>
      </c>
    </row>
    <row r="676" spans="2:8" x14ac:dyDescent="0.2">
      <c r="B676" s="34">
        <v>51905.196000000004</v>
      </c>
      <c r="C676" s="34">
        <v>159190.098</v>
      </c>
      <c r="D676" s="34">
        <v>18.78</v>
      </c>
      <c r="F676" s="209">
        <f t="shared" si="30"/>
        <v>60055.196000000004</v>
      </c>
      <c r="G676" s="209">
        <f t="shared" si="31"/>
        <v>363840.098</v>
      </c>
      <c r="H676" s="209">
        <f t="shared" si="32"/>
        <v>18.78</v>
      </c>
    </row>
    <row r="677" spans="2:8" x14ac:dyDescent="0.2">
      <c r="B677" s="34">
        <v>51904.885000000002</v>
      </c>
      <c r="C677" s="34">
        <v>159188.80799999999</v>
      </c>
      <c r="D677" s="34">
        <v>18.773</v>
      </c>
      <c r="F677" s="209">
        <f t="shared" si="30"/>
        <v>60054.885000000002</v>
      </c>
      <c r="G677" s="209">
        <f t="shared" si="31"/>
        <v>363838.80799999996</v>
      </c>
      <c r="H677" s="209">
        <f t="shared" si="32"/>
        <v>18.773</v>
      </c>
    </row>
    <row r="678" spans="2:8" x14ac:dyDescent="0.2">
      <c r="B678" s="34">
        <v>51907.951999999997</v>
      </c>
      <c r="C678" s="34">
        <v>159189.36600000001</v>
      </c>
      <c r="D678" s="34">
        <v>18.786000000000001</v>
      </c>
      <c r="F678" s="209">
        <f t="shared" si="30"/>
        <v>60057.951999999997</v>
      </c>
      <c r="G678" s="209">
        <f t="shared" si="31"/>
        <v>363839.36600000004</v>
      </c>
      <c r="H678" s="209">
        <f t="shared" si="32"/>
        <v>18.786000000000001</v>
      </c>
    </row>
    <row r="679" spans="2:8" x14ac:dyDescent="0.2">
      <c r="B679" s="34">
        <v>51907.578000000001</v>
      </c>
      <c r="C679" s="34">
        <v>159188.101</v>
      </c>
      <c r="D679" s="34">
        <v>18.774999999999999</v>
      </c>
      <c r="F679" s="209">
        <f t="shared" si="30"/>
        <v>60057.578000000001</v>
      </c>
      <c r="G679" s="209">
        <f t="shared" si="31"/>
        <v>363838.10100000002</v>
      </c>
      <c r="H679" s="209">
        <f t="shared" si="32"/>
        <v>18.774999999999999</v>
      </c>
    </row>
    <row r="680" spans="2:8" x14ac:dyDescent="0.2">
      <c r="B680" s="34">
        <v>51910.962</v>
      </c>
      <c r="C680" s="34">
        <v>159188.60399999999</v>
      </c>
      <c r="D680" s="34">
        <v>18.794</v>
      </c>
      <c r="F680" s="209">
        <f t="shared" si="30"/>
        <v>60060.962</v>
      </c>
      <c r="G680" s="209">
        <f t="shared" si="31"/>
        <v>363838.60399999999</v>
      </c>
      <c r="H680" s="209">
        <f t="shared" si="32"/>
        <v>18.794</v>
      </c>
    </row>
    <row r="681" spans="2:8" x14ac:dyDescent="0.2">
      <c r="B681" s="34">
        <v>51910.64</v>
      </c>
      <c r="C681" s="34">
        <v>159187.326</v>
      </c>
      <c r="D681" s="34">
        <v>18.783000000000001</v>
      </c>
      <c r="F681" s="209">
        <f t="shared" si="30"/>
        <v>60060.639999999999</v>
      </c>
      <c r="G681" s="209">
        <f t="shared" si="31"/>
        <v>363837.326</v>
      </c>
      <c r="H681" s="209">
        <f t="shared" si="32"/>
        <v>18.783000000000001</v>
      </c>
    </row>
    <row r="682" spans="2:8" x14ac:dyDescent="0.2">
      <c r="B682" s="34">
        <v>51913.75</v>
      </c>
      <c r="C682" s="34">
        <v>159187.921</v>
      </c>
      <c r="D682" s="34">
        <v>18.808</v>
      </c>
      <c r="F682" s="209">
        <f t="shared" si="30"/>
        <v>60063.75</v>
      </c>
      <c r="G682" s="209">
        <f t="shared" si="31"/>
        <v>363837.92099999997</v>
      </c>
      <c r="H682" s="209">
        <f t="shared" si="32"/>
        <v>18.808</v>
      </c>
    </row>
    <row r="683" spans="2:8" x14ac:dyDescent="0.2">
      <c r="B683" s="34">
        <v>51913.421000000002</v>
      </c>
      <c r="C683" s="34">
        <v>159186.639</v>
      </c>
      <c r="D683" s="34">
        <v>18.794</v>
      </c>
      <c r="F683" s="209">
        <f t="shared" si="30"/>
        <v>60063.421000000002</v>
      </c>
      <c r="G683" s="209">
        <f t="shared" si="31"/>
        <v>363836.63899999997</v>
      </c>
      <c r="H683" s="209">
        <f t="shared" si="32"/>
        <v>18.794</v>
      </c>
    </row>
    <row r="684" spans="2:8" x14ac:dyDescent="0.2">
      <c r="B684" s="34">
        <v>51884.538999999997</v>
      </c>
      <c r="C684" s="34">
        <v>159193.38200000001</v>
      </c>
      <c r="D684" s="34">
        <v>19.332000000000001</v>
      </c>
      <c r="F684" s="209">
        <f t="shared" si="30"/>
        <v>60034.538999999997</v>
      </c>
      <c r="G684" s="209">
        <f t="shared" si="31"/>
        <v>363843.38199999998</v>
      </c>
      <c r="H684" s="209">
        <f t="shared" si="32"/>
        <v>19.332000000000001</v>
      </c>
    </row>
    <row r="685" spans="2:8" x14ac:dyDescent="0.2">
      <c r="B685" s="34">
        <v>51890.286</v>
      </c>
      <c r="C685" s="34">
        <v>159191.73000000001</v>
      </c>
      <c r="D685" s="34">
        <v>19.321999999999999</v>
      </c>
      <c r="F685" s="209">
        <f t="shared" si="30"/>
        <v>60040.286</v>
      </c>
      <c r="G685" s="209">
        <f t="shared" si="31"/>
        <v>363841.73</v>
      </c>
      <c r="H685" s="209">
        <f t="shared" si="32"/>
        <v>19.321999999999999</v>
      </c>
    </row>
    <row r="686" spans="2:8" x14ac:dyDescent="0.2">
      <c r="B686" s="34">
        <v>51895.921999999999</v>
      </c>
      <c r="C686" s="34">
        <v>159190.101</v>
      </c>
      <c r="D686" s="34">
        <v>19.334</v>
      </c>
      <c r="F686" s="209">
        <f t="shared" si="30"/>
        <v>60045.921999999999</v>
      </c>
      <c r="G686" s="209">
        <f t="shared" si="31"/>
        <v>363840.10100000002</v>
      </c>
      <c r="H686" s="209">
        <f t="shared" si="32"/>
        <v>19.334</v>
      </c>
    </row>
    <row r="687" spans="2:8" x14ac:dyDescent="0.2">
      <c r="B687" s="34">
        <v>51899.767999999996</v>
      </c>
      <c r="C687" s="34">
        <v>159188.995</v>
      </c>
      <c r="D687" s="34">
        <v>19.344999999999999</v>
      </c>
      <c r="F687" s="209">
        <f t="shared" si="30"/>
        <v>60049.767999999996</v>
      </c>
      <c r="G687" s="209">
        <f t="shared" si="31"/>
        <v>363838.995</v>
      </c>
      <c r="H687" s="209">
        <f t="shared" si="32"/>
        <v>19.344999999999999</v>
      </c>
    </row>
    <row r="688" spans="2:8" x14ac:dyDescent="0.2">
      <c r="B688" s="34">
        <v>51903.608999999997</v>
      </c>
      <c r="C688" s="34">
        <v>159187.883</v>
      </c>
      <c r="D688" s="34">
        <v>19.356999999999999</v>
      </c>
      <c r="F688" s="209">
        <f t="shared" si="30"/>
        <v>60053.608999999997</v>
      </c>
      <c r="G688" s="209">
        <f t="shared" si="31"/>
        <v>363837.88300000003</v>
      </c>
      <c r="H688" s="209">
        <f t="shared" si="32"/>
        <v>19.356999999999999</v>
      </c>
    </row>
    <row r="689" spans="2:8" x14ac:dyDescent="0.2">
      <c r="B689" s="152">
        <v>51910.065000000002</v>
      </c>
      <c r="C689" s="152">
        <v>159186.02499999999</v>
      </c>
      <c r="D689" s="152">
        <v>19.356999999999999</v>
      </c>
      <c r="F689" s="209">
        <f t="shared" si="30"/>
        <v>60060.065000000002</v>
      </c>
      <c r="G689" s="209">
        <f t="shared" si="31"/>
        <v>363836.02500000002</v>
      </c>
      <c r="H689" s="209">
        <f t="shared" si="32"/>
        <v>19.356999999999999</v>
      </c>
    </row>
    <row r="690" spans="2:8" x14ac:dyDescent="0.2">
      <c r="B690" s="34">
        <v>51885.339</v>
      </c>
      <c r="C690" s="34">
        <v>159195.73800000001</v>
      </c>
      <c r="D690" s="34">
        <v>18.783000000000001</v>
      </c>
      <c r="F690" s="209">
        <f t="shared" si="30"/>
        <v>60035.339</v>
      </c>
      <c r="G690" s="209">
        <f t="shared" si="31"/>
        <v>363845.73800000001</v>
      </c>
      <c r="H690" s="209">
        <f t="shared" si="32"/>
        <v>18.783000000000001</v>
      </c>
    </row>
    <row r="691" spans="2:8" x14ac:dyDescent="0.2">
      <c r="B691" s="34">
        <v>51884.959000000003</v>
      </c>
      <c r="C691" s="34">
        <v>159194.47099999999</v>
      </c>
      <c r="D691" s="34">
        <v>18.779</v>
      </c>
      <c r="F691" s="209">
        <f t="shared" si="30"/>
        <v>60034.959000000003</v>
      </c>
      <c r="G691" s="209">
        <f t="shared" si="31"/>
        <v>363844.47100000002</v>
      </c>
      <c r="H691" s="209">
        <f t="shared" si="32"/>
        <v>18.779</v>
      </c>
    </row>
    <row r="692" spans="2:8" x14ac:dyDescent="0.2">
      <c r="B692" s="34">
        <v>51888.116999999998</v>
      </c>
      <c r="C692" s="34">
        <v>159194.94500000001</v>
      </c>
      <c r="D692" s="34">
        <v>18.779</v>
      </c>
      <c r="F692" s="209">
        <f t="shared" si="30"/>
        <v>60038.116999999998</v>
      </c>
      <c r="G692" s="209">
        <f t="shared" si="31"/>
        <v>363844.94500000001</v>
      </c>
      <c r="H692" s="209">
        <f t="shared" si="32"/>
        <v>18.779</v>
      </c>
    </row>
    <row r="693" spans="2:8" x14ac:dyDescent="0.2">
      <c r="B693" s="34">
        <v>51887.803999999996</v>
      </c>
      <c r="C693" s="34">
        <v>159193.658</v>
      </c>
      <c r="D693" s="34">
        <v>18.779</v>
      </c>
      <c r="F693" s="209">
        <f t="shared" si="30"/>
        <v>60037.803999999996</v>
      </c>
      <c r="G693" s="209">
        <f t="shared" si="31"/>
        <v>363843.658</v>
      </c>
      <c r="H693" s="209">
        <f t="shared" si="32"/>
        <v>18.779</v>
      </c>
    </row>
    <row r="694" spans="2:8" x14ac:dyDescent="0.2">
      <c r="B694" s="34">
        <v>51890.968000000001</v>
      </c>
      <c r="C694" s="34">
        <v>159194.11799999999</v>
      </c>
      <c r="D694" s="34">
        <v>18.779</v>
      </c>
      <c r="F694" s="209">
        <f t="shared" si="30"/>
        <v>60040.968000000001</v>
      </c>
      <c r="G694" s="209">
        <f t="shared" si="31"/>
        <v>363844.11800000002</v>
      </c>
      <c r="H694" s="209">
        <f t="shared" si="32"/>
        <v>18.779</v>
      </c>
    </row>
    <row r="695" spans="2:8" x14ac:dyDescent="0.2">
      <c r="B695" s="34">
        <v>51890.606</v>
      </c>
      <c r="C695" s="34">
        <v>159192.86199999999</v>
      </c>
      <c r="D695" s="34">
        <v>18.771999999999998</v>
      </c>
      <c r="F695" s="209">
        <f t="shared" si="30"/>
        <v>60040.606</v>
      </c>
      <c r="G695" s="209">
        <f t="shared" si="31"/>
        <v>363842.86199999996</v>
      </c>
      <c r="H695" s="209">
        <f t="shared" si="32"/>
        <v>18.771999999999998</v>
      </c>
    </row>
    <row r="696" spans="2:8" x14ac:dyDescent="0.2">
      <c r="B696" s="34">
        <v>51893.758000000002</v>
      </c>
      <c r="C696" s="34">
        <v>159193.315</v>
      </c>
      <c r="D696" s="34">
        <v>18.774000000000001</v>
      </c>
      <c r="F696" s="209">
        <f t="shared" si="30"/>
        <v>60043.758000000002</v>
      </c>
      <c r="G696" s="209">
        <f t="shared" si="31"/>
        <v>363843.315</v>
      </c>
      <c r="H696" s="209">
        <f t="shared" si="32"/>
        <v>18.774000000000001</v>
      </c>
    </row>
    <row r="697" spans="2:8" x14ac:dyDescent="0.2">
      <c r="B697" s="34">
        <v>51893.440999999999</v>
      </c>
      <c r="C697" s="34">
        <v>159192.041</v>
      </c>
      <c r="D697" s="34">
        <v>18.768999999999998</v>
      </c>
      <c r="F697" s="209">
        <f t="shared" si="30"/>
        <v>60043.440999999999</v>
      </c>
      <c r="G697" s="209">
        <f t="shared" si="31"/>
        <v>363842.04099999997</v>
      </c>
      <c r="H697" s="209">
        <f t="shared" si="32"/>
        <v>18.768999999999998</v>
      </c>
    </row>
    <row r="698" spans="2:8" x14ac:dyDescent="0.2">
      <c r="B698" s="34">
        <v>51896.633000000002</v>
      </c>
      <c r="C698" s="34">
        <v>159192.486</v>
      </c>
      <c r="D698" s="34">
        <v>18.777999999999999</v>
      </c>
      <c r="F698" s="209">
        <f t="shared" si="30"/>
        <v>60046.633000000002</v>
      </c>
      <c r="G698" s="209">
        <f t="shared" si="31"/>
        <v>363842.48600000003</v>
      </c>
      <c r="H698" s="209">
        <f t="shared" si="32"/>
        <v>18.777999999999999</v>
      </c>
    </row>
    <row r="699" spans="2:8" x14ac:dyDescent="0.2">
      <c r="B699" s="34">
        <v>51896.249000000003</v>
      </c>
      <c r="C699" s="34">
        <v>159191.22700000001</v>
      </c>
      <c r="D699" s="34">
        <v>18.77</v>
      </c>
      <c r="F699" s="209">
        <f t="shared" si="30"/>
        <v>60046.249000000003</v>
      </c>
      <c r="G699" s="209">
        <f t="shared" si="31"/>
        <v>363841.22700000001</v>
      </c>
      <c r="H699" s="209">
        <f t="shared" si="32"/>
        <v>18.77</v>
      </c>
    </row>
    <row r="700" spans="2:8" x14ac:dyDescent="0.2">
      <c r="B700" s="34">
        <v>51899.398000000001</v>
      </c>
      <c r="C700" s="34">
        <v>159191.69899999999</v>
      </c>
      <c r="D700" s="34">
        <v>18.777999999999999</v>
      </c>
      <c r="F700" s="209">
        <f t="shared" si="30"/>
        <v>60049.398000000001</v>
      </c>
      <c r="G700" s="209">
        <f t="shared" si="31"/>
        <v>363841.69900000002</v>
      </c>
      <c r="H700" s="209">
        <f t="shared" si="32"/>
        <v>18.777999999999999</v>
      </c>
    </row>
    <row r="701" spans="2:8" x14ac:dyDescent="0.2">
      <c r="B701" s="34">
        <v>51899.040000000001</v>
      </c>
      <c r="C701" s="34">
        <v>159190.43599999999</v>
      </c>
      <c r="D701" s="34">
        <v>18.771000000000001</v>
      </c>
      <c r="F701" s="209">
        <f t="shared" si="30"/>
        <v>60049.04</v>
      </c>
      <c r="G701" s="209">
        <f t="shared" si="31"/>
        <v>363840.43599999999</v>
      </c>
      <c r="H701" s="209">
        <f t="shared" si="32"/>
        <v>18.771000000000001</v>
      </c>
    </row>
    <row r="702" spans="2:8" x14ac:dyDescent="0.2">
      <c r="B702" s="34">
        <v>51902.292000000001</v>
      </c>
      <c r="C702" s="34">
        <v>159190.88699999999</v>
      </c>
      <c r="D702" s="34">
        <v>18.779</v>
      </c>
      <c r="F702" s="209">
        <f t="shared" si="30"/>
        <v>60052.292000000001</v>
      </c>
      <c r="G702" s="209">
        <f t="shared" si="31"/>
        <v>363840.88699999999</v>
      </c>
      <c r="H702" s="209">
        <f t="shared" si="32"/>
        <v>18.779</v>
      </c>
    </row>
    <row r="703" spans="2:8" x14ac:dyDescent="0.2">
      <c r="B703" s="34">
        <v>51901.989000000001</v>
      </c>
      <c r="C703" s="34">
        <v>159189.606</v>
      </c>
      <c r="D703" s="34">
        <v>18.77</v>
      </c>
      <c r="F703" s="209">
        <f t="shared" si="30"/>
        <v>60051.989000000001</v>
      </c>
      <c r="G703" s="209">
        <f t="shared" si="31"/>
        <v>363839.60600000003</v>
      </c>
      <c r="H703" s="209">
        <f t="shared" si="32"/>
        <v>18.77</v>
      </c>
    </row>
    <row r="704" spans="2:8" x14ac:dyDescent="0.2">
      <c r="B704" s="34">
        <v>51905.196000000004</v>
      </c>
      <c r="C704" s="34">
        <v>159190.09700000001</v>
      </c>
      <c r="D704" s="34">
        <v>18.78</v>
      </c>
      <c r="F704" s="209">
        <f t="shared" si="30"/>
        <v>60055.196000000004</v>
      </c>
      <c r="G704" s="209">
        <f t="shared" si="31"/>
        <v>363840.09700000001</v>
      </c>
      <c r="H704" s="209">
        <f t="shared" si="32"/>
        <v>18.78</v>
      </c>
    </row>
    <row r="705" spans="2:8" x14ac:dyDescent="0.2">
      <c r="B705" s="34">
        <v>51904.885000000002</v>
      </c>
      <c r="C705" s="34">
        <v>159188.807</v>
      </c>
      <c r="D705" s="34">
        <v>18.773</v>
      </c>
      <c r="F705" s="209">
        <f t="shared" si="30"/>
        <v>60054.885000000002</v>
      </c>
      <c r="G705" s="209">
        <f t="shared" si="31"/>
        <v>363838.80700000003</v>
      </c>
      <c r="H705" s="209">
        <f t="shared" si="32"/>
        <v>18.773</v>
      </c>
    </row>
    <row r="706" spans="2:8" x14ac:dyDescent="0.2">
      <c r="B706" s="34">
        <v>51907.951999999997</v>
      </c>
      <c r="C706" s="34">
        <v>159189.36499999999</v>
      </c>
      <c r="D706" s="34">
        <v>18.786000000000001</v>
      </c>
      <c r="F706" s="209">
        <f t="shared" si="30"/>
        <v>60057.951999999997</v>
      </c>
      <c r="G706" s="209">
        <f t="shared" si="31"/>
        <v>363839.36499999999</v>
      </c>
      <c r="H706" s="209">
        <f t="shared" si="32"/>
        <v>18.786000000000001</v>
      </c>
    </row>
    <row r="707" spans="2:8" x14ac:dyDescent="0.2">
      <c r="B707" s="34">
        <v>51907.578000000001</v>
      </c>
      <c r="C707" s="34">
        <v>159188.101</v>
      </c>
      <c r="D707" s="34">
        <v>18.774999999999999</v>
      </c>
      <c r="F707" s="209">
        <f t="shared" si="30"/>
        <v>60057.578000000001</v>
      </c>
      <c r="G707" s="209">
        <f t="shared" si="31"/>
        <v>363838.10100000002</v>
      </c>
      <c r="H707" s="209">
        <f t="shared" si="32"/>
        <v>18.774999999999999</v>
      </c>
    </row>
    <row r="708" spans="2:8" x14ac:dyDescent="0.2">
      <c r="B708" s="34">
        <v>51910.962</v>
      </c>
      <c r="C708" s="34">
        <v>159188.60399999999</v>
      </c>
      <c r="D708" s="34">
        <v>18.794</v>
      </c>
      <c r="F708" s="209">
        <f t="shared" ref="F708:F771" si="33">B708+$B$1</f>
        <v>60060.962</v>
      </c>
      <c r="G708" s="209">
        <f t="shared" ref="G708:G771" si="34">C708+$C$1</f>
        <v>363838.60399999999</v>
      </c>
      <c r="H708" s="209">
        <f t="shared" ref="H708:H771" si="35">D708+$D$1</f>
        <v>18.794</v>
      </c>
    </row>
    <row r="709" spans="2:8" x14ac:dyDescent="0.2">
      <c r="B709" s="34">
        <v>51910.64</v>
      </c>
      <c r="C709" s="34">
        <v>159187.326</v>
      </c>
      <c r="D709" s="34">
        <v>18.783000000000001</v>
      </c>
      <c r="F709" s="209">
        <f t="shared" si="33"/>
        <v>60060.639999999999</v>
      </c>
      <c r="G709" s="209">
        <f t="shared" si="34"/>
        <v>363837.326</v>
      </c>
      <c r="H709" s="209">
        <f t="shared" si="35"/>
        <v>18.783000000000001</v>
      </c>
    </row>
    <row r="710" spans="2:8" x14ac:dyDescent="0.2">
      <c r="B710" s="34">
        <v>51913.75</v>
      </c>
      <c r="C710" s="34">
        <v>159187.921</v>
      </c>
      <c r="D710" s="34">
        <v>18.808</v>
      </c>
      <c r="F710" s="209">
        <f t="shared" si="33"/>
        <v>60063.75</v>
      </c>
      <c r="G710" s="209">
        <f t="shared" si="34"/>
        <v>363837.92099999997</v>
      </c>
      <c r="H710" s="209">
        <f t="shared" si="35"/>
        <v>18.808</v>
      </c>
    </row>
    <row r="711" spans="2:8" x14ac:dyDescent="0.2">
      <c r="B711" s="34">
        <v>51913.421000000002</v>
      </c>
      <c r="C711" s="34">
        <v>159186.639</v>
      </c>
      <c r="D711" s="34">
        <v>18.794</v>
      </c>
      <c r="F711" s="209">
        <f t="shared" si="33"/>
        <v>60063.421000000002</v>
      </c>
      <c r="G711" s="209">
        <f t="shared" si="34"/>
        <v>363836.63899999997</v>
      </c>
      <c r="H711" s="209">
        <f t="shared" si="35"/>
        <v>18.794</v>
      </c>
    </row>
    <row r="712" spans="2:8" x14ac:dyDescent="0.2">
      <c r="B712" s="34">
        <v>51884.538999999997</v>
      </c>
      <c r="C712" s="34">
        <v>159193.38200000001</v>
      </c>
      <c r="D712" s="34">
        <v>19.332000000000001</v>
      </c>
      <c r="F712" s="209">
        <f t="shared" si="33"/>
        <v>60034.538999999997</v>
      </c>
      <c r="G712" s="209">
        <f t="shared" si="34"/>
        <v>363843.38199999998</v>
      </c>
      <c r="H712" s="209">
        <f t="shared" si="35"/>
        <v>19.332000000000001</v>
      </c>
    </row>
    <row r="713" spans="2:8" x14ac:dyDescent="0.2">
      <c r="B713" s="34">
        <v>51890.286</v>
      </c>
      <c r="C713" s="34">
        <v>159191.73000000001</v>
      </c>
      <c r="D713" s="34">
        <v>19.321999999999999</v>
      </c>
      <c r="F713" s="209">
        <f t="shared" si="33"/>
        <v>60040.286</v>
      </c>
      <c r="G713" s="209">
        <f t="shared" si="34"/>
        <v>363841.73</v>
      </c>
      <c r="H713" s="209">
        <f t="shared" si="35"/>
        <v>19.321999999999999</v>
      </c>
    </row>
    <row r="714" spans="2:8" x14ac:dyDescent="0.2">
      <c r="B714" s="34">
        <v>51895.921000000002</v>
      </c>
      <c r="C714" s="34">
        <v>159190.101</v>
      </c>
      <c r="D714" s="34">
        <v>19.334</v>
      </c>
      <c r="F714" s="209">
        <f t="shared" si="33"/>
        <v>60045.921000000002</v>
      </c>
      <c r="G714" s="209">
        <f t="shared" si="34"/>
        <v>363840.10100000002</v>
      </c>
      <c r="H714" s="209">
        <f t="shared" si="35"/>
        <v>19.334</v>
      </c>
    </row>
    <row r="715" spans="2:8" x14ac:dyDescent="0.2">
      <c r="B715" s="34">
        <v>51899.767999999996</v>
      </c>
      <c r="C715" s="34">
        <v>159188.99400000001</v>
      </c>
      <c r="D715" s="34">
        <v>19.344999999999999</v>
      </c>
      <c r="F715" s="209">
        <f t="shared" si="33"/>
        <v>60049.767999999996</v>
      </c>
      <c r="G715" s="209">
        <f t="shared" si="34"/>
        <v>363838.99400000001</v>
      </c>
      <c r="H715" s="209">
        <f t="shared" si="35"/>
        <v>19.344999999999999</v>
      </c>
    </row>
    <row r="716" spans="2:8" x14ac:dyDescent="0.2">
      <c r="B716" s="34">
        <v>51903.608999999997</v>
      </c>
      <c r="C716" s="34">
        <v>159187.883</v>
      </c>
      <c r="D716" s="34">
        <v>19.356999999999999</v>
      </c>
      <c r="F716" s="209">
        <f t="shared" si="33"/>
        <v>60053.608999999997</v>
      </c>
      <c r="G716" s="209">
        <f t="shared" si="34"/>
        <v>363837.88300000003</v>
      </c>
      <c r="H716" s="209">
        <f t="shared" si="35"/>
        <v>19.356999999999999</v>
      </c>
    </row>
    <row r="717" spans="2:8" x14ac:dyDescent="0.2">
      <c r="B717" s="152">
        <v>51910.065000000002</v>
      </c>
      <c r="C717" s="152">
        <v>159186.02499999999</v>
      </c>
      <c r="D717" s="152">
        <v>19.356999999999999</v>
      </c>
      <c r="F717" s="209">
        <f t="shared" si="33"/>
        <v>60060.065000000002</v>
      </c>
      <c r="G717" s="209">
        <f t="shared" si="34"/>
        <v>363836.02500000002</v>
      </c>
      <c r="H717" s="209">
        <f t="shared" si="35"/>
        <v>19.356999999999999</v>
      </c>
    </row>
    <row r="718" spans="2:8" x14ac:dyDescent="0.2">
      <c r="B718" s="34">
        <v>51885.339</v>
      </c>
      <c r="C718" s="34">
        <v>159195.73800000001</v>
      </c>
      <c r="D718" s="34">
        <v>18.783000000000001</v>
      </c>
      <c r="F718" s="209">
        <f t="shared" si="33"/>
        <v>60035.339</v>
      </c>
      <c r="G718" s="209">
        <f t="shared" si="34"/>
        <v>363845.73800000001</v>
      </c>
      <c r="H718" s="209">
        <f t="shared" si="35"/>
        <v>18.783000000000001</v>
      </c>
    </row>
    <row r="719" spans="2:8" x14ac:dyDescent="0.2">
      <c r="B719" s="34">
        <v>51884.959000000003</v>
      </c>
      <c r="C719" s="34">
        <v>159194.47099999999</v>
      </c>
      <c r="D719" s="34">
        <v>18.779</v>
      </c>
      <c r="F719" s="209">
        <f t="shared" si="33"/>
        <v>60034.959000000003</v>
      </c>
      <c r="G719" s="209">
        <f t="shared" si="34"/>
        <v>363844.47100000002</v>
      </c>
      <c r="H719" s="209">
        <f t="shared" si="35"/>
        <v>18.779</v>
      </c>
    </row>
    <row r="720" spans="2:8" x14ac:dyDescent="0.2">
      <c r="B720" s="34">
        <v>51888.116999999998</v>
      </c>
      <c r="C720" s="34">
        <v>159194.94500000001</v>
      </c>
      <c r="D720" s="34">
        <v>18.779</v>
      </c>
      <c r="F720" s="209">
        <f t="shared" si="33"/>
        <v>60038.116999999998</v>
      </c>
      <c r="G720" s="209">
        <f t="shared" si="34"/>
        <v>363844.94500000001</v>
      </c>
      <c r="H720" s="209">
        <f t="shared" si="35"/>
        <v>18.779</v>
      </c>
    </row>
    <row r="721" spans="2:8" x14ac:dyDescent="0.2">
      <c r="B721" s="34">
        <v>51887.805</v>
      </c>
      <c r="C721" s="34">
        <v>159193.65700000001</v>
      </c>
      <c r="D721" s="34">
        <v>18.779</v>
      </c>
      <c r="F721" s="209">
        <f t="shared" si="33"/>
        <v>60037.805</v>
      </c>
      <c r="G721" s="209">
        <f t="shared" si="34"/>
        <v>363843.65700000001</v>
      </c>
      <c r="H721" s="209">
        <f t="shared" si="35"/>
        <v>18.779</v>
      </c>
    </row>
    <row r="722" spans="2:8" x14ac:dyDescent="0.2">
      <c r="B722" s="34">
        <v>51890.968000000001</v>
      </c>
      <c r="C722" s="34">
        <v>159194.11799999999</v>
      </c>
      <c r="D722" s="34">
        <v>18.779</v>
      </c>
      <c r="F722" s="209">
        <f t="shared" si="33"/>
        <v>60040.968000000001</v>
      </c>
      <c r="G722" s="209">
        <f t="shared" si="34"/>
        <v>363844.11800000002</v>
      </c>
      <c r="H722" s="209">
        <f t="shared" si="35"/>
        <v>18.779</v>
      </c>
    </row>
    <row r="723" spans="2:8" x14ac:dyDescent="0.2">
      <c r="B723" s="34">
        <v>51890.606</v>
      </c>
      <c r="C723" s="34">
        <v>159192.86199999999</v>
      </c>
      <c r="D723" s="34">
        <v>18.771999999999998</v>
      </c>
      <c r="F723" s="209">
        <f t="shared" si="33"/>
        <v>60040.606</v>
      </c>
      <c r="G723" s="209">
        <f t="shared" si="34"/>
        <v>363842.86199999996</v>
      </c>
      <c r="H723" s="209">
        <f t="shared" si="35"/>
        <v>18.771999999999998</v>
      </c>
    </row>
    <row r="724" spans="2:8" x14ac:dyDescent="0.2">
      <c r="B724" s="34">
        <v>51893.758000000002</v>
      </c>
      <c r="C724" s="34">
        <v>159193.315</v>
      </c>
      <c r="D724" s="34">
        <v>18.774000000000001</v>
      </c>
      <c r="F724" s="209">
        <f t="shared" si="33"/>
        <v>60043.758000000002</v>
      </c>
      <c r="G724" s="209">
        <f t="shared" si="34"/>
        <v>363843.315</v>
      </c>
      <c r="H724" s="209">
        <f t="shared" si="35"/>
        <v>18.774000000000001</v>
      </c>
    </row>
    <row r="725" spans="2:8" x14ac:dyDescent="0.2">
      <c r="B725" s="34">
        <v>51893.440999999999</v>
      </c>
      <c r="C725" s="34">
        <v>159192.041</v>
      </c>
      <c r="D725" s="34">
        <v>18.768999999999998</v>
      </c>
      <c r="F725" s="209">
        <f t="shared" si="33"/>
        <v>60043.440999999999</v>
      </c>
      <c r="G725" s="209">
        <f t="shared" si="34"/>
        <v>363842.04099999997</v>
      </c>
      <c r="H725" s="209">
        <f t="shared" si="35"/>
        <v>18.768999999999998</v>
      </c>
    </row>
    <row r="726" spans="2:8" x14ac:dyDescent="0.2">
      <c r="B726" s="34">
        <v>51896.633000000002</v>
      </c>
      <c r="C726" s="34">
        <v>159192.486</v>
      </c>
      <c r="D726" s="34">
        <v>18.777999999999999</v>
      </c>
      <c r="F726" s="209">
        <f t="shared" si="33"/>
        <v>60046.633000000002</v>
      </c>
      <c r="G726" s="209">
        <f t="shared" si="34"/>
        <v>363842.48600000003</v>
      </c>
      <c r="H726" s="209">
        <f t="shared" si="35"/>
        <v>18.777999999999999</v>
      </c>
    </row>
    <row r="727" spans="2:8" x14ac:dyDescent="0.2">
      <c r="B727" s="34">
        <v>51896.25</v>
      </c>
      <c r="C727" s="34">
        <v>159191.22700000001</v>
      </c>
      <c r="D727" s="34">
        <v>18.77</v>
      </c>
      <c r="F727" s="209">
        <f t="shared" si="33"/>
        <v>60046.25</v>
      </c>
      <c r="G727" s="209">
        <f t="shared" si="34"/>
        <v>363841.22700000001</v>
      </c>
      <c r="H727" s="209">
        <f t="shared" si="35"/>
        <v>18.77</v>
      </c>
    </row>
    <row r="728" spans="2:8" x14ac:dyDescent="0.2">
      <c r="B728" s="34">
        <v>51899.398999999998</v>
      </c>
      <c r="C728" s="34">
        <v>159191.69899999999</v>
      </c>
      <c r="D728" s="34">
        <v>18.777999999999999</v>
      </c>
      <c r="F728" s="209">
        <f t="shared" si="33"/>
        <v>60049.398999999998</v>
      </c>
      <c r="G728" s="209">
        <f t="shared" si="34"/>
        <v>363841.69900000002</v>
      </c>
      <c r="H728" s="209">
        <f t="shared" si="35"/>
        <v>18.777999999999999</v>
      </c>
    </row>
    <row r="729" spans="2:8" x14ac:dyDescent="0.2">
      <c r="B729" s="34">
        <v>51899.040999999997</v>
      </c>
      <c r="C729" s="34">
        <v>159190.435</v>
      </c>
      <c r="D729" s="34">
        <v>18.771000000000001</v>
      </c>
      <c r="F729" s="209">
        <f t="shared" si="33"/>
        <v>60049.040999999997</v>
      </c>
      <c r="G729" s="209">
        <f t="shared" si="34"/>
        <v>363840.435</v>
      </c>
      <c r="H729" s="209">
        <f t="shared" si="35"/>
        <v>18.771000000000001</v>
      </c>
    </row>
    <row r="730" spans="2:8" x14ac:dyDescent="0.2">
      <c r="B730" s="34">
        <v>51902.292999999998</v>
      </c>
      <c r="C730" s="34">
        <v>159190.88699999999</v>
      </c>
      <c r="D730" s="34">
        <v>18.779</v>
      </c>
      <c r="F730" s="209">
        <f t="shared" si="33"/>
        <v>60052.292999999998</v>
      </c>
      <c r="G730" s="209">
        <f t="shared" si="34"/>
        <v>363840.88699999999</v>
      </c>
      <c r="H730" s="209">
        <f t="shared" si="35"/>
        <v>18.779</v>
      </c>
    </row>
    <row r="731" spans="2:8" x14ac:dyDescent="0.2">
      <c r="B731" s="34">
        <v>51901.989000000001</v>
      </c>
      <c r="C731" s="34">
        <v>159189.606</v>
      </c>
      <c r="D731" s="34">
        <v>18.77</v>
      </c>
      <c r="F731" s="209">
        <f t="shared" si="33"/>
        <v>60051.989000000001</v>
      </c>
      <c r="G731" s="209">
        <f t="shared" si="34"/>
        <v>363839.60600000003</v>
      </c>
      <c r="H731" s="209">
        <f t="shared" si="35"/>
        <v>18.77</v>
      </c>
    </row>
    <row r="732" spans="2:8" x14ac:dyDescent="0.2">
      <c r="B732" s="34">
        <v>51905.196000000004</v>
      </c>
      <c r="C732" s="34">
        <v>159190.09700000001</v>
      </c>
      <c r="D732" s="34">
        <v>18.780999999999999</v>
      </c>
      <c r="F732" s="209">
        <f t="shared" si="33"/>
        <v>60055.196000000004</v>
      </c>
      <c r="G732" s="209">
        <f t="shared" si="34"/>
        <v>363840.09700000001</v>
      </c>
      <c r="H732" s="209">
        <f t="shared" si="35"/>
        <v>18.780999999999999</v>
      </c>
    </row>
    <row r="733" spans="2:8" x14ac:dyDescent="0.2">
      <c r="B733" s="34">
        <v>51904.885000000002</v>
      </c>
      <c r="C733" s="34">
        <v>159188.807</v>
      </c>
      <c r="D733" s="34">
        <v>18.773</v>
      </c>
      <c r="F733" s="209">
        <f t="shared" si="33"/>
        <v>60054.885000000002</v>
      </c>
      <c r="G733" s="209">
        <f t="shared" si="34"/>
        <v>363838.80700000003</v>
      </c>
      <c r="H733" s="209">
        <f t="shared" si="35"/>
        <v>18.773</v>
      </c>
    </row>
    <row r="734" spans="2:8" x14ac:dyDescent="0.2">
      <c r="B734" s="34">
        <v>51907.951999999997</v>
      </c>
      <c r="C734" s="34">
        <v>159189.36499999999</v>
      </c>
      <c r="D734" s="34">
        <v>18.786000000000001</v>
      </c>
      <c r="F734" s="209">
        <f t="shared" si="33"/>
        <v>60057.951999999997</v>
      </c>
      <c r="G734" s="209">
        <f t="shared" si="34"/>
        <v>363839.36499999999</v>
      </c>
      <c r="H734" s="209">
        <f t="shared" si="35"/>
        <v>18.786000000000001</v>
      </c>
    </row>
    <row r="735" spans="2:8" x14ac:dyDescent="0.2">
      <c r="B735" s="34">
        <v>51907.578999999998</v>
      </c>
      <c r="C735" s="34">
        <v>159188.101</v>
      </c>
      <c r="D735" s="34">
        <v>18.776</v>
      </c>
      <c r="F735" s="209">
        <f t="shared" si="33"/>
        <v>60057.578999999998</v>
      </c>
      <c r="G735" s="209">
        <f t="shared" si="34"/>
        <v>363838.10100000002</v>
      </c>
      <c r="H735" s="209">
        <f t="shared" si="35"/>
        <v>18.776</v>
      </c>
    </row>
    <row r="736" spans="2:8" x14ac:dyDescent="0.2">
      <c r="B736" s="34">
        <v>51910.963000000003</v>
      </c>
      <c r="C736" s="34">
        <v>159188.60399999999</v>
      </c>
      <c r="D736" s="34">
        <v>18.794</v>
      </c>
      <c r="F736" s="209">
        <f t="shared" si="33"/>
        <v>60060.963000000003</v>
      </c>
      <c r="G736" s="209">
        <f t="shared" si="34"/>
        <v>363838.60399999999</v>
      </c>
      <c r="H736" s="209">
        <f t="shared" si="35"/>
        <v>18.794</v>
      </c>
    </row>
    <row r="737" spans="2:8" x14ac:dyDescent="0.2">
      <c r="B737" s="34">
        <v>51910.64</v>
      </c>
      <c r="C737" s="34">
        <v>159187.326</v>
      </c>
      <c r="D737" s="34">
        <v>18.783000000000001</v>
      </c>
      <c r="F737" s="209">
        <f t="shared" si="33"/>
        <v>60060.639999999999</v>
      </c>
      <c r="G737" s="209">
        <f t="shared" si="34"/>
        <v>363837.326</v>
      </c>
      <c r="H737" s="209">
        <f t="shared" si="35"/>
        <v>18.783000000000001</v>
      </c>
    </row>
    <row r="738" spans="2:8" x14ac:dyDescent="0.2">
      <c r="B738" s="34">
        <v>51913.750999999997</v>
      </c>
      <c r="C738" s="34">
        <v>159187.921</v>
      </c>
      <c r="D738" s="34">
        <v>18.808</v>
      </c>
      <c r="F738" s="209">
        <f t="shared" si="33"/>
        <v>60063.750999999997</v>
      </c>
      <c r="G738" s="209">
        <f t="shared" si="34"/>
        <v>363837.92099999997</v>
      </c>
      <c r="H738" s="209">
        <f t="shared" si="35"/>
        <v>18.808</v>
      </c>
    </row>
    <row r="739" spans="2:8" x14ac:dyDescent="0.2">
      <c r="B739" s="34">
        <v>51913.421000000002</v>
      </c>
      <c r="C739" s="34">
        <v>159186.64000000001</v>
      </c>
      <c r="D739" s="34">
        <v>18.794</v>
      </c>
      <c r="F739" s="209">
        <f t="shared" si="33"/>
        <v>60063.421000000002</v>
      </c>
      <c r="G739" s="209">
        <f t="shared" si="34"/>
        <v>363836.64</v>
      </c>
      <c r="H739" s="209">
        <f t="shared" si="35"/>
        <v>18.794</v>
      </c>
    </row>
    <row r="740" spans="2:8" x14ac:dyDescent="0.2">
      <c r="B740" s="34">
        <v>51884.538999999997</v>
      </c>
      <c r="C740" s="34">
        <v>159193.38099999999</v>
      </c>
      <c r="D740" s="34">
        <v>19.332000000000001</v>
      </c>
      <c r="F740" s="209">
        <f t="shared" si="33"/>
        <v>60034.538999999997</v>
      </c>
      <c r="G740" s="209">
        <f t="shared" si="34"/>
        <v>363843.38099999999</v>
      </c>
      <c r="H740" s="209">
        <f t="shared" si="35"/>
        <v>19.332000000000001</v>
      </c>
    </row>
    <row r="741" spans="2:8" x14ac:dyDescent="0.2">
      <c r="B741" s="34">
        <v>51890.286999999997</v>
      </c>
      <c r="C741" s="34">
        <v>159191.73000000001</v>
      </c>
      <c r="D741" s="34">
        <v>19.321999999999999</v>
      </c>
      <c r="F741" s="209">
        <f t="shared" si="33"/>
        <v>60040.286999999997</v>
      </c>
      <c r="G741" s="209">
        <f t="shared" si="34"/>
        <v>363841.73</v>
      </c>
      <c r="H741" s="209">
        <f t="shared" si="35"/>
        <v>19.321999999999999</v>
      </c>
    </row>
    <row r="742" spans="2:8" x14ac:dyDescent="0.2">
      <c r="B742" s="34">
        <v>51895.921999999999</v>
      </c>
      <c r="C742" s="34">
        <v>159190.101</v>
      </c>
      <c r="D742" s="34">
        <v>19.335000000000001</v>
      </c>
      <c r="F742" s="209">
        <f t="shared" si="33"/>
        <v>60045.921999999999</v>
      </c>
      <c r="G742" s="209">
        <f t="shared" si="34"/>
        <v>363840.10100000002</v>
      </c>
      <c r="H742" s="209">
        <f t="shared" si="35"/>
        <v>19.335000000000001</v>
      </c>
    </row>
    <row r="743" spans="2:8" x14ac:dyDescent="0.2">
      <c r="B743" s="34">
        <v>51899.767999999996</v>
      </c>
      <c r="C743" s="34">
        <v>159188.99400000001</v>
      </c>
      <c r="D743" s="34">
        <v>19.344999999999999</v>
      </c>
      <c r="F743" s="209">
        <f t="shared" si="33"/>
        <v>60049.767999999996</v>
      </c>
      <c r="G743" s="209">
        <f t="shared" si="34"/>
        <v>363838.99400000001</v>
      </c>
      <c r="H743" s="209">
        <f t="shared" si="35"/>
        <v>19.344999999999999</v>
      </c>
    </row>
    <row r="744" spans="2:8" x14ac:dyDescent="0.2">
      <c r="B744" s="34">
        <v>51903.608999999997</v>
      </c>
      <c r="C744" s="34">
        <v>159187.883</v>
      </c>
      <c r="D744" s="34">
        <v>19.356999999999999</v>
      </c>
      <c r="F744" s="209">
        <f t="shared" si="33"/>
        <v>60053.608999999997</v>
      </c>
      <c r="G744" s="209">
        <f t="shared" si="34"/>
        <v>363837.88300000003</v>
      </c>
      <c r="H744" s="209">
        <f t="shared" si="35"/>
        <v>19.356999999999999</v>
      </c>
    </row>
    <row r="745" spans="2:8" x14ac:dyDescent="0.2">
      <c r="B745" s="152">
        <v>51910.065000000002</v>
      </c>
      <c r="C745" s="152">
        <v>159186.02499999999</v>
      </c>
      <c r="D745" s="152">
        <v>19.356999999999999</v>
      </c>
      <c r="F745" s="209">
        <f t="shared" si="33"/>
        <v>60060.065000000002</v>
      </c>
      <c r="G745" s="209">
        <f t="shared" si="34"/>
        <v>363836.02500000002</v>
      </c>
      <c r="H745" s="209">
        <f t="shared" si="35"/>
        <v>19.356999999999999</v>
      </c>
    </row>
    <row r="746" spans="2:8" x14ac:dyDescent="0.2">
      <c r="B746" s="34">
        <v>51885.339</v>
      </c>
      <c r="C746" s="34">
        <v>159195.73800000001</v>
      </c>
      <c r="D746" s="34">
        <v>18.782</v>
      </c>
      <c r="F746" s="209">
        <f t="shared" si="33"/>
        <v>60035.339</v>
      </c>
      <c r="G746" s="209">
        <f t="shared" si="34"/>
        <v>363845.73800000001</v>
      </c>
      <c r="H746" s="209">
        <f t="shared" si="35"/>
        <v>18.782</v>
      </c>
    </row>
    <row r="747" spans="2:8" x14ac:dyDescent="0.2">
      <c r="B747" s="34">
        <v>51884.959000000003</v>
      </c>
      <c r="C747" s="34">
        <v>159194.47</v>
      </c>
      <c r="D747" s="34">
        <v>18.777999999999999</v>
      </c>
      <c r="F747" s="209">
        <f t="shared" si="33"/>
        <v>60034.959000000003</v>
      </c>
      <c r="G747" s="209">
        <f t="shared" si="34"/>
        <v>363844.47</v>
      </c>
      <c r="H747" s="209">
        <f t="shared" si="35"/>
        <v>18.777999999999999</v>
      </c>
    </row>
    <row r="748" spans="2:8" x14ac:dyDescent="0.2">
      <c r="B748" s="34">
        <v>51888.116999999998</v>
      </c>
      <c r="C748" s="34">
        <v>159194.94500000001</v>
      </c>
      <c r="D748" s="34">
        <v>18.777999999999999</v>
      </c>
      <c r="F748" s="209">
        <f t="shared" si="33"/>
        <v>60038.116999999998</v>
      </c>
      <c r="G748" s="209">
        <f t="shared" si="34"/>
        <v>363844.94500000001</v>
      </c>
      <c r="H748" s="209">
        <f t="shared" si="35"/>
        <v>18.777999999999999</v>
      </c>
    </row>
    <row r="749" spans="2:8" x14ac:dyDescent="0.2">
      <c r="B749" s="34">
        <v>51887.803999999996</v>
      </c>
      <c r="C749" s="34">
        <v>159193.65700000001</v>
      </c>
      <c r="D749" s="34">
        <v>18.777999999999999</v>
      </c>
      <c r="F749" s="209">
        <f t="shared" si="33"/>
        <v>60037.803999999996</v>
      </c>
      <c r="G749" s="209">
        <f t="shared" si="34"/>
        <v>363843.65700000001</v>
      </c>
      <c r="H749" s="209">
        <f t="shared" si="35"/>
        <v>18.777999999999999</v>
      </c>
    </row>
    <row r="750" spans="2:8" x14ac:dyDescent="0.2">
      <c r="B750" s="34">
        <v>51890.968000000001</v>
      </c>
      <c r="C750" s="34">
        <v>159194.117</v>
      </c>
      <c r="D750" s="34">
        <v>18.779</v>
      </c>
      <c r="F750" s="209">
        <f t="shared" si="33"/>
        <v>60040.968000000001</v>
      </c>
      <c r="G750" s="209">
        <f t="shared" si="34"/>
        <v>363844.11699999997</v>
      </c>
      <c r="H750" s="209">
        <f t="shared" si="35"/>
        <v>18.779</v>
      </c>
    </row>
    <row r="751" spans="2:8" x14ac:dyDescent="0.2">
      <c r="B751" s="34">
        <v>51890.606</v>
      </c>
      <c r="C751" s="34">
        <v>159192.861</v>
      </c>
      <c r="D751" s="34">
        <v>18.771999999999998</v>
      </c>
      <c r="F751" s="209">
        <f t="shared" si="33"/>
        <v>60040.606</v>
      </c>
      <c r="G751" s="209">
        <f t="shared" si="34"/>
        <v>363842.86100000003</v>
      </c>
      <c r="H751" s="209">
        <f t="shared" si="35"/>
        <v>18.771999999999998</v>
      </c>
    </row>
    <row r="752" spans="2:8" x14ac:dyDescent="0.2">
      <c r="B752" s="34">
        <v>51893.758000000002</v>
      </c>
      <c r="C752" s="34">
        <v>159193.315</v>
      </c>
      <c r="D752" s="34">
        <v>18.774000000000001</v>
      </c>
      <c r="F752" s="209">
        <f t="shared" si="33"/>
        <v>60043.758000000002</v>
      </c>
      <c r="G752" s="209">
        <f t="shared" si="34"/>
        <v>363843.315</v>
      </c>
      <c r="H752" s="209">
        <f t="shared" si="35"/>
        <v>18.774000000000001</v>
      </c>
    </row>
    <row r="753" spans="2:8" x14ac:dyDescent="0.2">
      <c r="B753" s="34">
        <v>51893.440999999999</v>
      </c>
      <c r="C753" s="34">
        <v>159192.041</v>
      </c>
      <c r="D753" s="34">
        <v>18.768999999999998</v>
      </c>
      <c r="F753" s="209">
        <f t="shared" si="33"/>
        <v>60043.440999999999</v>
      </c>
      <c r="G753" s="209">
        <f t="shared" si="34"/>
        <v>363842.04099999997</v>
      </c>
      <c r="H753" s="209">
        <f t="shared" si="35"/>
        <v>18.768999999999998</v>
      </c>
    </row>
    <row r="754" spans="2:8" x14ac:dyDescent="0.2">
      <c r="B754" s="34">
        <v>51896.633000000002</v>
      </c>
      <c r="C754" s="34">
        <v>159192.486</v>
      </c>
      <c r="D754" s="34">
        <v>18.777000000000001</v>
      </c>
      <c r="F754" s="209">
        <f t="shared" si="33"/>
        <v>60046.633000000002</v>
      </c>
      <c r="G754" s="209">
        <f t="shared" si="34"/>
        <v>363842.48600000003</v>
      </c>
      <c r="H754" s="209">
        <f t="shared" si="35"/>
        <v>18.777000000000001</v>
      </c>
    </row>
    <row r="755" spans="2:8" x14ac:dyDescent="0.2">
      <c r="B755" s="34">
        <v>51896.25</v>
      </c>
      <c r="C755" s="34">
        <v>159191.22700000001</v>
      </c>
      <c r="D755" s="34">
        <v>18.77</v>
      </c>
      <c r="F755" s="209">
        <f t="shared" si="33"/>
        <v>60046.25</v>
      </c>
      <c r="G755" s="209">
        <f t="shared" si="34"/>
        <v>363841.22700000001</v>
      </c>
      <c r="H755" s="209">
        <f t="shared" si="35"/>
        <v>18.77</v>
      </c>
    </row>
    <row r="756" spans="2:8" x14ac:dyDescent="0.2">
      <c r="B756" s="34">
        <v>51899.398999999998</v>
      </c>
      <c r="C756" s="34">
        <v>159191.69899999999</v>
      </c>
      <c r="D756" s="34">
        <v>18.777999999999999</v>
      </c>
      <c r="F756" s="209">
        <f t="shared" si="33"/>
        <v>60049.398999999998</v>
      </c>
      <c r="G756" s="209">
        <f t="shared" si="34"/>
        <v>363841.69900000002</v>
      </c>
      <c r="H756" s="209">
        <f t="shared" si="35"/>
        <v>18.777999999999999</v>
      </c>
    </row>
    <row r="757" spans="2:8" x14ac:dyDescent="0.2">
      <c r="B757" s="34">
        <v>51899.040999999997</v>
      </c>
      <c r="C757" s="34">
        <v>159190.435</v>
      </c>
      <c r="D757" s="34">
        <v>18.771000000000001</v>
      </c>
      <c r="F757" s="209">
        <f t="shared" si="33"/>
        <v>60049.040999999997</v>
      </c>
      <c r="G757" s="209">
        <f t="shared" si="34"/>
        <v>363840.435</v>
      </c>
      <c r="H757" s="209">
        <f t="shared" si="35"/>
        <v>18.771000000000001</v>
      </c>
    </row>
    <row r="758" spans="2:8" x14ac:dyDescent="0.2">
      <c r="B758" s="34">
        <v>51902.292999999998</v>
      </c>
      <c r="C758" s="34">
        <v>159190.88699999999</v>
      </c>
      <c r="D758" s="34">
        <v>18.779</v>
      </c>
      <c r="F758" s="209">
        <f t="shared" si="33"/>
        <v>60052.292999999998</v>
      </c>
      <c r="G758" s="209">
        <f t="shared" si="34"/>
        <v>363840.88699999999</v>
      </c>
      <c r="H758" s="209">
        <f t="shared" si="35"/>
        <v>18.779</v>
      </c>
    </row>
    <row r="759" spans="2:8" x14ac:dyDescent="0.2">
      <c r="B759" s="34">
        <v>51901.989000000001</v>
      </c>
      <c r="C759" s="34">
        <v>159189.606</v>
      </c>
      <c r="D759" s="34">
        <v>18.77</v>
      </c>
      <c r="F759" s="209">
        <f t="shared" si="33"/>
        <v>60051.989000000001</v>
      </c>
      <c r="G759" s="209">
        <f t="shared" si="34"/>
        <v>363839.60600000003</v>
      </c>
      <c r="H759" s="209">
        <f t="shared" si="35"/>
        <v>18.77</v>
      </c>
    </row>
    <row r="760" spans="2:8" x14ac:dyDescent="0.2">
      <c r="B760" s="34">
        <v>51905.196000000004</v>
      </c>
      <c r="C760" s="34">
        <v>159190.09700000001</v>
      </c>
      <c r="D760" s="34">
        <v>18.78</v>
      </c>
      <c r="F760" s="209">
        <f t="shared" si="33"/>
        <v>60055.196000000004</v>
      </c>
      <c r="G760" s="209">
        <f t="shared" si="34"/>
        <v>363840.09700000001</v>
      </c>
      <c r="H760" s="209">
        <f t="shared" si="35"/>
        <v>18.78</v>
      </c>
    </row>
    <row r="761" spans="2:8" x14ac:dyDescent="0.2">
      <c r="B761" s="34">
        <v>51904.885000000002</v>
      </c>
      <c r="C761" s="34">
        <v>159188.807</v>
      </c>
      <c r="D761" s="34">
        <v>18.773</v>
      </c>
      <c r="F761" s="209">
        <f t="shared" si="33"/>
        <v>60054.885000000002</v>
      </c>
      <c r="G761" s="209">
        <f t="shared" si="34"/>
        <v>363838.80700000003</v>
      </c>
      <c r="H761" s="209">
        <f t="shared" si="35"/>
        <v>18.773</v>
      </c>
    </row>
    <row r="762" spans="2:8" x14ac:dyDescent="0.2">
      <c r="B762" s="34">
        <v>51907.951999999997</v>
      </c>
      <c r="C762" s="34">
        <v>159189.36499999999</v>
      </c>
      <c r="D762" s="34">
        <v>18.785</v>
      </c>
      <c r="F762" s="209">
        <f t="shared" si="33"/>
        <v>60057.951999999997</v>
      </c>
      <c r="G762" s="209">
        <f t="shared" si="34"/>
        <v>363839.36499999999</v>
      </c>
      <c r="H762" s="209">
        <f t="shared" si="35"/>
        <v>18.785</v>
      </c>
    </row>
    <row r="763" spans="2:8" x14ac:dyDescent="0.2">
      <c r="B763" s="34">
        <v>51907.578999999998</v>
      </c>
      <c r="C763" s="34">
        <v>159188.101</v>
      </c>
      <c r="D763" s="34">
        <v>18.774999999999999</v>
      </c>
      <c r="F763" s="209">
        <f t="shared" si="33"/>
        <v>60057.578999999998</v>
      </c>
      <c r="G763" s="209">
        <f t="shared" si="34"/>
        <v>363838.10100000002</v>
      </c>
      <c r="H763" s="209">
        <f t="shared" si="35"/>
        <v>18.774999999999999</v>
      </c>
    </row>
    <row r="764" spans="2:8" x14ac:dyDescent="0.2">
      <c r="B764" s="34">
        <v>51910.963000000003</v>
      </c>
      <c r="C764" s="34">
        <v>159188.60399999999</v>
      </c>
      <c r="D764" s="34">
        <v>18.794</v>
      </c>
      <c r="F764" s="209">
        <f t="shared" si="33"/>
        <v>60060.963000000003</v>
      </c>
      <c r="G764" s="209">
        <f t="shared" si="34"/>
        <v>363838.60399999999</v>
      </c>
      <c r="H764" s="209">
        <f t="shared" si="35"/>
        <v>18.794</v>
      </c>
    </row>
    <row r="765" spans="2:8" x14ac:dyDescent="0.2">
      <c r="B765" s="34">
        <v>51910.64</v>
      </c>
      <c r="C765" s="34">
        <v>159187.326</v>
      </c>
      <c r="D765" s="34">
        <v>18.782</v>
      </c>
      <c r="F765" s="209">
        <f t="shared" si="33"/>
        <v>60060.639999999999</v>
      </c>
      <c r="G765" s="209">
        <f t="shared" si="34"/>
        <v>363837.326</v>
      </c>
      <c r="H765" s="209">
        <f t="shared" si="35"/>
        <v>18.782</v>
      </c>
    </row>
    <row r="766" spans="2:8" x14ac:dyDescent="0.2">
      <c r="B766" s="34">
        <v>51913.75</v>
      </c>
      <c r="C766" s="34">
        <v>159187.921</v>
      </c>
      <c r="D766" s="34">
        <v>18.808</v>
      </c>
      <c r="F766" s="209">
        <f t="shared" si="33"/>
        <v>60063.75</v>
      </c>
      <c r="G766" s="209">
        <f t="shared" si="34"/>
        <v>363837.92099999997</v>
      </c>
      <c r="H766" s="209">
        <f t="shared" si="35"/>
        <v>18.808</v>
      </c>
    </row>
    <row r="767" spans="2:8" x14ac:dyDescent="0.2">
      <c r="B767" s="34">
        <v>51913.421999999999</v>
      </c>
      <c r="C767" s="34">
        <v>159186.64000000001</v>
      </c>
      <c r="D767" s="34">
        <v>18.794</v>
      </c>
      <c r="F767" s="209">
        <f t="shared" si="33"/>
        <v>60063.421999999999</v>
      </c>
      <c r="G767" s="209">
        <f t="shared" si="34"/>
        <v>363836.64</v>
      </c>
      <c r="H767" s="209">
        <f t="shared" si="35"/>
        <v>18.794</v>
      </c>
    </row>
    <row r="768" spans="2:8" x14ac:dyDescent="0.2">
      <c r="B768" s="34">
        <v>51884.538999999997</v>
      </c>
      <c r="C768" s="34">
        <v>159193.38099999999</v>
      </c>
      <c r="D768" s="34">
        <v>19.331</v>
      </c>
      <c r="F768" s="209">
        <f t="shared" si="33"/>
        <v>60034.538999999997</v>
      </c>
      <c r="G768" s="209">
        <f t="shared" si="34"/>
        <v>363843.38099999999</v>
      </c>
      <c r="H768" s="209">
        <f t="shared" si="35"/>
        <v>19.331</v>
      </c>
    </row>
    <row r="769" spans="2:8" x14ac:dyDescent="0.2">
      <c r="B769" s="34">
        <v>51890.286999999997</v>
      </c>
      <c r="C769" s="34">
        <v>159191.73000000001</v>
      </c>
      <c r="D769" s="34">
        <v>19.321000000000002</v>
      </c>
      <c r="F769" s="209">
        <f t="shared" si="33"/>
        <v>60040.286999999997</v>
      </c>
      <c r="G769" s="209">
        <f t="shared" si="34"/>
        <v>363841.73</v>
      </c>
      <c r="H769" s="209">
        <f t="shared" si="35"/>
        <v>19.321000000000002</v>
      </c>
    </row>
    <row r="770" spans="2:8" x14ac:dyDescent="0.2">
      <c r="B770" s="34">
        <v>51895.921999999999</v>
      </c>
      <c r="C770" s="34">
        <v>159190.101</v>
      </c>
      <c r="D770" s="34">
        <v>19.334</v>
      </c>
      <c r="F770" s="209">
        <f t="shared" si="33"/>
        <v>60045.921999999999</v>
      </c>
      <c r="G770" s="209">
        <f t="shared" si="34"/>
        <v>363840.10100000002</v>
      </c>
      <c r="H770" s="209">
        <f t="shared" si="35"/>
        <v>19.334</v>
      </c>
    </row>
    <row r="771" spans="2:8" x14ac:dyDescent="0.2">
      <c r="B771" s="34">
        <v>51899.767999999996</v>
      </c>
      <c r="C771" s="34">
        <v>159188.99400000001</v>
      </c>
      <c r="D771" s="34">
        <v>19.344999999999999</v>
      </c>
      <c r="F771" s="209">
        <f t="shared" si="33"/>
        <v>60049.767999999996</v>
      </c>
      <c r="G771" s="209">
        <f t="shared" si="34"/>
        <v>363838.99400000001</v>
      </c>
      <c r="H771" s="209">
        <f t="shared" si="35"/>
        <v>19.344999999999999</v>
      </c>
    </row>
    <row r="772" spans="2:8" x14ac:dyDescent="0.2">
      <c r="B772" s="34">
        <v>51903.608999999997</v>
      </c>
      <c r="C772" s="34">
        <v>159187.883</v>
      </c>
      <c r="D772" s="34">
        <v>19.356000000000002</v>
      </c>
      <c r="F772" s="209">
        <f t="shared" ref="F772:F835" si="36">B772+$B$1</f>
        <v>60053.608999999997</v>
      </c>
      <c r="G772" s="209">
        <f t="shared" ref="G772:G835" si="37">C772+$C$1</f>
        <v>363837.88300000003</v>
      </c>
      <c r="H772" s="209">
        <f t="shared" ref="H772:H835" si="38">D772+$D$1</f>
        <v>19.356000000000002</v>
      </c>
    </row>
    <row r="773" spans="2:8" x14ac:dyDescent="0.2">
      <c r="B773" s="152">
        <v>51910.065000000002</v>
      </c>
      <c r="C773" s="152">
        <v>159186.02499999999</v>
      </c>
      <c r="D773" s="152">
        <v>19.356000000000002</v>
      </c>
      <c r="F773" s="209">
        <f t="shared" si="36"/>
        <v>60060.065000000002</v>
      </c>
      <c r="G773" s="209">
        <f t="shared" si="37"/>
        <v>363836.02500000002</v>
      </c>
      <c r="H773" s="209">
        <f t="shared" si="38"/>
        <v>19.356000000000002</v>
      </c>
    </row>
    <row r="774" spans="2:8" x14ac:dyDescent="0.2">
      <c r="B774" s="34">
        <v>51884.54</v>
      </c>
      <c r="C774" s="34">
        <v>159193.38099999999</v>
      </c>
      <c r="D774" s="34">
        <v>19.331</v>
      </c>
      <c r="F774" s="209">
        <f t="shared" si="36"/>
        <v>60034.54</v>
      </c>
      <c r="G774" s="209">
        <f t="shared" si="37"/>
        <v>363843.38099999999</v>
      </c>
      <c r="H774" s="209">
        <f t="shared" si="38"/>
        <v>19.331</v>
      </c>
    </row>
    <row r="775" spans="2:8" x14ac:dyDescent="0.2">
      <c r="B775" s="34">
        <v>51890.286999999997</v>
      </c>
      <c r="C775" s="34">
        <v>159191.73000000001</v>
      </c>
      <c r="D775" s="34">
        <v>19.321999999999999</v>
      </c>
      <c r="F775" s="209">
        <f t="shared" si="36"/>
        <v>60040.286999999997</v>
      </c>
      <c r="G775" s="209">
        <f t="shared" si="37"/>
        <v>363841.73</v>
      </c>
      <c r="H775" s="209">
        <f t="shared" si="38"/>
        <v>19.321999999999999</v>
      </c>
    </row>
    <row r="776" spans="2:8" x14ac:dyDescent="0.2">
      <c r="B776" s="34">
        <v>51895.921999999999</v>
      </c>
      <c r="C776" s="34">
        <v>159190.10200000001</v>
      </c>
      <c r="D776" s="34">
        <v>19.334</v>
      </c>
      <c r="F776" s="209">
        <f t="shared" si="36"/>
        <v>60045.921999999999</v>
      </c>
      <c r="G776" s="209">
        <f t="shared" si="37"/>
        <v>363840.10200000001</v>
      </c>
      <c r="H776" s="209">
        <f t="shared" si="38"/>
        <v>19.334</v>
      </c>
    </row>
    <row r="777" spans="2:8" x14ac:dyDescent="0.2">
      <c r="B777" s="34">
        <v>51899.767999999996</v>
      </c>
      <c r="C777" s="34">
        <v>159188.995</v>
      </c>
      <c r="D777" s="34">
        <v>19.344999999999999</v>
      </c>
      <c r="F777" s="209">
        <f t="shared" si="36"/>
        <v>60049.767999999996</v>
      </c>
      <c r="G777" s="209">
        <f t="shared" si="37"/>
        <v>363838.995</v>
      </c>
      <c r="H777" s="209">
        <f t="shared" si="38"/>
        <v>19.344999999999999</v>
      </c>
    </row>
    <row r="778" spans="2:8" x14ac:dyDescent="0.2">
      <c r="B778" s="34">
        <v>51903.608999999997</v>
      </c>
      <c r="C778" s="34">
        <v>159187.88399999999</v>
      </c>
      <c r="D778" s="34">
        <v>19.356000000000002</v>
      </c>
      <c r="F778" s="209">
        <f t="shared" si="36"/>
        <v>60053.608999999997</v>
      </c>
      <c r="G778" s="209">
        <f t="shared" si="37"/>
        <v>363837.88399999996</v>
      </c>
      <c r="H778" s="209">
        <f t="shared" si="38"/>
        <v>19.356000000000002</v>
      </c>
    </row>
    <row r="779" spans="2:8" x14ac:dyDescent="0.2">
      <c r="B779" s="34">
        <v>51910.065999999999</v>
      </c>
      <c r="C779" s="34">
        <v>159186.02499999999</v>
      </c>
      <c r="D779" s="34">
        <v>19.356000000000002</v>
      </c>
      <c r="F779" s="209">
        <f t="shared" si="36"/>
        <v>60060.065999999999</v>
      </c>
      <c r="G779" s="209">
        <f t="shared" si="37"/>
        <v>363836.02500000002</v>
      </c>
      <c r="H779" s="209">
        <f t="shared" si="38"/>
        <v>19.356000000000002</v>
      </c>
    </row>
    <row r="780" spans="2:8" x14ac:dyDescent="0.2">
      <c r="B780" s="34">
        <v>51885.339</v>
      </c>
      <c r="C780" s="34">
        <v>159195.73800000001</v>
      </c>
      <c r="D780" s="34">
        <v>18.782</v>
      </c>
      <c r="F780" s="209">
        <f t="shared" si="36"/>
        <v>60035.339</v>
      </c>
      <c r="G780" s="209">
        <f t="shared" si="37"/>
        <v>363845.73800000001</v>
      </c>
      <c r="H780" s="209">
        <f t="shared" si="38"/>
        <v>18.782</v>
      </c>
    </row>
    <row r="781" spans="2:8" x14ac:dyDescent="0.2">
      <c r="B781" s="34">
        <v>51884.959000000003</v>
      </c>
      <c r="C781" s="34">
        <v>159194.47099999999</v>
      </c>
      <c r="D781" s="34">
        <v>18.777999999999999</v>
      </c>
      <c r="F781" s="209">
        <f t="shared" si="36"/>
        <v>60034.959000000003</v>
      </c>
      <c r="G781" s="209">
        <f t="shared" si="37"/>
        <v>363844.47100000002</v>
      </c>
      <c r="H781" s="209">
        <f t="shared" si="38"/>
        <v>18.777999999999999</v>
      </c>
    </row>
    <row r="782" spans="2:8" x14ac:dyDescent="0.2">
      <c r="B782" s="34">
        <v>51888.116999999998</v>
      </c>
      <c r="C782" s="34">
        <v>159194.94500000001</v>
      </c>
      <c r="D782" s="34">
        <v>18.779</v>
      </c>
      <c r="F782" s="209">
        <f t="shared" si="36"/>
        <v>60038.116999999998</v>
      </c>
      <c r="G782" s="209">
        <f t="shared" si="37"/>
        <v>363844.94500000001</v>
      </c>
      <c r="H782" s="209">
        <f t="shared" si="38"/>
        <v>18.779</v>
      </c>
    </row>
    <row r="783" spans="2:8" x14ac:dyDescent="0.2">
      <c r="B783" s="34">
        <v>51887.805</v>
      </c>
      <c r="C783" s="34">
        <v>159193.658</v>
      </c>
      <c r="D783" s="34">
        <v>18.779</v>
      </c>
      <c r="F783" s="209">
        <f t="shared" si="36"/>
        <v>60037.805</v>
      </c>
      <c r="G783" s="209">
        <f t="shared" si="37"/>
        <v>363843.658</v>
      </c>
      <c r="H783" s="209">
        <f t="shared" si="38"/>
        <v>18.779</v>
      </c>
    </row>
    <row r="784" spans="2:8" x14ac:dyDescent="0.2">
      <c r="B784" s="34">
        <v>51890.968000000001</v>
      </c>
      <c r="C784" s="34">
        <v>159194.11799999999</v>
      </c>
      <c r="D784" s="34">
        <v>18.779</v>
      </c>
      <c r="F784" s="209">
        <f t="shared" si="36"/>
        <v>60040.968000000001</v>
      </c>
      <c r="G784" s="209">
        <f t="shared" si="37"/>
        <v>363844.11800000002</v>
      </c>
      <c r="H784" s="209">
        <f t="shared" si="38"/>
        <v>18.779</v>
      </c>
    </row>
    <row r="785" spans="2:8" x14ac:dyDescent="0.2">
      <c r="B785" s="34">
        <v>51890.606</v>
      </c>
      <c r="C785" s="34">
        <v>159192.86199999999</v>
      </c>
      <c r="D785" s="34">
        <v>18.771999999999998</v>
      </c>
      <c r="F785" s="209">
        <f t="shared" si="36"/>
        <v>60040.606</v>
      </c>
      <c r="G785" s="209">
        <f t="shared" si="37"/>
        <v>363842.86199999996</v>
      </c>
      <c r="H785" s="209">
        <f t="shared" si="38"/>
        <v>18.771999999999998</v>
      </c>
    </row>
    <row r="786" spans="2:8" x14ac:dyDescent="0.2">
      <c r="B786" s="34">
        <v>51893.758000000002</v>
      </c>
      <c r="C786" s="34">
        <v>159193.31599999999</v>
      </c>
      <c r="D786" s="34">
        <v>18.774000000000001</v>
      </c>
      <c r="F786" s="209">
        <f t="shared" si="36"/>
        <v>60043.758000000002</v>
      </c>
      <c r="G786" s="209">
        <f t="shared" si="37"/>
        <v>363843.31599999999</v>
      </c>
      <c r="H786" s="209">
        <f t="shared" si="38"/>
        <v>18.774000000000001</v>
      </c>
    </row>
    <row r="787" spans="2:8" x14ac:dyDescent="0.2">
      <c r="B787" s="34">
        <v>51893.440999999999</v>
      </c>
      <c r="C787" s="34">
        <v>159192.04199999999</v>
      </c>
      <c r="D787" s="34">
        <v>18.768999999999998</v>
      </c>
      <c r="F787" s="209">
        <f t="shared" si="36"/>
        <v>60043.440999999999</v>
      </c>
      <c r="G787" s="209">
        <f t="shared" si="37"/>
        <v>363842.04200000002</v>
      </c>
      <c r="H787" s="209">
        <f t="shared" si="38"/>
        <v>18.768999999999998</v>
      </c>
    </row>
    <row r="788" spans="2:8" x14ac:dyDescent="0.2">
      <c r="B788" s="34">
        <v>51896.633000000002</v>
      </c>
      <c r="C788" s="34">
        <v>159192.48699999999</v>
      </c>
      <c r="D788" s="34">
        <v>18.777000000000001</v>
      </c>
      <c r="F788" s="209">
        <f t="shared" si="36"/>
        <v>60046.633000000002</v>
      </c>
      <c r="G788" s="209">
        <f t="shared" si="37"/>
        <v>363842.48699999996</v>
      </c>
      <c r="H788" s="209">
        <f t="shared" si="38"/>
        <v>18.777000000000001</v>
      </c>
    </row>
    <row r="789" spans="2:8" x14ac:dyDescent="0.2">
      <c r="B789" s="34">
        <v>51896.25</v>
      </c>
      <c r="C789" s="34">
        <v>159191.228</v>
      </c>
      <c r="D789" s="34">
        <v>18.77</v>
      </c>
      <c r="F789" s="209">
        <f t="shared" si="36"/>
        <v>60046.25</v>
      </c>
      <c r="G789" s="209">
        <f t="shared" si="37"/>
        <v>363841.228</v>
      </c>
      <c r="H789" s="209">
        <f t="shared" si="38"/>
        <v>18.77</v>
      </c>
    </row>
    <row r="790" spans="2:8" x14ac:dyDescent="0.2">
      <c r="B790" s="34">
        <v>51899.398999999998</v>
      </c>
      <c r="C790" s="34">
        <v>159191.70000000001</v>
      </c>
      <c r="D790" s="34">
        <v>18.777999999999999</v>
      </c>
      <c r="F790" s="209">
        <f t="shared" si="36"/>
        <v>60049.398999999998</v>
      </c>
      <c r="G790" s="209">
        <f t="shared" si="37"/>
        <v>363841.7</v>
      </c>
      <c r="H790" s="209">
        <f t="shared" si="38"/>
        <v>18.777999999999999</v>
      </c>
    </row>
    <row r="791" spans="2:8" x14ac:dyDescent="0.2">
      <c r="B791" s="34">
        <v>51899.040999999997</v>
      </c>
      <c r="C791" s="34">
        <v>159190.43599999999</v>
      </c>
      <c r="D791" s="34">
        <v>18.771000000000001</v>
      </c>
      <c r="F791" s="209">
        <f t="shared" si="36"/>
        <v>60049.040999999997</v>
      </c>
      <c r="G791" s="209">
        <f t="shared" si="37"/>
        <v>363840.43599999999</v>
      </c>
      <c r="H791" s="209">
        <f t="shared" si="38"/>
        <v>18.771000000000001</v>
      </c>
    </row>
    <row r="792" spans="2:8" x14ac:dyDescent="0.2">
      <c r="B792" s="34">
        <v>51902.292999999998</v>
      </c>
      <c r="C792" s="34">
        <v>159190.88800000001</v>
      </c>
      <c r="D792" s="34">
        <v>18.779</v>
      </c>
      <c r="F792" s="209">
        <f t="shared" si="36"/>
        <v>60052.292999999998</v>
      </c>
      <c r="G792" s="209">
        <f t="shared" si="37"/>
        <v>363840.88800000004</v>
      </c>
      <c r="H792" s="209">
        <f t="shared" si="38"/>
        <v>18.779</v>
      </c>
    </row>
    <row r="793" spans="2:8" x14ac:dyDescent="0.2">
      <c r="B793" s="34">
        <v>51901.989000000001</v>
      </c>
      <c r="C793" s="34">
        <v>159189.60699999999</v>
      </c>
      <c r="D793" s="34">
        <v>18.77</v>
      </c>
      <c r="F793" s="209">
        <f t="shared" si="36"/>
        <v>60051.989000000001</v>
      </c>
      <c r="G793" s="209">
        <f t="shared" si="37"/>
        <v>363839.60699999996</v>
      </c>
      <c r="H793" s="209">
        <f t="shared" si="38"/>
        <v>18.77</v>
      </c>
    </row>
    <row r="794" spans="2:8" x14ac:dyDescent="0.2">
      <c r="B794" s="34">
        <v>51905.196000000004</v>
      </c>
      <c r="C794" s="34">
        <v>159190.098</v>
      </c>
      <c r="D794" s="34">
        <v>18.78</v>
      </c>
      <c r="F794" s="209">
        <f t="shared" si="36"/>
        <v>60055.196000000004</v>
      </c>
      <c r="G794" s="209">
        <f t="shared" si="37"/>
        <v>363840.098</v>
      </c>
      <c r="H794" s="209">
        <f t="shared" si="38"/>
        <v>18.78</v>
      </c>
    </row>
    <row r="795" spans="2:8" x14ac:dyDescent="0.2">
      <c r="B795" s="34">
        <v>51904.885000000002</v>
      </c>
      <c r="C795" s="34">
        <v>159188.80900000001</v>
      </c>
      <c r="D795" s="34">
        <v>18.773</v>
      </c>
      <c r="F795" s="209">
        <f t="shared" si="36"/>
        <v>60054.885000000002</v>
      </c>
      <c r="G795" s="209">
        <f t="shared" si="37"/>
        <v>363838.80900000001</v>
      </c>
      <c r="H795" s="209">
        <f t="shared" si="38"/>
        <v>18.773</v>
      </c>
    </row>
    <row r="796" spans="2:8" x14ac:dyDescent="0.2">
      <c r="B796" s="34">
        <v>51907.951999999997</v>
      </c>
      <c r="C796" s="34">
        <v>159189.367</v>
      </c>
      <c r="D796" s="34">
        <v>18.785</v>
      </c>
      <c r="F796" s="209">
        <f t="shared" si="36"/>
        <v>60057.951999999997</v>
      </c>
      <c r="G796" s="209">
        <f t="shared" si="37"/>
        <v>363839.36699999997</v>
      </c>
      <c r="H796" s="209">
        <f t="shared" si="38"/>
        <v>18.785</v>
      </c>
    </row>
    <row r="797" spans="2:8" x14ac:dyDescent="0.2">
      <c r="B797" s="34">
        <v>51907.578999999998</v>
      </c>
      <c r="C797" s="34">
        <v>159188.10200000001</v>
      </c>
      <c r="D797" s="34">
        <v>18.774999999999999</v>
      </c>
      <c r="F797" s="209">
        <f t="shared" si="36"/>
        <v>60057.578999999998</v>
      </c>
      <c r="G797" s="209">
        <f t="shared" si="37"/>
        <v>363838.10200000001</v>
      </c>
      <c r="H797" s="209">
        <f t="shared" si="38"/>
        <v>18.774999999999999</v>
      </c>
    </row>
    <row r="798" spans="2:8" x14ac:dyDescent="0.2">
      <c r="B798" s="34">
        <v>51910.963000000003</v>
      </c>
      <c r="C798" s="34">
        <v>159188.60500000001</v>
      </c>
      <c r="D798" s="34">
        <v>18.794</v>
      </c>
      <c r="F798" s="209">
        <f t="shared" si="36"/>
        <v>60060.963000000003</v>
      </c>
      <c r="G798" s="209">
        <f t="shared" si="37"/>
        <v>363838.60499999998</v>
      </c>
      <c r="H798" s="209">
        <f t="shared" si="38"/>
        <v>18.794</v>
      </c>
    </row>
    <row r="799" spans="2:8" x14ac:dyDescent="0.2">
      <c r="B799" s="34">
        <v>51910.64</v>
      </c>
      <c r="C799" s="34">
        <v>159187.32699999999</v>
      </c>
      <c r="D799" s="34">
        <v>18.782</v>
      </c>
      <c r="F799" s="209">
        <f t="shared" si="36"/>
        <v>60060.639999999999</v>
      </c>
      <c r="G799" s="209">
        <f t="shared" si="37"/>
        <v>363837.32699999999</v>
      </c>
      <c r="H799" s="209">
        <f t="shared" si="38"/>
        <v>18.782</v>
      </c>
    </row>
    <row r="800" spans="2:8" x14ac:dyDescent="0.2">
      <c r="B800" s="34">
        <v>51913.75</v>
      </c>
      <c r="C800" s="34">
        <v>159187.92199999999</v>
      </c>
      <c r="D800" s="34">
        <v>18.808</v>
      </c>
      <c r="F800" s="209">
        <f t="shared" si="36"/>
        <v>60063.75</v>
      </c>
      <c r="G800" s="209">
        <f t="shared" si="37"/>
        <v>363837.92200000002</v>
      </c>
      <c r="H800" s="209">
        <f t="shared" si="38"/>
        <v>18.808</v>
      </c>
    </row>
    <row r="801" spans="2:8" x14ac:dyDescent="0.2">
      <c r="B801" s="152">
        <v>51913.421999999999</v>
      </c>
      <c r="C801" s="152">
        <v>159186.641</v>
      </c>
      <c r="D801" s="152">
        <v>18.792999999999999</v>
      </c>
      <c r="F801" s="209">
        <f t="shared" si="36"/>
        <v>60063.421999999999</v>
      </c>
      <c r="G801" s="209">
        <f t="shared" si="37"/>
        <v>363836.641</v>
      </c>
      <c r="H801" s="209">
        <f t="shared" si="38"/>
        <v>18.792999999999999</v>
      </c>
    </row>
    <row r="802" spans="2:8" x14ac:dyDescent="0.2">
      <c r="B802" s="34">
        <v>51884.538999999997</v>
      </c>
      <c r="C802" s="34">
        <v>159193.38099999999</v>
      </c>
      <c r="D802" s="34">
        <v>19.331</v>
      </c>
      <c r="F802" s="209">
        <f t="shared" si="36"/>
        <v>60034.538999999997</v>
      </c>
      <c r="G802" s="209">
        <f t="shared" si="37"/>
        <v>363843.38099999999</v>
      </c>
      <c r="H802" s="209">
        <f t="shared" si="38"/>
        <v>19.331</v>
      </c>
    </row>
    <row r="803" spans="2:8" x14ac:dyDescent="0.2">
      <c r="B803" s="34">
        <v>51890.286999999997</v>
      </c>
      <c r="C803" s="34">
        <v>159191.72899999999</v>
      </c>
      <c r="D803" s="34">
        <v>19.321999999999999</v>
      </c>
      <c r="F803" s="209">
        <f t="shared" si="36"/>
        <v>60040.286999999997</v>
      </c>
      <c r="G803" s="209">
        <f t="shared" si="37"/>
        <v>363841.72899999999</v>
      </c>
      <c r="H803" s="209">
        <f t="shared" si="38"/>
        <v>19.321999999999999</v>
      </c>
    </row>
    <row r="804" spans="2:8" x14ac:dyDescent="0.2">
      <c r="B804" s="34">
        <v>51895.921999999999</v>
      </c>
      <c r="C804" s="34">
        <v>159190.101</v>
      </c>
      <c r="D804" s="34">
        <v>19.334</v>
      </c>
      <c r="F804" s="209">
        <f t="shared" si="36"/>
        <v>60045.921999999999</v>
      </c>
      <c r="G804" s="209">
        <f t="shared" si="37"/>
        <v>363840.10100000002</v>
      </c>
      <c r="H804" s="209">
        <f t="shared" si="38"/>
        <v>19.334</v>
      </c>
    </row>
    <row r="805" spans="2:8" x14ac:dyDescent="0.2">
      <c r="B805" s="34">
        <v>51899.767999999996</v>
      </c>
      <c r="C805" s="34">
        <v>159188.99400000001</v>
      </c>
      <c r="D805" s="34">
        <v>19.344999999999999</v>
      </c>
      <c r="F805" s="209">
        <f t="shared" si="36"/>
        <v>60049.767999999996</v>
      </c>
      <c r="G805" s="209">
        <f t="shared" si="37"/>
        <v>363838.99400000001</v>
      </c>
      <c r="H805" s="209">
        <f t="shared" si="38"/>
        <v>19.344999999999999</v>
      </c>
    </row>
    <row r="806" spans="2:8" x14ac:dyDescent="0.2">
      <c r="B806" s="34">
        <v>51903.608999999997</v>
      </c>
      <c r="C806" s="34">
        <v>159187.883</v>
      </c>
      <c r="D806" s="34">
        <v>19.356000000000002</v>
      </c>
      <c r="F806" s="209">
        <f t="shared" si="36"/>
        <v>60053.608999999997</v>
      </c>
      <c r="G806" s="209">
        <f t="shared" si="37"/>
        <v>363837.88300000003</v>
      </c>
      <c r="H806" s="209">
        <f t="shared" si="38"/>
        <v>19.356000000000002</v>
      </c>
    </row>
    <row r="807" spans="2:8" x14ac:dyDescent="0.2">
      <c r="B807" s="34">
        <v>51910.065000000002</v>
      </c>
      <c r="C807" s="34">
        <v>159186.02499999999</v>
      </c>
      <c r="D807" s="34">
        <v>19.356000000000002</v>
      </c>
      <c r="F807" s="209">
        <f t="shared" si="36"/>
        <v>60060.065000000002</v>
      </c>
      <c r="G807" s="209">
        <f t="shared" si="37"/>
        <v>363836.02500000002</v>
      </c>
      <c r="H807" s="209">
        <f t="shared" si="38"/>
        <v>19.356000000000002</v>
      </c>
    </row>
    <row r="808" spans="2:8" x14ac:dyDescent="0.2">
      <c r="B808" s="34">
        <v>51885.339</v>
      </c>
      <c r="C808" s="34">
        <v>159195.73800000001</v>
      </c>
      <c r="D808" s="34">
        <v>18.782</v>
      </c>
      <c r="F808" s="209">
        <f t="shared" si="36"/>
        <v>60035.339</v>
      </c>
      <c r="G808" s="209">
        <f t="shared" si="37"/>
        <v>363845.73800000001</v>
      </c>
      <c r="H808" s="209">
        <f t="shared" si="38"/>
        <v>18.782</v>
      </c>
    </row>
    <row r="809" spans="2:8" x14ac:dyDescent="0.2">
      <c r="B809" s="34">
        <v>51884.957999999999</v>
      </c>
      <c r="C809" s="34">
        <v>159194.47</v>
      </c>
      <c r="D809" s="34">
        <v>18.777999999999999</v>
      </c>
      <c r="F809" s="209">
        <f t="shared" si="36"/>
        <v>60034.957999999999</v>
      </c>
      <c r="G809" s="209">
        <f t="shared" si="37"/>
        <v>363844.47</v>
      </c>
      <c r="H809" s="209">
        <f t="shared" si="38"/>
        <v>18.777999999999999</v>
      </c>
    </row>
    <row r="810" spans="2:8" x14ac:dyDescent="0.2">
      <c r="B810" s="34">
        <v>51888.116999999998</v>
      </c>
      <c r="C810" s="34">
        <v>159194.94500000001</v>
      </c>
      <c r="D810" s="34">
        <v>18.777999999999999</v>
      </c>
      <c r="F810" s="209">
        <f t="shared" si="36"/>
        <v>60038.116999999998</v>
      </c>
      <c r="G810" s="209">
        <f t="shared" si="37"/>
        <v>363844.94500000001</v>
      </c>
      <c r="H810" s="209">
        <f t="shared" si="38"/>
        <v>18.777999999999999</v>
      </c>
    </row>
    <row r="811" spans="2:8" x14ac:dyDescent="0.2">
      <c r="B811" s="34">
        <v>51887.803999999996</v>
      </c>
      <c r="C811" s="34">
        <v>159193.65700000001</v>
      </c>
      <c r="D811" s="34">
        <v>18.777999999999999</v>
      </c>
      <c r="F811" s="209">
        <f t="shared" si="36"/>
        <v>60037.803999999996</v>
      </c>
      <c r="G811" s="209">
        <f t="shared" si="37"/>
        <v>363843.65700000001</v>
      </c>
      <c r="H811" s="209">
        <f t="shared" si="38"/>
        <v>18.777999999999999</v>
      </c>
    </row>
    <row r="812" spans="2:8" x14ac:dyDescent="0.2">
      <c r="B812" s="34">
        <v>51890.968000000001</v>
      </c>
      <c r="C812" s="34">
        <v>159194.11799999999</v>
      </c>
      <c r="D812" s="34">
        <v>18.779</v>
      </c>
      <c r="F812" s="209">
        <f t="shared" si="36"/>
        <v>60040.968000000001</v>
      </c>
      <c r="G812" s="209">
        <f t="shared" si="37"/>
        <v>363844.11800000002</v>
      </c>
      <c r="H812" s="209">
        <f t="shared" si="38"/>
        <v>18.779</v>
      </c>
    </row>
    <row r="813" spans="2:8" x14ac:dyDescent="0.2">
      <c r="B813" s="34">
        <v>51890.606</v>
      </c>
      <c r="C813" s="34">
        <v>159192.86199999999</v>
      </c>
      <c r="D813" s="34">
        <v>18.771999999999998</v>
      </c>
      <c r="F813" s="209">
        <f t="shared" si="36"/>
        <v>60040.606</v>
      </c>
      <c r="G813" s="209">
        <f t="shared" si="37"/>
        <v>363842.86199999996</v>
      </c>
      <c r="H813" s="209">
        <f t="shared" si="38"/>
        <v>18.771999999999998</v>
      </c>
    </row>
    <row r="814" spans="2:8" x14ac:dyDescent="0.2">
      <c r="B814" s="34">
        <v>51893.758000000002</v>
      </c>
      <c r="C814" s="34">
        <v>159193.315</v>
      </c>
      <c r="D814" s="34">
        <v>18.774000000000001</v>
      </c>
      <c r="F814" s="209">
        <f t="shared" si="36"/>
        <v>60043.758000000002</v>
      </c>
      <c r="G814" s="209">
        <f t="shared" si="37"/>
        <v>363843.315</v>
      </c>
      <c r="H814" s="209">
        <f t="shared" si="38"/>
        <v>18.774000000000001</v>
      </c>
    </row>
    <row r="815" spans="2:8" x14ac:dyDescent="0.2">
      <c r="B815" s="34">
        <v>51893.440999999999</v>
      </c>
      <c r="C815" s="34">
        <v>159192.041</v>
      </c>
      <c r="D815" s="34">
        <v>18.768000000000001</v>
      </c>
      <c r="F815" s="209">
        <f t="shared" si="36"/>
        <v>60043.440999999999</v>
      </c>
      <c r="G815" s="209">
        <f t="shared" si="37"/>
        <v>363842.04099999997</v>
      </c>
      <c r="H815" s="209">
        <f t="shared" si="38"/>
        <v>18.768000000000001</v>
      </c>
    </row>
    <row r="816" spans="2:8" x14ac:dyDescent="0.2">
      <c r="B816" s="34">
        <v>51896.633000000002</v>
      </c>
      <c r="C816" s="34">
        <v>159192.486</v>
      </c>
      <c r="D816" s="34">
        <v>18.777000000000001</v>
      </c>
      <c r="F816" s="209">
        <f t="shared" si="36"/>
        <v>60046.633000000002</v>
      </c>
      <c r="G816" s="209">
        <f t="shared" si="37"/>
        <v>363842.48600000003</v>
      </c>
      <c r="H816" s="209">
        <f t="shared" si="38"/>
        <v>18.777000000000001</v>
      </c>
    </row>
    <row r="817" spans="2:8" x14ac:dyDescent="0.2">
      <c r="B817" s="34">
        <v>51896.25</v>
      </c>
      <c r="C817" s="34">
        <v>159191.22700000001</v>
      </c>
      <c r="D817" s="34">
        <v>18.77</v>
      </c>
      <c r="F817" s="209">
        <f t="shared" si="36"/>
        <v>60046.25</v>
      </c>
      <c r="G817" s="209">
        <f t="shared" si="37"/>
        <v>363841.22700000001</v>
      </c>
      <c r="H817" s="209">
        <f t="shared" si="38"/>
        <v>18.77</v>
      </c>
    </row>
    <row r="818" spans="2:8" x14ac:dyDescent="0.2">
      <c r="B818" s="34">
        <v>51899.398999999998</v>
      </c>
      <c r="C818" s="34">
        <v>159191.70000000001</v>
      </c>
      <c r="D818" s="34">
        <v>18.777999999999999</v>
      </c>
      <c r="F818" s="209">
        <f t="shared" si="36"/>
        <v>60049.398999999998</v>
      </c>
      <c r="G818" s="209">
        <f t="shared" si="37"/>
        <v>363841.7</v>
      </c>
      <c r="H818" s="209">
        <f t="shared" si="38"/>
        <v>18.777999999999999</v>
      </c>
    </row>
    <row r="819" spans="2:8" x14ac:dyDescent="0.2">
      <c r="B819" s="34">
        <v>51899.040999999997</v>
      </c>
      <c r="C819" s="34">
        <v>159190.43599999999</v>
      </c>
      <c r="D819" s="34">
        <v>18.771000000000001</v>
      </c>
      <c r="F819" s="209">
        <f t="shared" si="36"/>
        <v>60049.040999999997</v>
      </c>
      <c r="G819" s="209">
        <f t="shared" si="37"/>
        <v>363840.43599999999</v>
      </c>
      <c r="H819" s="209">
        <f t="shared" si="38"/>
        <v>18.771000000000001</v>
      </c>
    </row>
    <row r="820" spans="2:8" x14ac:dyDescent="0.2">
      <c r="B820" s="34">
        <v>51902.292999999998</v>
      </c>
      <c r="C820" s="34">
        <v>159190.88699999999</v>
      </c>
      <c r="D820" s="34">
        <v>18.777999999999999</v>
      </c>
      <c r="F820" s="209">
        <f t="shared" si="36"/>
        <v>60052.292999999998</v>
      </c>
      <c r="G820" s="209">
        <f t="shared" si="37"/>
        <v>363840.88699999999</v>
      </c>
      <c r="H820" s="209">
        <f t="shared" si="38"/>
        <v>18.777999999999999</v>
      </c>
    </row>
    <row r="821" spans="2:8" x14ac:dyDescent="0.2">
      <c r="B821" s="34">
        <v>51901.989000000001</v>
      </c>
      <c r="C821" s="34">
        <v>159189.606</v>
      </c>
      <c r="D821" s="34">
        <v>18.77</v>
      </c>
      <c r="F821" s="209">
        <f t="shared" si="36"/>
        <v>60051.989000000001</v>
      </c>
      <c r="G821" s="209">
        <f t="shared" si="37"/>
        <v>363839.60600000003</v>
      </c>
      <c r="H821" s="209">
        <f t="shared" si="38"/>
        <v>18.77</v>
      </c>
    </row>
    <row r="822" spans="2:8" x14ac:dyDescent="0.2">
      <c r="B822" s="34">
        <v>51905.196000000004</v>
      </c>
      <c r="C822" s="34">
        <v>159190.098</v>
      </c>
      <c r="D822" s="34">
        <v>18.78</v>
      </c>
      <c r="F822" s="209">
        <f t="shared" si="36"/>
        <v>60055.196000000004</v>
      </c>
      <c r="G822" s="209">
        <f t="shared" si="37"/>
        <v>363840.098</v>
      </c>
      <c r="H822" s="209">
        <f t="shared" si="38"/>
        <v>18.78</v>
      </c>
    </row>
    <row r="823" spans="2:8" x14ac:dyDescent="0.2">
      <c r="B823" s="34">
        <v>51904.885000000002</v>
      </c>
      <c r="C823" s="34">
        <v>159188.80799999999</v>
      </c>
      <c r="D823" s="34">
        <v>18.771999999999998</v>
      </c>
      <c r="F823" s="209">
        <f t="shared" si="36"/>
        <v>60054.885000000002</v>
      </c>
      <c r="G823" s="209">
        <f t="shared" si="37"/>
        <v>363838.80799999996</v>
      </c>
      <c r="H823" s="209">
        <f t="shared" si="38"/>
        <v>18.771999999999998</v>
      </c>
    </row>
    <row r="824" spans="2:8" x14ac:dyDescent="0.2">
      <c r="B824" s="34">
        <v>51907.951999999997</v>
      </c>
      <c r="C824" s="34">
        <v>159189.36600000001</v>
      </c>
      <c r="D824" s="34">
        <v>18.785</v>
      </c>
      <c r="F824" s="209">
        <f t="shared" si="36"/>
        <v>60057.951999999997</v>
      </c>
      <c r="G824" s="209">
        <f t="shared" si="37"/>
        <v>363839.36600000004</v>
      </c>
      <c r="H824" s="209">
        <f t="shared" si="38"/>
        <v>18.785</v>
      </c>
    </row>
    <row r="825" spans="2:8" x14ac:dyDescent="0.2">
      <c r="B825" s="34">
        <v>51907.578999999998</v>
      </c>
      <c r="C825" s="34">
        <v>159188.10200000001</v>
      </c>
      <c r="D825" s="34">
        <v>18.774999999999999</v>
      </c>
      <c r="F825" s="209">
        <f t="shared" si="36"/>
        <v>60057.578999999998</v>
      </c>
      <c r="G825" s="209">
        <f t="shared" si="37"/>
        <v>363838.10200000001</v>
      </c>
      <c r="H825" s="209">
        <f t="shared" si="38"/>
        <v>18.774999999999999</v>
      </c>
    </row>
    <row r="826" spans="2:8" x14ac:dyDescent="0.2">
      <c r="B826" s="34">
        <v>51910.963000000003</v>
      </c>
      <c r="C826" s="34">
        <v>159188.60399999999</v>
      </c>
      <c r="D826" s="34">
        <v>18.792999999999999</v>
      </c>
      <c r="F826" s="209">
        <f t="shared" si="36"/>
        <v>60060.963000000003</v>
      </c>
      <c r="G826" s="209">
        <f t="shared" si="37"/>
        <v>363838.60399999999</v>
      </c>
      <c r="H826" s="209">
        <f t="shared" si="38"/>
        <v>18.792999999999999</v>
      </c>
    </row>
    <row r="827" spans="2:8" x14ac:dyDescent="0.2">
      <c r="B827" s="34">
        <v>51910.64</v>
      </c>
      <c r="C827" s="34">
        <v>159187.326</v>
      </c>
      <c r="D827" s="34">
        <v>18.782</v>
      </c>
      <c r="F827" s="209">
        <f t="shared" si="36"/>
        <v>60060.639999999999</v>
      </c>
      <c r="G827" s="209">
        <f t="shared" si="37"/>
        <v>363837.326</v>
      </c>
      <c r="H827" s="209">
        <f t="shared" si="38"/>
        <v>18.782</v>
      </c>
    </row>
    <row r="828" spans="2:8" x14ac:dyDescent="0.2">
      <c r="B828" s="34">
        <v>51913.750999999997</v>
      </c>
      <c r="C828" s="34">
        <v>159187.921</v>
      </c>
      <c r="D828" s="34">
        <v>18.808</v>
      </c>
      <c r="F828" s="209">
        <f t="shared" si="36"/>
        <v>60063.750999999997</v>
      </c>
      <c r="G828" s="209">
        <f t="shared" si="37"/>
        <v>363837.92099999997</v>
      </c>
      <c r="H828" s="209">
        <f t="shared" si="38"/>
        <v>18.808</v>
      </c>
    </row>
    <row r="829" spans="2:8" x14ac:dyDescent="0.2">
      <c r="B829" s="152">
        <v>51913.421999999999</v>
      </c>
      <c r="C829" s="152">
        <v>159186.64000000001</v>
      </c>
      <c r="D829" s="152">
        <v>18.792999999999999</v>
      </c>
      <c r="F829" s="209">
        <f t="shared" si="36"/>
        <v>60063.421999999999</v>
      </c>
      <c r="G829" s="209">
        <f t="shared" si="37"/>
        <v>363836.64</v>
      </c>
      <c r="H829" s="209">
        <f t="shared" si="38"/>
        <v>18.792999999999999</v>
      </c>
    </row>
    <row r="830" spans="2:8" x14ac:dyDescent="0.2">
      <c r="B830" s="34">
        <v>51884.538999999997</v>
      </c>
      <c r="C830" s="34">
        <v>159193.38099999999</v>
      </c>
      <c r="D830" s="34">
        <v>19.331</v>
      </c>
      <c r="F830" s="209">
        <f t="shared" si="36"/>
        <v>60034.538999999997</v>
      </c>
      <c r="G830" s="209">
        <f t="shared" si="37"/>
        <v>363843.38099999999</v>
      </c>
      <c r="H830" s="209">
        <f t="shared" si="38"/>
        <v>19.331</v>
      </c>
    </row>
    <row r="831" spans="2:8" x14ac:dyDescent="0.2">
      <c r="B831" s="34">
        <v>51890.286999999997</v>
      </c>
      <c r="C831" s="34">
        <v>159191.73000000001</v>
      </c>
      <c r="D831" s="34">
        <v>19.321999999999999</v>
      </c>
      <c r="F831" s="209">
        <f t="shared" si="36"/>
        <v>60040.286999999997</v>
      </c>
      <c r="G831" s="209">
        <f t="shared" si="37"/>
        <v>363841.73</v>
      </c>
      <c r="H831" s="209">
        <f t="shared" si="38"/>
        <v>19.321999999999999</v>
      </c>
    </row>
    <row r="832" spans="2:8" x14ac:dyDescent="0.2">
      <c r="B832" s="34">
        <v>51895.921999999999</v>
      </c>
      <c r="C832" s="34">
        <v>159190.101</v>
      </c>
      <c r="D832" s="34">
        <v>19.334</v>
      </c>
      <c r="F832" s="209">
        <f t="shared" si="36"/>
        <v>60045.921999999999</v>
      </c>
      <c r="G832" s="209">
        <f t="shared" si="37"/>
        <v>363840.10100000002</v>
      </c>
      <c r="H832" s="209">
        <f t="shared" si="38"/>
        <v>19.334</v>
      </c>
    </row>
    <row r="833" spans="2:8" x14ac:dyDescent="0.2">
      <c r="B833" s="34">
        <v>51899.767999999996</v>
      </c>
      <c r="C833" s="34">
        <v>159188.995</v>
      </c>
      <c r="D833" s="34">
        <v>19.344999999999999</v>
      </c>
      <c r="F833" s="209">
        <f t="shared" si="36"/>
        <v>60049.767999999996</v>
      </c>
      <c r="G833" s="209">
        <f t="shared" si="37"/>
        <v>363838.995</v>
      </c>
      <c r="H833" s="209">
        <f t="shared" si="38"/>
        <v>19.344999999999999</v>
      </c>
    </row>
    <row r="834" spans="2:8" x14ac:dyDescent="0.2">
      <c r="B834" s="34">
        <v>51903.608999999997</v>
      </c>
      <c r="C834" s="34">
        <v>159187.88399999999</v>
      </c>
      <c r="D834" s="34">
        <v>19.356000000000002</v>
      </c>
      <c r="F834" s="209">
        <f t="shared" si="36"/>
        <v>60053.608999999997</v>
      </c>
      <c r="G834" s="209">
        <f t="shared" si="37"/>
        <v>363837.88399999996</v>
      </c>
      <c r="H834" s="209">
        <f t="shared" si="38"/>
        <v>19.356000000000002</v>
      </c>
    </row>
    <row r="835" spans="2:8" x14ac:dyDescent="0.2">
      <c r="B835" s="34">
        <v>51910.065000000002</v>
      </c>
      <c r="C835" s="34">
        <v>159186.02600000001</v>
      </c>
      <c r="D835" s="34">
        <v>19.356000000000002</v>
      </c>
      <c r="F835" s="209">
        <f t="shared" si="36"/>
        <v>60060.065000000002</v>
      </c>
      <c r="G835" s="209">
        <f t="shared" si="37"/>
        <v>363836.02600000001</v>
      </c>
      <c r="H835" s="209">
        <f t="shared" si="38"/>
        <v>19.356000000000002</v>
      </c>
    </row>
    <row r="836" spans="2:8" x14ac:dyDescent="0.2">
      <c r="B836" s="34">
        <v>51885.339</v>
      </c>
      <c r="C836" s="34">
        <v>159195.73800000001</v>
      </c>
      <c r="D836" s="34">
        <v>18.782</v>
      </c>
      <c r="F836" s="209">
        <f t="shared" ref="F836:F899" si="39">B836+$B$1</f>
        <v>60035.339</v>
      </c>
      <c r="G836" s="209">
        <f t="shared" ref="G836:G899" si="40">C836+$C$1</f>
        <v>363845.73800000001</v>
      </c>
      <c r="H836" s="209">
        <f t="shared" ref="H836:H899" si="41">D836+$D$1</f>
        <v>18.782</v>
      </c>
    </row>
    <row r="837" spans="2:8" x14ac:dyDescent="0.2">
      <c r="B837" s="34">
        <v>51884.959000000003</v>
      </c>
      <c r="C837" s="34">
        <v>159194.47099999999</v>
      </c>
      <c r="D837" s="34">
        <v>18.777999999999999</v>
      </c>
      <c r="F837" s="209">
        <f t="shared" si="39"/>
        <v>60034.959000000003</v>
      </c>
      <c r="G837" s="209">
        <f t="shared" si="40"/>
        <v>363844.47100000002</v>
      </c>
      <c r="H837" s="209">
        <f t="shared" si="41"/>
        <v>18.777999999999999</v>
      </c>
    </row>
    <row r="838" spans="2:8" x14ac:dyDescent="0.2">
      <c r="B838" s="34">
        <v>51888.116999999998</v>
      </c>
      <c r="C838" s="34">
        <v>159194.94500000001</v>
      </c>
      <c r="D838" s="34">
        <v>18.777999999999999</v>
      </c>
      <c r="F838" s="209">
        <f t="shared" si="39"/>
        <v>60038.116999999998</v>
      </c>
      <c r="G838" s="209">
        <f t="shared" si="40"/>
        <v>363844.94500000001</v>
      </c>
      <c r="H838" s="209">
        <f t="shared" si="41"/>
        <v>18.777999999999999</v>
      </c>
    </row>
    <row r="839" spans="2:8" x14ac:dyDescent="0.2">
      <c r="B839" s="34">
        <v>51887.803999999996</v>
      </c>
      <c r="C839" s="34">
        <v>159193.65700000001</v>
      </c>
      <c r="D839" s="34">
        <v>18.777999999999999</v>
      </c>
      <c r="F839" s="209">
        <f t="shared" si="39"/>
        <v>60037.803999999996</v>
      </c>
      <c r="G839" s="209">
        <f t="shared" si="40"/>
        <v>363843.65700000001</v>
      </c>
      <c r="H839" s="209">
        <f t="shared" si="41"/>
        <v>18.777999999999999</v>
      </c>
    </row>
    <row r="840" spans="2:8" x14ac:dyDescent="0.2">
      <c r="B840" s="34">
        <v>51890.968000000001</v>
      </c>
      <c r="C840" s="34">
        <v>159194.11799999999</v>
      </c>
      <c r="D840" s="34">
        <v>18.779</v>
      </c>
      <c r="F840" s="209">
        <f t="shared" si="39"/>
        <v>60040.968000000001</v>
      </c>
      <c r="G840" s="209">
        <f t="shared" si="40"/>
        <v>363844.11800000002</v>
      </c>
      <c r="H840" s="209">
        <f t="shared" si="41"/>
        <v>18.779</v>
      </c>
    </row>
    <row r="841" spans="2:8" x14ac:dyDescent="0.2">
      <c r="B841" s="34">
        <v>51890.606</v>
      </c>
      <c r="C841" s="34">
        <v>159192.86199999999</v>
      </c>
      <c r="D841" s="34">
        <v>18.771999999999998</v>
      </c>
      <c r="F841" s="209">
        <f t="shared" si="39"/>
        <v>60040.606</v>
      </c>
      <c r="G841" s="209">
        <f t="shared" si="40"/>
        <v>363842.86199999996</v>
      </c>
      <c r="H841" s="209">
        <f t="shared" si="41"/>
        <v>18.771999999999998</v>
      </c>
    </row>
    <row r="842" spans="2:8" x14ac:dyDescent="0.2">
      <c r="B842" s="34">
        <v>51893.758000000002</v>
      </c>
      <c r="C842" s="34">
        <v>159193.31599999999</v>
      </c>
      <c r="D842" s="34">
        <v>18.774000000000001</v>
      </c>
      <c r="F842" s="209">
        <f t="shared" si="39"/>
        <v>60043.758000000002</v>
      </c>
      <c r="G842" s="209">
        <f t="shared" si="40"/>
        <v>363843.31599999999</v>
      </c>
      <c r="H842" s="209">
        <f t="shared" si="41"/>
        <v>18.774000000000001</v>
      </c>
    </row>
    <row r="843" spans="2:8" x14ac:dyDescent="0.2">
      <c r="B843" s="34">
        <v>51893.440999999999</v>
      </c>
      <c r="C843" s="34">
        <v>159192.04199999999</v>
      </c>
      <c r="D843" s="34">
        <v>18.768000000000001</v>
      </c>
      <c r="F843" s="209">
        <f t="shared" si="39"/>
        <v>60043.440999999999</v>
      </c>
      <c r="G843" s="209">
        <f t="shared" si="40"/>
        <v>363842.04200000002</v>
      </c>
      <c r="H843" s="209">
        <f t="shared" si="41"/>
        <v>18.768000000000001</v>
      </c>
    </row>
    <row r="844" spans="2:8" x14ac:dyDescent="0.2">
      <c r="B844" s="34">
        <v>51896.633000000002</v>
      </c>
      <c r="C844" s="34">
        <v>159192.486</v>
      </c>
      <c r="D844" s="34">
        <v>18.777000000000001</v>
      </c>
      <c r="F844" s="209">
        <f t="shared" si="39"/>
        <v>60046.633000000002</v>
      </c>
      <c r="G844" s="209">
        <f t="shared" si="40"/>
        <v>363842.48600000003</v>
      </c>
      <c r="H844" s="209">
        <f t="shared" si="41"/>
        <v>18.777000000000001</v>
      </c>
    </row>
    <row r="845" spans="2:8" x14ac:dyDescent="0.2">
      <c r="B845" s="34">
        <v>51896.25</v>
      </c>
      <c r="C845" s="34">
        <v>159191.228</v>
      </c>
      <c r="D845" s="34">
        <v>18.77</v>
      </c>
      <c r="F845" s="209">
        <f t="shared" si="39"/>
        <v>60046.25</v>
      </c>
      <c r="G845" s="209">
        <f t="shared" si="40"/>
        <v>363841.228</v>
      </c>
      <c r="H845" s="209">
        <f t="shared" si="41"/>
        <v>18.77</v>
      </c>
    </row>
    <row r="846" spans="2:8" x14ac:dyDescent="0.2">
      <c r="B846" s="34">
        <v>51899.398999999998</v>
      </c>
      <c r="C846" s="34">
        <v>159191.70000000001</v>
      </c>
      <c r="D846" s="34">
        <v>18.777000000000001</v>
      </c>
      <c r="F846" s="209">
        <f t="shared" si="39"/>
        <v>60049.398999999998</v>
      </c>
      <c r="G846" s="209">
        <f t="shared" si="40"/>
        <v>363841.7</v>
      </c>
      <c r="H846" s="209">
        <f t="shared" si="41"/>
        <v>18.777000000000001</v>
      </c>
    </row>
    <row r="847" spans="2:8" x14ac:dyDescent="0.2">
      <c r="B847" s="34">
        <v>51899.040999999997</v>
      </c>
      <c r="C847" s="34">
        <v>159190.43599999999</v>
      </c>
      <c r="D847" s="34">
        <v>18.771000000000001</v>
      </c>
      <c r="F847" s="209">
        <f t="shared" si="39"/>
        <v>60049.040999999997</v>
      </c>
      <c r="G847" s="209">
        <f t="shared" si="40"/>
        <v>363840.43599999999</v>
      </c>
      <c r="H847" s="209">
        <f t="shared" si="41"/>
        <v>18.771000000000001</v>
      </c>
    </row>
    <row r="848" spans="2:8" x14ac:dyDescent="0.2">
      <c r="B848" s="34">
        <v>51902.292999999998</v>
      </c>
      <c r="C848" s="34">
        <v>159190.88800000001</v>
      </c>
      <c r="D848" s="34">
        <v>18.777999999999999</v>
      </c>
      <c r="F848" s="209">
        <f t="shared" si="39"/>
        <v>60052.292999999998</v>
      </c>
      <c r="G848" s="209">
        <f t="shared" si="40"/>
        <v>363840.88800000004</v>
      </c>
      <c r="H848" s="209">
        <f t="shared" si="41"/>
        <v>18.777999999999999</v>
      </c>
    </row>
    <row r="849" spans="2:8" x14ac:dyDescent="0.2">
      <c r="B849" s="34">
        <v>51901.989000000001</v>
      </c>
      <c r="C849" s="34">
        <v>159189.60699999999</v>
      </c>
      <c r="D849" s="34">
        <v>18.768999999999998</v>
      </c>
      <c r="F849" s="209">
        <f t="shared" si="39"/>
        <v>60051.989000000001</v>
      </c>
      <c r="G849" s="209">
        <f t="shared" si="40"/>
        <v>363839.60699999996</v>
      </c>
      <c r="H849" s="209">
        <f t="shared" si="41"/>
        <v>18.768999999999998</v>
      </c>
    </row>
    <row r="850" spans="2:8" x14ac:dyDescent="0.2">
      <c r="B850" s="34">
        <v>51905.196000000004</v>
      </c>
      <c r="C850" s="34">
        <v>159190.098</v>
      </c>
      <c r="D850" s="34">
        <v>18.78</v>
      </c>
      <c r="F850" s="209">
        <f t="shared" si="39"/>
        <v>60055.196000000004</v>
      </c>
      <c r="G850" s="209">
        <f t="shared" si="40"/>
        <v>363840.098</v>
      </c>
      <c r="H850" s="209">
        <f t="shared" si="41"/>
        <v>18.78</v>
      </c>
    </row>
    <row r="851" spans="2:8" x14ac:dyDescent="0.2">
      <c r="B851" s="34">
        <v>51904.885000000002</v>
      </c>
      <c r="C851" s="34">
        <v>159188.80900000001</v>
      </c>
      <c r="D851" s="34">
        <v>18.771999999999998</v>
      </c>
      <c r="F851" s="209">
        <f t="shared" si="39"/>
        <v>60054.885000000002</v>
      </c>
      <c r="G851" s="209">
        <f t="shared" si="40"/>
        <v>363838.80900000001</v>
      </c>
      <c r="H851" s="209">
        <f t="shared" si="41"/>
        <v>18.771999999999998</v>
      </c>
    </row>
    <row r="852" spans="2:8" x14ac:dyDescent="0.2">
      <c r="B852" s="34">
        <v>51907.951999999997</v>
      </c>
      <c r="C852" s="34">
        <v>159189.367</v>
      </c>
      <c r="D852" s="34">
        <v>18.785</v>
      </c>
      <c r="F852" s="209">
        <f t="shared" si="39"/>
        <v>60057.951999999997</v>
      </c>
      <c r="G852" s="209">
        <f t="shared" si="40"/>
        <v>363839.36699999997</v>
      </c>
      <c r="H852" s="209">
        <f t="shared" si="41"/>
        <v>18.785</v>
      </c>
    </row>
    <row r="853" spans="2:8" x14ac:dyDescent="0.2">
      <c r="B853" s="34">
        <v>51907.578999999998</v>
      </c>
      <c r="C853" s="34">
        <v>159188.103</v>
      </c>
      <c r="D853" s="34">
        <v>18.774999999999999</v>
      </c>
      <c r="F853" s="209">
        <f t="shared" si="39"/>
        <v>60057.578999999998</v>
      </c>
      <c r="G853" s="209">
        <f t="shared" si="40"/>
        <v>363838.103</v>
      </c>
      <c r="H853" s="209">
        <f t="shared" si="41"/>
        <v>18.774999999999999</v>
      </c>
    </row>
    <row r="854" spans="2:8" x14ac:dyDescent="0.2">
      <c r="B854" s="34">
        <v>51910.963000000003</v>
      </c>
      <c r="C854" s="34">
        <v>159188.60500000001</v>
      </c>
      <c r="D854" s="34">
        <v>18.792999999999999</v>
      </c>
      <c r="F854" s="209">
        <f t="shared" si="39"/>
        <v>60060.963000000003</v>
      </c>
      <c r="G854" s="209">
        <f t="shared" si="40"/>
        <v>363838.60499999998</v>
      </c>
      <c r="H854" s="209">
        <f t="shared" si="41"/>
        <v>18.792999999999999</v>
      </c>
    </row>
    <row r="855" spans="2:8" x14ac:dyDescent="0.2">
      <c r="B855" s="34">
        <v>51910.64</v>
      </c>
      <c r="C855" s="34">
        <v>159187.32699999999</v>
      </c>
      <c r="D855" s="34">
        <v>18.782</v>
      </c>
      <c r="F855" s="209">
        <f t="shared" si="39"/>
        <v>60060.639999999999</v>
      </c>
      <c r="G855" s="209">
        <f t="shared" si="40"/>
        <v>363837.32699999999</v>
      </c>
      <c r="H855" s="209">
        <f t="shared" si="41"/>
        <v>18.782</v>
      </c>
    </row>
    <row r="856" spans="2:8" x14ac:dyDescent="0.2">
      <c r="B856" s="34">
        <v>51913.75</v>
      </c>
      <c r="C856" s="34">
        <v>159187.92199999999</v>
      </c>
      <c r="D856" s="34">
        <v>18.808</v>
      </c>
      <c r="F856" s="209">
        <f t="shared" si="39"/>
        <v>60063.75</v>
      </c>
      <c r="G856" s="209">
        <f t="shared" si="40"/>
        <v>363837.92200000002</v>
      </c>
      <c r="H856" s="209">
        <f t="shared" si="41"/>
        <v>18.808</v>
      </c>
    </row>
    <row r="857" spans="2:8" x14ac:dyDescent="0.2">
      <c r="B857" s="152">
        <v>51913.421000000002</v>
      </c>
      <c r="C857" s="152">
        <v>159186.641</v>
      </c>
      <c r="D857" s="152">
        <v>18.792999999999999</v>
      </c>
      <c r="F857" s="209">
        <f t="shared" si="39"/>
        <v>60063.421000000002</v>
      </c>
      <c r="G857" s="209">
        <f t="shared" si="40"/>
        <v>363836.641</v>
      </c>
      <c r="H857" s="209">
        <f t="shared" si="41"/>
        <v>18.792999999999999</v>
      </c>
    </row>
    <row r="858" spans="2:8" x14ac:dyDescent="0.2">
      <c r="B858" s="34">
        <v>51884.538999999997</v>
      </c>
      <c r="C858" s="34">
        <v>159193.38099999999</v>
      </c>
      <c r="D858" s="34">
        <v>19.331</v>
      </c>
      <c r="F858" s="209">
        <f t="shared" si="39"/>
        <v>60034.538999999997</v>
      </c>
      <c r="G858" s="209">
        <f t="shared" si="40"/>
        <v>363843.38099999999</v>
      </c>
      <c r="H858" s="209">
        <f t="shared" si="41"/>
        <v>19.331</v>
      </c>
    </row>
    <row r="859" spans="2:8" x14ac:dyDescent="0.2">
      <c r="B859" s="34">
        <v>51890.286999999997</v>
      </c>
      <c r="C859" s="34">
        <v>159191.73000000001</v>
      </c>
      <c r="D859" s="34">
        <v>19.321000000000002</v>
      </c>
      <c r="F859" s="209">
        <f t="shared" si="39"/>
        <v>60040.286999999997</v>
      </c>
      <c r="G859" s="209">
        <f t="shared" si="40"/>
        <v>363841.73</v>
      </c>
      <c r="H859" s="209">
        <f t="shared" si="41"/>
        <v>19.321000000000002</v>
      </c>
    </row>
    <row r="860" spans="2:8" x14ac:dyDescent="0.2">
      <c r="B860" s="34">
        <v>51895.921999999999</v>
      </c>
      <c r="C860" s="34">
        <v>159190.101</v>
      </c>
      <c r="D860" s="34">
        <v>19.334</v>
      </c>
      <c r="F860" s="209">
        <f t="shared" si="39"/>
        <v>60045.921999999999</v>
      </c>
      <c r="G860" s="209">
        <f t="shared" si="40"/>
        <v>363840.10100000002</v>
      </c>
      <c r="H860" s="209">
        <f t="shared" si="41"/>
        <v>19.334</v>
      </c>
    </row>
    <row r="861" spans="2:8" x14ac:dyDescent="0.2">
      <c r="B861" s="34">
        <v>51899.767999999996</v>
      </c>
      <c r="C861" s="34">
        <v>159188.995</v>
      </c>
      <c r="D861" s="34">
        <v>19.344999999999999</v>
      </c>
      <c r="F861" s="209">
        <f t="shared" si="39"/>
        <v>60049.767999999996</v>
      </c>
      <c r="G861" s="209">
        <f t="shared" si="40"/>
        <v>363838.995</v>
      </c>
      <c r="H861" s="209">
        <f t="shared" si="41"/>
        <v>19.344999999999999</v>
      </c>
    </row>
    <row r="862" spans="2:8" x14ac:dyDescent="0.2">
      <c r="B862" s="34">
        <v>51903.608999999997</v>
      </c>
      <c r="C862" s="34">
        <v>159187.88399999999</v>
      </c>
      <c r="D862" s="34">
        <v>19.356000000000002</v>
      </c>
      <c r="F862" s="209">
        <f t="shared" si="39"/>
        <v>60053.608999999997</v>
      </c>
      <c r="G862" s="209">
        <f t="shared" si="40"/>
        <v>363837.88399999996</v>
      </c>
      <c r="H862" s="209">
        <f t="shared" si="41"/>
        <v>19.356000000000002</v>
      </c>
    </row>
    <row r="863" spans="2:8" x14ac:dyDescent="0.2">
      <c r="B863" s="34">
        <v>51910.065000000002</v>
      </c>
      <c r="C863" s="34">
        <v>159186.02499999999</v>
      </c>
      <c r="D863" s="34">
        <v>19.356000000000002</v>
      </c>
      <c r="F863" s="209">
        <f t="shared" si="39"/>
        <v>60060.065000000002</v>
      </c>
      <c r="G863" s="209">
        <f t="shared" si="40"/>
        <v>363836.02500000002</v>
      </c>
      <c r="H863" s="209">
        <f t="shared" si="41"/>
        <v>19.356000000000002</v>
      </c>
    </row>
    <row r="864" spans="2:8" x14ac:dyDescent="0.2">
      <c r="B864" s="34">
        <v>51885.339</v>
      </c>
      <c r="C864" s="34">
        <v>159195.73800000001</v>
      </c>
      <c r="D864" s="34">
        <v>18.782</v>
      </c>
      <c r="F864" s="209">
        <f t="shared" si="39"/>
        <v>60035.339</v>
      </c>
      <c r="G864" s="209">
        <f t="shared" si="40"/>
        <v>363845.73800000001</v>
      </c>
      <c r="H864" s="209">
        <f t="shared" si="41"/>
        <v>18.782</v>
      </c>
    </row>
    <row r="865" spans="2:8" x14ac:dyDescent="0.2">
      <c r="B865" s="34">
        <v>51884.957999999999</v>
      </c>
      <c r="C865" s="34">
        <v>159194.47</v>
      </c>
      <c r="D865" s="34">
        <v>18.777999999999999</v>
      </c>
      <c r="F865" s="209">
        <f t="shared" si="39"/>
        <v>60034.957999999999</v>
      </c>
      <c r="G865" s="209">
        <f t="shared" si="40"/>
        <v>363844.47</v>
      </c>
      <c r="H865" s="209">
        <f t="shared" si="41"/>
        <v>18.777999999999999</v>
      </c>
    </row>
    <row r="866" spans="2:8" x14ac:dyDescent="0.2">
      <c r="B866" s="34">
        <v>51888.116999999998</v>
      </c>
      <c r="C866" s="34">
        <v>159194.94500000001</v>
      </c>
      <c r="D866" s="34">
        <v>18.777999999999999</v>
      </c>
      <c r="F866" s="209">
        <f t="shared" si="39"/>
        <v>60038.116999999998</v>
      </c>
      <c r="G866" s="209">
        <f t="shared" si="40"/>
        <v>363844.94500000001</v>
      </c>
      <c r="H866" s="209">
        <f t="shared" si="41"/>
        <v>18.777999999999999</v>
      </c>
    </row>
    <row r="867" spans="2:8" x14ac:dyDescent="0.2">
      <c r="B867" s="34">
        <v>51887.803999999996</v>
      </c>
      <c r="C867" s="34">
        <v>159193.65700000001</v>
      </c>
      <c r="D867" s="34">
        <v>18.777999999999999</v>
      </c>
      <c r="F867" s="209">
        <f t="shared" si="39"/>
        <v>60037.803999999996</v>
      </c>
      <c r="G867" s="209">
        <f t="shared" si="40"/>
        <v>363843.65700000001</v>
      </c>
      <c r="H867" s="209">
        <f t="shared" si="41"/>
        <v>18.777999999999999</v>
      </c>
    </row>
    <row r="868" spans="2:8" x14ac:dyDescent="0.2">
      <c r="B868" s="34">
        <v>51890.968000000001</v>
      </c>
      <c r="C868" s="34">
        <v>159194.11799999999</v>
      </c>
      <c r="D868" s="34">
        <v>18.779</v>
      </c>
      <c r="F868" s="209">
        <f t="shared" si="39"/>
        <v>60040.968000000001</v>
      </c>
      <c r="G868" s="209">
        <f t="shared" si="40"/>
        <v>363844.11800000002</v>
      </c>
      <c r="H868" s="209">
        <f t="shared" si="41"/>
        <v>18.779</v>
      </c>
    </row>
    <row r="869" spans="2:8" x14ac:dyDescent="0.2">
      <c r="B869" s="34">
        <v>51890.606</v>
      </c>
      <c r="C869" s="34">
        <v>159192.86199999999</v>
      </c>
      <c r="D869" s="34">
        <v>18.771000000000001</v>
      </c>
      <c r="F869" s="209">
        <f t="shared" si="39"/>
        <v>60040.606</v>
      </c>
      <c r="G869" s="209">
        <f t="shared" si="40"/>
        <v>363842.86199999996</v>
      </c>
      <c r="H869" s="209">
        <f t="shared" si="41"/>
        <v>18.771000000000001</v>
      </c>
    </row>
    <row r="870" spans="2:8" x14ac:dyDescent="0.2">
      <c r="B870" s="34">
        <v>51893.758000000002</v>
      </c>
      <c r="C870" s="34">
        <v>159193.315</v>
      </c>
      <c r="D870" s="34">
        <v>18.774000000000001</v>
      </c>
      <c r="F870" s="209">
        <f t="shared" si="39"/>
        <v>60043.758000000002</v>
      </c>
      <c r="G870" s="209">
        <f t="shared" si="40"/>
        <v>363843.315</v>
      </c>
      <c r="H870" s="209">
        <f t="shared" si="41"/>
        <v>18.774000000000001</v>
      </c>
    </row>
    <row r="871" spans="2:8" x14ac:dyDescent="0.2">
      <c r="B871" s="34">
        <v>51893.440999999999</v>
      </c>
      <c r="C871" s="34">
        <v>159192.04199999999</v>
      </c>
      <c r="D871" s="34">
        <v>18.768000000000001</v>
      </c>
      <c r="F871" s="209">
        <f t="shared" si="39"/>
        <v>60043.440999999999</v>
      </c>
      <c r="G871" s="209">
        <f t="shared" si="40"/>
        <v>363842.04200000002</v>
      </c>
      <c r="H871" s="209">
        <f t="shared" si="41"/>
        <v>18.768000000000001</v>
      </c>
    </row>
    <row r="872" spans="2:8" x14ac:dyDescent="0.2">
      <c r="B872" s="34">
        <v>51896.633000000002</v>
      </c>
      <c r="C872" s="34">
        <v>159192.486</v>
      </c>
      <c r="D872" s="34">
        <v>18.777000000000001</v>
      </c>
      <c r="F872" s="209">
        <f t="shared" si="39"/>
        <v>60046.633000000002</v>
      </c>
      <c r="G872" s="209">
        <f t="shared" si="40"/>
        <v>363842.48600000003</v>
      </c>
      <c r="H872" s="209">
        <f t="shared" si="41"/>
        <v>18.777000000000001</v>
      </c>
    </row>
    <row r="873" spans="2:8" x14ac:dyDescent="0.2">
      <c r="B873" s="34">
        <v>51896.249000000003</v>
      </c>
      <c r="C873" s="34">
        <v>159191.22700000001</v>
      </c>
      <c r="D873" s="34">
        <v>18.77</v>
      </c>
      <c r="F873" s="209">
        <f t="shared" si="39"/>
        <v>60046.249000000003</v>
      </c>
      <c r="G873" s="209">
        <f t="shared" si="40"/>
        <v>363841.22700000001</v>
      </c>
      <c r="H873" s="209">
        <f t="shared" si="41"/>
        <v>18.77</v>
      </c>
    </row>
    <row r="874" spans="2:8" x14ac:dyDescent="0.2">
      <c r="B874" s="34">
        <v>51899.398000000001</v>
      </c>
      <c r="C874" s="34">
        <v>159191.70000000001</v>
      </c>
      <c r="D874" s="34">
        <v>18.777999999999999</v>
      </c>
      <c r="F874" s="209">
        <f t="shared" si="39"/>
        <v>60049.398000000001</v>
      </c>
      <c r="G874" s="209">
        <f t="shared" si="40"/>
        <v>363841.7</v>
      </c>
      <c r="H874" s="209">
        <f t="shared" si="41"/>
        <v>18.777999999999999</v>
      </c>
    </row>
    <row r="875" spans="2:8" x14ac:dyDescent="0.2">
      <c r="B875" s="34">
        <v>51899.040999999997</v>
      </c>
      <c r="C875" s="34">
        <v>159190.43599999999</v>
      </c>
      <c r="D875" s="34">
        <v>18.771000000000001</v>
      </c>
      <c r="F875" s="209">
        <f t="shared" si="39"/>
        <v>60049.040999999997</v>
      </c>
      <c r="G875" s="209">
        <f t="shared" si="40"/>
        <v>363840.43599999999</v>
      </c>
      <c r="H875" s="209">
        <f t="shared" si="41"/>
        <v>18.771000000000001</v>
      </c>
    </row>
    <row r="876" spans="2:8" x14ac:dyDescent="0.2">
      <c r="B876" s="34">
        <v>51902.292999999998</v>
      </c>
      <c r="C876" s="34">
        <v>159190.88800000001</v>
      </c>
      <c r="D876" s="34">
        <v>18.777999999999999</v>
      </c>
      <c r="F876" s="209">
        <f t="shared" si="39"/>
        <v>60052.292999999998</v>
      </c>
      <c r="G876" s="209">
        <f t="shared" si="40"/>
        <v>363840.88800000004</v>
      </c>
      <c r="H876" s="209">
        <f t="shared" si="41"/>
        <v>18.777999999999999</v>
      </c>
    </row>
    <row r="877" spans="2:8" x14ac:dyDescent="0.2">
      <c r="B877" s="34">
        <v>51901.989000000001</v>
      </c>
      <c r="C877" s="34">
        <v>159189.60699999999</v>
      </c>
      <c r="D877" s="34">
        <v>18.768999999999998</v>
      </c>
      <c r="F877" s="209">
        <f t="shared" si="39"/>
        <v>60051.989000000001</v>
      </c>
      <c r="G877" s="209">
        <f t="shared" si="40"/>
        <v>363839.60699999996</v>
      </c>
      <c r="H877" s="209">
        <f t="shared" si="41"/>
        <v>18.768999999999998</v>
      </c>
    </row>
    <row r="878" spans="2:8" x14ac:dyDescent="0.2">
      <c r="B878" s="34">
        <v>51905.196000000004</v>
      </c>
      <c r="C878" s="34">
        <v>159190.098</v>
      </c>
      <c r="D878" s="34">
        <v>18.78</v>
      </c>
      <c r="F878" s="209">
        <f t="shared" si="39"/>
        <v>60055.196000000004</v>
      </c>
      <c r="G878" s="209">
        <f t="shared" si="40"/>
        <v>363840.098</v>
      </c>
      <c r="H878" s="209">
        <f t="shared" si="41"/>
        <v>18.78</v>
      </c>
    </row>
    <row r="879" spans="2:8" x14ac:dyDescent="0.2">
      <c r="B879" s="34">
        <v>51904.885000000002</v>
      </c>
      <c r="C879" s="34">
        <v>159188.80799999999</v>
      </c>
      <c r="D879" s="34">
        <v>18.771999999999998</v>
      </c>
      <c r="F879" s="209">
        <f t="shared" si="39"/>
        <v>60054.885000000002</v>
      </c>
      <c r="G879" s="209">
        <f t="shared" si="40"/>
        <v>363838.80799999996</v>
      </c>
      <c r="H879" s="209">
        <f t="shared" si="41"/>
        <v>18.771999999999998</v>
      </c>
    </row>
    <row r="880" spans="2:8" x14ac:dyDescent="0.2">
      <c r="B880" s="34">
        <v>51907.951999999997</v>
      </c>
      <c r="C880" s="34">
        <v>159189.367</v>
      </c>
      <c r="D880" s="34">
        <v>18.785</v>
      </c>
      <c r="F880" s="209">
        <f t="shared" si="39"/>
        <v>60057.951999999997</v>
      </c>
      <c r="G880" s="209">
        <f t="shared" si="40"/>
        <v>363839.36699999997</v>
      </c>
      <c r="H880" s="209">
        <f t="shared" si="41"/>
        <v>18.785</v>
      </c>
    </row>
    <row r="881" spans="2:8" x14ac:dyDescent="0.2">
      <c r="B881" s="34">
        <v>51907.578999999998</v>
      </c>
      <c r="C881" s="34">
        <v>159188.10200000001</v>
      </c>
      <c r="D881" s="34">
        <v>18.774999999999999</v>
      </c>
      <c r="F881" s="209">
        <f t="shared" si="39"/>
        <v>60057.578999999998</v>
      </c>
      <c r="G881" s="209">
        <f t="shared" si="40"/>
        <v>363838.10200000001</v>
      </c>
      <c r="H881" s="209">
        <f t="shared" si="41"/>
        <v>18.774999999999999</v>
      </c>
    </row>
    <row r="882" spans="2:8" x14ac:dyDescent="0.2">
      <c r="B882" s="34">
        <v>51910.963000000003</v>
      </c>
      <c r="C882" s="34">
        <v>159188.60500000001</v>
      </c>
      <c r="D882" s="34">
        <v>18.794</v>
      </c>
      <c r="F882" s="209">
        <f t="shared" si="39"/>
        <v>60060.963000000003</v>
      </c>
      <c r="G882" s="209">
        <f t="shared" si="40"/>
        <v>363838.60499999998</v>
      </c>
      <c r="H882" s="209">
        <f t="shared" si="41"/>
        <v>18.794</v>
      </c>
    </row>
    <row r="883" spans="2:8" x14ac:dyDescent="0.2">
      <c r="B883" s="34">
        <v>51910.64</v>
      </c>
      <c r="C883" s="34">
        <v>159187.32699999999</v>
      </c>
      <c r="D883" s="34">
        <v>18.782</v>
      </c>
      <c r="F883" s="209">
        <f t="shared" si="39"/>
        <v>60060.639999999999</v>
      </c>
      <c r="G883" s="209">
        <f t="shared" si="40"/>
        <v>363837.32699999999</v>
      </c>
      <c r="H883" s="209">
        <f t="shared" si="41"/>
        <v>18.782</v>
      </c>
    </row>
    <row r="884" spans="2:8" x14ac:dyDescent="0.2">
      <c r="B884" s="34">
        <v>51913.750999999997</v>
      </c>
      <c r="C884" s="34">
        <v>159187.92199999999</v>
      </c>
      <c r="D884" s="34">
        <v>18.808</v>
      </c>
      <c r="F884" s="209">
        <f t="shared" si="39"/>
        <v>60063.750999999997</v>
      </c>
      <c r="G884" s="209">
        <f t="shared" si="40"/>
        <v>363837.92200000002</v>
      </c>
      <c r="H884" s="209">
        <f t="shared" si="41"/>
        <v>18.808</v>
      </c>
    </row>
    <row r="885" spans="2:8" x14ac:dyDescent="0.2">
      <c r="B885" s="152">
        <v>51913.421999999999</v>
      </c>
      <c r="C885" s="152">
        <v>159186.641</v>
      </c>
      <c r="D885" s="152">
        <v>18.792999999999999</v>
      </c>
      <c r="F885" s="209">
        <f t="shared" si="39"/>
        <v>60063.421999999999</v>
      </c>
      <c r="G885" s="209">
        <f t="shared" si="40"/>
        <v>363836.641</v>
      </c>
      <c r="H885" s="209">
        <f t="shared" si="41"/>
        <v>18.792999999999999</v>
      </c>
    </row>
    <row r="886" spans="2:8" x14ac:dyDescent="0.2">
      <c r="B886" s="34">
        <v>51885.339</v>
      </c>
      <c r="C886" s="34">
        <v>159195.73800000001</v>
      </c>
      <c r="D886" s="34">
        <v>18.782</v>
      </c>
      <c r="F886" s="209">
        <f t="shared" si="39"/>
        <v>60035.339</v>
      </c>
      <c r="G886" s="209">
        <f t="shared" si="40"/>
        <v>363845.73800000001</v>
      </c>
      <c r="H886" s="209">
        <f t="shared" si="41"/>
        <v>18.782</v>
      </c>
    </row>
    <row r="887" spans="2:8" x14ac:dyDescent="0.2">
      <c r="B887" s="34">
        <v>51884.957999999999</v>
      </c>
      <c r="C887" s="34">
        <v>159194.47</v>
      </c>
      <c r="D887" s="34">
        <v>18.777999999999999</v>
      </c>
      <c r="F887" s="209">
        <f t="shared" si="39"/>
        <v>60034.957999999999</v>
      </c>
      <c r="G887" s="209">
        <f t="shared" si="40"/>
        <v>363844.47</v>
      </c>
      <c r="H887" s="209">
        <f t="shared" si="41"/>
        <v>18.777999999999999</v>
      </c>
    </row>
    <row r="888" spans="2:8" x14ac:dyDescent="0.2">
      <c r="B888" s="34">
        <v>51888.116999999998</v>
      </c>
      <c r="C888" s="34">
        <v>159194.94399999999</v>
      </c>
      <c r="D888" s="34">
        <v>18.777999999999999</v>
      </c>
      <c r="F888" s="209">
        <f t="shared" si="39"/>
        <v>60038.116999999998</v>
      </c>
      <c r="G888" s="209">
        <f t="shared" si="40"/>
        <v>363844.94400000002</v>
      </c>
      <c r="H888" s="209">
        <f t="shared" si="41"/>
        <v>18.777999999999999</v>
      </c>
    </row>
    <row r="889" spans="2:8" x14ac:dyDescent="0.2">
      <c r="B889" s="34">
        <v>51887.803999999996</v>
      </c>
      <c r="C889" s="34">
        <v>159193.65700000001</v>
      </c>
      <c r="D889" s="34">
        <v>18.777999999999999</v>
      </c>
      <c r="F889" s="209">
        <f t="shared" si="39"/>
        <v>60037.803999999996</v>
      </c>
      <c r="G889" s="209">
        <f t="shared" si="40"/>
        <v>363843.65700000001</v>
      </c>
      <c r="H889" s="209">
        <f t="shared" si="41"/>
        <v>18.777999999999999</v>
      </c>
    </row>
    <row r="890" spans="2:8" x14ac:dyDescent="0.2">
      <c r="B890" s="34">
        <v>51890.968000000001</v>
      </c>
      <c r="C890" s="34">
        <v>159194.117</v>
      </c>
      <c r="D890" s="34">
        <v>18.779</v>
      </c>
      <c r="F890" s="209">
        <f t="shared" si="39"/>
        <v>60040.968000000001</v>
      </c>
      <c r="G890" s="209">
        <f t="shared" si="40"/>
        <v>363844.11699999997</v>
      </c>
      <c r="H890" s="209">
        <f t="shared" si="41"/>
        <v>18.779</v>
      </c>
    </row>
    <row r="891" spans="2:8" x14ac:dyDescent="0.2">
      <c r="B891" s="34">
        <v>51890.606</v>
      </c>
      <c r="C891" s="34">
        <v>159192.861</v>
      </c>
      <c r="D891" s="34">
        <v>18.771999999999998</v>
      </c>
      <c r="F891" s="209">
        <f t="shared" si="39"/>
        <v>60040.606</v>
      </c>
      <c r="G891" s="209">
        <f t="shared" si="40"/>
        <v>363842.86100000003</v>
      </c>
      <c r="H891" s="209">
        <f t="shared" si="41"/>
        <v>18.771999999999998</v>
      </c>
    </row>
    <row r="892" spans="2:8" x14ac:dyDescent="0.2">
      <c r="B892" s="34">
        <v>51893.758000000002</v>
      </c>
      <c r="C892" s="34">
        <v>159193.315</v>
      </c>
      <c r="D892" s="34">
        <v>18.774000000000001</v>
      </c>
      <c r="F892" s="209">
        <f t="shared" si="39"/>
        <v>60043.758000000002</v>
      </c>
      <c r="G892" s="209">
        <f t="shared" si="40"/>
        <v>363843.315</v>
      </c>
      <c r="H892" s="209">
        <f t="shared" si="41"/>
        <v>18.774000000000001</v>
      </c>
    </row>
    <row r="893" spans="2:8" x14ac:dyDescent="0.2">
      <c r="B893" s="34">
        <v>51893.440999999999</v>
      </c>
      <c r="C893" s="34">
        <v>159192.041</v>
      </c>
      <c r="D893" s="34">
        <v>18.768000000000001</v>
      </c>
      <c r="F893" s="209">
        <f t="shared" si="39"/>
        <v>60043.440999999999</v>
      </c>
      <c r="G893" s="209">
        <f t="shared" si="40"/>
        <v>363842.04099999997</v>
      </c>
      <c r="H893" s="209">
        <f t="shared" si="41"/>
        <v>18.768000000000001</v>
      </c>
    </row>
    <row r="894" spans="2:8" x14ac:dyDescent="0.2">
      <c r="B894" s="34">
        <v>51896.633000000002</v>
      </c>
      <c r="C894" s="34">
        <v>159192.486</v>
      </c>
      <c r="D894" s="34">
        <v>18.777000000000001</v>
      </c>
      <c r="F894" s="209">
        <f t="shared" si="39"/>
        <v>60046.633000000002</v>
      </c>
      <c r="G894" s="209">
        <f t="shared" si="40"/>
        <v>363842.48600000003</v>
      </c>
      <c r="H894" s="209">
        <f t="shared" si="41"/>
        <v>18.777000000000001</v>
      </c>
    </row>
    <row r="895" spans="2:8" x14ac:dyDescent="0.2">
      <c r="B895" s="34">
        <v>51896.249000000003</v>
      </c>
      <c r="C895" s="34">
        <v>159191.22700000001</v>
      </c>
      <c r="D895" s="34">
        <v>18.77</v>
      </c>
      <c r="F895" s="209">
        <f t="shared" si="39"/>
        <v>60046.249000000003</v>
      </c>
      <c r="G895" s="209">
        <f t="shared" si="40"/>
        <v>363841.22700000001</v>
      </c>
      <c r="H895" s="209">
        <f t="shared" si="41"/>
        <v>18.77</v>
      </c>
    </row>
    <row r="896" spans="2:8" x14ac:dyDescent="0.2">
      <c r="B896" s="34">
        <v>51899.398000000001</v>
      </c>
      <c r="C896" s="34">
        <v>159191.69899999999</v>
      </c>
      <c r="D896" s="34">
        <v>18.777999999999999</v>
      </c>
      <c r="F896" s="209">
        <f t="shared" si="39"/>
        <v>60049.398000000001</v>
      </c>
      <c r="G896" s="209">
        <f t="shared" si="40"/>
        <v>363841.69900000002</v>
      </c>
      <c r="H896" s="209">
        <f t="shared" si="41"/>
        <v>18.777999999999999</v>
      </c>
    </row>
    <row r="897" spans="2:8" x14ac:dyDescent="0.2">
      <c r="B897" s="34">
        <v>51899.040000000001</v>
      </c>
      <c r="C897" s="34">
        <v>159190.435</v>
      </c>
      <c r="D897" s="34">
        <v>18.771000000000001</v>
      </c>
      <c r="F897" s="209">
        <f t="shared" si="39"/>
        <v>60049.04</v>
      </c>
      <c r="G897" s="209">
        <f t="shared" si="40"/>
        <v>363840.435</v>
      </c>
      <c r="H897" s="209">
        <f t="shared" si="41"/>
        <v>18.771000000000001</v>
      </c>
    </row>
    <row r="898" spans="2:8" x14ac:dyDescent="0.2">
      <c r="B898" s="34">
        <v>51902.292999999998</v>
      </c>
      <c r="C898" s="34">
        <v>159190.88699999999</v>
      </c>
      <c r="D898" s="34">
        <v>18.777999999999999</v>
      </c>
      <c r="F898" s="209">
        <f t="shared" si="39"/>
        <v>60052.292999999998</v>
      </c>
      <c r="G898" s="209">
        <f t="shared" si="40"/>
        <v>363840.88699999999</v>
      </c>
      <c r="H898" s="209">
        <f t="shared" si="41"/>
        <v>18.777999999999999</v>
      </c>
    </row>
    <row r="899" spans="2:8" x14ac:dyDescent="0.2">
      <c r="B899" s="34">
        <v>51901.989000000001</v>
      </c>
      <c r="C899" s="34">
        <v>159189.606</v>
      </c>
      <c r="D899" s="34">
        <v>18.768999999999998</v>
      </c>
      <c r="F899" s="209">
        <f t="shared" si="39"/>
        <v>60051.989000000001</v>
      </c>
      <c r="G899" s="209">
        <f t="shared" si="40"/>
        <v>363839.60600000003</v>
      </c>
      <c r="H899" s="209">
        <f t="shared" si="41"/>
        <v>18.768999999999998</v>
      </c>
    </row>
    <row r="900" spans="2:8" x14ac:dyDescent="0.2">
      <c r="B900" s="34">
        <v>51905.196000000004</v>
      </c>
      <c r="C900" s="34">
        <v>159190.09700000001</v>
      </c>
      <c r="D900" s="34">
        <v>18.78</v>
      </c>
      <c r="F900" s="209">
        <f t="shared" ref="F900:F963" si="42">B900+$B$1</f>
        <v>60055.196000000004</v>
      </c>
      <c r="G900" s="209">
        <f t="shared" ref="G900:G963" si="43">C900+$C$1</f>
        <v>363840.09700000001</v>
      </c>
      <c r="H900" s="209">
        <f t="shared" ref="H900:H963" si="44">D900+$D$1</f>
        <v>18.78</v>
      </c>
    </row>
    <row r="901" spans="2:8" x14ac:dyDescent="0.2">
      <c r="B901" s="34">
        <v>51904.885000000002</v>
      </c>
      <c r="C901" s="34">
        <v>159188.80799999999</v>
      </c>
      <c r="D901" s="34">
        <v>18.771999999999998</v>
      </c>
      <c r="F901" s="209">
        <f t="shared" si="42"/>
        <v>60054.885000000002</v>
      </c>
      <c r="G901" s="209">
        <f t="shared" si="43"/>
        <v>363838.80799999996</v>
      </c>
      <c r="H901" s="209">
        <f t="shared" si="44"/>
        <v>18.771999999999998</v>
      </c>
    </row>
    <row r="902" spans="2:8" x14ac:dyDescent="0.2">
      <c r="B902" s="34">
        <v>51907.951999999997</v>
      </c>
      <c r="C902" s="34">
        <v>159189.36600000001</v>
      </c>
      <c r="D902" s="34">
        <v>18.785</v>
      </c>
      <c r="F902" s="209">
        <f t="shared" si="42"/>
        <v>60057.951999999997</v>
      </c>
      <c r="G902" s="209">
        <f t="shared" si="43"/>
        <v>363839.36600000004</v>
      </c>
      <c r="H902" s="209">
        <f t="shared" si="44"/>
        <v>18.785</v>
      </c>
    </row>
    <row r="903" spans="2:8" x14ac:dyDescent="0.2">
      <c r="B903" s="34">
        <v>51907.578999999998</v>
      </c>
      <c r="C903" s="34">
        <v>159188.101</v>
      </c>
      <c r="D903" s="34">
        <v>18.774999999999999</v>
      </c>
      <c r="F903" s="209">
        <f t="shared" si="42"/>
        <v>60057.578999999998</v>
      </c>
      <c r="G903" s="209">
        <f t="shared" si="43"/>
        <v>363838.10100000002</v>
      </c>
      <c r="H903" s="209">
        <f t="shared" si="44"/>
        <v>18.774999999999999</v>
      </c>
    </row>
    <row r="904" spans="2:8" x14ac:dyDescent="0.2">
      <c r="B904" s="34">
        <v>51910.963000000003</v>
      </c>
      <c r="C904" s="34">
        <v>159188.60399999999</v>
      </c>
      <c r="D904" s="34">
        <v>18.794</v>
      </c>
      <c r="F904" s="209">
        <f t="shared" si="42"/>
        <v>60060.963000000003</v>
      </c>
      <c r="G904" s="209">
        <f t="shared" si="43"/>
        <v>363838.60399999999</v>
      </c>
      <c r="H904" s="209">
        <f t="shared" si="44"/>
        <v>18.794</v>
      </c>
    </row>
    <row r="905" spans="2:8" x14ac:dyDescent="0.2">
      <c r="B905" s="34">
        <v>51910.64</v>
      </c>
      <c r="C905" s="34">
        <v>159187.326</v>
      </c>
      <c r="D905" s="34">
        <v>18.782</v>
      </c>
      <c r="F905" s="209">
        <f t="shared" si="42"/>
        <v>60060.639999999999</v>
      </c>
      <c r="G905" s="209">
        <f t="shared" si="43"/>
        <v>363837.326</v>
      </c>
      <c r="H905" s="209">
        <f t="shared" si="44"/>
        <v>18.782</v>
      </c>
    </row>
    <row r="906" spans="2:8" x14ac:dyDescent="0.2">
      <c r="B906" s="34">
        <v>51913.750999999997</v>
      </c>
      <c r="C906" s="34">
        <v>159187.921</v>
      </c>
      <c r="D906" s="34">
        <v>18.808</v>
      </c>
      <c r="F906" s="209">
        <f t="shared" si="42"/>
        <v>60063.750999999997</v>
      </c>
      <c r="G906" s="209">
        <f t="shared" si="43"/>
        <v>363837.92099999997</v>
      </c>
      <c r="H906" s="209">
        <f t="shared" si="44"/>
        <v>18.808</v>
      </c>
    </row>
    <row r="907" spans="2:8" x14ac:dyDescent="0.2">
      <c r="B907" s="34">
        <v>51913.421999999999</v>
      </c>
      <c r="C907" s="34">
        <v>159186.64000000001</v>
      </c>
      <c r="D907" s="34">
        <v>18.792999999999999</v>
      </c>
      <c r="F907" s="209">
        <f t="shared" si="42"/>
        <v>60063.421999999999</v>
      </c>
      <c r="G907" s="209">
        <f t="shared" si="43"/>
        <v>363836.64</v>
      </c>
      <c r="H907" s="209">
        <f t="shared" si="44"/>
        <v>18.792999999999999</v>
      </c>
    </row>
    <row r="908" spans="2:8" x14ac:dyDescent="0.2">
      <c r="B908" s="34">
        <v>51884.538999999997</v>
      </c>
      <c r="C908" s="34">
        <v>159193.38099999999</v>
      </c>
      <c r="D908" s="34">
        <v>19.331</v>
      </c>
      <c r="F908" s="209">
        <f t="shared" si="42"/>
        <v>60034.538999999997</v>
      </c>
      <c r="G908" s="209">
        <f t="shared" si="43"/>
        <v>363843.38099999999</v>
      </c>
      <c r="H908" s="209">
        <f t="shared" si="44"/>
        <v>19.331</v>
      </c>
    </row>
    <row r="909" spans="2:8" x14ac:dyDescent="0.2">
      <c r="B909" s="34">
        <v>51890.286</v>
      </c>
      <c r="C909" s="34">
        <v>159191.73000000001</v>
      </c>
      <c r="D909" s="34">
        <v>19.321000000000002</v>
      </c>
      <c r="F909" s="209">
        <f t="shared" si="42"/>
        <v>60040.286</v>
      </c>
      <c r="G909" s="209">
        <f t="shared" si="43"/>
        <v>363841.73</v>
      </c>
      <c r="H909" s="209">
        <f t="shared" si="44"/>
        <v>19.321000000000002</v>
      </c>
    </row>
    <row r="910" spans="2:8" x14ac:dyDescent="0.2">
      <c r="B910" s="34">
        <v>51895.921999999999</v>
      </c>
      <c r="C910" s="34">
        <v>159190.101</v>
      </c>
      <c r="D910" s="34">
        <v>19.334</v>
      </c>
      <c r="F910" s="209">
        <f t="shared" si="42"/>
        <v>60045.921999999999</v>
      </c>
      <c r="G910" s="209">
        <f t="shared" si="43"/>
        <v>363840.10100000002</v>
      </c>
      <c r="H910" s="209">
        <f t="shared" si="44"/>
        <v>19.334</v>
      </c>
    </row>
    <row r="911" spans="2:8" x14ac:dyDescent="0.2">
      <c r="B911" s="34">
        <v>51899.767999999996</v>
      </c>
      <c r="C911" s="34">
        <v>159188.99400000001</v>
      </c>
      <c r="D911" s="34">
        <v>19.344999999999999</v>
      </c>
      <c r="F911" s="209">
        <f t="shared" si="42"/>
        <v>60049.767999999996</v>
      </c>
      <c r="G911" s="209">
        <f t="shared" si="43"/>
        <v>363838.99400000001</v>
      </c>
      <c r="H911" s="209">
        <f t="shared" si="44"/>
        <v>19.344999999999999</v>
      </c>
    </row>
    <row r="912" spans="2:8" x14ac:dyDescent="0.2">
      <c r="B912" s="34">
        <v>51903.608999999997</v>
      </c>
      <c r="C912" s="34">
        <v>159187.883</v>
      </c>
      <c r="D912" s="34">
        <v>19.356000000000002</v>
      </c>
      <c r="F912" s="209">
        <f t="shared" si="42"/>
        <v>60053.608999999997</v>
      </c>
      <c r="G912" s="209">
        <f t="shared" si="43"/>
        <v>363837.88300000003</v>
      </c>
      <c r="H912" s="209">
        <f t="shared" si="44"/>
        <v>19.356000000000002</v>
      </c>
    </row>
    <row r="913" spans="2:8" x14ac:dyDescent="0.2">
      <c r="B913" s="152">
        <v>51910.065000000002</v>
      </c>
      <c r="C913" s="152">
        <v>159186.024</v>
      </c>
      <c r="D913" s="152">
        <v>19.356000000000002</v>
      </c>
      <c r="F913" s="209">
        <f t="shared" si="42"/>
        <v>60060.065000000002</v>
      </c>
      <c r="G913" s="209">
        <f t="shared" si="43"/>
        <v>363836.02399999998</v>
      </c>
      <c r="H913" s="209">
        <f t="shared" si="44"/>
        <v>19.356000000000002</v>
      </c>
    </row>
    <row r="914" spans="2:8" x14ac:dyDescent="0.2">
      <c r="B914" s="34">
        <v>51884.538999999997</v>
      </c>
      <c r="C914" s="34">
        <v>159193.38099999999</v>
      </c>
      <c r="D914" s="34">
        <v>19.331</v>
      </c>
      <c r="F914" s="209">
        <f t="shared" si="42"/>
        <v>60034.538999999997</v>
      </c>
      <c r="G914" s="209">
        <f t="shared" si="43"/>
        <v>363843.38099999999</v>
      </c>
      <c r="H914" s="209">
        <f t="shared" si="44"/>
        <v>19.331</v>
      </c>
    </row>
    <row r="915" spans="2:8" x14ac:dyDescent="0.2">
      <c r="B915" s="34">
        <v>51890.286999999997</v>
      </c>
      <c r="C915" s="34">
        <v>159191.72899999999</v>
      </c>
      <c r="D915" s="34">
        <v>19.321999999999999</v>
      </c>
      <c r="F915" s="209">
        <f t="shared" si="42"/>
        <v>60040.286999999997</v>
      </c>
      <c r="G915" s="209">
        <f t="shared" si="43"/>
        <v>363841.72899999999</v>
      </c>
      <c r="H915" s="209">
        <f t="shared" si="44"/>
        <v>19.321999999999999</v>
      </c>
    </row>
    <row r="916" spans="2:8" x14ac:dyDescent="0.2">
      <c r="B916" s="34">
        <v>51895.921999999999</v>
      </c>
      <c r="C916" s="34">
        <v>159190.101</v>
      </c>
      <c r="D916" s="34">
        <v>19.334</v>
      </c>
      <c r="F916" s="209">
        <f t="shared" si="42"/>
        <v>60045.921999999999</v>
      </c>
      <c r="G916" s="209">
        <f t="shared" si="43"/>
        <v>363840.10100000002</v>
      </c>
      <c r="H916" s="209">
        <f t="shared" si="44"/>
        <v>19.334</v>
      </c>
    </row>
    <row r="917" spans="2:8" x14ac:dyDescent="0.2">
      <c r="B917" s="34">
        <v>51899.767999999996</v>
      </c>
      <c r="C917" s="34">
        <v>159188.995</v>
      </c>
      <c r="D917" s="34">
        <v>19.344999999999999</v>
      </c>
      <c r="F917" s="209">
        <f t="shared" si="42"/>
        <v>60049.767999999996</v>
      </c>
      <c r="G917" s="209">
        <f t="shared" si="43"/>
        <v>363838.995</v>
      </c>
      <c r="H917" s="209">
        <f t="shared" si="44"/>
        <v>19.344999999999999</v>
      </c>
    </row>
    <row r="918" spans="2:8" x14ac:dyDescent="0.2">
      <c r="B918" s="34">
        <v>51903.61</v>
      </c>
      <c r="C918" s="34">
        <v>159187.88399999999</v>
      </c>
      <c r="D918" s="34">
        <v>19.356000000000002</v>
      </c>
      <c r="F918" s="209">
        <f t="shared" si="42"/>
        <v>60053.61</v>
      </c>
      <c r="G918" s="209">
        <f t="shared" si="43"/>
        <v>363837.88399999996</v>
      </c>
      <c r="H918" s="209">
        <f t="shared" si="44"/>
        <v>19.356000000000002</v>
      </c>
    </row>
    <row r="919" spans="2:8" x14ac:dyDescent="0.2">
      <c r="B919" s="34">
        <v>51910.065999999999</v>
      </c>
      <c r="C919" s="34">
        <v>159186.02499999999</v>
      </c>
      <c r="D919" s="34">
        <v>19.356000000000002</v>
      </c>
      <c r="F919" s="209">
        <f t="shared" si="42"/>
        <v>60060.065999999999</v>
      </c>
      <c r="G919" s="209">
        <f t="shared" si="43"/>
        <v>363836.02500000002</v>
      </c>
      <c r="H919" s="209">
        <f t="shared" si="44"/>
        <v>19.356000000000002</v>
      </c>
    </row>
    <row r="920" spans="2:8" x14ac:dyDescent="0.2">
      <c r="B920" s="34">
        <v>51885.339</v>
      </c>
      <c r="C920" s="34">
        <v>159195.73800000001</v>
      </c>
      <c r="D920" s="34">
        <v>18.782</v>
      </c>
      <c r="F920" s="209">
        <f t="shared" si="42"/>
        <v>60035.339</v>
      </c>
      <c r="G920" s="209">
        <f t="shared" si="43"/>
        <v>363845.73800000001</v>
      </c>
      <c r="H920" s="209">
        <f t="shared" si="44"/>
        <v>18.782</v>
      </c>
    </row>
    <row r="921" spans="2:8" x14ac:dyDescent="0.2">
      <c r="B921" s="34">
        <v>51884.959000000003</v>
      </c>
      <c r="C921" s="34">
        <v>159194.47</v>
      </c>
      <c r="D921" s="34">
        <v>18.777999999999999</v>
      </c>
      <c r="F921" s="209">
        <f t="shared" si="42"/>
        <v>60034.959000000003</v>
      </c>
      <c r="G921" s="209">
        <f t="shared" si="43"/>
        <v>363844.47</v>
      </c>
      <c r="H921" s="209">
        <f t="shared" si="44"/>
        <v>18.777999999999999</v>
      </c>
    </row>
    <row r="922" spans="2:8" x14ac:dyDescent="0.2">
      <c r="B922" s="34">
        <v>51888.116999999998</v>
      </c>
      <c r="C922" s="34">
        <v>159194.94500000001</v>
      </c>
      <c r="D922" s="34">
        <v>18.777999999999999</v>
      </c>
      <c r="F922" s="209">
        <f t="shared" si="42"/>
        <v>60038.116999999998</v>
      </c>
      <c r="G922" s="209">
        <f t="shared" si="43"/>
        <v>363844.94500000001</v>
      </c>
      <c r="H922" s="209">
        <f t="shared" si="44"/>
        <v>18.777999999999999</v>
      </c>
    </row>
    <row r="923" spans="2:8" x14ac:dyDescent="0.2">
      <c r="B923" s="34">
        <v>51887.805</v>
      </c>
      <c r="C923" s="34">
        <v>159193.65700000001</v>
      </c>
      <c r="D923" s="34">
        <v>18.777999999999999</v>
      </c>
      <c r="F923" s="209">
        <f t="shared" si="42"/>
        <v>60037.805</v>
      </c>
      <c r="G923" s="209">
        <f t="shared" si="43"/>
        <v>363843.65700000001</v>
      </c>
      <c r="H923" s="209">
        <f t="shared" si="44"/>
        <v>18.777999999999999</v>
      </c>
    </row>
    <row r="924" spans="2:8" x14ac:dyDescent="0.2">
      <c r="B924" s="34">
        <v>51890.968000000001</v>
      </c>
      <c r="C924" s="34">
        <v>159194.117</v>
      </c>
      <c r="D924" s="34">
        <v>18.779</v>
      </c>
      <c r="F924" s="209">
        <f t="shared" si="42"/>
        <v>60040.968000000001</v>
      </c>
      <c r="G924" s="209">
        <f t="shared" si="43"/>
        <v>363844.11699999997</v>
      </c>
      <c r="H924" s="209">
        <f t="shared" si="44"/>
        <v>18.779</v>
      </c>
    </row>
    <row r="925" spans="2:8" x14ac:dyDescent="0.2">
      <c r="B925" s="34">
        <v>51890.606</v>
      </c>
      <c r="C925" s="34">
        <v>159192.861</v>
      </c>
      <c r="D925" s="34">
        <v>18.771999999999998</v>
      </c>
      <c r="F925" s="209">
        <f t="shared" si="42"/>
        <v>60040.606</v>
      </c>
      <c r="G925" s="209">
        <f t="shared" si="43"/>
        <v>363842.86100000003</v>
      </c>
      <c r="H925" s="209">
        <f t="shared" si="44"/>
        <v>18.771999999999998</v>
      </c>
    </row>
    <row r="926" spans="2:8" x14ac:dyDescent="0.2">
      <c r="B926" s="34">
        <v>51893.758000000002</v>
      </c>
      <c r="C926" s="34">
        <v>159193.315</v>
      </c>
      <c r="D926" s="34">
        <v>18.774000000000001</v>
      </c>
      <c r="F926" s="209">
        <f t="shared" si="42"/>
        <v>60043.758000000002</v>
      </c>
      <c r="G926" s="209">
        <f t="shared" si="43"/>
        <v>363843.315</v>
      </c>
      <c r="H926" s="209">
        <f t="shared" si="44"/>
        <v>18.774000000000001</v>
      </c>
    </row>
    <row r="927" spans="2:8" x14ac:dyDescent="0.2">
      <c r="B927" s="34">
        <v>51893.440999999999</v>
      </c>
      <c r="C927" s="34">
        <v>159192.041</v>
      </c>
      <c r="D927" s="34">
        <v>18.768000000000001</v>
      </c>
      <c r="F927" s="209">
        <f t="shared" si="42"/>
        <v>60043.440999999999</v>
      </c>
      <c r="G927" s="209">
        <f t="shared" si="43"/>
        <v>363842.04099999997</v>
      </c>
      <c r="H927" s="209">
        <f t="shared" si="44"/>
        <v>18.768000000000001</v>
      </c>
    </row>
    <row r="928" spans="2:8" x14ac:dyDescent="0.2">
      <c r="B928" s="34">
        <v>51896.633000000002</v>
      </c>
      <c r="C928" s="34">
        <v>159192.486</v>
      </c>
      <c r="D928" s="34">
        <v>18.777000000000001</v>
      </c>
      <c r="F928" s="209">
        <f t="shared" si="42"/>
        <v>60046.633000000002</v>
      </c>
      <c r="G928" s="209">
        <f t="shared" si="43"/>
        <v>363842.48600000003</v>
      </c>
      <c r="H928" s="209">
        <f t="shared" si="44"/>
        <v>18.777000000000001</v>
      </c>
    </row>
    <row r="929" spans="2:8" x14ac:dyDescent="0.2">
      <c r="B929" s="34">
        <v>51896.25</v>
      </c>
      <c r="C929" s="34">
        <v>159191.22700000001</v>
      </c>
      <c r="D929" s="34">
        <v>18.77</v>
      </c>
      <c r="F929" s="209">
        <f t="shared" si="42"/>
        <v>60046.25</v>
      </c>
      <c r="G929" s="209">
        <f t="shared" si="43"/>
        <v>363841.22700000001</v>
      </c>
      <c r="H929" s="209">
        <f t="shared" si="44"/>
        <v>18.77</v>
      </c>
    </row>
    <row r="930" spans="2:8" x14ac:dyDescent="0.2">
      <c r="B930" s="34">
        <v>51899.398999999998</v>
      </c>
      <c r="C930" s="34">
        <v>159191.70000000001</v>
      </c>
      <c r="D930" s="34">
        <v>18.777999999999999</v>
      </c>
      <c r="F930" s="209">
        <f t="shared" si="42"/>
        <v>60049.398999999998</v>
      </c>
      <c r="G930" s="209">
        <f t="shared" si="43"/>
        <v>363841.7</v>
      </c>
      <c r="H930" s="209">
        <f t="shared" si="44"/>
        <v>18.777999999999999</v>
      </c>
    </row>
    <row r="931" spans="2:8" x14ac:dyDescent="0.2">
      <c r="B931" s="34">
        <v>51899.040999999997</v>
      </c>
      <c r="C931" s="34">
        <v>159190.43599999999</v>
      </c>
      <c r="D931" s="34">
        <v>18.771000000000001</v>
      </c>
      <c r="F931" s="209">
        <f t="shared" si="42"/>
        <v>60049.040999999997</v>
      </c>
      <c r="G931" s="209">
        <f t="shared" si="43"/>
        <v>363840.43599999999</v>
      </c>
      <c r="H931" s="209">
        <f t="shared" si="44"/>
        <v>18.771000000000001</v>
      </c>
    </row>
    <row r="932" spans="2:8" x14ac:dyDescent="0.2">
      <c r="B932" s="34">
        <v>51902.292999999998</v>
      </c>
      <c r="C932" s="34">
        <v>159190.88800000001</v>
      </c>
      <c r="D932" s="34">
        <v>18.777999999999999</v>
      </c>
      <c r="F932" s="209">
        <f t="shared" si="42"/>
        <v>60052.292999999998</v>
      </c>
      <c r="G932" s="209">
        <f t="shared" si="43"/>
        <v>363840.88800000004</v>
      </c>
      <c r="H932" s="209">
        <f t="shared" si="44"/>
        <v>18.777999999999999</v>
      </c>
    </row>
    <row r="933" spans="2:8" x14ac:dyDescent="0.2">
      <c r="B933" s="34">
        <v>51901.989000000001</v>
      </c>
      <c r="C933" s="34">
        <v>159189.60699999999</v>
      </c>
      <c r="D933" s="34">
        <v>18.768999999999998</v>
      </c>
      <c r="F933" s="209">
        <f t="shared" si="42"/>
        <v>60051.989000000001</v>
      </c>
      <c r="G933" s="209">
        <f t="shared" si="43"/>
        <v>363839.60699999996</v>
      </c>
      <c r="H933" s="209">
        <f t="shared" si="44"/>
        <v>18.768999999999998</v>
      </c>
    </row>
    <row r="934" spans="2:8" x14ac:dyDescent="0.2">
      <c r="B934" s="34">
        <v>51905.196000000004</v>
      </c>
      <c r="C934" s="34">
        <v>159190.098</v>
      </c>
      <c r="D934" s="34">
        <v>18.78</v>
      </c>
      <c r="F934" s="209">
        <f t="shared" si="42"/>
        <v>60055.196000000004</v>
      </c>
      <c r="G934" s="209">
        <f t="shared" si="43"/>
        <v>363840.098</v>
      </c>
      <c r="H934" s="209">
        <f t="shared" si="44"/>
        <v>18.78</v>
      </c>
    </row>
    <row r="935" spans="2:8" x14ac:dyDescent="0.2">
      <c r="B935" s="34">
        <v>51904.885000000002</v>
      </c>
      <c r="C935" s="34">
        <v>159188.80799999999</v>
      </c>
      <c r="D935" s="34">
        <v>18.771999999999998</v>
      </c>
      <c r="F935" s="209">
        <f t="shared" si="42"/>
        <v>60054.885000000002</v>
      </c>
      <c r="G935" s="209">
        <f t="shared" si="43"/>
        <v>363838.80799999996</v>
      </c>
      <c r="H935" s="209">
        <f t="shared" si="44"/>
        <v>18.771999999999998</v>
      </c>
    </row>
    <row r="936" spans="2:8" x14ac:dyDescent="0.2">
      <c r="B936" s="34">
        <v>51907.951999999997</v>
      </c>
      <c r="C936" s="34">
        <v>159189.367</v>
      </c>
      <c r="D936" s="34">
        <v>18.785</v>
      </c>
      <c r="F936" s="209">
        <f t="shared" si="42"/>
        <v>60057.951999999997</v>
      </c>
      <c r="G936" s="209">
        <f t="shared" si="43"/>
        <v>363839.36699999997</v>
      </c>
      <c r="H936" s="209">
        <f t="shared" si="44"/>
        <v>18.785</v>
      </c>
    </row>
    <row r="937" spans="2:8" x14ac:dyDescent="0.2">
      <c r="B937" s="34">
        <v>51907.578999999998</v>
      </c>
      <c r="C937" s="34">
        <v>159188.10200000001</v>
      </c>
      <c r="D937" s="34">
        <v>18.774999999999999</v>
      </c>
      <c r="F937" s="209">
        <f t="shared" si="42"/>
        <v>60057.578999999998</v>
      </c>
      <c r="G937" s="209">
        <f t="shared" si="43"/>
        <v>363838.10200000001</v>
      </c>
      <c r="H937" s="209">
        <f t="shared" si="44"/>
        <v>18.774999999999999</v>
      </c>
    </row>
    <row r="938" spans="2:8" x14ac:dyDescent="0.2">
      <c r="B938" s="34">
        <v>51910.963000000003</v>
      </c>
      <c r="C938" s="34">
        <v>159188.60500000001</v>
      </c>
      <c r="D938" s="34">
        <v>18.794</v>
      </c>
      <c r="F938" s="209">
        <f t="shared" si="42"/>
        <v>60060.963000000003</v>
      </c>
      <c r="G938" s="209">
        <f t="shared" si="43"/>
        <v>363838.60499999998</v>
      </c>
      <c r="H938" s="209">
        <f t="shared" si="44"/>
        <v>18.794</v>
      </c>
    </row>
    <row r="939" spans="2:8" x14ac:dyDescent="0.2">
      <c r="B939" s="34">
        <v>51910.641000000003</v>
      </c>
      <c r="C939" s="34">
        <v>159187.32699999999</v>
      </c>
      <c r="D939" s="34">
        <v>18.782</v>
      </c>
      <c r="F939" s="209">
        <f t="shared" si="42"/>
        <v>60060.641000000003</v>
      </c>
      <c r="G939" s="209">
        <f t="shared" si="43"/>
        <v>363837.32699999999</v>
      </c>
      <c r="H939" s="209">
        <f t="shared" si="44"/>
        <v>18.782</v>
      </c>
    </row>
    <row r="940" spans="2:8" x14ac:dyDescent="0.2">
      <c r="B940" s="34">
        <v>51913.750999999997</v>
      </c>
      <c r="C940" s="34">
        <v>159187.92199999999</v>
      </c>
      <c r="D940" s="34">
        <v>18.808</v>
      </c>
      <c r="F940" s="209">
        <f t="shared" si="42"/>
        <v>60063.750999999997</v>
      </c>
      <c r="G940" s="209">
        <f t="shared" si="43"/>
        <v>363837.92200000002</v>
      </c>
      <c r="H940" s="209">
        <f t="shared" si="44"/>
        <v>18.808</v>
      </c>
    </row>
    <row r="941" spans="2:8" x14ac:dyDescent="0.2">
      <c r="B941" s="152">
        <v>51913.421999999999</v>
      </c>
      <c r="C941" s="152">
        <v>159186.64000000001</v>
      </c>
      <c r="D941" s="152">
        <v>18.792999999999999</v>
      </c>
      <c r="F941" s="209">
        <f t="shared" si="42"/>
        <v>60063.421999999999</v>
      </c>
      <c r="G941" s="209">
        <f t="shared" si="43"/>
        <v>363836.64</v>
      </c>
      <c r="H941" s="209">
        <f t="shared" si="44"/>
        <v>18.792999999999999</v>
      </c>
    </row>
    <row r="942" spans="2:8" x14ac:dyDescent="0.2">
      <c r="B942" s="34">
        <v>51884.538999999997</v>
      </c>
      <c r="C942" s="34">
        <v>159193.38</v>
      </c>
      <c r="D942" s="34">
        <v>19.331</v>
      </c>
      <c r="F942" s="209">
        <f t="shared" si="42"/>
        <v>60034.538999999997</v>
      </c>
      <c r="G942" s="209">
        <f t="shared" si="43"/>
        <v>363843.38</v>
      </c>
      <c r="H942" s="209">
        <f t="shared" si="44"/>
        <v>19.331</v>
      </c>
    </row>
    <row r="943" spans="2:8" x14ac:dyDescent="0.2">
      <c r="B943" s="34">
        <v>51890.286999999997</v>
      </c>
      <c r="C943" s="34">
        <v>159191.72899999999</v>
      </c>
      <c r="D943" s="34">
        <v>19.321999999999999</v>
      </c>
      <c r="F943" s="209">
        <f t="shared" si="42"/>
        <v>60040.286999999997</v>
      </c>
      <c r="G943" s="209">
        <f t="shared" si="43"/>
        <v>363841.72899999999</v>
      </c>
      <c r="H943" s="209">
        <f t="shared" si="44"/>
        <v>19.321999999999999</v>
      </c>
    </row>
    <row r="944" spans="2:8" x14ac:dyDescent="0.2">
      <c r="B944" s="34">
        <v>51895.921999999999</v>
      </c>
      <c r="C944" s="34">
        <v>159190.101</v>
      </c>
      <c r="D944" s="34">
        <v>19.334</v>
      </c>
      <c r="F944" s="209">
        <f t="shared" si="42"/>
        <v>60045.921999999999</v>
      </c>
      <c r="G944" s="209">
        <f t="shared" si="43"/>
        <v>363840.10100000002</v>
      </c>
      <c r="H944" s="209">
        <f t="shared" si="44"/>
        <v>19.334</v>
      </c>
    </row>
    <row r="945" spans="2:8" x14ac:dyDescent="0.2">
      <c r="B945" s="34">
        <v>51899.767999999996</v>
      </c>
      <c r="C945" s="34">
        <v>159188.995</v>
      </c>
      <c r="D945" s="34">
        <v>19.344999999999999</v>
      </c>
      <c r="F945" s="209">
        <f t="shared" si="42"/>
        <v>60049.767999999996</v>
      </c>
      <c r="G945" s="209">
        <f t="shared" si="43"/>
        <v>363838.995</v>
      </c>
      <c r="H945" s="209">
        <f t="shared" si="44"/>
        <v>19.344999999999999</v>
      </c>
    </row>
    <row r="946" spans="2:8" x14ac:dyDescent="0.2">
      <c r="B946" s="34">
        <v>51903.608999999997</v>
      </c>
      <c r="C946" s="34">
        <v>159187.883</v>
      </c>
      <c r="D946" s="34">
        <v>19.356000000000002</v>
      </c>
      <c r="F946" s="209">
        <f t="shared" si="42"/>
        <v>60053.608999999997</v>
      </c>
      <c r="G946" s="209">
        <f t="shared" si="43"/>
        <v>363837.88300000003</v>
      </c>
      <c r="H946" s="209">
        <f t="shared" si="44"/>
        <v>19.356000000000002</v>
      </c>
    </row>
    <row r="947" spans="2:8" x14ac:dyDescent="0.2">
      <c r="B947" s="34">
        <v>51910.065000000002</v>
      </c>
      <c r="C947" s="34">
        <v>159186.02499999999</v>
      </c>
      <c r="D947" s="34">
        <v>19.356000000000002</v>
      </c>
      <c r="F947" s="209">
        <f t="shared" si="42"/>
        <v>60060.065000000002</v>
      </c>
      <c r="G947" s="209">
        <f t="shared" si="43"/>
        <v>363836.02500000002</v>
      </c>
      <c r="H947" s="209">
        <f t="shared" si="44"/>
        <v>19.356000000000002</v>
      </c>
    </row>
    <row r="948" spans="2:8" x14ac:dyDescent="0.2">
      <c r="B948" s="34">
        <v>51885.339</v>
      </c>
      <c r="C948" s="34">
        <v>159195.73699999999</v>
      </c>
      <c r="D948" s="34">
        <v>18.782</v>
      </c>
      <c r="F948" s="209">
        <f t="shared" si="42"/>
        <v>60035.339</v>
      </c>
      <c r="G948" s="209">
        <f t="shared" si="43"/>
        <v>363845.73699999996</v>
      </c>
      <c r="H948" s="209">
        <f t="shared" si="44"/>
        <v>18.782</v>
      </c>
    </row>
    <row r="949" spans="2:8" x14ac:dyDescent="0.2">
      <c r="B949" s="34">
        <v>51884.959000000003</v>
      </c>
      <c r="C949" s="34">
        <v>159194.47</v>
      </c>
      <c r="D949" s="34">
        <v>18.777999999999999</v>
      </c>
      <c r="F949" s="209">
        <f t="shared" si="42"/>
        <v>60034.959000000003</v>
      </c>
      <c r="G949" s="209">
        <f t="shared" si="43"/>
        <v>363844.47</v>
      </c>
      <c r="H949" s="209">
        <f t="shared" si="44"/>
        <v>18.777999999999999</v>
      </c>
    </row>
    <row r="950" spans="2:8" x14ac:dyDescent="0.2">
      <c r="B950" s="34">
        <v>51888.116999999998</v>
      </c>
      <c r="C950" s="34">
        <v>159194.94399999999</v>
      </c>
      <c r="D950" s="34">
        <v>18.777999999999999</v>
      </c>
      <c r="F950" s="209">
        <f t="shared" si="42"/>
        <v>60038.116999999998</v>
      </c>
      <c r="G950" s="209">
        <f t="shared" si="43"/>
        <v>363844.94400000002</v>
      </c>
      <c r="H950" s="209">
        <f t="shared" si="44"/>
        <v>18.777999999999999</v>
      </c>
    </row>
    <row r="951" spans="2:8" x14ac:dyDescent="0.2">
      <c r="B951" s="34">
        <v>51887.803999999996</v>
      </c>
      <c r="C951" s="34">
        <v>159193.65700000001</v>
      </c>
      <c r="D951" s="34">
        <v>18.777999999999999</v>
      </c>
      <c r="F951" s="209">
        <f t="shared" si="42"/>
        <v>60037.803999999996</v>
      </c>
      <c r="G951" s="209">
        <f t="shared" si="43"/>
        <v>363843.65700000001</v>
      </c>
      <c r="H951" s="209">
        <f t="shared" si="44"/>
        <v>18.777999999999999</v>
      </c>
    </row>
    <row r="952" spans="2:8" x14ac:dyDescent="0.2">
      <c r="B952" s="34">
        <v>51890.968000000001</v>
      </c>
      <c r="C952" s="34">
        <v>159194.11799999999</v>
      </c>
      <c r="D952" s="34">
        <v>18.779</v>
      </c>
      <c r="F952" s="209">
        <f t="shared" si="42"/>
        <v>60040.968000000001</v>
      </c>
      <c r="G952" s="209">
        <f t="shared" si="43"/>
        <v>363844.11800000002</v>
      </c>
      <c r="H952" s="209">
        <f t="shared" si="44"/>
        <v>18.779</v>
      </c>
    </row>
    <row r="953" spans="2:8" x14ac:dyDescent="0.2">
      <c r="B953" s="34">
        <v>51890.606</v>
      </c>
      <c r="C953" s="34">
        <v>159192.861</v>
      </c>
      <c r="D953" s="34">
        <v>18.771999999999998</v>
      </c>
      <c r="F953" s="209">
        <f t="shared" si="42"/>
        <v>60040.606</v>
      </c>
      <c r="G953" s="209">
        <f t="shared" si="43"/>
        <v>363842.86100000003</v>
      </c>
      <c r="H953" s="209">
        <f t="shared" si="44"/>
        <v>18.771999999999998</v>
      </c>
    </row>
    <row r="954" spans="2:8" x14ac:dyDescent="0.2">
      <c r="B954" s="34">
        <v>51893.758000000002</v>
      </c>
      <c r="C954" s="34">
        <v>159193.315</v>
      </c>
      <c r="D954" s="34">
        <v>18.774000000000001</v>
      </c>
      <c r="F954" s="209">
        <f t="shared" si="42"/>
        <v>60043.758000000002</v>
      </c>
      <c r="G954" s="209">
        <f t="shared" si="43"/>
        <v>363843.315</v>
      </c>
      <c r="H954" s="209">
        <f t="shared" si="44"/>
        <v>18.774000000000001</v>
      </c>
    </row>
    <row r="955" spans="2:8" x14ac:dyDescent="0.2">
      <c r="B955" s="34">
        <v>51893.440999999999</v>
      </c>
      <c r="C955" s="34">
        <v>159192.041</v>
      </c>
      <c r="D955" s="34">
        <v>18.768999999999998</v>
      </c>
      <c r="F955" s="209">
        <f t="shared" si="42"/>
        <v>60043.440999999999</v>
      </c>
      <c r="G955" s="209">
        <f t="shared" si="43"/>
        <v>363842.04099999997</v>
      </c>
      <c r="H955" s="209">
        <f t="shared" si="44"/>
        <v>18.768999999999998</v>
      </c>
    </row>
    <row r="956" spans="2:8" x14ac:dyDescent="0.2">
      <c r="B956" s="34">
        <v>51896.633000000002</v>
      </c>
      <c r="C956" s="34">
        <v>159192.486</v>
      </c>
      <c r="D956" s="34">
        <v>18.777000000000001</v>
      </c>
      <c r="F956" s="209">
        <f t="shared" si="42"/>
        <v>60046.633000000002</v>
      </c>
      <c r="G956" s="209">
        <f t="shared" si="43"/>
        <v>363842.48600000003</v>
      </c>
      <c r="H956" s="209">
        <f t="shared" si="44"/>
        <v>18.777000000000001</v>
      </c>
    </row>
    <row r="957" spans="2:8" x14ac:dyDescent="0.2">
      <c r="B957" s="34">
        <v>51896.25</v>
      </c>
      <c r="C957" s="34">
        <v>159191.22700000001</v>
      </c>
      <c r="D957" s="34">
        <v>18.77</v>
      </c>
      <c r="F957" s="209">
        <f t="shared" si="42"/>
        <v>60046.25</v>
      </c>
      <c r="G957" s="209">
        <f t="shared" si="43"/>
        <v>363841.22700000001</v>
      </c>
      <c r="H957" s="209">
        <f t="shared" si="44"/>
        <v>18.77</v>
      </c>
    </row>
    <row r="958" spans="2:8" x14ac:dyDescent="0.2">
      <c r="B958" s="34">
        <v>51899.398999999998</v>
      </c>
      <c r="C958" s="34">
        <v>159191.70000000001</v>
      </c>
      <c r="D958" s="34">
        <v>18.777999999999999</v>
      </c>
      <c r="F958" s="209">
        <f t="shared" si="42"/>
        <v>60049.398999999998</v>
      </c>
      <c r="G958" s="209">
        <f t="shared" si="43"/>
        <v>363841.7</v>
      </c>
      <c r="H958" s="209">
        <f t="shared" si="44"/>
        <v>18.777999999999999</v>
      </c>
    </row>
    <row r="959" spans="2:8" x14ac:dyDescent="0.2">
      <c r="B959" s="34">
        <v>51899.040999999997</v>
      </c>
      <c r="C959" s="34">
        <v>159190.43599999999</v>
      </c>
      <c r="D959" s="34">
        <v>18.771000000000001</v>
      </c>
      <c r="F959" s="209">
        <f t="shared" si="42"/>
        <v>60049.040999999997</v>
      </c>
      <c r="G959" s="209">
        <f t="shared" si="43"/>
        <v>363840.43599999999</v>
      </c>
      <c r="H959" s="209">
        <f t="shared" si="44"/>
        <v>18.771000000000001</v>
      </c>
    </row>
    <row r="960" spans="2:8" x14ac:dyDescent="0.2">
      <c r="B960" s="34">
        <v>51902.292999999998</v>
      </c>
      <c r="C960" s="34">
        <v>159190.88800000001</v>
      </c>
      <c r="D960" s="34">
        <v>18.777999999999999</v>
      </c>
      <c r="F960" s="209">
        <f t="shared" si="42"/>
        <v>60052.292999999998</v>
      </c>
      <c r="G960" s="209">
        <f t="shared" si="43"/>
        <v>363840.88800000004</v>
      </c>
      <c r="H960" s="209">
        <f t="shared" si="44"/>
        <v>18.777999999999999</v>
      </c>
    </row>
    <row r="961" spans="2:8" x14ac:dyDescent="0.2">
      <c r="B961" s="34">
        <v>51901.989000000001</v>
      </c>
      <c r="C961" s="34">
        <v>159189.60699999999</v>
      </c>
      <c r="D961" s="34">
        <v>18.77</v>
      </c>
      <c r="F961" s="209">
        <f t="shared" si="42"/>
        <v>60051.989000000001</v>
      </c>
      <c r="G961" s="209">
        <f t="shared" si="43"/>
        <v>363839.60699999996</v>
      </c>
      <c r="H961" s="209">
        <f t="shared" si="44"/>
        <v>18.77</v>
      </c>
    </row>
    <row r="962" spans="2:8" x14ac:dyDescent="0.2">
      <c r="B962" s="34">
        <v>51905.196000000004</v>
      </c>
      <c r="C962" s="34">
        <v>159190.098</v>
      </c>
      <c r="D962" s="34">
        <v>18.78</v>
      </c>
      <c r="F962" s="209">
        <f t="shared" si="42"/>
        <v>60055.196000000004</v>
      </c>
      <c r="G962" s="209">
        <f t="shared" si="43"/>
        <v>363840.098</v>
      </c>
      <c r="H962" s="209">
        <f t="shared" si="44"/>
        <v>18.78</v>
      </c>
    </row>
    <row r="963" spans="2:8" x14ac:dyDescent="0.2">
      <c r="B963" s="34">
        <v>51904.885000000002</v>
      </c>
      <c r="C963" s="34">
        <v>159188.80799999999</v>
      </c>
      <c r="D963" s="34">
        <v>18.771999999999998</v>
      </c>
      <c r="F963" s="209">
        <f t="shared" si="42"/>
        <v>60054.885000000002</v>
      </c>
      <c r="G963" s="209">
        <f t="shared" si="43"/>
        <v>363838.80799999996</v>
      </c>
      <c r="H963" s="209">
        <f t="shared" si="44"/>
        <v>18.771999999999998</v>
      </c>
    </row>
    <row r="964" spans="2:8" x14ac:dyDescent="0.2">
      <c r="B964" s="34">
        <v>51907.951999999997</v>
      </c>
      <c r="C964" s="34">
        <v>159189.367</v>
      </c>
      <c r="D964" s="34">
        <v>18.785</v>
      </c>
      <c r="F964" s="209">
        <f t="shared" ref="F964:F1027" si="45">B964+$B$1</f>
        <v>60057.951999999997</v>
      </c>
      <c r="G964" s="209">
        <f t="shared" ref="G964:G1027" si="46">C964+$C$1</f>
        <v>363839.36699999997</v>
      </c>
      <c r="H964" s="209">
        <f t="shared" ref="H964:H1027" si="47">D964+$D$1</f>
        <v>18.785</v>
      </c>
    </row>
    <row r="965" spans="2:8" x14ac:dyDescent="0.2">
      <c r="B965" s="34">
        <v>51907.578999999998</v>
      </c>
      <c r="C965" s="34">
        <v>159188.10200000001</v>
      </c>
      <c r="D965" s="34">
        <v>18.774999999999999</v>
      </c>
      <c r="F965" s="209">
        <f t="shared" si="45"/>
        <v>60057.578999999998</v>
      </c>
      <c r="G965" s="209">
        <f t="shared" si="46"/>
        <v>363838.10200000001</v>
      </c>
      <c r="H965" s="209">
        <f t="shared" si="47"/>
        <v>18.774999999999999</v>
      </c>
    </row>
    <row r="966" spans="2:8" x14ac:dyDescent="0.2">
      <c r="B966" s="34">
        <v>51910.963000000003</v>
      </c>
      <c r="C966" s="34">
        <v>159188.60500000001</v>
      </c>
      <c r="D966" s="34">
        <v>18.794</v>
      </c>
      <c r="F966" s="209">
        <f t="shared" si="45"/>
        <v>60060.963000000003</v>
      </c>
      <c r="G966" s="209">
        <f t="shared" si="46"/>
        <v>363838.60499999998</v>
      </c>
      <c r="H966" s="209">
        <f t="shared" si="47"/>
        <v>18.794</v>
      </c>
    </row>
    <row r="967" spans="2:8" x14ac:dyDescent="0.2">
      <c r="B967" s="34">
        <v>51910.64</v>
      </c>
      <c r="C967" s="34">
        <v>159187.32699999999</v>
      </c>
      <c r="D967" s="34">
        <v>18.782</v>
      </c>
      <c r="F967" s="209">
        <f t="shared" si="45"/>
        <v>60060.639999999999</v>
      </c>
      <c r="G967" s="209">
        <f t="shared" si="46"/>
        <v>363837.32699999999</v>
      </c>
      <c r="H967" s="209">
        <f t="shared" si="47"/>
        <v>18.782</v>
      </c>
    </row>
    <row r="968" spans="2:8" x14ac:dyDescent="0.2">
      <c r="B968" s="34">
        <v>51913.750999999997</v>
      </c>
      <c r="C968" s="34">
        <v>159187.92199999999</v>
      </c>
      <c r="D968" s="34">
        <v>18.808</v>
      </c>
      <c r="F968" s="209">
        <f t="shared" si="45"/>
        <v>60063.750999999997</v>
      </c>
      <c r="G968" s="209">
        <f t="shared" si="46"/>
        <v>363837.92200000002</v>
      </c>
      <c r="H968" s="209">
        <f t="shared" si="47"/>
        <v>18.808</v>
      </c>
    </row>
    <row r="969" spans="2:8" x14ac:dyDescent="0.2">
      <c r="B969" s="152">
        <v>51913.421999999999</v>
      </c>
      <c r="C969" s="152">
        <v>159186.641</v>
      </c>
      <c r="D969" s="152">
        <v>18.792999999999999</v>
      </c>
      <c r="F969" s="209">
        <f t="shared" si="45"/>
        <v>60063.421999999999</v>
      </c>
      <c r="G969" s="209">
        <f t="shared" si="46"/>
        <v>363836.641</v>
      </c>
      <c r="H969" s="209">
        <f t="shared" si="47"/>
        <v>18.792999999999999</v>
      </c>
    </row>
    <row r="970" spans="2:8" x14ac:dyDescent="0.2">
      <c r="B970" s="34">
        <v>51885.339</v>
      </c>
      <c r="C970" s="34">
        <v>159195.739</v>
      </c>
      <c r="D970" s="34">
        <v>18.782</v>
      </c>
      <c r="F970" s="209">
        <f t="shared" si="45"/>
        <v>60035.339</v>
      </c>
      <c r="G970" s="209">
        <f t="shared" si="46"/>
        <v>363845.739</v>
      </c>
      <c r="H970" s="209">
        <f t="shared" si="47"/>
        <v>18.782</v>
      </c>
    </row>
    <row r="971" spans="2:8" x14ac:dyDescent="0.2">
      <c r="B971" s="34">
        <v>51884.957999999999</v>
      </c>
      <c r="C971" s="34">
        <v>159194.47099999999</v>
      </c>
      <c r="D971" s="34">
        <v>18.777000000000001</v>
      </c>
      <c r="F971" s="209">
        <f t="shared" si="45"/>
        <v>60034.957999999999</v>
      </c>
      <c r="G971" s="209">
        <f t="shared" si="46"/>
        <v>363844.47100000002</v>
      </c>
      <c r="H971" s="209">
        <f t="shared" si="47"/>
        <v>18.777000000000001</v>
      </c>
    </row>
    <row r="972" spans="2:8" x14ac:dyDescent="0.2">
      <c r="B972" s="34">
        <v>51888.116999999998</v>
      </c>
      <c r="C972" s="34">
        <v>159194.94500000001</v>
      </c>
      <c r="D972" s="34">
        <v>18.777999999999999</v>
      </c>
      <c r="F972" s="209">
        <f t="shared" si="45"/>
        <v>60038.116999999998</v>
      </c>
      <c r="G972" s="209">
        <f t="shared" si="46"/>
        <v>363844.94500000001</v>
      </c>
      <c r="H972" s="209">
        <f t="shared" si="47"/>
        <v>18.777999999999999</v>
      </c>
    </row>
    <row r="973" spans="2:8" x14ac:dyDescent="0.2">
      <c r="B973" s="34">
        <v>51887.803999999996</v>
      </c>
      <c r="C973" s="34">
        <v>159193.658</v>
      </c>
      <c r="D973" s="34">
        <v>18.777999999999999</v>
      </c>
      <c r="F973" s="209">
        <f t="shared" si="45"/>
        <v>60037.803999999996</v>
      </c>
      <c r="G973" s="209">
        <f t="shared" si="46"/>
        <v>363843.658</v>
      </c>
      <c r="H973" s="209">
        <f t="shared" si="47"/>
        <v>18.777999999999999</v>
      </c>
    </row>
    <row r="974" spans="2:8" x14ac:dyDescent="0.2">
      <c r="B974" s="34">
        <v>51890.968000000001</v>
      </c>
      <c r="C974" s="34">
        <v>159194.11799999999</v>
      </c>
      <c r="D974" s="34">
        <v>18.777999999999999</v>
      </c>
      <c r="F974" s="209">
        <f t="shared" si="45"/>
        <v>60040.968000000001</v>
      </c>
      <c r="G974" s="209">
        <f t="shared" si="46"/>
        <v>363844.11800000002</v>
      </c>
      <c r="H974" s="209">
        <f t="shared" si="47"/>
        <v>18.777999999999999</v>
      </c>
    </row>
    <row r="975" spans="2:8" x14ac:dyDescent="0.2">
      <c r="B975" s="34">
        <v>51890.606</v>
      </c>
      <c r="C975" s="34">
        <v>159192.86300000001</v>
      </c>
      <c r="D975" s="34">
        <v>18.771000000000001</v>
      </c>
      <c r="F975" s="209">
        <f t="shared" si="45"/>
        <v>60040.606</v>
      </c>
      <c r="G975" s="209">
        <f t="shared" si="46"/>
        <v>363842.86300000001</v>
      </c>
      <c r="H975" s="209">
        <f t="shared" si="47"/>
        <v>18.771000000000001</v>
      </c>
    </row>
    <row r="976" spans="2:8" x14ac:dyDescent="0.2">
      <c r="B976" s="34">
        <v>51893.758000000002</v>
      </c>
      <c r="C976" s="34">
        <v>159193.31599999999</v>
      </c>
      <c r="D976" s="34">
        <v>18.773</v>
      </c>
      <c r="F976" s="209">
        <f t="shared" si="45"/>
        <v>60043.758000000002</v>
      </c>
      <c r="G976" s="209">
        <f t="shared" si="46"/>
        <v>363843.31599999999</v>
      </c>
      <c r="H976" s="209">
        <f t="shared" si="47"/>
        <v>18.773</v>
      </c>
    </row>
    <row r="977" spans="2:8" x14ac:dyDescent="0.2">
      <c r="B977" s="34">
        <v>51893.440999999999</v>
      </c>
      <c r="C977" s="34">
        <v>159192.04199999999</v>
      </c>
      <c r="D977" s="34">
        <v>18.768000000000001</v>
      </c>
      <c r="F977" s="209">
        <f t="shared" si="45"/>
        <v>60043.440999999999</v>
      </c>
      <c r="G977" s="209">
        <f t="shared" si="46"/>
        <v>363842.04200000002</v>
      </c>
      <c r="H977" s="209">
        <f t="shared" si="47"/>
        <v>18.768000000000001</v>
      </c>
    </row>
    <row r="978" spans="2:8" x14ac:dyDescent="0.2">
      <c r="B978" s="34">
        <v>51896.633000000002</v>
      </c>
      <c r="C978" s="34">
        <v>159192.48699999999</v>
      </c>
      <c r="D978" s="34">
        <v>18.777000000000001</v>
      </c>
      <c r="F978" s="209">
        <f t="shared" si="45"/>
        <v>60046.633000000002</v>
      </c>
      <c r="G978" s="209">
        <f t="shared" si="46"/>
        <v>363842.48699999996</v>
      </c>
      <c r="H978" s="209">
        <f t="shared" si="47"/>
        <v>18.777000000000001</v>
      </c>
    </row>
    <row r="979" spans="2:8" x14ac:dyDescent="0.2">
      <c r="B979" s="34">
        <v>51896.249000000003</v>
      </c>
      <c r="C979" s="34">
        <v>159191.228</v>
      </c>
      <c r="D979" s="34">
        <v>18.768999999999998</v>
      </c>
      <c r="F979" s="209">
        <f t="shared" si="45"/>
        <v>60046.249000000003</v>
      </c>
      <c r="G979" s="209">
        <f t="shared" si="46"/>
        <v>363841.228</v>
      </c>
      <c r="H979" s="209">
        <f t="shared" si="47"/>
        <v>18.768999999999998</v>
      </c>
    </row>
    <row r="980" spans="2:8" x14ac:dyDescent="0.2">
      <c r="B980" s="34">
        <v>51899.398000000001</v>
      </c>
      <c r="C980" s="34">
        <v>159191.70000000001</v>
      </c>
      <c r="D980" s="34">
        <v>18.777000000000001</v>
      </c>
      <c r="F980" s="209">
        <f t="shared" si="45"/>
        <v>60049.398000000001</v>
      </c>
      <c r="G980" s="209">
        <f t="shared" si="46"/>
        <v>363841.7</v>
      </c>
      <c r="H980" s="209">
        <f t="shared" si="47"/>
        <v>18.777000000000001</v>
      </c>
    </row>
    <row r="981" spans="2:8" x14ac:dyDescent="0.2">
      <c r="B981" s="34">
        <v>51899.040000000001</v>
      </c>
      <c r="C981" s="34">
        <v>159190.43700000001</v>
      </c>
      <c r="D981" s="34">
        <v>18.771000000000001</v>
      </c>
      <c r="F981" s="209">
        <f t="shared" si="45"/>
        <v>60049.04</v>
      </c>
      <c r="G981" s="209">
        <f t="shared" si="46"/>
        <v>363840.43700000003</v>
      </c>
      <c r="H981" s="209">
        <f t="shared" si="47"/>
        <v>18.771000000000001</v>
      </c>
    </row>
    <row r="982" spans="2:8" x14ac:dyDescent="0.2">
      <c r="B982" s="34">
        <v>51902.292999999998</v>
      </c>
      <c r="C982" s="34">
        <v>159190.88800000001</v>
      </c>
      <c r="D982" s="34">
        <v>18.777999999999999</v>
      </c>
      <c r="F982" s="209">
        <f t="shared" si="45"/>
        <v>60052.292999999998</v>
      </c>
      <c r="G982" s="209">
        <f t="shared" si="46"/>
        <v>363840.88800000004</v>
      </c>
      <c r="H982" s="209">
        <f t="shared" si="47"/>
        <v>18.777999999999999</v>
      </c>
    </row>
    <row r="983" spans="2:8" x14ac:dyDescent="0.2">
      <c r="B983" s="34">
        <v>51901.989000000001</v>
      </c>
      <c r="C983" s="34">
        <v>159189.60699999999</v>
      </c>
      <c r="D983" s="34">
        <v>18.768999999999998</v>
      </c>
      <c r="F983" s="209">
        <f t="shared" si="45"/>
        <v>60051.989000000001</v>
      </c>
      <c r="G983" s="209">
        <f t="shared" si="46"/>
        <v>363839.60699999996</v>
      </c>
      <c r="H983" s="209">
        <f t="shared" si="47"/>
        <v>18.768999999999998</v>
      </c>
    </row>
    <row r="984" spans="2:8" x14ac:dyDescent="0.2">
      <c r="B984" s="34">
        <v>51905.196000000004</v>
      </c>
      <c r="C984" s="34">
        <v>159190.09899999999</v>
      </c>
      <c r="D984" s="34">
        <v>18.78</v>
      </c>
      <c r="F984" s="209">
        <f t="shared" si="45"/>
        <v>60055.196000000004</v>
      </c>
      <c r="G984" s="209">
        <f t="shared" si="46"/>
        <v>363840.09899999999</v>
      </c>
      <c r="H984" s="209">
        <f t="shared" si="47"/>
        <v>18.78</v>
      </c>
    </row>
    <row r="985" spans="2:8" x14ac:dyDescent="0.2">
      <c r="B985" s="34">
        <v>51904.885000000002</v>
      </c>
      <c r="C985" s="34">
        <v>159188.80900000001</v>
      </c>
      <c r="D985" s="34">
        <v>18.771999999999998</v>
      </c>
      <c r="F985" s="209">
        <f t="shared" si="45"/>
        <v>60054.885000000002</v>
      </c>
      <c r="G985" s="209">
        <f t="shared" si="46"/>
        <v>363838.80900000001</v>
      </c>
      <c r="H985" s="209">
        <f t="shared" si="47"/>
        <v>18.771999999999998</v>
      </c>
    </row>
    <row r="986" spans="2:8" x14ac:dyDescent="0.2">
      <c r="B986" s="34">
        <v>51907.951999999997</v>
      </c>
      <c r="C986" s="34">
        <v>159189.367</v>
      </c>
      <c r="D986" s="34">
        <v>18.785</v>
      </c>
      <c r="F986" s="209">
        <f t="shared" si="45"/>
        <v>60057.951999999997</v>
      </c>
      <c r="G986" s="209">
        <f t="shared" si="46"/>
        <v>363839.36699999997</v>
      </c>
      <c r="H986" s="209">
        <f t="shared" si="47"/>
        <v>18.785</v>
      </c>
    </row>
    <row r="987" spans="2:8" x14ac:dyDescent="0.2">
      <c r="B987" s="34">
        <v>51907.578000000001</v>
      </c>
      <c r="C987" s="34">
        <v>159188.103</v>
      </c>
      <c r="D987" s="34">
        <v>18.774999999999999</v>
      </c>
      <c r="F987" s="209">
        <f t="shared" si="45"/>
        <v>60057.578000000001</v>
      </c>
      <c r="G987" s="209">
        <f t="shared" si="46"/>
        <v>363838.103</v>
      </c>
      <c r="H987" s="209">
        <f t="shared" si="47"/>
        <v>18.774999999999999</v>
      </c>
    </row>
    <row r="988" spans="2:8" x14ac:dyDescent="0.2">
      <c r="B988" s="34">
        <v>51910.963000000003</v>
      </c>
      <c r="C988" s="34">
        <v>159188.60500000001</v>
      </c>
      <c r="D988" s="34">
        <v>18.792999999999999</v>
      </c>
      <c r="F988" s="209">
        <f t="shared" si="45"/>
        <v>60060.963000000003</v>
      </c>
      <c r="G988" s="209">
        <f t="shared" si="46"/>
        <v>363838.60499999998</v>
      </c>
      <c r="H988" s="209">
        <f t="shared" si="47"/>
        <v>18.792999999999999</v>
      </c>
    </row>
    <row r="989" spans="2:8" x14ac:dyDescent="0.2">
      <c r="B989" s="34">
        <v>51910.64</v>
      </c>
      <c r="C989" s="34">
        <v>159187.32699999999</v>
      </c>
      <c r="D989" s="34">
        <v>18.782</v>
      </c>
      <c r="F989" s="209">
        <f t="shared" si="45"/>
        <v>60060.639999999999</v>
      </c>
      <c r="G989" s="209">
        <f t="shared" si="46"/>
        <v>363837.32699999999</v>
      </c>
      <c r="H989" s="209">
        <f t="shared" si="47"/>
        <v>18.782</v>
      </c>
    </row>
    <row r="990" spans="2:8" x14ac:dyDescent="0.2">
      <c r="B990" s="34">
        <v>51913.75</v>
      </c>
      <c r="C990" s="34">
        <v>159187.92199999999</v>
      </c>
      <c r="D990" s="34">
        <v>18.806999999999999</v>
      </c>
      <c r="F990" s="209">
        <f t="shared" si="45"/>
        <v>60063.75</v>
      </c>
      <c r="G990" s="209">
        <f t="shared" si="46"/>
        <v>363837.92200000002</v>
      </c>
      <c r="H990" s="209">
        <f t="shared" si="47"/>
        <v>18.806999999999999</v>
      </c>
    </row>
    <row r="991" spans="2:8" x14ac:dyDescent="0.2">
      <c r="B991" s="152">
        <v>51913.421000000002</v>
      </c>
      <c r="C991" s="152">
        <v>159186.641</v>
      </c>
      <c r="D991" s="152">
        <v>18.792999999999999</v>
      </c>
      <c r="F991" s="209">
        <f t="shared" si="45"/>
        <v>60063.421000000002</v>
      </c>
      <c r="G991" s="209">
        <f t="shared" si="46"/>
        <v>363836.641</v>
      </c>
      <c r="H991" s="209">
        <f t="shared" si="47"/>
        <v>18.792999999999999</v>
      </c>
    </row>
    <row r="992" spans="2:8" x14ac:dyDescent="0.2">
      <c r="B992" s="152">
        <v>51884.538999999997</v>
      </c>
      <c r="C992" s="152">
        <v>159193.38200000001</v>
      </c>
      <c r="D992" s="152">
        <v>19.331</v>
      </c>
      <c r="F992" s="209">
        <f t="shared" si="45"/>
        <v>60034.538999999997</v>
      </c>
      <c r="G992" s="209">
        <f t="shared" si="46"/>
        <v>363843.38199999998</v>
      </c>
      <c r="H992" s="209">
        <f t="shared" si="47"/>
        <v>19.331</v>
      </c>
    </row>
    <row r="993" spans="2:8" x14ac:dyDescent="0.2">
      <c r="B993" s="34">
        <v>51890.286999999997</v>
      </c>
      <c r="C993" s="34">
        <v>159191.73000000001</v>
      </c>
      <c r="D993" s="34">
        <v>19.321000000000002</v>
      </c>
      <c r="F993" s="209">
        <f t="shared" si="45"/>
        <v>60040.286999999997</v>
      </c>
      <c r="G993" s="209">
        <f t="shared" si="46"/>
        <v>363841.73</v>
      </c>
      <c r="H993" s="209">
        <f t="shared" si="47"/>
        <v>19.321000000000002</v>
      </c>
    </row>
    <row r="994" spans="2:8" x14ac:dyDescent="0.2">
      <c r="B994" s="34">
        <v>51895.921999999999</v>
      </c>
      <c r="C994" s="34">
        <v>159190.10200000001</v>
      </c>
      <c r="D994" s="34">
        <v>19.334</v>
      </c>
      <c r="F994" s="209">
        <f t="shared" si="45"/>
        <v>60045.921999999999</v>
      </c>
      <c r="G994" s="209">
        <f t="shared" si="46"/>
        <v>363840.10200000001</v>
      </c>
      <c r="H994" s="209">
        <f t="shared" si="47"/>
        <v>19.334</v>
      </c>
    </row>
    <row r="995" spans="2:8" x14ac:dyDescent="0.2">
      <c r="B995" s="34">
        <v>51899.767999999996</v>
      </c>
      <c r="C995" s="34">
        <v>159188.995</v>
      </c>
      <c r="D995" s="34">
        <v>19.344999999999999</v>
      </c>
      <c r="F995" s="209">
        <f t="shared" si="45"/>
        <v>60049.767999999996</v>
      </c>
      <c r="G995" s="209">
        <f t="shared" si="46"/>
        <v>363838.995</v>
      </c>
      <c r="H995" s="209">
        <f t="shared" si="47"/>
        <v>19.344999999999999</v>
      </c>
    </row>
    <row r="996" spans="2:8" x14ac:dyDescent="0.2">
      <c r="B996" s="34">
        <v>51903.608999999997</v>
      </c>
      <c r="C996" s="34">
        <v>159187.88399999999</v>
      </c>
      <c r="D996" s="34">
        <v>19.356000000000002</v>
      </c>
      <c r="F996" s="209">
        <f t="shared" si="45"/>
        <v>60053.608999999997</v>
      </c>
      <c r="G996" s="209">
        <f t="shared" si="46"/>
        <v>363837.88399999996</v>
      </c>
      <c r="H996" s="209">
        <f t="shared" si="47"/>
        <v>19.356000000000002</v>
      </c>
    </row>
    <row r="997" spans="2:8" x14ac:dyDescent="0.2">
      <c r="B997" s="152">
        <v>51910.065000000002</v>
      </c>
      <c r="C997" s="152">
        <v>159186.02499999999</v>
      </c>
      <c r="D997" s="152">
        <v>19.356000000000002</v>
      </c>
      <c r="F997" s="209">
        <f t="shared" si="45"/>
        <v>60060.065000000002</v>
      </c>
      <c r="G997" s="209">
        <f t="shared" si="46"/>
        <v>363836.02500000002</v>
      </c>
      <c r="H997" s="209">
        <f t="shared" si="47"/>
        <v>19.356000000000002</v>
      </c>
    </row>
    <row r="998" spans="2:8" x14ac:dyDescent="0.2">
      <c r="B998" s="34">
        <v>51885.339</v>
      </c>
      <c r="C998" s="34">
        <v>159195.73699999999</v>
      </c>
      <c r="D998" s="34">
        <v>18.782</v>
      </c>
      <c r="F998" s="209">
        <f t="shared" si="45"/>
        <v>60035.339</v>
      </c>
      <c r="G998" s="209">
        <f t="shared" si="46"/>
        <v>363845.73699999996</v>
      </c>
      <c r="H998" s="209">
        <f t="shared" si="47"/>
        <v>18.782</v>
      </c>
    </row>
    <row r="999" spans="2:8" x14ac:dyDescent="0.2">
      <c r="B999" s="34">
        <v>51884.957999999999</v>
      </c>
      <c r="C999" s="34">
        <v>159194.47</v>
      </c>
      <c r="D999" s="34">
        <v>18.777999999999999</v>
      </c>
      <c r="F999" s="209">
        <f t="shared" si="45"/>
        <v>60034.957999999999</v>
      </c>
      <c r="G999" s="209">
        <f t="shared" si="46"/>
        <v>363844.47</v>
      </c>
      <c r="H999" s="209">
        <f t="shared" si="47"/>
        <v>18.777999999999999</v>
      </c>
    </row>
    <row r="1000" spans="2:8" x14ac:dyDescent="0.2">
      <c r="B1000" s="34">
        <v>51888.116000000002</v>
      </c>
      <c r="C1000" s="34">
        <v>159194.94500000001</v>
      </c>
      <c r="D1000" s="34">
        <v>18.777999999999999</v>
      </c>
      <c r="F1000" s="209">
        <f t="shared" si="45"/>
        <v>60038.116000000002</v>
      </c>
      <c r="G1000" s="209">
        <f t="shared" si="46"/>
        <v>363844.94500000001</v>
      </c>
      <c r="H1000" s="209">
        <f t="shared" si="47"/>
        <v>18.777999999999999</v>
      </c>
    </row>
    <row r="1001" spans="2:8" x14ac:dyDescent="0.2">
      <c r="B1001" s="34">
        <v>51887.803999999996</v>
      </c>
      <c r="C1001" s="34">
        <v>159193.65700000001</v>
      </c>
      <c r="D1001" s="34">
        <v>18.777999999999999</v>
      </c>
      <c r="F1001" s="209">
        <f t="shared" si="45"/>
        <v>60037.803999999996</v>
      </c>
      <c r="G1001" s="209">
        <f t="shared" si="46"/>
        <v>363843.65700000001</v>
      </c>
      <c r="H1001" s="209">
        <f t="shared" si="47"/>
        <v>18.777999999999999</v>
      </c>
    </row>
    <row r="1002" spans="2:8" x14ac:dyDescent="0.2">
      <c r="B1002" s="34">
        <v>51890.968000000001</v>
      </c>
      <c r="C1002" s="34">
        <v>159194.11799999999</v>
      </c>
      <c r="D1002" s="34">
        <v>18.779</v>
      </c>
      <c r="F1002" s="209">
        <f t="shared" si="45"/>
        <v>60040.968000000001</v>
      </c>
      <c r="G1002" s="209">
        <f t="shared" si="46"/>
        <v>363844.11800000002</v>
      </c>
      <c r="H1002" s="209">
        <f t="shared" si="47"/>
        <v>18.779</v>
      </c>
    </row>
    <row r="1003" spans="2:8" x14ac:dyDescent="0.2">
      <c r="B1003" s="34">
        <v>51890.606</v>
      </c>
      <c r="C1003" s="34">
        <v>159192.861</v>
      </c>
      <c r="D1003" s="34">
        <v>18.771999999999998</v>
      </c>
      <c r="F1003" s="209">
        <f t="shared" si="45"/>
        <v>60040.606</v>
      </c>
      <c r="G1003" s="209">
        <f t="shared" si="46"/>
        <v>363842.86100000003</v>
      </c>
      <c r="H1003" s="209">
        <f t="shared" si="47"/>
        <v>18.771999999999998</v>
      </c>
    </row>
    <row r="1004" spans="2:8" x14ac:dyDescent="0.2">
      <c r="B1004" s="34">
        <v>51893.758000000002</v>
      </c>
      <c r="C1004" s="34">
        <v>159193.315</v>
      </c>
      <c r="D1004" s="34">
        <v>18.774000000000001</v>
      </c>
      <c r="F1004" s="209">
        <f t="shared" si="45"/>
        <v>60043.758000000002</v>
      </c>
      <c r="G1004" s="209">
        <f t="shared" si="46"/>
        <v>363843.315</v>
      </c>
      <c r="H1004" s="209">
        <f t="shared" si="47"/>
        <v>18.774000000000001</v>
      </c>
    </row>
    <row r="1005" spans="2:8" x14ac:dyDescent="0.2">
      <c r="B1005" s="34">
        <v>51893.440999999999</v>
      </c>
      <c r="C1005" s="34">
        <v>159192.041</v>
      </c>
      <c r="D1005" s="34">
        <v>18.768000000000001</v>
      </c>
      <c r="F1005" s="209">
        <f t="shared" si="45"/>
        <v>60043.440999999999</v>
      </c>
      <c r="G1005" s="209">
        <f t="shared" si="46"/>
        <v>363842.04099999997</v>
      </c>
      <c r="H1005" s="209">
        <f t="shared" si="47"/>
        <v>18.768000000000001</v>
      </c>
    </row>
    <row r="1006" spans="2:8" x14ac:dyDescent="0.2">
      <c r="B1006" s="34">
        <v>51896.631999999998</v>
      </c>
      <c r="C1006" s="34">
        <v>159192.486</v>
      </c>
      <c r="D1006" s="34">
        <v>18.777000000000001</v>
      </c>
      <c r="F1006" s="209">
        <f t="shared" si="45"/>
        <v>60046.631999999998</v>
      </c>
      <c r="G1006" s="209">
        <f t="shared" si="46"/>
        <v>363842.48600000003</v>
      </c>
      <c r="H1006" s="209">
        <f t="shared" si="47"/>
        <v>18.777000000000001</v>
      </c>
    </row>
    <row r="1007" spans="2:8" x14ac:dyDescent="0.2">
      <c r="B1007" s="34">
        <v>51896.249000000003</v>
      </c>
      <c r="C1007" s="34">
        <v>159191.22700000001</v>
      </c>
      <c r="D1007" s="34">
        <v>18.77</v>
      </c>
      <c r="F1007" s="209">
        <f t="shared" si="45"/>
        <v>60046.249000000003</v>
      </c>
      <c r="G1007" s="209">
        <f t="shared" si="46"/>
        <v>363841.22700000001</v>
      </c>
      <c r="H1007" s="209">
        <f t="shared" si="47"/>
        <v>18.77</v>
      </c>
    </row>
    <row r="1008" spans="2:8" x14ac:dyDescent="0.2">
      <c r="B1008" s="34">
        <v>51899.398000000001</v>
      </c>
      <c r="C1008" s="34">
        <v>159191.70000000001</v>
      </c>
      <c r="D1008" s="34">
        <v>18.777999999999999</v>
      </c>
      <c r="F1008" s="209">
        <f t="shared" si="45"/>
        <v>60049.398000000001</v>
      </c>
      <c r="G1008" s="209">
        <f t="shared" si="46"/>
        <v>363841.7</v>
      </c>
      <c r="H1008" s="209">
        <f t="shared" si="47"/>
        <v>18.777999999999999</v>
      </c>
    </row>
    <row r="1009" spans="2:8" x14ac:dyDescent="0.2">
      <c r="B1009" s="34">
        <v>51899.040999999997</v>
      </c>
      <c r="C1009" s="34">
        <v>159190.43599999999</v>
      </c>
      <c r="D1009" s="34">
        <v>18.771000000000001</v>
      </c>
      <c r="F1009" s="209">
        <f t="shared" si="45"/>
        <v>60049.040999999997</v>
      </c>
      <c r="G1009" s="209">
        <f t="shared" si="46"/>
        <v>363840.43599999999</v>
      </c>
      <c r="H1009" s="209">
        <f t="shared" si="47"/>
        <v>18.771000000000001</v>
      </c>
    </row>
    <row r="1010" spans="2:8" x14ac:dyDescent="0.2">
      <c r="B1010" s="34">
        <v>51902.292000000001</v>
      </c>
      <c r="C1010" s="34">
        <v>159190.88800000001</v>
      </c>
      <c r="D1010" s="34">
        <v>18.779</v>
      </c>
      <c r="F1010" s="209">
        <f t="shared" si="45"/>
        <v>60052.292000000001</v>
      </c>
      <c r="G1010" s="209">
        <f t="shared" si="46"/>
        <v>363840.88800000004</v>
      </c>
      <c r="H1010" s="209">
        <f t="shared" si="47"/>
        <v>18.779</v>
      </c>
    </row>
    <row r="1011" spans="2:8" x14ac:dyDescent="0.2">
      <c r="B1011" s="34">
        <v>51901.989000000001</v>
      </c>
      <c r="C1011" s="34">
        <v>159189.606</v>
      </c>
      <c r="D1011" s="34">
        <v>18.77</v>
      </c>
      <c r="F1011" s="209">
        <f t="shared" si="45"/>
        <v>60051.989000000001</v>
      </c>
      <c r="G1011" s="209">
        <f t="shared" si="46"/>
        <v>363839.60600000003</v>
      </c>
      <c r="H1011" s="209">
        <f t="shared" si="47"/>
        <v>18.77</v>
      </c>
    </row>
    <row r="1012" spans="2:8" x14ac:dyDescent="0.2">
      <c r="B1012" s="34">
        <v>51905.195</v>
      </c>
      <c r="C1012" s="34">
        <v>159190.098</v>
      </c>
      <c r="D1012" s="34">
        <v>18.78</v>
      </c>
      <c r="F1012" s="209">
        <f t="shared" si="45"/>
        <v>60055.195</v>
      </c>
      <c r="G1012" s="209">
        <f t="shared" si="46"/>
        <v>363840.098</v>
      </c>
      <c r="H1012" s="209">
        <f t="shared" si="47"/>
        <v>18.78</v>
      </c>
    </row>
    <row r="1013" spans="2:8" x14ac:dyDescent="0.2">
      <c r="B1013" s="34">
        <v>51904.885000000002</v>
      </c>
      <c r="C1013" s="34">
        <v>159188.80799999999</v>
      </c>
      <c r="D1013" s="34">
        <v>18.773</v>
      </c>
      <c r="F1013" s="209">
        <f t="shared" si="45"/>
        <v>60054.885000000002</v>
      </c>
      <c r="G1013" s="209">
        <f t="shared" si="46"/>
        <v>363838.80799999996</v>
      </c>
      <c r="H1013" s="209">
        <f t="shared" si="47"/>
        <v>18.773</v>
      </c>
    </row>
    <row r="1014" spans="2:8" x14ac:dyDescent="0.2">
      <c r="B1014" s="34">
        <v>51907.951000000001</v>
      </c>
      <c r="C1014" s="34">
        <v>159189.36600000001</v>
      </c>
      <c r="D1014" s="34">
        <v>18.785</v>
      </c>
      <c r="F1014" s="209">
        <f t="shared" si="45"/>
        <v>60057.951000000001</v>
      </c>
      <c r="G1014" s="209">
        <f t="shared" si="46"/>
        <v>363839.36600000004</v>
      </c>
      <c r="H1014" s="209">
        <f t="shared" si="47"/>
        <v>18.785</v>
      </c>
    </row>
    <row r="1015" spans="2:8" x14ac:dyDescent="0.2">
      <c r="B1015" s="34">
        <v>51907.578999999998</v>
      </c>
      <c r="C1015" s="34">
        <v>159188.101</v>
      </c>
      <c r="D1015" s="34">
        <v>18.774999999999999</v>
      </c>
      <c r="F1015" s="209">
        <f t="shared" si="45"/>
        <v>60057.578999999998</v>
      </c>
      <c r="G1015" s="209">
        <f t="shared" si="46"/>
        <v>363838.10100000002</v>
      </c>
      <c r="H1015" s="209">
        <f t="shared" si="47"/>
        <v>18.774999999999999</v>
      </c>
    </row>
    <row r="1016" spans="2:8" x14ac:dyDescent="0.2">
      <c r="B1016" s="34">
        <v>51910.962</v>
      </c>
      <c r="C1016" s="34">
        <v>159188.60500000001</v>
      </c>
      <c r="D1016" s="34">
        <v>18.794</v>
      </c>
      <c r="F1016" s="209">
        <f t="shared" si="45"/>
        <v>60060.962</v>
      </c>
      <c r="G1016" s="209">
        <f t="shared" si="46"/>
        <v>363838.60499999998</v>
      </c>
      <c r="H1016" s="209">
        <f t="shared" si="47"/>
        <v>18.794</v>
      </c>
    </row>
    <row r="1017" spans="2:8" x14ac:dyDescent="0.2">
      <c r="B1017" s="34">
        <v>51910.641000000003</v>
      </c>
      <c r="C1017" s="34">
        <v>159187.326</v>
      </c>
      <c r="D1017" s="34">
        <v>18.783000000000001</v>
      </c>
      <c r="F1017" s="209">
        <f t="shared" si="45"/>
        <v>60060.641000000003</v>
      </c>
      <c r="G1017" s="209">
        <f t="shared" si="46"/>
        <v>363837.326</v>
      </c>
      <c r="H1017" s="209">
        <f t="shared" si="47"/>
        <v>18.783000000000001</v>
      </c>
    </row>
    <row r="1018" spans="2:8" x14ac:dyDescent="0.2">
      <c r="B1018" s="34">
        <v>51913.75</v>
      </c>
      <c r="C1018" s="34">
        <v>159187.92199999999</v>
      </c>
      <c r="D1018" s="34">
        <v>18.808</v>
      </c>
      <c r="F1018" s="209">
        <f t="shared" si="45"/>
        <v>60063.75</v>
      </c>
      <c r="G1018" s="209">
        <f t="shared" si="46"/>
        <v>363837.92200000002</v>
      </c>
      <c r="H1018" s="209">
        <f t="shared" si="47"/>
        <v>18.808</v>
      </c>
    </row>
    <row r="1019" spans="2:8" x14ac:dyDescent="0.2">
      <c r="B1019" s="34">
        <v>51913.421999999999</v>
      </c>
      <c r="C1019" s="34">
        <v>159186.64000000001</v>
      </c>
      <c r="D1019" s="34">
        <v>18.794</v>
      </c>
      <c r="F1019" s="209">
        <f t="shared" si="45"/>
        <v>60063.421999999999</v>
      </c>
      <c r="G1019" s="209">
        <f t="shared" si="46"/>
        <v>363836.64</v>
      </c>
      <c r="H1019" s="209">
        <f t="shared" si="47"/>
        <v>18.794</v>
      </c>
    </row>
    <row r="1020" spans="2:8" x14ac:dyDescent="0.2">
      <c r="B1020" s="34">
        <v>51884.538999999997</v>
      </c>
      <c r="C1020" s="34">
        <v>159193.38099999999</v>
      </c>
      <c r="D1020" s="34">
        <v>19.331</v>
      </c>
      <c r="F1020" s="209">
        <f t="shared" si="45"/>
        <v>60034.538999999997</v>
      </c>
      <c r="G1020" s="209">
        <f t="shared" si="46"/>
        <v>363843.38099999999</v>
      </c>
      <c r="H1020" s="209">
        <f t="shared" si="47"/>
        <v>19.331</v>
      </c>
    </row>
    <row r="1021" spans="2:8" x14ac:dyDescent="0.2">
      <c r="B1021" s="34">
        <v>51890.286</v>
      </c>
      <c r="C1021" s="34">
        <v>159191.73000000001</v>
      </c>
      <c r="D1021" s="34">
        <v>19.321000000000002</v>
      </c>
      <c r="F1021" s="209">
        <f t="shared" si="45"/>
        <v>60040.286</v>
      </c>
      <c r="G1021" s="209">
        <f t="shared" si="46"/>
        <v>363841.73</v>
      </c>
      <c r="H1021" s="209">
        <f t="shared" si="47"/>
        <v>19.321000000000002</v>
      </c>
    </row>
    <row r="1022" spans="2:8" x14ac:dyDescent="0.2">
      <c r="B1022" s="34">
        <v>51895.921000000002</v>
      </c>
      <c r="C1022" s="34">
        <v>159190.10200000001</v>
      </c>
      <c r="D1022" s="34">
        <v>19.334</v>
      </c>
      <c r="F1022" s="209">
        <f t="shared" si="45"/>
        <v>60045.921000000002</v>
      </c>
      <c r="G1022" s="209">
        <f t="shared" si="46"/>
        <v>363840.10200000001</v>
      </c>
      <c r="H1022" s="209">
        <f t="shared" si="47"/>
        <v>19.334</v>
      </c>
    </row>
    <row r="1023" spans="2:8" x14ac:dyDescent="0.2">
      <c r="B1023" s="34">
        <v>51899.767999999996</v>
      </c>
      <c r="C1023" s="34">
        <v>159188.995</v>
      </c>
      <c r="D1023" s="34">
        <v>19.344999999999999</v>
      </c>
      <c r="F1023" s="209">
        <f t="shared" si="45"/>
        <v>60049.767999999996</v>
      </c>
      <c r="G1023" s="209">
        <f t="shared" si="46"/>
        <v>363838.995</v>
      </c>
      <c r="H1023" s="209">
        <f t="shared" si="47"/>
        <v>19.344999999999999</v>
      </c>
    </row>
    <row r="1024" spans="2:8" x14ac:dyDescent="0.2">
      <c r="B1024" s="34">
        <v>51903.608999999997</v>
      </c>
      <c r="C1024" s="34">
        <v>159187.88399999999</v>
      </c>
      <c r="D1024" s="34">
        <v>19.356000000000002</v>
      </c>
      <c r="F1024" s="209">
        <f t="shared" si="45"/>
        <v>60053.608999999997</v>
      </c>
      <c r="G1024" s="209">
        <f t="shared" si="46"/>
        <v>363837.88399999996</v>
      </c>
      <c r="H1024" s="209">
        <f t="shared" si="47"/>
        <v>19.356000000000002</v>
      </c>
    </row>
    <row r="1025" spans="2:8" x14ac:dyDescent="0.2">
      <c r="B1025" s="152">
        <v>51910.065000000002</v>
      </c>
      <c r="C1025" s="152">
        <v>159186.02600000001</v>
      </c>
      <c r="D1025" s="152">
        <v>19.356000000000002</v>
      </c>
      <c r="F1025" s="209">
        <f t="shared" si="45"/>
        <v>60060.065000000002</v>
      </c>
      <c r="G1025" s="209">
        <f t="shared" si="46"/>
        <v>363836.02600000001</v>
      </c>
      <c r="H1025" s="209">
        <f t="shared" si="47"/>
        <v>19.356000000000002</v>
      </c>
    </row>
    <row r="1026" spans="2:8" x14ac:dyDescent="0.2">
      <c r="B1026" s="34">
        <v>51885.339</v>
      </c>
      <c r="C1026" s="34">
        <v>159195.73800000001</v>
      </c>
      <c r="D1026" s="34">
        <v>18.782</v>
      </c>
      <c r="F1026" s="209">
        <f t="shared" si="45"/>
        <v>60035.339</v>
      </c>
      <c r="G1026" s="209">
        <f t="shared" si="46"/>
        <v>363845.73800000001</v>
      </c>
      <c r="H1026" s="209">
        <f t="shared" si="47"/>
        <v>18.782</v>
      </c>
    </row>
    <row r="1027" spans="2:8" x14ac:dyDescent="0.2">
      <c r="B1027" s="34">
        <v>51884.957999999999</v>
      </c>
      <c r="C1027" s="34">
        <v>159194.47099999999</v>
      </c>
      <c r="D1027" s="34">
        <v>18.777999999999999</v>
      </c>
      <c r="F1027" s="209">
        <f t="shared" si="45"/>
        <v>60034.957999999999</v>
      </c>
      <c r="G1027" s="209">
        <f t="shared" si="46"/>
        <v>363844.47100000002</v>
      </c>
      <c r="H1027" s="209">
        <f t="shared" si="47"/>
        <v>18.777999999999999</v>
      </c>
    </row>
    <row r="1028" spans="2:8" x14ac:dyDescent="0.2">
      <c r="B1028" s="34">
        <v>51888.116999999998</v>
      </c>
      <c r="C1028" s="34">
        <v>159194.94500000001</v>
      </c>
      <c r="D1028" s="34">
        <v>18.777999999999999</v>
      </c>
      <c r="F1028" s="209">
        <f t="shared" ref="F1028:F1091" si="48">B1028+$B$1</f>
        <v>60038.116999999998</v>
      </c>
      <c r="G1028" s="209">
        <f t="shared" ref="G1028:G1091" si="49">C1028+$C$1</f>
        <v>363844.94500000001</v>
      </c>
      <c r="H1028" s="209">
        <f t="shared" ref="H1028:H1091" si="50">D1028+$D$1</f>
        <v>18.777999999999999</v>
      </c>
    </row>
    <row r="1029" spans="2:8" x14ac:dyDescent="0.2">
      <c r="B1029" s="34">
        <v>51887.803999999996</v>
      </c>
      <c r="C1029" s="34">
        <v>159193.658</v>
      </c>
      <c r="D1029" s="34">
        <v>18.777999999999999</v>
      </c>
      <c r="F1029" s="209">
        <f t="shared" si="48"/>
        <v>60037.803999999996</v>
      </c>
      <c r="G1029" s="209">
        <f t="shared" si="49"/>
        <v>363843.658</v>
      </c>
      <c r="H1029" s="209">
        <f t="shared" si="50"/>
        <v>18.777999999999999</v>
      </c>
    </row>
    <row r="1030" spans="2:8" x14ac:dyDescent="0.2">
      <c r="B1030" s="34">
        <v>51890.968000000001</v>
      </c>
      <c r="C1030" s="34">
        <v>159194.11799999999</v>
      </c>
      <c r="D1030" s="34">
        <v>18.779</v>
      </c>
      <c r="F1030" s="209">
        <f t="shared" si="48"/>
        <v>60040.968000000001</v>
      </c>
      <c r="G1030" s="209">
        <f t="shared" si="49"/>
        <v>363844.11800000002</v>
      </c>
      <c r="H1030" s="209">
        <f t="shared" si="50"/>
        <v>18.779</v>
      </c>
    </row>
    <row r="1031" spans="2:8" x14ac:dyDescent="0.2">
      <c r="B1031" s="34">
        <v>51890.606</v>
      </c>
      <c r="C1031" s="34">
        <v>159192.86199999999</v>
      </c>
      <c r="D1031" s="34">
        <v>18.771999999999998</v>
      </c>
      <c r="F1031" s="209">
        <f t="shared" si="48"/>
        <v>60040.606</v>
      </c>
      <c r="G1031" s="209">
        <f t="shared" si="49"/>
        <v>363842.86199999996</v>
      </c>
      <c r="H1031" s="209">
        <f t="shared" si="50"/>
        <v>18.771999999999998</v>
      </c>
    </row>
    <row r="1032" spans="2:8" x14ac:dyDescent="0.2">
      <c r="B1032" s="34">
        <v>51893.758000000002</v>
      </c>
      <c r="C1032" s="34">
        <v>159193.31599999999</v>
      </c>
      <c r="D1032" s="34">
        <v>18.774000000000001</v>
      </c>
      <c r="F1032" s="209">
        <f t="shared" si="48"/>
        <v>60043.758000000002</v>
      </c>
      <c r="G1032" s="209">
        <f t="shared" si="49"/>
        <v>363843.31599999999</v>
      </c>
      <c r="H1032" s="209">
        <f t="shared" si="50"/>
        <v>18.774000000000001</v>
      </c>
    </row>
    <row r="1033" spans="2:8" x14ac:dyDescent="0.2">
      <c r="B1033" s="34">
        <v>51893.440999999999</v>
      </c>
      <c r="C1033" s="34">
        <v>159192.04199999999</v>
      </c>
      <c r="D1033" s="34">
        <v>18.768000000000001</v>
      </c>
      <c r="F1033" s="209">
        <f t="shared" si="48"/>
        <v>60043.440999999999</v>
      </c>
      <c r="G1033" s="209">
        <f t="shared" si="49"/>
        <v>363842.04200000002</v>
      </c>
      <c r="H1033" s="209">
        <f t="shared" si="50"/>
        <v>18.768000000000001</v>
      </c>
    </row>
    <row r="1034" spans="2:8" x14ac:dyDescent="0.2">
      <c r="B1034" s="34">
        <v>51896.633000000002</v>
      </c>
      <c r="C1034" s="34">
        <v>159192.48699999999</v>
      </c>
      <c r="D1034" s="34">
        <v>18.777000000000001</v>
      </c>
      <c r="F1034" s="209">
        <f t="shared" si="48"/>
        <v>60046.633000000002</v>
      </c>
      <c r="G1034" s="209">
        <f t="shared" si="49"/>
        <v>363842.48699999996</v>
      </c>
      <c r="H1034" s="209">
        <f t="shared" si="50"/>
        <v>18.777000000000001</v>
      </c>
    </row>
    <row r="1035" spans="2:8" x14ac:dyDescent="0.2">
      <c r="B1035" s="34">
        <v>51896.249000000003</v>
      </c>
      <c r="C1035" s="34">
        <v>159191.228</v>
      </c>
      <c r="D1035" s="34">
        <v>18.77</v>
      </c>
      <c r="F1035" s="209">
        <f t="shared" si="48"/>
        <v>60046.249000000003</v>
      </c>
      <c r="G1035" s="209">
        <f t="shared" si="49"/>
        <v>363841.228</v>
      </c>
      <c r="H1035" s="209">
        <f t="shared" si="50"/>
        <v>18.77</v>
      </c>
    </row>
    <row r="1036" spans="2:8" x14ac:dyDescent="0.2">
      <c r="B1036" s="34">
        <v>51899.398000000001</v>
      </c>
      <c r="C1036" s="34">
        <v>159191.70000000001</v>
      </c>
      <c r="D1036" s="34">
        <v>18.777999999999999</v>
      </c>
      <c r="F1036" s="209">
        <f t="shared" si="48"/>
        <v>60049.398000000001</v>
      </c>
      <c r="G1036" s="209">
        <f t="shared" si="49"/>
        <v>363841.7</v>
      </c>
      <c r="H1036" s="209">
        <f t="shared" si="50"/>
        <v>18.777999999999999</v>
      </c>
    </row>
    <row r="1037" spans="2:8" x14ac:dyDescent="0.2">
      <c r="B1037" s="34">
        <v>51899.040000000001</v>
      </c>
      <c r="C1037" s="34">
        <v>159190.43700000001</v>
      </c>
      <c r="D1037" s="34">
        <v>18.771000000000001</v>
      </c>
      <c r="F1037" s="209">
        <f t="shared" si="48"/>
        <v>60049.04</v>
      </c>
      <c r="G1037" s="209">
        <f t="shared" si="49"/>
        <v>363840.43700000003</v>
      </c>
      <c r="H1037" s="209">
        <f t="shared" si="50"/>
        <v>18.771000000000001</v>
      </c>
    </row>
    <row r="1038" spans="2:8" x14ac:dyDescent="0.2">
      <c r="B1038" s="34">
        <v>51902.292000000001</v>
      </c>
      <c r="C1038" s="34">
        <v>159190.889</v>
      </c>
      <c r="D1038" s="34">
        <v>18.777999999999999</v>
      </c>
      <c r="F1038" s="209">
        <f t="shared" si="48"/>
        <v>60052.292000000001</v>
      </c>
      <c r="G1038" s="209">
        <f t="shared" si="49"/>
        <v>363840.88899999997</v>
      </c>
      <c r="H1038" s="209">
        <f t="shared" si="50"/>
        <v>18.777999999999999</v>
      </c>
    </row>
    <row r="1039" spans="2:8" x14ac:dyDescent="0.2">
      <c r="B1039" s="34">
        <v>51901.989000000001</v>
      </c>
      <c r="C1039" s="34">
        <v>159189.60699999999</v>
      </c>
      <c r="D1039" s="34">
        <v>18.768999999999998</v>
      </c>
      <c r="F1039" s="209">
        <f t="shared" si="48"/>
        <v>60051.989000000001</v>
      </c>
      <c r="G1039" s="209">
        <f t="shared" si="49"/>
        <v>363839.60699999996</v>
      </c>
      <c r="H1039" s="209">
        <f t="shared" si="50"/>
        <v>18.768999999999998</v>
      </c>
    </row>
    <row r="1040" spans="2:8" x14ac:dyDescent="0.2">
      <c r="B1040" s="34">
        <v>51905.196000000004</v>
      </c>
      <c r="C1040" s="34">
        <v>159190.09899999999</v>
      </c>
      <c r="D1040" s="34">
        <v>18.78</v>
      </c>
      <c r="F1040" s="209">
        <f t="shared" si="48"/>
        <v>60055.196000000004</v>
      </c>
      <c r="G1040" s="209">
        <f t="shared" si="49"/>
        <v>363840.09899999999</v>
      </c>
      <c r="H1040" s="209">
        <f t="shared" si="50"/>
        <v>18.78</v>
      </c>
    </row>
    <row r="1041" spans="2:8" x14ac:dyDescent="0.2">
      <c r="B1041" s="34">
        <v>51904.885000000002</v>
      </c>
      <c r="C1041" s="34">
        <v>159188.80900000001</v>
      </c>
      <c r="D1041" s="34">
        <v>18.771999999999998</v>
      </c>
      <c r="F1041" s="209">
        <f t="shared" si="48"/>
        <v>60054.885000000002</v>
      </c>
      <c r="G1041" s="209">
        <f t="shared" si="49"/>
        <v>363838.80900000001</v>
      </c>
      <c r="H1041" s="209">
        <f t="shared" si="50"/>
        <v>18.771999999999998</v>
      </c>
    </row>
    <row r="1042" spans="2:8" x14ac:dyDescent="0.2">
      <c r="B1042" s="34">
        <v>51907.951999999997</v>
      </c>
      <c r="C1042" s="34">
        <v>159189.367</v>
      </c>
      <c r="D1042" s="34">
        <v>18.785</v>
      </c>
      <c r="F1042" s="209">
        <f t="shared" si="48"/>
        <v>60057.951999999997</v>
      </c>
      <c r="G1042" s="209">
        <f t="shared" si="49"/>
        <v>363839.36699999997</v>
      </c>
      <c r="H1042" s="209">
        <f t="shared" si="50"/>
        <v>18.785</v>
      </c>
    </row>
    <row r="1043" spans="2:8" x14ac:dyDescent="0.2">
      <c r="B1043" s="34">
        <v>51907.578000000001</v>
      </c>
      <c r="C1043" s="34">
        <v>159188.103</v>
      </c>
      <c r="D1043" s="34">
        <v>18.774999999999999</v>
      </c>
      <c r="F1043" s="209">
        <f t="shared" si="48"/>
        <v>60057.578000000001</v>
      </c>
      <c r="G1043" s="209">
        <f t="shared" si="49"/>
        <v>363838.103</v>
      </c>
      <c r="H1043" s="209">
        <f t="shared" si="50"/>
        <v>18.774999999999999</v>
      </c>
    </row>
    <row r="1044" spans="2:8" x14ac:dyDescent="0.2">
      <c r="B1044" s="34">
        <v>51910.962</v>
      </c>
      <c r="C1044" s="34">
        <v>159188.606</v>
      </c>
      <c r="D1044" s="34">
        <v>18.792999999999999</v>
      </c>
      <c r="F1044" s="209">
        <f t="shared" si="48"/>
        <v>60060.962</v>
      </c>
      <c r="G1044" s="209">
        <f t="shared" si="49"/>
        <v>363838.60600000003</v>
      </c>
      <c r="H1044" s="209">
        <f t="shared" si="50"/>
        <v>18.792999999999999</v>
      </c>
    </row>
    <row r="1045" spans="2:8" x14ac:dyDescent="0.2">
      <c r="B1045" s="34">
        <v>51910.64</v>
      </c>
      <c r="C1045" s="34">
        <v>159187.32699999999</v>
      </c>
      <c r="D1045" s="34">
        <v>18.782</v>
      </c>
      <c r="F1045" s="209">
        <f t="shared" si="48"/>
        <v>60060.639999999999</v>
      </c>
      <c r="G1045" s="209">
        <f t="shared" si="49"/>
        <v>363837.32699999999</v>
      </c>
      <c r="H1045" s="209">
        <f t="shared" si="50"/>
        <v>18.782</v>
      </c>
    </row>
    <row r="1046" spans="2:8" x14ac:dyDescent="0.2">
      <c r="B1046" s="34">
        <v>51913.75</v>
      </c>
      <c r="C1046" s="34">
        <v>159187.92199999999</v>
      </c>
      <c r="D1046" s="34">
        <v>18.808</v>
      </c>
      <c r="F1046" s="209">
        <f t="shared" si="48"/>
        <v>60063.75</v>
      </c>
      <c r="G1046" s="209">
        <f t="shared" si="49"/>
        <v>363837.92200000002</v>
      </c>
      <c r="H1046" s="209">
        <f t="shared" si="50"/>
        <v>18.808</v>
      </c>
    </row>
    <row r="1047" spans="2:8" x14ac:dyDescent="0.2">
      <c r="B1047" s="34">
        <v>51913.421000000002</v>
      </c>
      <c r="C1047" s="34">
        <v>159186.641</v>
      </c>
      <c r="D1047" s="34">
        <v>18.792999999999999</v>
      </c>
      <c r="F1047" s="209">
        <f t="shared" si="48"/>
        <v>60063.421000000002</v>
      </c>
      <c r="G1047" s="209">
        <f t="shared" si="49"/>
        <v>363836.641</v>
      </c>
      <c r="H1047" s="209">
        <f t="shared" si="50"/>
        <v>18.792999999999999</v>
      </c>
    </row>
    <row r="1048" spans="2:8" x14ac:dyDescent="0.2">
      <c r="B1048" s="34">
        <v>51884.538999999997</v>
      </c>
      <c r="C1048" s="34">
        <v>159193.38099999999</v>
      </c>
      <c r="D1048" s="34">
        <v>19.331</v>
      </c>
      <c r="F1048" s="209">
        <f t="shared" si="48"/>
        <v>60034.538999999997</v>
      </c>
      <c r="G1048" s="209">
        <f t="shared" si="49"/>
        <v>363843.38099999999</v>
      </c>
      <c r="H1048" s="209">
        <f t="shared" si="50"/>
        <v>19.331</v>
      </c>
    </row>
    <row r="1049" spans="2:8" x14ac:dyDescent="0.2">
      <c r="B1049" s="34">
        <v>51890.286999999997</v>
      </c>
      <c r="C1049" s="34">
        <v>159191.73000000001</v>
      </c>
      <c r="D1049" s="34">
        <v>19.321999999999999</v>
      </c>
      <c r="F1049" s="209">
        <f t="shared" si="48"/>
        <v>60040.286999999997</v>
      </c>
      <c r="G1049" s="209">
        <f t="shared" si="49"/>
        <v>363841.73</v>
      </c>
      <c r="H1049" s="209">
        <f t="shared" si="50"/>
        <v>19.321999999999999</v>
      </c>
    </row>
    <row r="1050" spans="2:8" x14ac:dyDescent="0.2">
      <c r="B1050" s="34">
        <v>51895.921999999999</v>
      </c>
      <c r="C1050" s="34">
        <v>159190.101</v>
      </c>
      <c r="D1050" s="34">
        <v>19.334</v>
      </c>
      <c r="F1050" s="209">
        <f t="shared" si="48"/>
        <v>60045.921999999999</v>
      </c>
      <c r="G1050" s="209">
        <f t="shared" si="49"/>
        <v>363840.10100000002</v>
      </c>
      <c r="H1050" s="209">
        <f t="shared" si="50"/>
        <v>19.334</v>
      </c>
    </row>
    <row r="1051" spans="2:8" x14ac:dyDescent="0.2">
      <c r="B1051" s="34">
        <v>51899.767999999996</v>
      </c>
      <c r="C1051" s="34">
        <v>159188.995</v>
      </c>
      <c r="D1051" s="34">
        <v>19.344999999999999</v>
      </c>
      <c r="F1051" s="209">
        <f t="shared" si="48"/>
        <v>60049.767999999996</v>
      </c>
      <c r="G1051" s="209">
        <f t="shared" si="49"/>
        <v>363838.995</v>
      </c>
      <c r="H1051" s="209">
        <f t="shared" si="50"/>
        <v>19.344999999999999</v>
      </c>
    </row>
    <row r="1052" spans="2:8" x14ac:dyDescent="0.2">
      <c r="B1052" s="34">
        <v>51903.608999999997</v>
      </c>
      <c r="C1052" s="34">
        <v>159187.88399999999</v>
      </c>
      <c r="D1052" s="34">
        <v>19.356000000000002</v>
      </c>
      <c r="F1052" s="209">
        <f t="shared" si="48"/>
        <v>60053.608999999997</v>
      </c>
      <c r="G1052" s="209">
        <f t="shared" si="49"/>
        <v>363837.88399999996</v>
      </c>
      <c r="H1052" s="209">
        <f t="shared" si="50"/>
        <v>19.356000000000002</v>
      </c>
    </row>
    <row r="1053" spans="2:8" x14ac:dyDescent="0.2">
      <c r="B1053" s="152">
        <v>51910.065000000002</v>
      </c>
      <c r="C1053" s="152">
        <v>159186.02499999999</v>
      </c>
      <c r="D1053" s="152">
        <v>19.356000000000002</v>
      </c>
      <c r="F1053" s="209">
        <f t="shared" si="48"/>
        <v>60060.065000000002</v>
      </c>
      <c r="G1053" s="209">
        <f t="shared" si="49"/>
        <v>363836.02500000002</v>
      </c>
      <c r="H1053" s="209">
        <f t="shared" si="50"/>
        <v>19.356000000000002</v>
      </c>
    </row>
    <row r="1054" spans="2:8" x14ac:dyDescent="0.2">
      <c r="B1054" s="34">
        <v>51885.339</v>
      </c>
      <c r="C1054" s="34">
        <v>159195.73800000001</v>
      </c>
      <c r="D1054" s="34">
        <v>18.782</v>
      </c>
      <c r="F1054" s="209">
        <f t="shared" si="48"/>
        <v>60035.339</v>
      </c>
      <c r="G1054" s="209">
        <f t="shared" si="49"/>
        <v>363845.73800000001</v>
      </c>
      <c r="H1054" s="209">
        <f t="shared" si="50"/>
        <v>18.782</v>
      </c>
    </row>
    <row r="1055" spans="2:8" x14ac:dyDescent="0.2">
      <c r="B1055" s="34">
        <v>51884.957999999999</v>
      </c>
      <c r="C1055" s="34">
        <v>159194.47</v>
      </c>
      <c r="D1055" s="34">
        <v>18.777999999999999</v>
      </c>
      <c r="F1055" s="209">
        <f t="shared" si="48"/>
        <v>60034.957999999999</v>
      </c>
      <c r="G1055" s="209">
        <f t="shared" si="49"/>
        <v>363844.47</v>
      </c>
      <c r="H1055" s="209">
        <f t="shared" si="50"/>
        <v>18.777999999999999</v>
      </c>
    </row>
    <row r="1056" spans="2:8" x14ac:dyDescent="0.2">
      <c r="B1056" s="34">
        <v>51888.116999999998</v>
      </c>
      <c r="C1056" s="34">
        <v>159194.94500000001</v>
      </c>
      <c r="D1056" s="34">
        <v>18.777999999999999</v>
      </c>
      <c r="F1056" s="209">
        <f t="shared" si="48"/>
        <v>60038.116999999998</v>
      </c>
      <c r="G1056" s="209">
        <f t="shared" si="49"/>
        <v>363844.94500000001</v>
      </c>
      <c r="H1056" s="209">
        <f t="shared" si="50"/>
        <v>18.777999999999999</v>
      </c>
    </row>
    <row r="1057" spans="2:8" x14ac:dyDescent="0.2">
      <c r="B1057" s="34">
        <v>51887.803999999996</v>
      </c>
      <c r="C1057" s="34">
        <v>159193.65700000001</v>
      </c>
      <c r="D1057" s="34">
        <v>18.777999999999999</v>
      </c>
      <c r="F1057" s="209">
        <f t="shared" si="48"/>
        <v>60037.803999999996</v>
      </c>
      <c r="G1057" s="209">
        <f t="shared" si="49"/>
        <v>363843.65700000001</v>
      </c>
      <c r="H1057" s="209">
        <f t="shared" si="50"/>
        <v>18.777999999999999</v>
      </c>
    </row>
    <row r="1058" spans="2:8" x14ac:dyDescent="0.2">
      <c r="B1058" s="34">
        <v>51890.968000000001</v>
      </c>
      <c r="C1058" s="34">
        <v>159194.11799999999</v>
      </c>
      <c r="D1058" s="34">
        <v>18.777999999999999</v>
      </c>
      <c r="F1058" s="209">
        <f t="shared" si="48"/>
        <v>60040.968000000001</v>
      </c>
      <c r="G1058" s="209">
        <f t="shared" si="49"/>
        <v>363844.11800000002</v>
      </c>
      <c r="H1058" s="209">
        <f t="shared" si="50"/>
        <v>18.777999999999999</v>
      </c>
    </row>
    <row r="1059" spans="2:8" x14ac:dyDescent="0.2">
      <c r="B1059" s="34">
        <v>51890.606</v>
      </c>
      <c r="C1059" s="34">
        <v>159192.861</v>
      </c>
      <c r="D1059" s="34">
        <v>18.771000000000001</v>
      </c>
      <c r="F1059" s="209">
        <f t="shared" si="48"/>
        <v>60040.606</v>
      </c>
      <c r="G1059" s="209">
        <f t="shared" si="49"/>
        <v>363842.86100000003</v>
      </c>
      <c r="H1059" s="209">
        <f t="shared" si="50"/>
        <v>18.771000000000001</v>
      </c>
    </row>
    <row r="1060" spans="2:8" x14ac:dyDescent="0.2">
      <c r="B1060" s="34">
        <v>51893.758000000002</v>
      </c>
      <c r="C1060" s="34">
        <v>159193.315</v>
      </c>
      <c r="D1060" s="34">
        <v>18.774000000000001</v>
      </c>
      <c r="F1060" s="209">
        <f t="shared" si="48"/>
        <v>60043.758000000002</v>
      </c>
      <c r="G1060" s="209">
        <f t="shared" si="49"/>
        <v>363843.315</v>
      </c>
      <c r="H1060" s="209">
        <f t="shared" si="50"/>
        <v>18.774000000000001</v>
      </c>
    </row>
    <row r="1061" spans="2:8" x14ac:dyDescent="0.2">
      <c r="B1061" s="34">
        <v>51893.440999999999</v>
      </c>
      <c r="C1061" s="34">
        <v>159192.041</v>
      </c>
      <c r="D1061" s="34">
        <v>18.768000000000001</v>
      </c>
      <c r="F1061" s="209">
        <f t="shared" si="48"/>
        <v>60043.440999999999</v>
      </c>
      <c r="G1061" s="209">
        <f t="shared" si="49"/>
        <v>363842.04099999997</v>
      </c>
      <c r="H1061" s="209">
        <f t="shared" si="50"/>
        <v>18.768000000000001</v>
      </c>
    </row>
    <row r="1062" spans="2:8" x14ac:dyDescent="0.2">
      <c r="B1062" s="34">
        <v>51896.633000000002</v>
      </c>
      <c r="C1062" s="34">
        <v>159192.486</v>
      </c>
      <c r="D1062" s="34">
        <v>18.777000000000001</v>
      </c>
      <c r="F1062" s="209">
        <f t="shared" si="48"/>
        <v>60046.633000000002</v>
      </c>
      <c r="G1062" s="209">
        <f t="shared" si="49"/>
        <v>363842.48600000003</v>
      </c>
      <c r="H1062" s="209">
        <f t="shared" si="50"/>
        <v>18.777000000000001</v>
      </c>
    </row>
    <row r="1063" spans="2:8" x14ac:dyDescent="0.2">
      <c r="B1063" s="34">
        <v>51896.249000000003</v>
      </c>
      <c r="C1063" s="34">
        <v>159191.22700000001</v>
      </c>
      <c r="D1063" s="34">
        <v>18.77</v>
      </c>
      <c r="F1063" s="209">
        <f t="shared" si="48"/>
        <v>60046.249000000003</v>
      </c>
      <c r="G1063" s="209">
        <f t="shared" si="49"/>
        <v>363841.22700000001</v>
      </c>
      <c r="H1063" s="209">
        <f t="shared" si="50"/>
        <v>18.77</v>
      </c>
    </row>
    <row r="1064" spans="2:8" x14ac:dyDescent="0.2">
      <c r="B1064" s="34">
        <v>51899.398000000001</v>
      </c>
      <c r="C1064" s="34">
        <v>159191.70000000001</v>
      </c>
      <c r="D1064" s="34">
        <v>18.777999999999999</v>
      </c>
      <c r="F1064" s="209">
        <f t="shared" si="48"/>
        <v>60049.398000000001</v>
      </c>
      <c r="G1064" s="209">
        <f t="shared" si="49"/>
        <v>363841.7</v>
      </c>
      <c r="H1064" s="209">
        <f t="shared" si="50"/>
        <v>18.777999999999999</v>
      </c>
    </row>
    <row r="1065" spans="2:8" x14ac:dyDescent="0.2">
      <c r="B1065" s="34">
        <v>51899.040999999997</v>
      </c>
      <c r="C1065" s="34">
        <v>159190.43599999999</v>
      </c>
      <c r="D1065" s="34">
        <v>18.771000000000001</v>
      </c>
      <c r="F1065" s="209">
        <f t="shared" si="48"/>
        <v>60049.040999999997</v>
      </c>
      <c r="G1065" s="209">
        <f t="shared" si="49"/>
        <v>363840.43599999999</v>
      </c>
      <c r="H1065" s="209">
        <f t="shared" si="50"/>
        <v>18.771000000000001</v>
      </c>
    </row>
    <row r="1066" spans="2:8" x14ac:dyDescent="0.2">
      <c r="B1066" s="34">
        <v>51902.292999999998</v>
      </c>
      <c r="C1066" s="34">
        <v>159190.88800000001</v>
      </c>
      <c r="D1066" s="34">
        <v>18.779</v>
      </c>
      <c r="F1066" s="209">
        <f t="shared" si="48"/>
        <v>60052.292999999998</v>
      </c>
      <c r="G1066" s="209">
        <f t="shared" si="49"/>
        <v>363840.88800000004</v>
      </c>
      <c r="H1066" s="209">
        <f t="shared" si="50"/>
        <v>18.779</v>
      </c>
    </row>
    <row r="1067" spans="2:8" x14ac:dyDescent="0.2">
      <c r="B1067" s="34">
        <v>51901.989000000001</v>
      </c>
      <c r="C1067" s="34">
        <v>159189.606</v>
      </c>
      <c r="D1067" s="34">
        <v>18.77</v>
      </c>
      <c r="F1067" s="209">
        <f t="shared" si="48"/>
        <v>60051.989000000001</v>
      </c>
      <c r="G1067" s="209">
        <f t="shared" si="49"/>
        <v>363839.60600000003</v>
      </c>
      <c r="H1067" s="209">
        <f t="shared" si="50"/>
        <v>18.77</v>
      </c>
    </row>
    <row r="1068" spans="2:8" x14ac:dyDescent="0.2">
      <c r="B1068" s="34">
        <v>51905.196000000004</v>
      </c>
      <c r="C1068" s="34">
        <v>159190.098</v>
      </c>
      <c r="D1068" s="34">
        <v>18.78</v>
      </c>
      <c r="F1068" s="209">
        <f t="shared" si="48"/>
        <v>60055.196000000004</v>
      </c>
      <c r="G1068" s="209">
        <f t="shared" si="49"/>
        <v>363840.098</v>
      </c>
      <c r="H1068" s="209">
        <f t="shared" si="50"/>
        <v>18.78</v>
      </c>
    </row>
    <row r="1069" spans="2:8" x14ac:dyDescent="0.2">
      <c r="B1069" s="34">
        <v>51904.885000000002</v>
      </c>
      <c r="C1069" s="34">
        <v>159188.80799999999</v>
      </c>
      <c r="D1069" s="34">
        <v>18.773</v>
      </c>
      <c r="F1069" s="209">
        <f t="shared" si="48"/>
        <v>60054.885000000002</v>
      </c>
      <c r="G1069" s="209">
        <f t="shared" si="49"/>
        <v>363838.80799999996</v>
      </c>
      <c r="H1069" s="209">
        <f t="shared" si="50"/>
        <v>18.773</v>
      </c>
    </row>
    <row r="1070" spans="2:8" x14ac:dyDescent="0.2">
      <c r="B1070" s="34">
        <v>51907.951999999997</v>
      </c>
      <c r="C1070" s="34">
        <v>159189.36600000001</v>
      </c>
      <c r="D1070" s="34">
        <v>18.785</v>
      </c>
      <c r="F1070" s="209">
        <f t="shared" si="48"/>
        <v>60057.951999999997</v>
      </c>
      <c r="G1070" s="209">
        <f t="shared" si="49"/>
        <v>363839.36600000004</v>
      </c>
      <c r="H1070" s="209">
        <f t="shared" si="50"/>
        <v>18.785</v>
      </c>
    </row>
    <row r="1071" spans="2:8" x14ac:dyDescent="0.2">
      <c r="B1071" s="34">
        <v>51907.578999999998</v>
      </c>
      <c r="C1071" s="34">
        <v>159188.10200000001</v>
      </c>
      <c r="D1071" s="34">
        <v>18.774999999999999</v>
      </c>
      <c r="F1071" s="209">
        <f t="shared" si="48"/>
        <v>60057.578999999998</v>
      </c>
      <c r="G1071" s="209">
        <f t="shared" si="49"/>
        <v>363838.10200000001</v>
      </c>
      <c r="H1071" s="209">
        <f t="shared" si="50"/>
        <v>18.774999999999999</v>
      </c>
    </row>
    <row r="1072" spans="2:8" x14ac:dyDescent="0.2">
      <c r="B1072" s="34">
        <v>51910.963000000003</v>
      </c>
      <c r="C1072" s="34">
        <v>159188.60500000001</v>
      </c>
      <c r="D1072" s="34">
        <v>18.794</v>
      </c>
      <c r="F1072" s="209">
        <f t="shared" si="48"/>
        <v>60060.963000000003</v>
      </c>
      <c r="G1072" s="209">
        <f t="shared" si="49"/>
        <v>363838.60499999998</v>
      </c>
      <c r="H1072" s="209">
        <f t="shared" si="50"/>
        <v>18.794</v>
      </c>
    </row>
    <row r="1073" spans="2:8" x14ac:dyDescent="0.2">
      <c r="B1073" s="34">
        <v>51910.64</v>
      </c>
      <c r="C1073" s="34">
        <v>159187.32699999999</v>
      </c>
      <c r="D1073" s="34">
        <v>18.782</v>
      </c>
      <c r="F1073" s="209">
        <f t="shared" si="48"/>
        <v>60060.639999999999</v>
      </c>
      <c r="G1073" s="209">
        <f t="shared" si="49"/>
        <v>363837.32699999999</v>
      </c>
      <c r="H1073" s="209">
        <f t="shared" si="50"/>
        <v>18.782</v>
      </c>
    </row>
    <row r="1074" spans="2:8" x14ac:dyDescent="0.2">
      <c r="B1074" s="34">
        <v>51913.75</v>
      </c>
      <c r="C1074" s="34">
        <v>159187.92199999999</v>
      </c>
      <c r="D1074" s="34">
        <v>18.808</v>
      </c>
      <c r="F1074" s="209">
        <f t="shared" si="48"/>
        <v>60063.75</v>
      </c>
      <c r="G1074" s="209">
        <f t="shared" si="49"/>
        <v>363837.92200000002</v>
      </c>
      <c r="H1074" s="209">
        <f t="shared" si="50"/>
        <v>18.808</v>
      </c>
    </row>
    <row r="1075" spans="2:8" x14ac:dyDescent="0.2">
      <c r="B1075" s="34">
        <v>51913.421000000002</v>
      </c>
      <c r="C1075" s="34">
        <v>159186.64000000001</v>
      </c>
      <c r="D1075" s="34">
        <v>18.792999999999999</v>
      </c>
      <c r="F1075" s="209">
        <f t="shared" si="48"/>
        <v>60063.421000000002</v>
      </c>
      <c r="G1075" s="209">
        <f t="shared" si="49"/>
        <v>363836.64</v>
      </c>
      <c r="H1075" s="209">
        <f t="shared" si="50"/>
        <v>18.792999999999999</v>
      </c>
    </row>
    <row r="1076" spans="2:8" x14ac:dyDescent="0.2">
      <c r="B1076" s="34">
        <v>51884.538999999997</v>
      </c>
      <c r="C1076" s="34">
        <v>159193.38099999999</v>
      </c>
      <c r="D1076" s="34">
        <v>19.331</v>
      </c>
      <c r="F1076" s="209">
        <f t="shared" si="48"/>
        <v>60034.538999999997</v>
      </c>
      <c r="G1076" s="209">
        <f t="shared" si="49"/>
        <v>363843.38099999999</v>
      </c>
      <c r="H1076" s="209">
        <f t="shared" si="50"/>
        <v>19.331</v>
      </c>
    </row>
    <row r="1077" spans="2:8" x14ac:dyDescent="0.2">
      <c r="B1077" s="34">
        <v>51890.286999999997</v>
      </c>
      <c r="C1077" s="34">
        <v>159191.72899999999</v>
      </c>
      <c r="D1077" s="34">
        <v>19.321999999999999</v>
      </c>
      <c r="F1077" s="209">
        <f t="shared" si="48"/>
        <v>60040.286999999997</v>
      </c>
      <c r="G1077" s="209">
        <f t="shared" si="49"/>
        <v>363841.72899999999</v>
      </c>
      <c r="H1077" s="209">
        <f t="shared" si="50"/>
        <v>19.321999999999999</v>
      </c>
    </row>
    <row r="1078" spans="2:8" x14ac:dyDescent="0.2">
      <c r="B1078" s="34">
        <v>51895.921999999999</v>
      </c>
      <c r="C1078" s="34">
        <v>159190.101</v>
      </c>
      <c r="D1078" s="34">
        <v>19.334</v>
      </c>
      <c r="F1078" s="209">
        <f t="shared" si="48"/>
        <v>60045.921999999999</v>
      </c>
      <c r="G1078" s="209">
        <f t="shared" si="49"/>
        <v>363840.10100000002</v>
      </c>
      <c r="H1078" s="209">
        <f t="shared" si="50"/>
        <v>19.334</v>
      </c>
    </row>
    <row r="1079" spans="2:8" x14ac:dyDescent="0.2">
      <c r="B1079" s="34">
        <v>51899.767999999996</v>
      </c>
      <c r="C1079" s="34">
        <v>159188.99400000001</v>
      </c>
      <c r="D1079" s="34">
        <v>19.344999999999999</v>
      </c>
      <c r="F1079" s="209">
        <f t="shared" si="48"/>
        <v>60049.767999999996</v>
      </c>
      <c r="G1079" s="209">
        <f t="shared" si="49"/>
        <v>363838.99400000001</v>
      </c>
      <c r="H1079" s="209">
        <f t="shared" si="50"/>
        <v>19.344999999999999</v>
      </c>
    </row>
    <row r="1080" spans="2:8" x14ac:dyDescent="0.2">
      <c r="B1080" s="34">
        <v>51903.608999999997</v>
      </c>
      <c r="C1080" s="34">
        <v>159187.883</v>
      </c>
      <c r="D1080" s="34">
        <v>19.356000000000002</v>
      </c>
      <c r="F1080" s="209">
        <f t="shared" si="48"/>
        <v>60053.608999999997</v>
      </c>
      <c r="G1080" s="209">
        <f t="shared" si="49"/>
        <v>363837.88300000003</v>
      </c>
      <c r="H1080" s="209">
        <f t="shared" si="50"/>
        <v>19.356000000000002</v>
      </c>
    </row>
    <row r="1081" spans="2:8" x14ac:dyDescent="0.2">
      <c r="B1081" s="152">
        <v>51910.065000000002</v>
      </c>
      <c r="C1081" s="152">
        <v>159186.02499999999</v>
      </c>
      <c r="D1081" s="152">
        <v>19.356000000000002</v>
      </c>
      <c r="F1081" s="209">
        <f t="shared" si="48"/>
        <v>60060.065000000002</v>
      </c>
      <c r="G1081" s="209">
        <f t="shared" si="49"/>
        <v>363836.02500000002</v>
      </c>
      <c r="H1081" s="209">
        <f t="shared" si="50"/>
        <v>19.356000000000002</v>
      </c>
    </row>
    <row r="1082" spans="2:8" x14ac:dyDescent="0.2">
      <c r="B1082" s="34">
        <v>51885.339</v>
      </c>
      <c r="C1082" s="34">
        <v>159195.73800000001</v>
      </c>
      <c r="D1082" s="34">
        <v>18.782</v>
      </c>
      <c r="F1082" s="209">
        <f t="shared" si="48"/>
        <v>60035.339</v>
      </c>
      <c r="G1082" s="209">
        <f t="shared" si="49"/>
        <v>363845.73800000001</v>
      </c>
      <c r="H1082" s="209">
        <f t="shared" si="50"/>
        <v>18.782</v>
      </c>
    </row>
    <row r="1083" spans="2:8" x14ac:dyDescent="0.2">
      <c r="B1083" s="34">
        <v>51884.959000000003</v>
      </c>
      <c r="C1083" s="34">
        <v>159194.47</v>
      </c>
      <c r="D1083" s="34">
        <v>18.777999999999999</v>
      </c>
      <c r="F1083" s="209">
        <f t="shared" si="48"/>
        <v>60034.959000000003</v>
      </c>
      <c r="G1083" s="209">
        <f t="shared" si="49"/>
        <v>363844.47</v>
      </c>
      <c r="H1083" s="209">
        <f t="shared" si="50"/>
        <v>18.777999999999999</v>
      </c>
    </row>
    <row r="1084" spans="2:8" x14ac:dyDescent="0.2">
      <c r="B1084" s="34">
        <v>51888.116999999998</v>
      </c>
      <c r="C1084" s="34">
        <v>159194.94500000001</v>
      </c>
      <c r="D1084" s="34">
        <v>18.777999999999999</v>
      </c>
      <c r="F1084" s="209">
        <f t="shared" si="48"/>
        <v>60038.116999999998</v>
      </c>
      <c r="G1084" s="209">
        <f t="shared" si="49"/>
        <v>363844.94500000001</v>
      </c>
      <c r="H1084" s="209">
        <f t="shared" si="50"/>
        <v>18.777999999999999</v>
      </c>
    </row>
    <row r="1085" spans="2:8" x14ac:dyDescent="0.2">
      <c r="B1085" s="34">
        <v>51887.803999999996</v>
      </c>
      <c r="C1085" s="34">
        <v>159193.65700000001</v>
      </c>
      <c r="D1085" s="34">
        <v>18.777999999999999</v>
      </c>
      <c r="F1085" s="209">
        <f t="shared" si="48"/>
        <v>60037.803999999996</v>
      </c>
      <c r="G1085" s="209">
        <f t="shared" si="49"/>
        <v>363843.65700000001</v>
      </c>
      <c r="H1085" s="209">
        <f t="shared" si="50"/>
        <v>18.777999999999999</v>
      </c>
    </row>
    <row r="1086" spans="2:8" x14ac:dyDescent="0.2">
      <c r="B1086" s="34">
        <v>51890.968000000001</v>
      </c>
      <c r="C1086" s="34">
        <v>159194.11799999999</v>
      </c>
      <c r="D1086" s="34">
        <v>18.779</v>
      </c>
      <c r="F1086" s="209">
        <f t="shared" si="48"/>
        <v>60040.968000000001</v>
      </c>
      <c r="G1086" s="209">
        <f t="shared" si="49"/>
        <v>363844.11800000002</v>
      </c>
      <c r="H1086" s="209">
        <f t="shared" si="50"/>
        <v>18.779</v>
      </c>
    </row>
    <row r="1087" spans="2:8" x14ac:dyDescent="0.2">
      <c r="B1087" s="34">
        <v>51890.606</v>
      </c>
      <c r="C1087" s="34">
        <v>159192.86199999999</v>
      </c>
      <c r="D1087" s="34">
        <v>18.771999999999998</v>
      </c>
      <c r="F1087" s="209">
        <f t="shared" si="48"/>
        <v>60040.606</v>
      </c>
      <c r="G1087" s="209">
        <f t="shared" si="49"/>
        <v>363842.86199999996</v>
      </c>
      <c r="H1087" s="209">
        <f t="shared" si="50"/>
        <v>18.771999999999998</v>
      </c>
    </row>
    <row r="1088" spans="2:8" x14ac:dyDescent="0.2">
      <c r="B1088" s="34">
        <v>51893.758000000002</v>
      </c>
      <c r="C1088" s="34">
        <v>159193.31599999999</v>
      </c>
      <c r="D1088" s="34">
        <v>18.774000000000001</v>
      </c>
      <c r="F1088" s="209">
        <f t="shared" si="48"/>
        <v>60043.758000000002</v>
      </c>
      <c r="G1088" s="209">
        <f t="shared" si="49"/>
        <v>363843.31599999999</v>
      </c>
      <c r="H1088" s="209">
        <f t="shared" si="50"/>
        <v>18.774000000000001</v>
      </c>
    </row>
    <row r="1089" spans="2:8" x14ac:dyDescent="0.2">
      <c r="B1089" s="34">
        <v>51893.440999999999</v>
      </c>
      <c r="C1089" s="34">
        <v>159192.04199999999</v>
      </c>
      <c r="D1089" s="34">
        <v>18.768999999999998</v>
      </c>
      <c r="F1089" s="209">
        <f t="shared" si="48"/>
        <v>60043.440999999999</v>
      </c>
      <c r="G1089" s="209">
        <f t="shared" si="49"/>
        <v>363842.04200000002</v>
      </c>
      <c r="H1089" s="209">
        <f t="shared" si="50"/>
        <v>18.768999999999998</v>
      </c>
    </row>
    <row r="1090" spans="2:8" x14ac:dyDescent="0.2">
      <c r="B1090" s="34">
        <v>51896.633000000002</v>
      </c>
      <c r="C1090" s="34">
        <v>159192.486</v>
      </c>
      <c r="D1090" s="34">
        <v>18.777000000000001</v>
      </c>
      <c r="F1090" s="209">
        <f t="shared" si="48"/>
        <v>60046.633000000002</v>
      </c>
      <c r="G1090" s="209">
        <f t="shared" si="49"/>
        <v>363842.48600000003</v>
      </c>
      <c r="H1090" s="209">
        <f t="shared" si="50"/>
        <v>18.777000000000001</v>
      </c>
    </row>
    <row r="1091" spans="2:8" x14ac:dyDescent="0.2">
      <c r="B1091" s="34">
        <v>51896.25</v>
      </c>
      <c r="C1091" s="34">
        <v>159191.228</v>
      </c>
      <c r="D1091" s="34">
        <v>18.77</v>
      </c>
      <c r="F1091" s="209">
        <f t="shared" si="48"/>
        <v>60046.25</v>
      </c>
      <c r="G1091" s="209">
        <f t="shared" si="49"/>
        <v>363841.228</v>
      </c>
      <c r="H1091" s="209">
        <f t="shared" si="50"/>
        <v>18.77</v>
      </c>
    </row>
    <row r="1092" spans="2:8" x14ac:dyDescent="0.2">
      <c r="B1092" s="34">
        <v>51899.398999999998</v>
      </c>
      <c r="C1092" s="34">
        <v>159191.70000000001</v>
      </c>
      <c r="D1092" s="34">
        <v>18.777999999999999</v>
      </c>
      <c r="F1092" s="209">
        <f t="shared" ref="F1092:F1155" si="51">B1092+$B$1</f>
        <v>60049.398999999998</v>
      </c>
      <c r="G1092" s="209">
        <f t="shared" ref="G1092:G1155" si="52">C1092+$C$1</f>
        <v>363841.7</v>
      </c>
      <c r="H1092" s="209">
        <f t="shared" ref="H1092:H1155" si="53">D1092+$D$1</f>
        <v>18.777999999999999</v>
      </c>
    </row>
    <row r="1093" spans="2:8" x14ac:dyDescent="0.2">
      <c r="B1093" s="34">
        <v>51899.040999999997</v>
      </c>
      <c r="C1093" s="34">
        <v>159190.43599999999</v>
      </c>
      <c r="D1093" s="34">
        <v>18.771000000000001</v>
      </c>
      <c r="F1093" s="209">
        <f t="shared" si="51"/>
        <v>60049.040999999997</v>
      </c>
      <c r="G1093" s="209">
        <f t="shared" si="52"/>
        <v>363840.43599999999</v>
      </c>
      <c r="H1093" s="209">
        <f t="shared" si="53"/>
        <v>18.771000000000001</v>
      </c>
    </row>
    <row r="1094" spans="2:8" x14ac:dyDescent="0.2">
      <c r="B1094" s="34">
        <v>51902.292999999998</v>
      </c>
      <c r="C1094" s="34">
        <v>159190.889</v>
      </c>
      <c r="D1094" s="34">
        <v>18.779</v>
      </c>
      <c r="F1094" s="209">
        <f t="shared" si="51"/>
        <v>60052.292999999998</v>
      </c>
      <c r="G1094" s="209">
        <f t="shared" si="52"/>
        <v>363840.88899999997</v>
      </c>
      <c r="H1094" s="209">
        <f t="shared" si="53"/>
        <v>18.779</v>
      </c>
    </row>
    <row r="1095" spans="2:8" x14ac:dyDescent="0.2">
      <c r="B1095" s="34">
        <v>51901.989000000001</v>
      </c>
      <c r="C1095" s="34">
        <v>159189.60699999999</v>
      </c>
      <c r="D1095" s="34">
        <v>18.77</v>
      </c>
      <c r="F1095" s="209">
        <f t="shared" si="51"/>
        <v>60051.989000000001</v>
      </c>
      <c r="G1095" s="209">
        <f t="shared" si="52"/>
        <v>363839.60699999996</v>
      </c>
      <c r="H1095" s="209">
        <f t="shared" si="53"/>
        <v>18.77</v>
      </c>
    </row>
    <row r="1096" spans="2:8" x14ac:dyDescent="0.2">
      <c r="B1096" s="34">
        <v>51905.196000000004</v>
      </c>
      <c r="C1096" s="34">
        <v>159190.09899999999</v>
      </c>
      <c r="D1096" s="34">
        <v>18.78</v>
      </c>
      <c r="F1096" s="209">
        <f t="shared" si="51"/>
        <v>60055.196000000004</v>
      </c>
      <c r="G1096" s="209">
        <f t="shared" si="52"/>
        <v>363840.09899999999</v>
      </c>
      <c r="H1096" s="209">
        <f t="shared" si="53"/>
        <v>18.78</v>
      </c>
    </row>
    <row r="1097" spans="2:8" x14ac:dyDescent="0.2">
      <c r="B1097" s="34">
        <v>51904.885000000002</v>
      </c>
      <c r="C1097" s="34">
        <v>159188.80900000001</v>
      </c>
      <c r="D1097" s="34">
        <v>18.773</v>
      </c>
      <c r="F1097" s="209">
        <f t="shared" si="51"/>
        <v>60054.885000000002</v>
      </c>
      <c r="G1097" s="209">
        <f t="shared" si="52"/>
        <v>363838.80900000001</v>
      </c>
      <c r="H1097" s="209">
        <f t="shared" si="53"/>
        <v>18.773</v>
      </c>
    </row>
    <row r="1098" spans="2:8" x14ac:dyDescent="0.2">
      <c r="B1098" s="34">
        <v>51907.951999999997</v>
      </c>
      <c r="C1098" s="34">
        <v>159189.36799999999</v>
      </c>
      <c r="D1098" s="34">
        <v>18.785</v>
      </c>
      <c r="F1098" s="209">
        <f t="shared" si="51"/>
        <v>60057.951999999997</v>
      </c>
      <c r="G1098" s="209">
        <f t="shared" si="52"/>
        <v>363839.36800000002</v>
      </c>
      <c r="H1098" s="209">
        <f t="shared" si="53"/>
        <v>18.785</v>
      </c>
    </row>
    <row r="1099" spans="2:8" x14ac:dyDescent="0.2">
      <c r="B1099" s="34">
        <v>51907.578999999998</v>
      </c>
      <c r="C1099" s="34">
        <v>159188.103</v>
      </c>
      <c r="D1099" s="34">
        <v>18.774999999999999</v>
      </c>
      <c r="F1099" s="209">
        <f t="shared" si="51"/>
        <v>60057.578999999998</v>
      </c>
      <c r="G1099" s="209">
        <f t="shared" si="52"/>
        <v>363838.103</v>
      </c>
      <c r="H1099" s="209">
        <f t="shared" si="53"/>
        <v>18.774999999999999</v>
      </c>
    </row>
    <row r="1100" spans="2:8" x14ac:dyDescent="0.2">
      <c r="B1100" s="34">
        <v>51910.963000000003</v>
      </c>
      <c r="C1100" s="34">
        <v>159188.606</v>
      </c>
      <c r="D1100" s="34">
        <v>18.794</v>
      </c>
      <c r="F1100" s="209">
        <f t="shared" si="51"/>
        <v>60060.963000000003</v>
      </c>
      <c r="G1100" s="209">
        <f t="shared" si="52"/>
        <v>363838.60600000003</v>
      </c>
      <c r="H1100" s="209">
        <f t="shared" si="53"/>
        <v>18.794</v>
      </c>
    </row>
    <row r="1101" spans="2:8" x14ac:dyDescent="0.2">
      <c r="B1101" s="34">
        <v>51910.64</v>
      </c>
      <c r="C1101" s="34">
        <v>159187.32800000001</v>
      </c>
      <c r="D1101" s="34">
        <v>18.782</v>
      </c>
      <c r="F1101" s="209">
        <f t="shared" si="51"/>
        <v>60060.639999999999</v>
      </c>
      <c r="G1101" s="209">
        <f t="shared" si="52"/>
        <v>363837.32799999998</v>
      </c>
      <c r="H1101" s="209">
        <f t="shared" si="53"/>
        <v>18.782</v>
      </c>
    </row>
    <row r="1102" spans="2:8" x14ac:dyDescent="0.2">
      <c r="B1102" s="34">
        <v>51913.75</v>
      </c>
      <c r="C1102" s="34">
        <v>159187.92300000001</v>
      </c>
      <c r="D1102" s="34">
        <v>18.808</v>
      </c>
      <c r="F1102" s="209">
        <f t="shared" si="51"/>
        <v>60063.75</v>
      </c>
      <c r="G1102" s="209">
        <f t="shared" si="52"/>
        <v>363837.92300000001</v>
      </c>
      <c r="H1102" s="209">
        <f t="shared" si="53"/>
        <v>18.808</v>
      </c>
    </row>
    <row r="1103" spans="2:8" x14ac:dyDescent="0.2">
      <c r="B1103" s="34">
        <v>51913.421999999999</v>
      </c>
      <c r="C1103" s="34">
        <v>159186.64199999999</v>
      </c>
      <c r="D1103" s="34">
        <v>18.792999999999999</v>
      </c>
      <c r="F1103" s="209">
        <f t="shared" si="51"/>
        <v>60063.421999999999</v>
      </c>
      <c r="G1103" s="209">
        <f t="shared" si="52"/>
        <v>363836.64199999999</v>
      </c>
      <c r="H1103" s="209">
        <f t="shared" si="53"/>
        <v>18.792999999999999</v>
      </c>
    </row>
    <row r="1104" spans="2:8" x14ac:dyDescent="0.2">
      <c r="B1104" s="34">
        <v>51884.538999999997</v>
      </c>
      <c r="C1104" s="34">
        <v>159193.38099999999</v>
      </c>
      <c r="D1104" s="34">
        <v>19.332000000000001</v>
      </c>
      <c r="F1104" s="209">
        <f t="shared" si="51"/>
        <v>60034.538999999997</v>
      </c>
      <c r="G1104" s="209">
        <f t="shared" si="52"/>
        <v>363843.38099999999</v>
      </c>
      <c r="H1104" s="209">
        <f t="shared" si="53"/>
        <v>19.332000000000001</v>
      </c>
    </row>
    <row r="1105" spans="2:8" x14ac:dyDescent="0.2">
      <c r="B1105" s="34">
        <v>51890.286999999997</v>
      </c>
      <c r="C1105" s="34">
        <v>159191.73000000001</v>
      </c>
      <c r="D1105" s="34">
        <v>19.321999999999999</v>
      </c>
      <c r="F1105" s="209">
        <f t="shared" si="51"/>
        <v>60040.286999999997</v>
      </c>
      <c r="G1105" s="209">
        <f t="shared" si="52"/>
        <v>363841.73</v>
      </c>
      <c r="H1105" s="209">
        <f t="shared" si="53"/>
        <v>19.321999999999999</v>
      </c>
    </row>
    <row r="1106" spans="2:8" x14ac:dyDescent="0.2">
      <c r="B1106" s="34">
        <v>51895.921999999999</v>
      </c>
      <c r="C1106" s="34">
        <v>159190.101</v>
      </c>
      <c r="D1106" s="34">
        <v>19.334</v>
      </c>
      <c r="F1106" s="209">
        <f t="shared" si="51"/>
        <v>60045.921999999999</v>
      </c>
      <c r="G1106" s="209">
        <f t="shared" si="52"/>
        <v>363840.10100000002</v>
      </c>
      <c r="H1106" s="209">
        <f t="shared" si="53"/>
        <v>19.334</v>
      </c>
    </row>
    <row r="1107" spans="2:8" x14ac:dyDescent="0.2">
      <c r="B1107" s="34">
        <v>51899.767999999996</v>
      </c>
      <c r="C1107" s="34">
        <v>159188.995</v>
      </c>
      <c r="D1107" s="34">
        <v>19.344999999999999</v>
      </c>
      <c r="F1107" s="209">
        <f t="shared" si="51"/>
        <v>60049.767999999996</v>
      </c>
      <c r="G1107" s="209">
        <f t="shared" si="52"/>
        <v>363838.995</v>
      </c>
      <c r="H1107" s="209">
        <f t="shared" si="53"/>
        <v>19.344999999999999</v>
      </c>
    </row>
    <row r="1108" spans="2:8" x14ac:dyDescent="0.2">
      <c r="B1108" s="34">
        <v>51903.608999999997</v>
      </c>
      <c r="C1108" s="34">
        <v>159187.88399999999</v>
      </c>
      <c r="D1108" s="34">
        <v>19.356000000000002</v>
      </c>
      <c r="F1108" s="209">
        <f t="shared" si="51"/>
        <v>60053.608999999997</v>
      </c>
      <c r="G1108" s="209">
        <f t="shared" si="52"/>
        <v>363837.88399999996</v>
      </c>
      <c r="H1108" s="209">
        <f t="shared" si="53"/>
        <v>19.356000000000002</v>
      </c>
    </row>
    <row r="1109" spans="2:8" x14ac:dyDescent="0.2">
      <c r="B1109" s="152">
        <v>51910.065000000002</v>
      </c>
      <c r="C1109" s="152">
        <v>159186.02499999999</v>
      </c>
      <c r="D1109" s="152">
        <v>19.356000000000002</v>
      </c>
      <c r="F1109" s="209">
        <f t="shared" si="51"/>
        <v>60060.065000000002</v>
      </c>
      <c r="G1109" s="209">
        <f t="shared" si="52"/>
        <v>363836.02500000002</v>
      </c>
      <c r="H1109" s="209">
        <f t="shared" si="53"/>
        <v>19.356000000000002</v>
      </c>
    </row>
    <row r="1110" spans="2:8" x14ac:dyDescent="0.2">
      <c r="B1110" s="34">
        <v>51885.339</v>
      </c>
      <c r="C1110" s="34">
        <v>159195.73800000001</v>
      </c>
      <c r="D1110" s="34">
        <v>18.782</v>
      </c>
      <c r="F1110" s="209">
        <f t="shared" si="51"/>
        <v>60035.339</v>
      </c>
      <c r="G1110" s="209">
        <f t="shared" si="52"/>
        <v>363845.73800000001</v>
      </c>
      <c r="H1110" s="209">
        <f t="shared" si="53"/>
        <v>18.782</v>
      </c>
    </row>
    <row r="1111" spans="2:8" x14ac:dyDescent="0.2">
      <c r="B1111" s="34">
        <v>51884.959000000003</v>
      </c>
      <c r="C1111" s="34">
        <v>159194.47099999999</v>
      </c>
      <c r="D1111" s="34">
        <v>18.777999999999999</v>
      </c>
      <c r="F1111" s="209">
        <f t="shared" si="51"/>
        <v>60034.959000000003</v>
      </c>
      <c r="G1111" s="209">
        <f t="shared" si="52"/>
        <v>363844.47100000002</v>
      </c>
      <c r="H1111" s="209">
        <f t="shared" si="53"/>
        <v>18.777999999999999</v>
      </c>
    </row>
    <row r="1112" spans="2:8" x14ac:dyDescent="0.2">
      <c r="B1112" s="34">
        <v>51888.116999999998</v>
      </c>
      <c r="C1112" s="34">
        <v>159194.94500000001</v>
      </c>
      <c r="D1112" s="34">
        <v>18.777999999999999</v>
      </c>
      <c r="F1112" s="209">
        <f t="shared" si="51"/>
        <v>60038.116999999998</v>
      </c>
      <c r="G1112" s="209">
        <f t="shared" si="52"/>
        <v>363844.94500000001</v>
      </c>
      <c r="H1112" s="209">
        <f t="shared" si="53"/>
        <v>18.777999999999999</v>
      </c>
    </row>
    <row r="1113" spans="2:8" x14ac:dyDescent="0.2">
      <c r="B1113" s="34">
        <v>51887.803999999996</v>
      </c>
      <c r="C1113" s="34">
        <v>159193.658</v>
      </c>
      <c r="D1113" s="34">
        <v>18.777999999999999</v>
      </c>
      <c r="F1113" s="209">
        <f t="shared" si="51"/>
        <v>60037.803999999996</v>
      </c>
      <c r="G1113" s="209">
        <f t="shared" si="52"/>
        <v>363843.658</v>
      </c>
      <c r="H1113" s="209">
        <f t="shared" si="53"/>
        <v>18.777999999999999</v>
      </c>
    </row>
    <row r="1114" spans="2:8" x14ac:dyDescent="0.2">
      <c r="B1114" s="34">
        <v>51890.968000000001</v>
      </c>
      <c r="C1114" s="34">
        <v>159194.11799999999</v>
      </c>
      <c r="D1114" s="34">
        <v>18.779</v>
      </c>
      <c r="F1114" s="209">
        <f t="shared" si="51"/>
        <v>60040.968000000001</v>
      </c>
      <c r="G1114" s="209">
        <f t="shared" si="52"/>
        <v>363844.11800000002</v>
      </c>
      <c r="H1114" s="209">
        <f t="shared" si="53"/>
        <v>18.779</v>
      </c>
    </row>
    <row r="1115" spans="2:8" x14ac:dyDescent="0.2">
      <c r="B1115" s="34">
        <v>51890.606</v>
      </c>
      <c r="C1115" s="34">
        <v>159192.86199999999</v>
      </c>
      <c r="D1115" s="34">
        <v>18.771999999999998</v>
      </c>
      <c r="F1115" s="209">
        <f t="shared" si="51"/>
        <v>60040.606</v>
      </c>
      <c r="G1115" s="209">
        <f t="shared" si="52"/>
        <v>363842.86199999996</v>
      </c>
      <c r="H1115" s="209">
        <f t="shared" si="53"/>
        <v>18.771999999999998</v>
      </c>
    </row>
    <row r="1116" spans="2:8" x14ac:dyDescent="0.2">
      <c r="B1116" s="34">
        <v>51893.758000000002</v>
      </c>
      <c r="C1116" s="34">
        <v>159193.31599999999</v>
      </c>
      <c r="D1116" s="34">
        <v>18.774000000000001</v>
      </c>
      <c r="F1116" s="209">
        <f t="shared" si="51"/>
        <v>60043.758000000002</v>
      </c>
      <c r="G1116" s="209">
        <f t="shared" si="52"/>
        <v>363843.31599999999</v>
      </c>
      <c r="H1116" s="209">
        <f t="shared" si="53"/>
        <v>18.774000000000001</v>
      </c>
    </row>
    <row r="1117" spans="2:8" x14ac:dyDescent="0.2">
      <c r="B1117" s="34">
        <v>51893.440999999999</v>
      </c>
      <c r="C1117" s="34">
        <v>159192.04199999999</v>
      </c>
      <c r="D1117" s="34">
        <v>18.768000000000001</v>
      </c>
      <c r="F1117" s="209">
        <f t="shared" si="51"/>
        <v>60043.440999999999</v>
      </c>
      <c r="G1117" s="209">
        <f t="shared" si="52"/>
        <v>363842.04200000002</v>
      </c>
      <c r="H1117" s="209">
        <f t="shared" si="53"/>
        <v>18.768000000000001</v>
      </c>
    </row>
    <row r="1118" spans="2:8" x14ac:dyDescent="0.2">
      <c r="B1118" s="34">
        <v>51896.633000000002</v>
      </c>
      <c r="C1118" s="34">
        <v>159192.48699999999</v>
      </c>
      <c r="D1118" s="34">
        <v>18.777000000000001</v>
      </c>
      <c r="F1118" s="209">
        <f t="shared" si="51"/>
        <v>60046.633000000002</v>
      </c>
      <c r="G1118" s="209">
        <f t="shared" si="52"/>
        <v>363842.48699999996</v>
      </c>
      <c r="H1118" s="209">
        <f t="shared" si="53"/>
        <v>18.777000000000001</v>
      </c>
    </row>
    <row r="1119" spans="2:8" x14ac:dyDescent="0.2">
      <c r="B1119" s="34">
        <v>51896.25</v>
      </c>
      <c r="C1119" s="34">
        <v>159191.228</v>
      </c>
      <c r="D1119" s="34">
        <v>18.77</v>
      </c>
      <c r="F1119" s="209">
        <f t="shared" si="51"/>
        <v>60046.25</v>
      </c>
      <c r="G1119" s="209">
        <f t="shared" si="52"/>
        <v>363841.228</v>
      </c>
      <c r="H1119" s="209">
        <f t="shared" si="53"/>
        <v>18.77</v>
      </c>
    </row>
    <row r="1120" spans="2:8" x14ac:dyDescent="0.2">
      <c r="B1120" s="34">
        <v>51899.398999999998</v>
      </c>
      <c r="C1120" s="34">
        <v>159191.701</v>
      </c>
      <c r="D1120" s="34">
        <v>18.777999999999999</v>
      </c>
      <c r="F1120" s="209">
        <f t="shared" si="51"/>
        <v>60049.398999999998</v>
      </c>
      <c r="G1120" s="209">
        <f t="shared" si="52"/>
        <v>363841.701</v>
      </c>
      <c r="H1120" s="209">
        <f t="shared" si="53"/>
        <v>18.777999999999999</v>
      </c>
    </row>
    <row r="1121" spans="2:8" x14ac:dyDescent="0.2">
      <c r="B1121" s="34">
        <v>51899.040999999997</v>
      </c>
      <c r="C1121" s="34">
        <v>159190.43700000001</v>
      </c>
      <c r="D1121" s="34">
        <v>18.771000000000001</v>
      </c>
      <c r="F1121" s="209">
        <f t="shared" si="51"/>
        <v>60049.040999999997</v>
      </c>
      <c r="G1121" s="209">
        <f t="shared" si="52"/>
        <v>363840.43700000003</v>
      </c>
      <c r="H1121" s="209">
        <f t="shared" si="53"/>
        <v>18.771000000000001</v>
      </c>
    </row>
    <row r="1122" spans="2:8" x14ac:dyDescent="0.2">
      <c r="B1122" s="34">
        <v>51902.292999999998</v>
      </c>
      <c r="C1122" s="34">
        <v>159190.889</v>
      </c>
      <c r="D1122" s="34">
        <v>18.779</v>
      </c>
      <c r="F1122" s="209">
        <f t="shared" si="51"/>
        <v>60052.292999999998</v>
      </c>
      <c r="G1122" s="209">
        <f t="shared" si="52"/>
        <v>363840.88899999997</v>
      </c>
      <c r="H1122" s="209">
        <f t="shared" si="53"/>
        <v>18.779</v>
      </c>
    </row>
    <row r="1123" spans="2:8" x14ac:dyDescent="0.2">
      <c r="B1123" s="34">
        <v>51901.989000000001</v>
      </c>
      <c r="C1123" s="34">
        <v>159189.60800000001</v>
      </c>
      <c r="D1123" s="34">
        <v>18.77</v>
      </c>
      <c r="F1123" s="209">
        <f t="shared" si="51"/>
        <v>60051.989000000001</v>
      </c>
      <c r="G1123" s="209">
        <f t="shared" si="52"/>
        <v>363839.60800000001</v>
      </c>
      <c r="H1123" s="209">
        <f t="shared" si="53"/>
        <v>18.77</v>
      </c>
    </row>
    <row r="1124" spans="2:8" x14ac:dyDescent="0.2">
      <c r="B1124" s="34">
        <v>51905.196000000004</v>
      </c>
      <c r="C1124" s="34">
        <v>159190.09899999999</v>
      </c>
      <c r="D1124" s="34">
        <v>18.78</v>
      </c>
      <c r="F1124" s="209">
        <f t="shared" si="51"/>
        <v>60055.196000000004</v>
      </c>
      <c r="G1124" s="209">
        <f t="shared" si="52"/>
        <v>363840.09899999999</v>
      </c>
      <c r="H1124" s="209">
        <f t="shared" si="53"/>
        <v>18.78</v>
      </c>
    </row>
    <row r="1125" spans="2:8" x14ac:dyDescent="0.2">
      <c r="B1125" s="34">
        <v>51904.885000000002</v>
      </c>
      <c r="C1125" s="34">
        <v>159188.80900000001</v>
      </c>
      <c r="D1125" s="34">
        <v>18.771999999999998</v>
      </c>
      <c r="F1125" s="209">
        <f t="shared" si="51"/>
        <v>60054.885000000002</v>
      </c>
      <c r="G1125" s="209">
        <f t="shared" si="52"/>
        <v>363838.80900000001</v>
      </c>
      <c r="H1125" s="209">
        <f t="shared" si="53"/>
        <v>18.771999999999998</v>
      </c>
    </row>
    <row r="1126" spans="2:8" x14ac:dyDescent="0.2">
      <c r="B1126" s="34">
        <v>51907.951999999997</v>
      </c>
      <c r="C1126" s="34">
        <v>159189.36799999999</v>
      </c>
      <c r="D1126" s="34">
        <v>18.785</v>
      </c>
      <c r="F1126" s="209">
        <f t="shared" si="51"/>
        <v>60057.951999999997</v>
      </c>
      <c r="G1126" s="209">
        <f t="shared" si="52"/>
        <v>363839.36800000002</v>
      </c>
      <c r="H1126" s="209">
        <f t="shared" si="53"/>
        <v>18.785</v>
      </c>
    </row>
    <row r="1127" spans="2:8" x14ac:dyDescent="0.2">
      <c r="B1127" s="34">
        <v>51907.578999999998</v>
      </c>
      <c r="C1127" s="34">
        <v>159188.103</v>
      </c>
      <c r="D1127" s="34">
        <v>18.774999999999999</v>
      </c>
      <c r="F1127" s="209">
        <f t="shared" si="51"/>
        <v>60057.578999999998</v>
      </c>
      <c r="G1127" s="209">
        <f t="shared" si="52"/>
        <v>363838.103</v>
      </c>
      <c r="H1127" s="209">
        <f t="shared" si="53"/>
        <v>18.774999999999999</v>
      </c>
    </row>
    <row r="1128" spans="2:8" x14ac:dyDescent="0.2">
      <c r="B1128" s="34">
        <v>51910.963000000003</v>
      </c>
      <c r="C1128" s="34">
        <v>159188.606</v>
      </c>
      <c r="D1128" s="34">
        <v>18.794</v>
      </c>
      <c r="F1128" s="209">
        <f t="shared" si="51"/>
        <v>60060.963000000003</v>
      </c>
      <c r="G1128" s="209">
        <f t="shared" si="52"/>
        <v>363838.60600000003</v>
      </c>
      <c r="H1128" s="209">
        <f t="shared" si="53"/>
        <v>18.794</v>
      </c>
    </row>
    <row r="1129" spans="2:8" x14ac:dyDescent="0.2">
      <c r="B1129" s="34">
        <v>51910.64</v>
      </c>
      <c r="C1129" s="34">
        <v>159187.32800000001</v>
      </c>
      <c r="D1129" s="34">
        <v>18.782</v>
      </c>
      <c r="F1129" s="209">
        <f t="shared" si="51"/>
        <v>60060.639999999999</v>
      </c>
      <c r="G1129" s="209">
        <f t="shared" si="52"/>
        <v>363837.32799999998</v>
      </c>
      <c r="H1129" s="209">
        <f t="shared" si="53"/>
        <v>18.782</v>
      </c>
    </row>
    <row r="1130" spans="2:8" x14ac:dyDescent="0.2">
      <c r="B1130" s="34">
        <v>51913.750999999997</v>
      </c>
      <c r="C1130" s="34">
        <v>159187.92300000001</v>
      </c>
      <c r="D1130" s="34">
        <v>18.808</v>
      </c>
      <c r="F1130" s="209">
        <f t="shared" si="51"/>
        <v>60063.750999999997</v>
      </c>
      <c r="G1130" s="209">
        <f t="shared" si="52"/>
        <v>363837.92300000001</v>
      </c>
      <c r="H1130" s="209">
        <f t="shared" si="53"/>
        <v>18.808</v>
      </c>
    </row>
    <row r="1131" spans="2:8" x14ac:dyDescent="0.2">
      <c r="B1131" s="34">
        <v>51913.421999999999</v>
      </c>
      <c r="C1131" s="34">
        <v>159186.641</v>
      </c>
      <c r="D1131" s="34">
        <v>18.792999999999999</v>
      </c>
      <c r="F1131" s="209">
        <f t="shared" si="51"/>
        <v>60063.421999999999</v>
      </c>
      <c r="G1131" s="209">
        <f t="shared" si="52"/>
        <v>363836.641</v>
      </c>
      <c r="H1131" s="209">
        <f t="shared" si="53"/>
        <v>18.792999999999999</v>
      </c>
    </row>
    <row r="1132" spans="2:8" x14ac:dyDescent="0.2">
      <c r="B1132" s="34">
        <v>51884.538999999997</v>
      </c>
      <c r="C1132" s="34">
        <v>159193.38099999999</v>
      </c>
      <c r="D1132" s="34">
        <v>19.331</v>
      </c>
      <c r="F1132" s="209">
        <f t="shared" si="51"/>
        <v>60034.538999999997</v>
      </c>
      <c r="G1132" s="209">
        <f t="shared" si="52"/>
        <v>363843.38099999999</v>
      </c>
      <c r="H1132" s="209">
        <f t="shared" si="53"/>
        <v>19.331</v>
      </c>
    </row>
    <row r="1133" spans="2:8" x14ac:dyDescent="0.2">
      <c r="B1133" s="34">
        <v>51890.286999999997</v>
      </c>
      <c r="C1133" s="34">
        <v>159191.73000000001</v>
      </c>
      <c r="D1133" s="34">
        <v>19.321999999999999</v>
      </c>
      <c r="F1133" s="209">
        <f t="shared" si="51"/>
        <v>60040.286999999997</v>
      </c>
      <c r="G1133" s="209">
        <f t="shared" si="52"/>
        <v>363841.73</v>
      </c>
      <c r="H1133" s="209">
        <f t="shared" si="53"/>
        <v>19.321999999999999</v>
      </c>
    </row>
    <row r="1134" spans="2:8" x14ac:dyDescent="0.2">
      <c r="B1134" s="34">
        <v>51895.921999999999</v>
      </c>
      <c r="C1134" s="34">
        <v>159190.10200000001</v>
      </c>
      <c r="D1134" s="34">
        <v>19.334</v>
      </c>
      <c r="F1134" s="209">
        <f t="shared" si="51"/>
        <v>60045.921999999999</v>
      </c>
      <c r="G1134" s="209">
        <f t="shared" si="52"/>
        <v>363840.10200000001</v>
      </c>
      <c r="H1134" s="209">
        <f t="shared" si="53"/>
        <v>19.334</v>
      </c>
    </row>
    <row r="1135" spans="2:8" x14ac:dyDescent="0.2">
      <c r="B1135" s="34">
        <v>51899.767999999996</v>
      </c>
      <c r="C1135" s="34">
        <v>159188.995</v>
      </c>
      <c r="D1135" s="34">
        <v>19.344999999999999</v>
      </c>
      <c r="F1135" s="209">
        <f t="shared" si="51"/>
        <v>60049.767999999996</v>
      </c>
      <c r="G1135" s="209">
        <f t="shared" si="52"/>
        <v>363838.995</v>
      </c>
      <c r="H1135" s="209">
        <f t="shared" si="53"/>
        <v>19.344999999999999</v>
      </c>
    </row>
    <row r="1136" spans="2:8" x14ac:dyDescent="0.2">
      <c r="B1136" s="34">
        <v>51903.608999999997</v>
      </c>
      <c r="C1136" s="34">
        <v>159187.88399999999</v>
      </c>
      <c r="D1136" s="34">
        <v>19.356000000000002</v>
      </c>
      <c r="F1136" s="209">
        <f t="shared" si="51"/>
        <v>60053.608999999997</v>
      </c>
      <c r="G1136" s="209">
        <f t="shared" si="52"/>
        <v>363837.88399999996</v>
      </c>
      <c r="H1136" s="209">
        <f t="shared" si="53"/>
        <v>19.356000000000002</v>
      </c>
    </row>
    <row r="1137" spans="2:8" x14ac:dyDescent="0.2">
      <c r="B1137" s="152">
        <v>51910.065000000002</v>
      </c>
      <c r="C1137" s="152">
        <v>159186.02499999999</v>
      </c>
      <c r="D1137" s="152">
        <v>19.356000000000002</v>
      </c>
      <c r="F1137" s="209">
        <f t="shared" si="51"/>
        <v>60060.065000000002</v>
      </c>
      <c r="G1137" s="209">
        <f t="shared" si="52"/>
        <v>363836.02500000002</v>
      </c>
      <c r="H1137" s="209">
        <f t="shared" si="53"/>
        <v>19.356000000000002</v>
      </c>
    </row>
    <row r="1138" spans="2:8" x14ac:dyDescent="0.2">
      <c r="B1138" s="34">
        <v>51885.339</v>
      </c>
      <c r="C1138" s="34">
        <v>159195.73800000001</v>
      </c>
      <c r="D1138" s="34">
        <v>18.782</v>
      </c>
      <c r="F1138" s="209">
        <f t="shared" si="51"/>
        <v>60035.339</v>
      </c>
      <c r="G1138" s="209">
        <f t="shared" si="52"/>
        <v>363845.73800000001</v>
      </c>
      <c r="H1138" s="209">
        <f t="shared" si="53"/>
        <v>18.782</v>
      </c>
    </row>
    <row r="1139" spans="2:8" x14ac:dyDescent="0.2">
      <c r="B1139" s="34">
        <v>51884.959000000003</v>
      </c>
      <c r="C1139" s="34">
        <v>159194.47099999999</v>
      </c>
      <c r="D1139" s="34">
        <v>18.777999999999999</v>
      </c>
      <c r="F1139" s="209">
        <f t="shared" si="51"/>
        <v>60034.959000000003</v>
      </c>
      <c r="G1139" s="209">
        <f t="shared" si="52"/>
        <v>363844.47100000002</v>
      </c>
      <c r="H1139" s="209">
        <f t="shared" si="53"/>
        <v>18.777999999999999</v>
      </c>
    </row>
    <row r="1140" spans="2:8" x14ac:dyDescent="0.2">
      <c r="B1140" s="34">
        <v>51888.116999999998</v>
      </c>
      <c r="C1140" s="34">
        <v>159194.94500000001</v>
      </c>
      <c r="D1140" s="34">
        <v>18.777999999999999</v>
      </c>
      <c r="F1140" s="209">
        <f t="shared" si="51"/>
        <v>60038.116999999998</v>
      </c>
      <c r="G1140" s="209">
        <f t="shared" si="52"/>
        <v>363844.94500000001</v>
      </c>
      <c r="H1140" s="209">
        <f t="shared" si="53"/>
        <v>18.777999999999999</v>
      </c>
    </row>
    <row r="1141" spans="2:8" x14ac:dyDescent="0.2">
      <c r="B1141" s="34">
        <v>51887.803999999996</v>
      </c>
      <c r="C1141" s="34">
        <v>159193.65700000001</v>
      </c>
      <c r="D1141" s="34">
        <v>18.777999999999999</v>
      </c>
      <c r="F1141" s="209">
        <f t="shared" si="51"/>
        <v>60037.803999999996</v>
      </c>
      <c r="G1141" s="209">
        <f t="shared" si="52"/>
        <v>363843.65700000001</v>
      </c>
      <c r="H1141" s="209">
        <f t="shared" si="53"/>
        <v>18.777999999999999</v>
      </c>
    </row>
    <row r="1142" spans="2:8" x14ac:dyDescent="0.2">
      <c r="B1142" s="34">
        <v>51890.968000000001</v>
      </c>
      <c r="C1142" s="34">
        <v>159194.11799999999</v>
      </c>
      <c r="D1142" s="34">
        <v>18.779</v>
      </c>
      <c r="F1142" s="209">
        <f t="shared" si="51"/>
        <v>60040.968000000001</v>
      </c>
      <c r="G1142" s="209">
        <f t="shared" si="52"/>
        <v>363844.11800000002</v>
      </c>
      <c r="H1142" s="209">
        <f t="shared" si="53"/>
        <v>18.779</v>
      </c>
    </row>
    <row r="1143" spans="2:8" x14ac:dyDescent="0.2">
      <c r="B1143" s="34">
        <v>51890.606</v>
      </c>
      <c r="C1143" s="34">
        <v>159192.86199999999</v>
      </c>
      <c r="D1143" s="34">
        <v>18.771999999999998</v>
      </c>
      <c r="F1143" s="209">
        <f t="shared" si="51"/>
        <v>60040.606</v>
      </c>
      <c r="G1143" s="209">
        <f t="shared" si="52"/>
        <v>363842.86199999996</v>
      </c>
      <c r="H1143" s="209">
        <f t="shared" si="53"/>
        <v>18.771999999999998</v>
      </c>
    </row>
    <row r="1144" spans="2:8" x14ac:dyDescent="0.2">
      <c r="B1144" s="34">
        <v>51893.758000000002</v>
      </c>
      <c r="C1144" s="34">
        <v>159193.31599999999</v>
      </c>
      <c r="D1144" s="34">
        <v>18.774000000000001</v>
      </c>
      <c r="F1144" s="209">
        <f t="shared" si="51"/>
        <v>60043.758000000002</v>
      </c>
      <c r="G1144" s="209">
        <f t="shared" si="52"/>
        <v>363843.31599999999</v>
      </c>
      <c r="H1144" s="209">
        <f t="shared" si="53"/>
        <v>18.774000000000001</v>
      </c>
    </row>
    <row r="1145" spans="2:8" x14ac:dyDescent="0.2">
      <c r="B1145" s="34">
        <v>51893.440999999999</v>
      </c>
      <c r="C1145" s="34">
        <v>159192.04199999999</v>
      </c>
      <c r="D1145" s="34">
        <v>18.768000000000001</v>
      </c>
      <c r="F1145" s="209">
        <f t="shared" si="51"/>
        <v>60043.440999999999</v>
      </c>
      <c r="G1145" s="209">
        <f t="shared" si="52"/>
        <v>363842.04200000002</v>
      </c>
      <c r="H1145" s="209">
        <f t="shared" si="53"/>
        <v>18.768000000000001</v>
      </c>
    </row>
    <row r="1146" spans="2:8" x14ac:dyDescent="0.2">
      <c r="B1146" s="34">
        <v>51896.633000000002</v>
      </c>
      <c r="C1146" s="34">
        <v>159192.48699999999</v>
      </c>
      <c r="D1146" s="34">
        <v>18.777000000000001</v>
      </c>
      <c r="F1146" s="209">
        <f t="shared" si="51"/>
        <v>60046.633000000002</v>
      </c>
      <c r="G1146" s="209">
        <f t="shared" si="52"/>
        <v>363842.48699999996</v>
      </c>
      <c r="H1146" s="209">
        <f t="shared" si="53"/>
        <v>18.777000000000001</v>
      </c>
    </row>
    <row r="1147" spans="2:8" x14ac:dyDescent="0.2">
      <c r="B1147" s="34">
        <v>51896.249000000003</v>
      </c>
      <c r="C1147" s="34">
        <v>159191.228</v>
      </c>
      <c r="D1147" s="34">
        <v>18.77</v>
      </c>
      <c r="F1147" s="209">
        <f t="shared" si="51"/>
        <v>60046.249000000003</v>
      </c>
      <c r="G1147" s="209">
        <f t="shared" si="52"/>
        <v>363841.228</v>
      </c>
      <c r="H1147" s="209">
        <f t="shared" si="53"/>
        <v>18.77</v>
      </c>
    </row>
    <row r="1148" spans="2:8" x14ac:dyDescent="0.2">
      <c r="B1148" s="34">
        <v>51899.398999999998</v>
      </c>
      <c r="C1148" s="34">
        <v>159191.70000000001</v>
      </c>
      <c r="D1148" s="34">
        <v>18.777999999999999</v>
      </c>
      <c r="F1148" s="209">
        <f t="shared" si="51"/>
        <v>60049.398999999998</v>
      </c>
      <c r="G1148" s="209">
        <f t="shared" si="52"/>
        <v>363841.7</v>
      </c>
      <c r="H1148" s="209">
        <f t="shared" si="53"/>
        <v>18.777999999999999</v>
      </c>
    </row>
    <row r="1149" spans="2:8" x14ac:dyDescent="0.2">
      <c r="B1149" s="34">
        <v>51899.040999999997</v>
      </c>
      <c r="C1149" s="34">
        <v>159190.43700000001</v>
      </c>
      <c r="D1149" s="34">
        <v>18.771000000000001</v>
      </c>
      <c r="F1149" s="209">
        <f t="shared" si="51"/>
        <v>60049.040999999997</v>
      </c>
      <c r="G1149" s="209">
        <f t="shared" si="52"/>
        <v>363840.43700000003</v>
      </c>
      <c r="H1149" s="209">
        <f t="shared" si="53"/>
        <v>18.771000000000001</v>
      </c>
    </row>
    <row r="1150" spans="2:8" x14ac:dyDescent="0.2">
      <c r="B1150" s="34">
        <v>51902.292999999998</v>
      </c>
      <c r="C1150" s="34">
        <v>159190.889</v>
      </c>
      <c r="D1150" s="34">
        <v>18.777999999999999</v>
      </c>
      <c r="F1150" s="209">
        <f t="shared" si="51"/>
        <v>60052.292999999998</v>
      </c>
      <c r="G1150" s="209">
        <f t="shared" si="52"/>
        <v>363840.88899999997</v>
      </c>
      <c r="H1150" s="209">
        <f t="shared" si="53"/>
        <v>18.777999999999999</v>
      </c>
    </row>
    <row r="1151" spans="2:8" x14ac:dyDescent="0.2">
      <c r="B1151" s="34">
        <v>51901.989000000001</v>
      </c>
      <c r="C1151" s="34">
        <v>159189.60699999999</v>
      </c>
      <c r="D1151" s="34">
        <v>18.768999999999998</v>
      </c>
      <c r="F1151" s="209">
        <f t="shared" si="51"/>
        <v>60051.989000000001</v>
      </c>
      <c r="G1151" s="209">
        <f t="shared" si="52"/>
        <v>363839.60699999996</v>
      </c>
      <c r="H1151" s="209">
        <f t="shared" si="53"/>
        <v>18.768999999999998</v>
      </c>
    </row>
    <row r="1152" spans="2:8" x14ac:dyDescent="0.2">
      <c r="B1152" s="34">
        <v>51905.196000000004</v>
      </c>
      <c r="C1152" s="34">
        <v>159190.09899999999</v>
      </c>
      <c r="D1152" s="34">
        <v>18.78</v>
      </c>
      <c r="F1152" s="209">
        <f t="shared" si="51"/>
        <v>60055.196000000004</v>
      </c>
      <c r="G1152" s="209">
        <f t="shared" si="52"/>
        <v>363840.09899999999</v>
      </c>
      <c r="H1152" s="209">
        <f t="shared" si="53"/>
        <v>18.78</v>
      </c>
    </row>
    <row r="1153" spans="2:8" x14ac:dyDescent="0.2">
      <c r="B1153" s="34">
        <v>51904.885000000002</v>
      </c>
      <c r="C1153" s="34">
        <v>159188.80900000001</v>
      </c>
      <c r="D1153" s="34">
        <v>18.771999999999998</v>
      </c>
      <c r="F1153" s="209">
        <f t="shared" si="51"/>
        <v>60054.885000000002</v>
      </c>
      <c r="G1153" s="209">
        <f t="shared" si="52"/>
        <v>363838.80900000001</v>
      </c>
      <c r="H1153" s="209">
        <f t="shared" si="53"/>
        <v>18.771999999999998</v>
      </c>
    </row>
    <row r="1154" spans="2:8" x14ac:dyDescent="0.2">
      <c r="B1154" s="34">
        <v>51907.951999999997</v>
      </c>
      <c r="C1154" s="34">
        <v>159189.367</v>
      </c>
      <c r="D1154" s="34">
        <v>18.785</v>
      </c>
      <c r="F1154" s="209">
        <f t="shared" si="51"/>
        <v>60057.951999999997</v>
      </c>
      <c r="G1154" s="209">
        <f t="shared" si="52"/>
        <v>363839.36699999997</v>
      </c>
      <c r="H1154" s="209">
        <f t="shared" si="53"/>
        <v>18.785</v>
      </c>
    </row>
    <row r="1155" spans="2:8" x14ac:dyDescent="0.2">
      <c r="B1155" s="34">
        <v>51907.578999999998</v>
      </c>
      <c r="C1155" s="34">
        <v>159188.103</v>
      </c>
      <c r="D1155" s="34">
        <v>18.774999999999999</v>
      </c>
      <c r="F1155" s="209">
        <f t="shared" si="51"/>
        <v>60057.578999999998</v>
      </c>
      <c r="G1155" s="209">
        <f t="shared" si="52"/>
        <v>363838.103</v>
      </c>
      <c r="H1155" s="209">
        <f t="shared" si="53"/>
        <v>18.774999999999999</v>
      </c>
    </row>
    <row r="1156" spans="2:8" x14ac:dyDescent="0.2">
      <c r="B1156" s="34">
        <v>51910.963000000003</v>
      </c>
      <c r="C1156" s="34">
        <v>159188.606</v>
      </c>
      <c r="D1156" s="34">
        <v>18.794</v>
      </c>
      <c r="F1156" s="209">
        <f t="shared" ref="F1156:F1219" si="54">B1156+$B$1</f>
        <v>60060.963000000003</v>
      </c>
      <c r="G1156" s="209">
        <f t="shared" ref="G1156:G1219" si="55">C1156+$C$1</f>
        <v>363838.60600000003</v>
      </c>
      <c r="H1156" s="209">
        <f t="shared" ref="H1156:H1219" si="56">D1156+$D$1</f>
        <v>18.794</v>
      </c>
    </row>
    <row r="1157" spans="2:8" x14ac:dyDescent="0.2">
      <c r="B1157" s="34">
        <v>51910.64</v>
      </c>
      <c r="C1157" s="34">
        <v>159187.32699999999</v>
      </c>
      <c r="D1157" s="34">
        <v>18.782</v>
      </c>
      <c r="F1157" s="209">
        <f t="shared" si="54"/>
        <v>60060.639999999999</v>
      </c>
      <c r="G1157" s="209">
        <f t="shared" si="55"/>
        <v>363837.32699999999</v>
      </c>
      <c r="H1157" s="209">
        <f t="shared" si="56"/>
        <v>18.782</v>
      </c>
    </row>
    <row r="1158" spans="2:8" x14ac:dyDescent="0.2">
      <c r="B1158" s="34">
        <v>51913.750999999997</v>
      </c>
      <c r="C1158" s="34">
        <v>159187.92199999999</v>
      </c>
      <c r="D1158" s="34">
        <v>18.808</v>
      </c>
      <c r="F1158" s="209">
        <f t="shared" si="54"/>
        <v>60063.750999999997</v>
      </c>
      <c r="G1158" s="209">
        <f t="shared" si="55"/>
        <v>363837.92200000002</v>
      </c>
      <c r="H1158" s="209">
        <f t="shared" si="56"/>
        <v>18.808</v>
      </c>
    </row>
    <row r="1159" spans="2:8" x14ac:dyDescent="0.2">
      <c r="B1159" s="34">
        <v>51913.421999999999</v>
      </c>
      <c r="C1159" s="34">
        <v>159186.641</v>
      </c>
      <c r="D1159" s="34">
        <v>18.792999999999999</v>
      </c>
      <c r="F1159" s="209">
        <f t="shared" si="54"/>
        <v>60063.421999999999</v>
      </c>
      <c r="G1159" s="209">
        <f t="shared" si="55"/>
        <v>363836.641</v>
      </c>
      <c r="H1159" s="209">
        <f t="shared" si="56"/>
        <v>18.792999999999999</v>
      </c>
    </row>
    <row r="1160" spans="2:8" x14ac:dyDescent="0.2">
      <c r="B1160" s="34">
        <v>51884.538999999997</v>
      </c>
      <c r="C1160" s="34">
        <v>159193.38099999999</v>
      </c>
      <c r="D1160" s="34">
        <v>19.331</v>
      </c>
      <c r="F1160" s="209">
        <f t="shared" si="54"/>
        <v>60034.538999999997</v>
      </c>
      <c r="G1160" s="209">
        <f t="shared" si="55"/>
        <v>363843.38099999999</v>
      </c>
      <c r="H1160" s="209">
        <f t="shared" si="56"/>
        <v>19.331</v>
      </c>
    </row>
    <row r="1161" spans="2:8" x14ac:dyDescent="0.2">
      <c r="B1161" s="34">
        <v>51890.286999999997</v>
      </c>
      <c r="C1161" s="34">
        <v>159191.73000000001</v>
      </c>
      <c r="D1161" s="34">
        <v>19.321000000000002</v>
      </c>
      <c r="F1161" s="209">
        <f t="shared" si="54"/>
        <v>60040.286999999997</v>
      </c>
      <c r="G1161" s="209">
        <f t="shared" si="55"/>
        <v>363841.73</v>
      </c>
      <c r="H1161" s="209">
        <f t="shared" si="56"/>
        <v>19.321000000000002</v>
      </c>
    </row>
    <row r="1162" spans="2:8" x14ac:dyDescent="0.2">
      <c r="B1162" s="34">
        <v>51895.921999999999</v>
      </c>
      <c r="C1162" s="34">
        <v>159190.101</v>
      </c>
      <c r="D1162" s="34">
        <v>19.334</v>
      </c>
      <c r="F1162" s="209">
        <f t="shared" si="54"/>
        <v>60045.921999999999</v>
      </c>
      <c r="G1162" s="209">
        <f t="shared" si="55"/>
        <v>363840.10100000002</v>
      </c>
      <c r="H1162" s="209">
        <f t="shared" si="56"/>
        <v>19.334</v>
      </c>
    </row>
    <row r="1163" spans="2:8" x14ac:dyDescent="0.2">
      <c r="B1163" s="34">
        <v>51899.767999999996</v>
      </c>
      <c r="C1163" s="34">
        <v>159188.995</v>
      </c>
      <c r="D1163" s="34">
        <v>19.344999999999999</v>
      </c>
      <c r="F1163" s="209">
        <f t="shared" si="54"/>
        <v>60049.767999999996</v>
      </c>
      <c r="G1163" s="209">
        <f t="shared" si="55"/>
        <v>363838.995</v>
      </c>
      <c r="H1163" s="209">
        <f t="shared" si="56"/>
        <v>19.344999999999999</v>
      </c>
    </row>
    <row r="1164" spans="2:8" x14ac:dyDescent="0.2">
      <c r="B1164" s="34">
        <v>51903.608999999997</v>
      </c>
      <c r="C1164" s="34">
        <v>159187.88399999999</v>
      </c>
      <c r="D1164" s="34">
        <v>19.356000000000002</v>
      </c>
      <c r="F1164" s="209">
        <f t="shared" si="54"/>
        <v>60053.608999999997</v>
      </c>
      <c r="G1164" s="209">
        <f t="shared" si="55"/>
        <v>363837.88399999996</v>
      </c>
      <c r="H1164" s="209">
        <f t="shared" si="56"/>
        <v>19.356000000000002</v>
      </c>
    </row>
    <row r="1165" spans="2:8" x14ac:dyDescent="0.2">
      <c r="B1165" s="152">
        <v>51910.065000000002</v>
      </c>
      <c r="C1165" s="152">
        <v>159186.02499999999</v>
      </c>
      <c r="D1165" s="152">
        <v>19.356000000000002</v>
      </c>
      <c r="F1165" s="209">
        <f t="shared" si="54"/>
        <v>60060.065000000002</v>
      </c>
      <c r="G1165" s="209">
        <f t="shared" si="55"/>
        <v>363836.02500000002</v>
      </c>
      <c r="H1165" s="209">
        <f t="shared" si="56"/>
        <v>19.356000000000002</v>
      </c>
    </row>
    <row r="1166" spans="2:8" x14ac:dyDescent="0.2">
      <c r="B1166" s="34">
        <v>51885.339</v>
      </c>
      <c r="C1166" s="34">
        <v>159195.73800000001</v>
      </c>
      <c r="D1166" s="34">
        <v>18.782</v>
      </c>
      <c r="F1166" s="209">
        <f t="shared" si="54"/>
        <v>60035.339</v>
      </c>
      <c r="G1166" s="209">
        <f t="shared" si="55"/>
        <v>363845.73800000001</v>
      </c>
      <c r="H1166" s="209">
        <f t="shared" si="56"/>
        <v>18.782</v>
      </c>
    </row>
    <row r="1167" spans="2:8" x14ac:dyDescent="0.2">
      <c r="B1167" s="34">
        <v>51884.957999999999</v>
      </c>
      <c r="C1167" s="34">
        <v>159194.47099999999</v>
      </c>
      <c r="D1167" s="34">
        <v>18.777999999999999</v>
      </c>
      <c r="F1167" s="209">
        <f t="shared" si="54"/>
        <v>60034.957999999999</v>
      </c>
      <c r="G1167" s="209">
        <f t="shared" si="55"/>
        <v>363844.47100000002</v>
      </c>
      <c r="H1167" s="209">
        <f t="shared" si="56"/>
        <v>18.777999999999999</v>
      </c>
    </row>
    <row r="1168" spans="2:8" x14ac:dyDescent="0.2">
      <c r="B1168" s="34">
        <v>51888.116999999998</v>
      </c>
      <c r="C1168" s="34">
        <v>159194.94500000001</v>
      </c>
      <c r="D1168" s="34">
        <v>18.777999999999999</v>
      </c>
      <c r="F1168" s="209">
        <f t="shared" si="54"/>
        <v>60038.116999999998</v>
      </c>
      <c r="G1168" s="209">
        <f t="shared" si="55"/>
        <v>363844.94500000001</v>
      </c>
      <c r="H1168" s="209">
        <f t="shared" si="56"/>
        <v>18.777999999999999</v>
      </c>
    </row>
    <row r="1169" spans="2:8" x14ac:dyDescent="0.2">
      <c r="B1169" s="34">
        <v>51887.803999999996</v>
      </c>
      <c r="C1169" s="34">
        <v>159193.65700000001</v>
      </c>
      <c r="D1169" s="34">
        <v>18.777999999999999</v>
      </c>
      <c r="F1169" s="209">
        <f t="shared" si="54"/>
        <v>60037.803999999996</v>
      </c>
      <c r="G1169" s="209">
        <f t="shared" si="55"/>
        <v>363843.65700000001</v>
      </c>
      <c r="H1169" s="209">
        <f t="shared" si="56"/>
        <v>18.777999999999999</v>
      </c>
    </row>
    <row r="1170" spans="2:8" x14ac:dyDescent="0.2">
      <c r="B1170" s="34">
        <v>51890.968000000001</v>
      </c>
      <c r="C1170" s="34">
        <v>159194.11799999999</v>
      </c>
      <c r="D1170" s="34">
        <v>18.777999999999999</v>
      </c>
      <c r="F1170" s="209">
        <f t="shared" si="54"/>
        <v>60040.968000000001</v>
      </c>
      <c r="G1170" s="209">
        <f t="shared" si="55"/>
        <v>363844.11800000002</v>
      </c>
      <c r="H1170" s="209">
        <f t="shared" si="56"/>
        <v>18.777999999999999</v>
      </c>
    </row>
    <row r="1171" spans="2:8" x14ac:dyDescent="0.2">
      <c r="B1171" s="34">
        <v>51890.606</v>
      </c>
      <c r="C1171" s="34">
        <v>159192.86199999999</v>
      </c>
      <c r="D1171" s="34">
        <v>18.771000000000001</v>
      </c>
      <c r="F1171" s="209">
        <f t="shared" si="54"/>
        <v>60040.606</v>
      </c>
      <c r="G1171" s="209">
        <f t="shared" si="55"/>
        <v>363842.86199999996</v>
      </c>
      <c r="H1171" s="209">
        <f t="shared" si="56"/>
        <v>18.771000000000001</v>
      </c>
    </row>
    <row r="1172" spans="2:8" x14ac:dyDescent="0.2">
      <c r="B1172" s="34">
        <v>51893.758000000002</v>
      </c>
      <c r="C1172" s="34">
        <v>159193.31599999999</v>
      </c>
      <c r="D1172" s="34">
        <v>18.773</v>
      </c>
      <c r="F1172" s="209">
        <f t="shared" si="54"/>
        <v>60043.758000000002</v>
      </c>
      <c r="G1172" s="209">
        <f t="shared" si="55"/>
        <v>363843.31599999999</v>
      </c>
      <c r="H1172" s="209">
        <f t="shared" si="56"/>
        <v>18.773</v>
      </c>
    </row>
    <row r="1173" spans="2:8" x14ac:dyDescent="0.2">
      <c r="B1173" s="34">
        <v>51893.440999999999</v>
      </c>
      <c r="C1173" s="34">
        <v>159192.04199999999</v>
      </c>
      <c r="D1173" s="34">
        <v>18.768000000000001</v>
      </c>
      <c r="F1173" s="209">
        <f t="shared" si="54"/>
        <v>60043.440999999999</v>
      </c>
      <c r="G1173" s="209">
        <f t="shared" si="55"/>
        <v>363842.04200000002</v>
      </c>
      <c r="H1173" s="209">
        <f t="shared" si="56"/>
        <v>18.768000000000001</v>
      </c>
    </row>
    <row r="1174" spans="2:8" x14ac:dyDescent="0.2">
      <c r="B1174" s="34">
        <v>51896.633000000002</v>
      </c>
      <c r="C1174" s="34">
        <v>159192.486</v>
      </c>
      <c r="D1174" s="34">
        <v>18.777000000000001</v>
      </c>
      <c r="F1174" s="209">
        <f t="shared" si="54"/>
        <v>60046.633000000002</v>
      </c>
      <c r="G1174" s="209">
        <f t="shared" si="55"/>
        <v>363842.48600000003</v>
      </c>
      <c r="H1174" s="209">
        <f t="shared" si="56"/>
        <v>18.777000000000001</v>
      </c>
    </row>
    <row r="1175" spans="2:8" x14ac:dyDescent="0.2">
      <c r="B1175" s="34">
        <v>51896.249000000003</v>
      </c>
      <c r="C1175" s="34">
        <v>159191.228</v>
      </c>
      <c r="D1175" s="34">
        <v>18.77</v>
      </c>
      <c r="F1175" s="209">
        <f t="shared" si="54"/>
        <v>60046.249000000003</v>
      </c>
      <c r="G1175" s="209">
        <f t="shared" si="55"/>
        <v>363841.228</v>
      </c>
      <c r="H1175" s="209">
        <f t="shared" si="56"/>
        <v>18.77</v>
      </c>
    </row>
    <row r="1176" spans="2:8" x14ac:dyDescent="0.2">
      <c r="B1176" s="34">
        <v>51899.398000000001</v>
      </c>
      <c r="C1176" s="34">
        <v>159191.70000000001</v>
      </c>
      <c r="D1176" s="34">
        <v>18.777999999999999</v>
      </c>
      <c r="F1176" s="209">
        <f t="shared" si="54"/>
        <v>60049.398000000001</v>
      </c>
      <c r="G1176" s="209">
        <f t="shared" si="55"/>
        <v>363841.7</v>
      </c>
      <c r="H1176" s="209">
        <f t="shared" si="56"/>
        <v>18.777999999999999</v>
      </c>
    </row>
    <row r="1177" spans="2:8" x14ac:dyDescent="0.2">
      <c r="B1177" s="34">
        <v>51899.040999999997</v>
      </c>
      <c r="C1177" s="34">
        <v>159190.43599999999</v>
      </c>
      <c r="D1177" s="34">
        <v>18.771000000000001</v>
      </c>
      <c r="F1177" s="209">
        <f t="shared" si="54"/>
        <v>60049.040999999997</v>
      </c>
      <c r="G1177" s="209">
        <f t="shared" si="55"/>
        <v>363840.43599999999</v>
      </c>
      <c r="H1177" s="209">
        <f t="shared" si="56"/>
        <v>18.771000000000001</v>
      </c>
    </row>
    <row r="1178" spans="2:8" x14ac:dyDescent="0.2">
      <c r="B1178" s="34">
        <v>51902.292999999998</v>
      </c>
      <c r="C1178" s="34">
        <v>159190.88800000001</v>
      </c>
      <c r="D1178" s="34">
        <v>18.777999999999999</v>
      </c>
      <c r="F1178" s="209">
        <f t="shared" si="54"/>
        <v>60052.292999999998</v>
      </c>
      <c r="G1178" s="209">
        <f t="shared" si="55"/>
        <v>363840.88800000004</v>
      </c>
      <c r="H1178" s="209">
        <f t="shared" si="56"/>
        <v>18.777999999999999</v>
      </c>
    </row>
    <row r="1179" spans="2:8" x14ac:dyDescent="0.2">
      <c r="B1179" s="34">
        <v>51901.989000000001</v>
      </c>
      <c r="C1179" s="34">
        <v>159189.60699999999</v>
      </c>
      <c r="D1179" s="34">
        <v>18.768999999999998</v>
      </c>
      <c r="F1179" s="209">
        <f t="shared" si="54"/>
        <v>60051.989000000001</v>
      </c>
      <c r="G1179" s="209">
        <f t="shared" si="55"/>
        <v>363839.60699999996</v>
      </c>
      <c r="H1179" s="209">
        <f t="shared" si="56"/>
        <v>18.768999999999998</v>
      </c>
    </row>
    <row r="1180" spans="2:8" x14ac:dyDescent="0.2">
      <c r="B1180" s="34">
        <v>51905.196000000004</v>
      </c>
      <c r="C1180" s="34">
        <v>159190.09899999999</v>
      </c>
      <c r="D1180" s="34">
        <v>18.78</v>
      </c>
      <c r="F1180" s="209">
        <f t="shared" si="54"/>
        <v>60055.196000000004</v>
      </c>
      <c r="G1180" s="209">
        <f t="shared" si="55"/>
        <v>363840.09899999999</v>
      </c>
      <c r="H1180" s="209">
        <f t="shared" si="56"/>
        <v>18.78</v>
      </c>
    </row>
    <row r="1181" spans="2:8" x14ac:dyDescent="0.2">
      <c r="B1181" s="34">
        <v>51904.885000000002</v>
      </c>
      <c r="C1181" s="34">
        <v>159188.80900000001</v>
      </c>
      <c r="D1181" s="34">
        <v>18.771999999999998</v>
      </c>
      <c r="F1181" s="209">
        <f t="shared" si="54"/>
        <v>60054.885000000002</v>
      </c>
      <c r="G1181" s="209">
        <f t="shared" si="55"/>
        <v>363838.80900000001</v>
      </c>
      <c r="H1181" s="209">
        <f t="shared" si="56"/>
        <v>18.771999999999998</v>
      </c>
    </row>
    <row r="1182" spans="2:8" x14ac:dyDescent="0.2">
      <c r="B1182" s="34">
        <v>51907.951999999997</v>
      </c>
      <c r="C1182" s="34">
        <v>159189.367</v>
      </c>
      <c r="D1182" s="34">
        <v>18.785</v>
      </c>
      <c r="F1182" s="209">
        <f t="shared" si="54"/>
        <v>60057.951999999997</v>
      </c>
      <c r="G1182" s="209">
        <f t="shared" si="55"/>
        <v>363839.36699999997</v>
      </c>
      <c r="H1182" s="209">
        <f t="shared" si="56"/>
        <v>18.785</v>
      </c>
    </row>
    <row r="1183" spans="2:8" x14ac:dyDescent="0.2">
      <c r="B1183" s="34">
        <v>51907.578999999998</v>
      </c>
      <c r="C1183" s="34">
        <v>159188.103</v>
      </c>
      <c r="D1183" s="34">
        <v>18.774999999999999</v>
      </c>
      <c r="F1183" s="209">
        <f t="shared" si="54"/>
        <v>60057.578999999998</v>
      </c>
      <c r="G1183" s="209">
        <f t="shared" si="55"/>
        <v>363838.103</v>
      </c>
      <c r="H1183" s="209">
        <f t="shared" si="56"/>
        <v>18.774999999999999</v>
      </c>
    </row>
    <row r="1184" spans="2:8" x14ac:dyDescent="0.2">
      <c r="B1184" s="34">
        <v>51910.963000000003</v>
      </c>
      <c r="C1184" s="34">
        <v>159188.606</v>
      </c>
      <c r="D1184" s="34">
        <v>18.792999999999999</v>
      </c>
      <c r="F1184" s="209">
        <f t="shared" si="54"/>
        <v>60060.963000000003</v>
      </c>
      <c r="G1184" s="209">
        <f t="shared" si="55"/>
        <v>363838.60600000003</v>
      </c>
      <c r="H1184" s="209">
        <f t="shared" si="56"/>
        <v>18.792999999999999</v>
      </c>
    </row>
    <row r="1185" spans="2:8" x14ac:dyDescent="0.2">
      <c r="B1185" s="34">
        <v>51910.64</v>
      </c>
      <c r="C1185" s="34">
        <v>159187.32699999999</v>
      </c>
      <c r="D1185" s="34">
        <v>18.782</v>
      </c>
      <c r="F1185" s="209">
        <f t="shared" si="54"/>
        <v>60060.639999999999</v>
      </c>
      <c r="G1185" s="209">
        <f t="shared" si="55"/>
        <v>363837.32699999999</v>
      </c>
      <c r="H1185" s="209">
        <f t="shared" si="56"/>
        <v>18.782</v>
      </c>
    </row>
    <row r="1186" spans="2:8" x14ac:dyDescent="0.2">
      <c r="B1186" s="34">
        <v>51913.75</v>
      </c>
      <c r="C1186" s="34">
        <v>159187.92300000001</v>
      </c>
      <c r="D1186" s="34">
        <v>18.808</v>
      </c>
      <c r="F1186" s="209">
        <f t="shared" si="54"/>
        <v>60063.75</v>
      </c>
      <c r="G1186" s="209">
        <f t="shared" si="55"/>
        <v>363837.92300000001</v>
      </c>
      <c r="H1186" s="209">
        <f t="shared" si="56"/>
        <v>18.808</v>
      </c>
    </row>
    <row r="1187" spans="2:8" x14ac:dyDescent="0.2">
      <c r="B1187" s="34">
        <v>51913.421999999999</v>
      </c>
      <c r="C1187" s="34">
        <v>159186.641</v>
      </c>
      <c r="D1187" s="34">
        <v>18.792999999999999</v>
      </c>
      <c r="F1187" s="209">
        <f t="shared" si="54"/>
        <v>60063.421999999999</v>
      </c>
      <c r="G1187" s="209">
        <f t="shared" si="55"/>
        <v>363836.641</v>
      </c>
      <c r="H1187" s="209">
        <f t="shared" si="56"/>
        <v>18.792999999999999</v>
      </c>
    </row>
    <row r="1188" spans="2:8" x14ac:dyDescent="0.2">
      <c r="B1188" s="34">
        <v>51884.538999999997</v>
      </c>
      <c r="C1188" s="34">
        <v>159193.38099999999</v>
      </c>
      <c r="D1188" s="34">
        <v>19.331</v>
      </c>
      <c r="F1188" s="209">
        <f t="shared" si="54"/>
        <v>60034.538999999997</v>
      </c>
      <c r="G1188" s="209">
        <f t="shared" si="55"/>
        <v>363843.38099999999</v>
      </c>
      <c r="H1188" s="209">
        <f t="shared" si="56"/>
        <v>19.331</v>
      </c>
    </row>
    <row r="1189" spans="2:8" x14ac:dyDescent="0.2">
      <c r="B1189" s="34">
        <v>51890.286999999997</v>
      </c>
      <c r="C1189" s="34">
        <v>159191.72899999999</v>
      </c>
      <c r="D1189" s="34">
        <v>19.321000000000002</v>
      </c>
      <c r="F1189" s="209">
        <f t="shared" si="54"/>
        <v>60040.286999999997</v>
      </c>
      <c r="G1189" s="209">
        <f t="shared" si="55"/>
        <v>363841.72899999999</v>
      </c>
      <c r="H1189" s="209">
        <f t="shared" si="56"/>
        <v>19.321000000000002</v>
      </c>
    </row>
    <row r="1190" spans="2:8" x14ac:dyDescent="0.2">
      <c r="B1190" s="34">
        <v>51895.921999999999</v>
      </c>
      <c r="C1190" s="34">
        <v>159190.101</v>
      </c>
      <c r="D1190" s="34">
        <v>19.334</v>
      </c>
      <c r="F1190" s="209">
        <f t="shared" si="54"/>
        <v>60045.921999999999</v>
      </c>
      <c r="G1190" s="209">
        <f t="shared" si="55"/>
        <v>363840.10100000002</v>
      </c>
      <c r="H1190" s="209">
        <f t="shared" si="56"/>
        <v>19.334</v>
      </c>
    </row>
    <row r="1191" spans="2:8" x14ac:dyDescent="0.2">
      <c r="B1191" s="34">
        <v>51899.767999999996</v>
      </c>
      <c r="C1191" s="34">
        <v>159188.99400000001</v>
      </c>
      <c r="D1191" s="34">
        <v>19.344999999999999</v>
      </c>
      <c r="F1191" s="209">
        <f t="shared" si="54"/>
        <v>60049.767999999996</v>
      </c>
      <c r="G1191" s="209">
        <f t="shared" si="55"/>
        <v>363838.99400000001</v>
      </c>
      <c r="H1191" s="209">
        <f t="shared" si="56"/>
        <v>19.344999999999999</v>
      </c>
    </row>
    <row r="1192" spans="2:8" x14ac:dyDescent="0.2">
      <c r="B1192" s="34">
        <v>51903.608999999997</v>
      </c>
      <c r="C1192" s="34">
        <v>159187.883</v>
      </c>
      <c r="D1192" s="34">
        <v>19.356000000000002</v>
      </c>
      <c r="F1192" s="209">
        <f t="shared" si="54"/>
        <v>60053.608999999997</v>
      </c>
      <c r="G1192" s="209">
        <f t="shared" si="55"/>
        <v>363837.88300000003</v>
      </c>
      <c r="H1192" s="209">
        <f t="shared" si="56"/>
        <v>19.356000000000002</v>
      </c>
    </row>
    <row r="1193" spans="2:8" x14ac:dyDescent="0.2">
      <c r="B1193" s="152">
        <v>51910.065000000002</v>
      </c>
      <c r="C1193" s="152">
        <v>159186.02499999999</v>
      </c>
      <c r="D1193" s="152">
        <v>19.356000000000002</v>
      </c>
      <c r="F1193" s="209">
        <f t="shared" si="54"/>
        <v>60060.065000000002</v>
      </c>
      <c r="G1193" s="209">
        <f t="shared" si="55"/>
        <v>363836.02500000002</v>
      </c>
      <c r="H1193" s="209">
        <f t="shared" si="56"/>
        <v>19.356000000000002</v>
      </c>
    </row>
    <row r="1194" spans="2:8" x14ac:dyDescent="0.2">
      <c r="B1194" s="34">
        <v>51885.339</v>
      </c>
      <c r="C1194" s="34">
        <v>159195.73800000001</v>
      </c>
      <c r="D1194" s="34">
        <v>18.782</v>
      </c>
      <c r="F1194" s="209">
        <f t="shared" si="54"/>
        <v>60035.339</v>
      </c>
      <c r="G1194" s="209">
        <f t="shared" si="55"/>
        <v>363845.73800000001</v>
      </c>
      <c r="H1194" s="209">
        <f t="shared" si="56"/>
        <v>18.782</v>
      </c>
    </row>
    <row r="1195" spans="2:8" x14ac:dyDescent="0.2">
      <c r="B1195" s="34">
        <v>51884.957999999999</v>
      </c>
      <c r="C1195" s="34">
        <v>159194.47</v>
      </c>
      <c r="D1195" s="34">
        <v>18.777999999999999</v>
      </c>
      <c r="F1195" s="209">
        <f t="shared" si="54"/>
        <v>60034.957999999999</v>
      </c>
      <c r="G1195" s="209">
        <f t="shared" si="55"/>
        <v>363844.47</v>
      </c>
      <c r="H1195" s="209">
        <f t="shared" si="56"/>
        <v>18.777999999999999</v>
      </c>
    </row>
    <row r="1196" spans="2:8" x14ac:dyDescent="0.2">
      <c r="B1196" s="34">
        <v>51888.116999999998</v>
      </c>
      <c r="C1196" s="34">
        <v>159194.94399999999</v>
      </c>
      <c r="D1196" s="34">
        <v>18.777999999999999</v>
      </c>
      <c r="F1196" s="209">
        <f t="shared" si="54"/>
        <v>60038.116999999998</v>
      </c>
      <c r="G1196" s="209">
        <f t="shared" si="55"/>
        <v>363844.94400000002</v>
      </c>
      <c r="H1196" s="209">
        <f t="shared" si="56"/>
        <v>18.777999999999999</v>
      </c>
    </row>
    <row r="1197" spans="2:8" x14ac:dyDescent="0.2">
      <c r="B1197" s="34">
        <v>51887.803999999996</v>
      </c>
      <c r="C1197" s="34">
        <v>159193.65700000001</v>
      </c>
      <c r="D1197" s="34">
        <v>18.777999999999999</v>
      </c>
      <c r="F1197" s="209">
        <f t="shared" si="54"/>
        <v>60037.803999999996</v>
      </c>
      <c r="G1197" s="209">
        <f t="shared" si="55"/>
        <v>363843.65700000001</v>
      </c>
      <c r="H1197" s="209">
        <f t="shared" si="56"/>
        <v>18.777999999999999</v>
      </c>
    </row>
    <row r="1198" spans="2:8" x14ac:dyDescent="0.2">
      <c r="B1198" s="34">
        <v>51890.968000000001</v>
      </c>
      <c r="C1198" s="34">
        <v>159194.11799999999</v>
      </c>
      <c r="D1198" s="34">
        <v>18.779</v>
      </c>
      <c r="F1198" s="209">
        <f t="shared" si="54"/>
        <v>60040.968000000001</v>
      </c>
      <c r="G1198" s="209">
        <f t="shared" si="55"/>
        <v>363844.11800000002</v>
      </c>
      <c r="H1198" s="209">
        <f t="shared" si="56"/>
        <v>18.779</v>
      </c>
    </row>
    <row r="1199" spans="2:8" x14ac:dyDescent="0.2">
      <c r="B1199" s="34">
        <v>51890.606</v>
      </c>
      <c r="C1199" s="34">
        <v>159192.861</v>
      </c>
      <c r="D1199" s="34">
        <v>18.771999999999998</v>
      </c>
      <c r="F1199" s="209">
        <f t="shared" si="54"/>
        <v>60040.606</v>
      </c>
      <c r="G1199" s="209">
        <f t="shared" si="55"/>
        <v>363842.86100000003</v>
      </c>
      <c r="H1199" s="209">
        <f t="shared" si="56"/>
        <v>18.771999999999998</v>
      </c>
    </row>
    <row r="1200" spans="2:8" x14ac:dyDescent="0.2">
      <c r="B1200" s="34">
        <v>51893.758000000002</v>
      </c>
      <c r="C1200" s="34">
        <v>159193.315</v>
      </c>
      <c r="D1200" s="34">
        <v>18.774000000000001</v>
      </c>
      <c r="F1200" s="209">
        <f t="shared" si="54"/>
        <v>60043.758000000002</v>
      </c>
      <c r="G1200" s="209">
        <f t="shared" si="55"/>
        <v>363843.315</v>
      </c>
      <c r="H1200" s="209">
        <f t="shared" si="56"/>
        <v>18.774000000000001</v>
      </c>
    </row>
    <row r="1201" spans="2:8" x14ac:dyDescent="0.2">
      <c r="B1201" s="34">
        <v>51893.440999999999</v>
      </c>
      <c r="C1201" s="34">
        <v>159192.041</v>
      </c>
      <c r="D1201" s="34">
        <v>18.768999999999998</v>
      </c>
      <c r="F1201" s="209">
        <f t="shared" si="54"/>
        <v>60043.440999999999</v>
      </c>
      <c r="G1201" s="209">
        <f t="shared" si="55"/>
        <v>363842.04099999997</v>
      </c>
      <c r="H1201" s="209">
        <f t="shared" si="56"/>
        <v>18.768999999999998</v>
      </c>
    </row>
    <row r="1202" spans="2:8" x14ac:dyDescent="0.2">
      <c r="B1202" s="34">
        <v>51896.633000000002</v>
      </c>
      <c r="C1202" s="34">
        <v>159192.486</v>
      </c>
      <c r="D1202" s="34">
        <v>18.777000000000001</v>
      </c>
      <c r="F1202" s="209">
        <f t="shared" si="54"/>
        <v>60046.633000000002</v>
      </c>
      <c r="G1202" s="209">
        <f t="shared" si="55"/>
        <v>363842.48600000003</v>
      </c>
      <c r="H1202" s="209">
        <f t="shared" si="56"/>
        <v>18.777000000000001</v>
      </c>
    </row>
    <row r="1203" spans="2:8" x14ac:dyDescent="0.2">
      <c r="B1203" s="34">
        <v>51896.25</v>
      </c>
      <c r="C1203" s="34">
        <v>159191.22700000001</v>
      </c>
      <c r="D1203" s="34">
        <v>18.77</v>
      </c>
      <c r="F1203" s="209">
        <f t="shared" si="54"/>
        <v>60046.25</v>
      </c>
      <c r="G1203" s="209">
        <f t="shared" si="55"/>
        <v>363841.22700000001</v>
      </c>
      <c r="H1203" s="209">
        <f t="shared" si="56"/>
        <v>18.77</v>
      </c>
    </row>
    <row r="1204" spans="2:8" x14ac:dyDescent="0.2">
      <c r="B1204" s="34">
        <v>51899.398999999998</v>
      </c>
      <c r="C1204" s="34">
        <v>159191.70000000001</v>
      </c>
      <c r="D1204" s="34">
        <v>18.777999999999999</v>
      </c>
      <c r="F1204" s="209">
        <f t="shared" si="54"/>
        <v>60049.398999999998</v>
      </c>
      <c r="G1204" s="209">
        <f t="shared" si="55"/>
        <v>363841.7</v>
      </c>
      <c r="H1204" s="209">
        <f t="shared" si="56"/>
        <v>18.777999999999999</v>
      </c>
    </row>
    <row r="1205" spans="2:8" x14ac:dyDescent="0.2">
      <c r="B1205" s="34">
        <v>51899.040999999997</v>
      </c>
      <c r="C1205" s="34">
        <v>159190.43599999999</v>
      </c>
      <c r="D1205" s="34">
        <v>18.771000000000001</v>
      </c>
      <c r="F1205" s="209">
        <f t="shared" si="54"/>
        <v>60049.040999999997</v>
      </c>
      <c r="G1205" s="209">
        <f t="shared" si="55"/>
        <v>363840.43599999999</v>
      </c>
      <c r="H1205" s="209">
        <f t="shared" si="56"/>
        <v>18.771000000000001</v>
      </c>
    </row>
    <row r="1206" spans="2:8" x14ac:dyDescent="0.2">
      <c r="B1206" s="34">
        <v>51902.292999999998</v>
      </c>
      <c r="C1206" s="34">
        <v>159190.88800000001</v>
      </c>
      <c r="D1206" s="34">
        <v>18.779</v>
      </c>
      <c r="F1206" s="209">
        <f t="shared" si="54"/>
        <v>60052.292999999998</v>
      </c>
      <c r="G1206" s="209">
        <f t="shared" si="55"/>
        <v>363840.88800000004</v>
      </c>
      <c r="H1206" s="209">
        <f t="shared" si="56"/>
        <v>18.779</v>
      </c>
    </row>
    <row r="1207" spans="2:8" x14ac:dyDescent="0.2">
      <c r="B1207" s="34">
        <v>51901.989000000001</v>
      </c>
      <c r="C1207" s="34">
        <v>159189.606</v>
      </c>
      <c r="D1207" s="34">
        <v>18.77</v>
      </c>
      <c r="F1207" s="209">
        <f t="shared" si="54"/>
        <v>60051.989000000001</v>
      </c>
      <c r="G1207" s="209">
        <f t="shared" si="55"/>
        <v>363839.60600000003</v>
      </c>
      <c r="H1207" s="209">
        <f t="shared" si="56"/>
        <v>18.77</v>
      </c>
    </row>
    <row r="1208" spans="2:8" x14ac:dyDescent="0.2">
      <c r="B1208" s="34">
        <v>51905.196000000004</v>
      </c>
      <c r="C1208" s="34">
        <v>159190.098</v>
      </c>
      <c r="D1208" s="34">
        <v>18.78</v>
      </c>
      <c r="F1208" s="209">
        <f t="shared" si="54"/>
        <v>60055.196000000004</v>
      </c>
      <c r="G1208" s="209">
        <f t="shared" si="55"/>
        <v>363840.098</v>
      </c>
      <c r="H1208" s="209">
        <f t="shared" si="56"/>
        <v>18.78</v>
      </c>
    </row>
    <row r="1209" spans="2:8" x14ac:dyDescent="0.2">
      <c r="B1209" s="34">
        <v>51904.885000000002</v>
      </c>
      <c r="C1209" s="34">
        <v>159188.80799999999</v>
      </c>
      <c r="D1209" s="34">
        <v>18.773</v>
      </c>
      <c r="F1209" s="209">
        <f t="shared" si="54"/>
        <v>60054.885000000002</v>
      </c>
      <c r="G1209" s="209">
        <f t="shared" si="55"/>
        <v>363838.80799999996</v>
      </c>
      <c r="H1209" s="209">
        <f t="shared" si="56"/>
        <v>18.773</v>
      </c>
    </row>
    <row r="1210" spans="2:8" x14ac:dyDescent="0.2">
      <c r="B1210" s="34">
        <v>51907.951999999997</v>
      </c>
      <c r="C1210" s="34">
        <v>159189.36600000001</v>
      </c>
      <c r="D1210" s="34">
        <v>18.785</v>
      </c>
      <c r="F1210" s="209">
        <f t="shared" si="54"/>
        <v>60057.951999999997</v>
      </c>
      <c r="G1210" s="209">
        <f t="shared" si="55"/>
        <v>363839.36600000004</v>
      </c>
      <c r="H1210" s="209">
        <f t="shared" si="56"/>
        <v>18.785</v>
      </c>
    </row>
    <row r="1211" spans="2:8" x14ac:dyDescent="0.2">
      <c r="B1211" s="34">
        <v>51907.578999999998</v>
      </c>
      <c r="C1211" s="34">
        <v>159188.10200000001</v>
      </c>
      <c r="D1211" s="34">
        <v>18.774999999999999</v>
      </c>
      <c r="F1211" s="209">
        <f t="shared" si="54"/>
        <v>60057.578999999998</v>
      </c>
      <c r="G1211" s="209">
        <f t="shared" si="55"/>
        <v>363838.10200000001</v>
      </c>
      <c r="H1211" s="209">
        <f t="shared" si="56"/>
        <v>18.774999999999999</v>
      </c>
    </row>
    <row r="1212" spans="2:8" x14ac:dyDescent="0.2">
      <c r="B1212" s="34">
        <v>51910.963000000003</v>
      </c>
      <c r="C1212" s="34">
        <v>159188.60500000001</v>
      </c>
      <c r="D1212" s="34">
        <v>18.794</v>
      </c>
      <c r="F1212" s="209">
        <f t="shared" si="54"/>
        <v>60060.963000000003</v>
      </c>
      <c r="G1212" s="209">
        <f t="shared" si="55"/>
        <v>363838.60499999998</v>
      </c>
      <c r="H1212" s="209">
        <f t="shared" si="56"/>
        <v>18.794</v>
      </c>
    </row>
    <row r="1213" spans="2:8" x14ac:dyDescent="0.2">
      <c r="B1213" s="34">
        <v>51910.64</v>
      </c>
      <c r="C1213" s="34">
        <v>159187.32699999999</v>
      </c>
      <c r="D1213" s="34">
        <v>18.783000000000001</v>
      </c>
      <c r="F1213" s="209">
        <f t="shared" si="54"/>
        <v>60060.639999999999</v>
      </c>
      <c r="G1213" s="209">
        <f t="shared" si="55"/>
        <v>363837.32699999999</v>
      </c>
      <c r="H1213" s="209">
        <f t="shared" si="56"/>
        <v>18.783000000000001</v>
      </c>
    </row>
    <row r="1214" spans="2:8" x14ac:dyDescent="0.2">
      <c r="B1214" s="34">
        <v>51913.750999999997</v>
      </c>
      <c r="C1214" s="34">
        <v>159187.92199999999</v>
      </c>
      <c r="D1214" s="34">
        <v>18.808</v>
      </c>
      <c r="F1214" s="209">
        <f t="shared" si="54"/>
        <v>60063.750999999997</v>
      </c>
      <c r="G1214" s="209">
        <f t="shared" si="55"/>
        <v>363837.92200000002</v>
      </c>
      <c r="H1214" s="209">
        <f t="shared" si="56"/>
        <v>18.808</v>
      </c>
    </row>
    <row r="1215" spans="2:8" x14ac:dyDescent="0.2">
      <c r="B1215" s="34">
        <v>51913.421000000002</v>
      </c>
      <c r="C1215" s="34">
        <v>159186.641</v>
      </c>
      <c r="D1215" s="34">
        <v>18.794</v>
      </c>
      <c r="F1215" s="209">
        <f t="shared" si="54"/>
        <v>60063.421000000002</v>
      </c>
      <c r="G1215" s="209">
        <f t="shared" si="55"/>
        <v>363836.641</v>
      </c>
      <c r="H1215" s="209">
        <f t="shared" si="56"/>
        <v>18.794</v>
      </c>
    </row>
    <row r="1216" spans="2:8" x14ac:dyDescent="0.2">
      <c r="B1216" s="34">
        <v>51884.538999999997</v>
      </c>
      <c r="C1216" s="34">
        <v>159193.38099999999</v>
      </c>
      <c r="D1216" s="34">
        <v>19.332000000000001</v>
      </c>
      <c r="F1216" s="209">
        <f t="shared" si="54"/>
        <v>60034.538999999997</v>
      </c>
      <c r="G1216" s="209">
        <f t="shared" si="55"/>
        <v>363843.38099999999</v>
      </c>
      <c r="H1216" s="209">
        <f t="shared" si="56"/>
        <v>19.332000000000001</v>
      </c>
    </row>
    <row r="1217" spans="2:8" x14ac:dyDescent="0.2">
      <c r="B1217" s="34">
        <v>51890.286999999997</v>
      </c>
      <c r="C1217" s="34">
        <v>159191.72899999999</v>
      </c>
      <c r="D1217" s="34">
        <v>19.321999999999999</v>
      </c>
      <c r="F1217" s="209">
        <f t="shared" si="54"/>
        <v>60040.286999999997</v>
      </c>
      <c r="G1217" s="209">
        <f t="shared" si="55"/>
        <v>363841.72899999999</v>
      </c>
      <c r="H1217" s="209">
        <f t="shared" si="56"/>
        <v>19.321999999999999</v>
      </c>
    </row>
    <row r="1218" spans="2:8" x14ac:dyDescent="0.2">
      <c r="B1218" s="34">
        <v>51895.921999999999</v>
      </c>
      <c r="C1218" s="34">
        <v>159190.101</v>
      </c>
      <c r="D1218" s="34">
        <v>19.334</v>
      </c>
      <c r="F1218" s="209">
        <f t="shared" si="54"/>
        <v>60045.921999999999</v>
      </c>
      <c r="G1218" s="209">
        <f t="shared" si="55"/>
        <v>363840.10100000002</v>
      </c>
      <c r="H1218" s="209">
        <f t="shared" si="56"/>
        <v>19.334</v>
      </c>
    </row>
    <row r="1219" spans="2:8" x14ac:dyDescent="0.2">
      <c r="B1219" s="34">
        <v>51899.767999999996</v>
      </c>
      <c r="C1219" s="34">
        <v>159188.99400000001</v>
      </c>
      <c r="D1219" s="34">
        <v>19.344999999999999</v>
      </c>
      <c r="F1219" s="209">
        <f t="shared" si="54"/>
        <v>60049.767999999996</v>
      </c>
      <c r="G1219" s="209">
        <f t="shared" si="55"/>
        <v>363838.99400000001</v>
      </c>
      <c r="H1219" s="209">
        <f t="shared" si="56"/>
        <v>19.344999999999999</v>
      </c>
    </row>
    <row r="1220" spans="2:8" x14ac:dyDescent="0.2">
      <c r="B1220" s="34">
        <v>51903.608999999997</v>
      </c>
      <c r="C1220" s="34">
        <v>159187.883</v>
      </c>
      <c r="D1220" s="34">
        <v>19.356999999999999</v>
      </c>
      <c r="F1220" s="209">
        <f t="shared" ref="F1220:F1221" si="57">B1220+$B$1</f>
        <v>60053.608999999997</v>
      </c>
      <c r="G1220" s="209">
        <f t="shared" ref="G1220:G1221" si="58">C1220+$C$1</f>
        <v>363837.88300000003</v>
      </c>
      <c r="H1220" s="209">
        <f t="shared" ref="H1220:H1221" si="59">D1220+$D$1</f>
        <v>19.356999999999999</v>
      </c>
    </row>
    <row r="1221" spans="2:8" x14ac:dyDescent="0.2">
      <c r="B1221" s="34">
        <v>51910.065999999999</v>
      </c>
      <c r="C1221" s="34">
        <v>159186.02499999999</v>
      </c>
      <c r="D1221" s="34">
        <v>19.356999999999999</v>
      </c>
      <c r="F1221" s="209">
        <f t="shared" si="57"/>
        <v>60060.065999999999</v>
      </c>
      <c r="G1221" s="209">
        <f t="shared" si="58"/>
        <v>363836.02500000002</v>
      </c>
      <c r="H1221" s="209">
        <f t="shared" si="59"/>
        <v>19.356999999999999</v>
      </c>
    </row>
  </sheetData>
  <conditionalFormatting sqref="B3:D1221">
    <cfRule type="expression" dxfId="23" priority="1">
      <formula>$V3=1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A082-195B-4D55-9CE6-2FDB06205F68}">
  <dimension ref="A1:K23"/>
  <sheetViews>
    <sheetView workbookViewId="0">
      <selection activeCell="I42" sqref="I42"/>
    </sheetView>
  </sheetViews>
  <sheetFormatPr defaultRowHeight="12.75" x14ac:dyDescent="0.2"/>
  <cols>
    <col min="1" max="1" width="15.85546875" bestFit="1" customWidth="1"/>
    <col min="2" max="2" width="13.28515625" bestFit="1" customWidth="1"/>
    <col min="3" max="3" width="14.42578125" bestFit="1" customWidth="1"/>
    <col min="4" max="4" width="11.7109375" bestFit="1" customWidth="1"/>
    <col min="5" max="5" width="15.85546875" bestFit="1" customWidth="1"/>
    <col min="6" max="6" width="13.5703125" bestFit="1" customWidth="1"/>
    <col min="7" max="7" width="17.7109375" bestFit="1" customWidth="1"/>
    <col min="8" max="8" width="13" bestFit="1" customWidth="1"/>
    <col min="9" max="9" width="10.28515625" bestFit="1" customWidth="1"/>
    <col min="10" max="10" width="10.140625" bestFit="1" customWidth="1"/>
    <col min="11" max="11" width="10" bestFit="1" customWidth="1"/>
  </cols>
  <sheetData>
    <row r="1" spans="1:11" x14ac:dyDescent="0.2">
      <c r="A1" t="s">
        <v>193</v>
      </c>
      <c r="B1" t="s">
        <v>101</v>
      </c>
      <c r="C1" t="s">
        <v>100</v>
      </c>
      <c r="D1" t="s">
        <v>99</v>
      </c>
      <c r="E1" t="s">
        <v>530</v>
      </c>
      <c r="F1" t="s">
        <v>531</v>
      </c>
      <c r="G1" t="s">
        <v>532</v>
      </c>
      <c r="H1" t="s">
        <v>533</v>
      </c>
      <c r="I1" t="s">
        <v>534</v>
      </c>
      <c r="J1" t="s">
        <v>535</v>
      </c>
      <c r="K1" t="s">
        <v>536</v>
      </c>
    </row>
    <row r="2" spans="1:11" x14ac:dyDescent="0.2">
      <c r="A2" t="s">
        <v>171</v>
      </c>
      <c r="B2">
        <v>60034.959000000003</v>
      </c>
      <c r="C2">
        <v>363844.47100000002</v>
      </c>
      <c r="D2">
        <v>18.778099999999998</v>
      </c>
      <c r="E2" t="s">
        <v>171</v>
      </c>
      <c r="F2" t="s">
        <v>537</v>
      </c>
      <c r="G2">
        <v>20.167999999999999</v>
      </c>
      <c r="H2" t="s">
        <v>538</v>
      </c>
      <c r="I2">
        <v>-1.560000000608852E-2</v>
      </c>
      <c r="J2">
        <v>-5.4299999988870695E-2</v>
      </c>
      <c r="K2">
        <v>8.7900000000001199E-2</v>
      </c>
    </row>
    <row r="3" spans="1:11" x14ac:dyDescent="0.2">
      <c r="A3" t="s">
        <v>172</v>
      </c>
      <c r="B3">
        <v>60035.34</v>
      </c>
      <c r="C3">
        <v>363845.739</v>
      </c>
      <c r="D3">
        <v>18.782</v>
      </c>
      <c r="E3" t="s">
        <v>172</v>
      </c>
      <c r="F3" t="s">
        <v>537</v>
      </c>
      <c r="G3">
        <v>20.186199999999999</v>
      </c>
      <c r="H3" t="s">
        <v>539</v>
      </c>
      <c r="I3">
        <v>-1.9699999997101255E-2</v>
      </c>
      <c r="J3">
        <v>-6.9099999993341044E-2</v>
      </c>
      <c r="K3">
        <v>8.8000000000000966E-2</v>
      </c>
    </row>
    <row r="4" spans="1:11" x14ac:dyDescent="0.2">
      <c r="A4" t="s">
        <v>174</v>
      </c>
      <c r="B4">
        <v>60038.118000000002</v>
      </c>
      <c r="C4">
        <v>363844.94500000001</v>
      </c>
      <c r="D4">
        <v>18.7788</v>
      </c>
      <c r="E4" t="s">
        <v>174</v>
      </c>
      <c r="F4" t="s">
        <v>537</v>
      </c>
      <c r="G4">
        <v>23.075399999999998</v>
      </c>
      <c r="H4" t="s">
        <v>539</v>
      </c>
      <c r="I4">
        <v>-1.9599999999627471E-2</v>
      </c>
      <c r="J4">
        <v>-6.8499999993946403E-2</v>
      </c>
      <c r="K4">
        <v>9.1200000000000614E-2</v>
      </c>
    </row>
    <row r="5" spans="1:11" x14ac:dyDescent="0.2">
      <c r="A5" t="s">
        <v>173</v>
      </c>
      <c r="B5">
        <v>60037.805</v>
      </c>
      <c r="C5">
        <v>363843.65700000001</v>
      </c>
      <c r="D5">
        <v>18.778500000000001</v>
      </c>
      <c r="E5" t="s">
        <v>173</v>
      </c>
      <c r="F5" t="s">
        <v>537</v>
      </c>
      <c r="G5">
        <v>23.128900000000002</v>
      </c>
      <c r="H5" t="s">
        <v>538</v>
      </c>
      <c r="I5">
        <v>-1.690000000235159E-2</v>
      </c>
      <c r="J5">
        <v>-5.8600000018486753E-2</v>
      </c>
      <c r="K5">
        <v>8.7499999999998579E-2</v>
      </c>
    </row>
    <row r="6" spans="1:11" x14ac:dyDescent="0.2">
      <c r="A6" t="s">
        <v>176</v>
      </c>
      <c r="B6">
        <v>60040.968999999997</v>
      </c>
      <c r="C6">
        <v>363844.11800000002</v>
      </c>
      <c r="D6">
        <v>18.779</v>
      </c>
      <c r="E6" t="s">
        <v>176</v>
      </c>
      <c r="F6" t="s">
        <v>537</v>
      </c>
      <c r="G6">
        <v>26.043799999999997</v>
      </c>
      <c r="H6" t="s">
        <v>539</v>
      </c>
      <c r="I6">
        <v>-1.6899999995075632E-2</v>
      </c>
      <c r="J6">
        <v>-5.8499999984633178E-2</v>
      </c>
      <c r="K6">
        <v>8.8999999999998636E-2</v>
      </c>
    </row>
    <row r="7" spans="1:11" x14ac:dyDescent="0.2">
      <c r="A7" t="s">
        <v>175</v>
      </c>
      <c r="B7">
        <v>60040.607000000004</v>
      </c>
      <c r="C7">
        <v>363842.86100000003</v>
      </c>
      <c r="D7">
        <v>18.771999999999998</v>
      </c>
      <c r="E7" t="s">
        <v>175</v>
      </c>
      <c r="F7" t="s">
        <v>537</v>
      </c>
      <c r="G7">
        <v>26.044</v>
      </c>
      <c r="H7" t="s">
        <v>538</v>
      </c>
      <c r="I7">
        <v>-2.0300000003771856E-2</v>
      </c>
      <c r="J7">
        <v>-7.0500000001629815E-2</v>
      </c>
      <c r="K7">
        <v>9.100000000000108E-2</v>
      </c>
    </row>
    <row r="8" spans="1:11" x14ac:dyDescent="0.2">
      <c r="A8" t="s">
        <v>178</v>
      </c>
      <c r="B8">
        <v>60043.758999999998</v>
      </c>
      <c r="C8">
        <v>363843.31400000001</v>
      </c>
      <c r="D8">
        <v>18.774100000000001</v>
      </c>
      <c r="E8" t="s">
        <v>178</v>
      </c>
      <c r="F8" t="s">
        <v>537</v>
      </c>
      <c r="G8">
        <v>28.947299999999998</v>
      </c>
      <c r="H8" t="s">
        <v>539</v>
      </c>
      <c r="I8">
        <v>-1.6799999997601844E-2</v>
      </c>
      <c r="J8">
        <v>-5.8500000013737008E-2</v>
      </c>
      <c r="K8">
        <v>8.6899999999999977E-2</v>
      </c>
    </row>
    <row r="9" spans="1:11" x14ac:dyDescent="0.2">
      <c r="A9" t="s">
        <v>177</v>
      </c>
      <c r="B9">
        <v>60043.440999999999</v>
      </c>
      <c r="C9">
        <v>363842.04000000004</v>
      </c>
      <c r="D9">
        <v>18.7683</v>
      </c>
      <c r="E9" t="s">
        <v>177</v>
      </c>
      <c r="F9" t="s">
        <v>537</v>
      </c>
      <c r="G9">
        <v>28.994700000000002</v>
      </c>
      <c r="H9" t="s">
        <v>538</v>
      </c>
      <c r="I9">
        <v>-1.9399999997403935E-2</v>
      </c>
      <c r="J9">
        <v>-6.7299999995157123E-2</v>
      </c>
      <c r="K9">
        <v>8.8699999999999335E-2</v>
      </c>
    </row>
    <row r="10" spans="1:11" x14ac:dyDescent="0.2">
      <c r="A10" t="s">
        <v>179</v>
      </c>
      <c r="B10">
        <v>60046.25</v>
      </c>
      <c r="C10">
        <v>363841.22600000002</v>
      </c>
      <c r="D10">
        <v>18.7698</v>
      </c>
      <c r="E10" t="s">
        <v>179</v>
      </c>
      <c r="F10" t="s">
        <v>537</v>
      </c>
      <c r="G10">
        <v>31.9192</v>
      </c>
      <c r="H10" t="s">
        <v>538</v>
      </c>
      <c r="I10">
        <v>-1.8199999998614658E-2</v>
      </c>
      <c r="J10">
        <v>-6.3200000004144385E-2</v>
      </c>
      <c r="K10">
        <v>8.82000000000005E-2</v>
      </c>
    </row>
    <row r="11" spans="1:11" x14ac:dyDescent="0.2">
      <c r="A11" t="s">
        <v>180</v>
      </c>
      <c r="B11">
        <v>60046.633000000002</v>
      </c>
      <c r="C11">
        <v>363842.48499999999</v>
      </c>
      <c r="D11">
        <v>18.7776</v>
      </c>
      <c r="E11" t="s">
        <v>180</v>
      </c>
      <c r="F11" t="s">
        <v>537</v>
      </c>
      <c r="G11">
        <v>31.938500000000001</v>
      </c>
      <c r="H11" t="s">
        <v>539</v>
      </c>
      <c r="I11">
        <v>-1.6700000000128057E-2</v>
      </c>
      <c r="J11">
        <v>-5.8099999994738027E-2</v>
      </c>
      <c r="K11">
        <v>8.4399999999998698E-2</v>
      </c>
    </row>
    <row r="12" spans="1:11" x14ac:dyDescent="0.2">
      <c r="A12" t="s">
        <v>181</v>
      </c>
      <c r="B12">
        <v>60049.040999999997</v>
      </c>
      <c r="C12">
        <v>363840.43299999996</v>
      </c>
      <c r="D12">
        <v>18.771100000000001</v>
      </c>
      <c r="E12" t="s">
        <v>181</v>
      </c>
      <c r="F12" t="s">
        <v>537</v>
      </c>
      <c r="G12">
        <v>34.8123</v>
      </c>
      <c r="H12" t="s">
        <v>538</v>
      </c>
      <c r="I12">
        <v>-1.8199999998614658E-2</v>
      </c>
      <c r="J12">
        <v>-6.4499999978579581E-2</v>
      </c>
      <c r="K12">
        <v>8.8899999999998869E-2</v>
      </c>
    </row>
    <row r="13" spans="1:11" x14ac:dyDescent="0.2">
      <c r="A13" t="s">
        <v>182</v>
      </c>
      <c r="B13">
        <v>60049.398999999998</v>
      </c>
      <c r="C13">
        <v>363841.69799999997</v>
      </c>
      <c r="D13">
        <v>18.777999999999999</v>
      </c>
      <c r="E13" t="s">
        <v>182</v>
      </c>
      <c r="F13" t="s">
        <v>537</v>
      </c>
      <c r="G13">
        <v>34.814700000000002</v>
      </c>
      <c r="H13" t="s">
        <v>539</v>
      </c>
      <c r="I13">
        <v>-1.870000000053551E-2</v>
      </c>
      <c r="J13">
        <v>-6.6699999995762482E-2</v>
      </c>
      <c r="K13">
        <v>8.8000000000000966E-2</v>
      </c>
    </row>
    <row r="14" spans="1:11" x14ac:dyDescent="0.2">
      <c r="A14" t="s">
        <v>184</v>
      </c>
      <c r="B14">
        <v>60052.292999999998</v>
      </c>
      <c r="C14">
        <v>363840.88500000001</v>
      </c>
      <c r="D14">
        <v>18.779</v>
      </c>
      <c r="E14" t="s">
        <v>184</v>
      </c>
      <c r="F14" t="s">
        <v>537</v>
      </c>
      <c r="G14">
        <v>37.821200000000005</v>
      </c>
      <c r="H14" t="s">
        <v>539</v>
      </c>
      <c r="I14">
        <v>-1.7699999996693805E-2</v>
      </c>
      <c r="J14">
        <v>-6.4600000012433156E-2</v>
      </c>
      <c r="K14">
        <v>8.6999999999999744E-2</v>
      </c>
    </row>
    <row r="15" spans="1:11" x14ac:dyDescent="0.2">
      <c r="A15" t="s">
        <v>183</v>
      </c>
      <c r="B15">
        <v>60051.989000000001</v>
      </c>
      <c r="C15">
        <v>363839.603</v>
      </c>
      <c r="D15">
        <v>18.770099999999999</v>
      </c>
      <c r="E15" t="s">
        <v>183</v>
      </c>
      <c r="F15" t="s">
        <v>537</v>
      </c>
      <c r="G15">
        <v>37.866199999999999</v>
      </c>
      <c r="H15" t="s">
        <v>538</v>
      </c>
      <c r="I15">
        <v>-1.8199999998614658E-2</v>
      </c>
      <c r="J15">
        <v>-6.4700000017182902E-2</v>
      </c>
      <c r="K15">
        <v>8.7900000000001199E-2</v>
      </c>
    </row>
    <row r="16" spans="1:11" x14ac:dyDescent="0.2">
      <c r="A16" t="s">
        <v>186</v>
      </c>
      <c r="B16">
        <v>60055.196000000004</v>
      </c>
      <c r="C16">
        <v>363840.09499999997</v>
      </c>
      <c r="D16">
        <v>18.780899999999999</v>
      </c>
      <c r="E16" t="s">
        <v>186</v>
      </c>
      <c r="F16" t="s">
        <v>537</v>
      </c>
      <c r="G16">
        <v>40.829799999999999</v>
      </c>
      <c r="H16" t="s">
        <v>539</v>
      </c>
      <c r="I16">
        <v>-1.870000000053551E-2</v>
      </c>
      <c r="J16">
        <v>-6.8300000013550743E-2</v>
      </c>
      <c r="K16">
        <v>8.7099999999999497E-2</v>
      </c>
    </row>
    <row r="17" spans="1:11" x14ac:dyDescent="0.2">
      <c r="A17" t="s">
        <v>185</v>
      </c>
      <c r="B17">
        <v>60054.885999999999</v>
      </c>
      <c r="C17">
        <v>363838.80499999999</v>
      </c>
      <c r="D17">
        <v>18.773099999999999</v>
      </c>
      <c r="E17" t="s">
        <v>185</v>
      </c>
      <c r="F17" t="s">
        <v>537</v>
      </c>
      <c r="G17">
        <v>40.860999999999997</v>
      </c>
      <c r="H17" t="s">
        <v>538</v>
      </c>
      <c r="I17">
        <v>-1.5500000001338776E-2</v>
      </c>
      <c r="J17">
        <v>-5.8399999979883432E-2</v>
      </c>
      <c r="K17">
        <v>8.4900000000001086E-2</v>
      </c>
    </row>
    <row r="18" spans="1:11" x14ac:dyDescent="0.2">
      <c r="A18" t="s">
        <v>187</v>
      </c>
      <c r="B18">
        <v>60057.578999999998</v>
      </c>
      <c r="C18">
        <v>363838.098</v>
      </c>
      <c r="D18">
        <v>18.776</v>
      </c>
      <c r="E18" t="s">
        <v>187</v>
      </c>
      <c r="F18" t="s">
        <v>537</v>
      </c>
      <c r="G18">
        <v>43.645200000000003</v>
      </c>
      <c r="H18" t="s">
        <v>538</v>
      </c>
      <c r="I18">
        <v>-1.7399999996996485E-2</v>
      </c>
      <c r="J18">
        <v>-6.5600000001722947E-2</v>
      </c>
      <c r="K18">
        <v>8.5999999999998522E-2</v>
      </c>
    </row>
    <row r="19" spans="1:11" x14ac:dyDescent="0.2">
      <c r="A19" t="s">
        <v>188</v>
      </c>
      <c r="B19">
        <v>60057.951999999997</v>
      </c>
      <c r="C19">
        <v>363839.36199999996</v>
      </c>
      <c r="D19">
        <v>18.786000000000001</v>
      </c>
      <c r="E19" t="s">
        <v>188</v>
      </c>
      <c r="F19" t="s">
        <v>537</v>
      </c>
      <c r="G19">
        <v>43.682099999999998</v>
      </c>
      <c r="H19" t="s">
        <v>539</v>
      </c>
      <c r="I19">
        <v>-1.7399999996996485E-2</v>
      </c>
      <c r="J19">
        <v>-6.5600000001722947E-2</v>
      </c>
      <c r="K19">
        <v>8.6999999999999744E-2</v>
      </c>
    </row>
    <row r="20" spans="1:11" x14ac:dyDescent="0.2">
      <c r="A20" t="s">
        <v>189</v>
      </c>
      <c r="B20">
        <v>60060.639999999999</v>
      </c>
      <c r="C20">
        <v>363837.32199999999</v>
      </c>
      <c r="D20">
        <v>18.7836</v>
      </c>
      <c r="E20" t="s">
        <v>189</v>
      </c>
      <c r="F20" t="s">
        <v>537</v>
      </c>
      <c r="G20">
        <v>46.781700000000001</v>
      </c>
      <c r="H20" t="s">
        <v>538</v>
      </c>
      <c r="I20">
        <v>-1.690000000235159E-2</v>
      </c>
      <c r="J20">
        <v>-6.6799999971408397E-2</v>
      </c>
      <c r="K20">
        <v>8.6400000000001143E-2</v>
      </c>
    </row>
    <row r="21" spans="1:11" x14ac:dyDescent="0.2">
      <c r="A21" t="s">
        <v>190</v>
      </c>
      <c r="B21">
        <v>60060.963000000003</v>
      </c>
      <c r="C21">
        <v>363838.60100000002</v>
      </c>
      <c r="D21">
        <v>18.794599999999999</v>
      </c>
      <c r="E21" t="s">
        <v>190</v>
      </c>
      <c r="F21" t="s">
        <v>537</v>
      </c>
      <c r="G21">
        <v>46.789200000000001</v>
      </c>
      <c r="H21" t="s">
        <v>539</v>
      </c>
      <c r="I21">
        <v>-1.5700000003562309E-2</v>
      </c>
      <c r="J21">
        <v>-6.4799999992828816E-2</v>
      </c>
      <c r="K21">
        <v>8.7400000000002365E-2</v>
      </c>
    </row>
    <row r="22" spans="1:11" x14ac:dyDescent="0.2">
      <c r="A22" t="s">
        <v>191</v>
      </c>
      <c r="B22">
        <v>60063.421999999999</v>
      </c>
      <c r="C22">
        <v>363836.636</v>
      </c>
      <c r="D22">
        <v>18.794899999999998</v>
      </c>
      <c r="E22" t="s">
        <v>191</v>
      </c>
      <c r="F22" t="s">
        <v>537</v>
      </c>
      <c r="G22">
        <v>49.642600000000002</v>
      </c>
      <c r="H22" t="s">
        <v>538</v>
      </c>
      <c r="I22">
        <v>-1.4499999997497072E-2</v>
      </c>
      <c r="J22">
        <v>-5.9299999993527315E-2</v>
      </c>
      <c r="K22">
        <v>8.510000000000062E-2</v>
      </c>
    </row>
    <row r="23" spans="1:11" x14ac:dyDescent="0.2">
      <c r="A23" t="s">
        <v>192</v>
      </c>
      <c r="B23">
        <v>60063.750999999997</v>
      </c>
      <c r="C23">
        <v>363837.91800000001</v>
      </c>
      <c r="D23">
        <v>18.809000000000001</v>
      </c>
      <c r="E23" t="s">
        <v>192</v>
      </c>
      <c r="F23" t="s">
        <v>537</v>
      </c>
      <c r="G23">
        <v>49.649799999999999</v>
      </c>
      <c r="H23" t="s">
        <v>539</v>
      </c>
      <c r="I23">
        <v>-2.3999999997613489E-2</v>
      </c>
      <c r="J23">
        <v>-5.7000000000698499E-2</v>
      </c>
      <c r="K23">
        <v>8.5999999999998522E-2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5"/>
  </sheetPr>
  <dimension ref="A1:AM74"/>
  <sheetViews>
    <sheetView showGridLines="0" topLeftCell="H1" zoomScale="85" zoomScaleNormal="85" workbookViewId="0">
      <selection activeCell="M20" sqref="M20"/>
    </sheetView>
  </sheetViews>
  <sheetFormatPr defaultRowHeight="12.75" x14ac:dyDescent="0.2"/>
  <cols>
    <col min="1" max="1" width="2.85546875" style="1" customWidth="1"/>
    <col min="2" max="2" width="21" style="1" customWidth="1"/>
    <col min="3" max="5" width="13.85546875" style="1" customWidth="1"/>
    <col min="6" max="8" width="14.5703125" style="1" customWidth="1"/>
    <col min="9" max="9" width="41.7109375" style="1" customWidth="1"/>
    <col min="10" max="10" width="3.28515625" style="1" customWidth="1"/>
    <col min="11" max="11" width="21" style="1" customWidth="1"/>
    <col min="12" max="12" width="12.42578125" style="1" customWidth="1"/>
    <col min="13" max="15" width="13.85546875" style="1" customWidth="1"/>
    <col min="16" max="16" width="9.140625" style="1" customWidth="1"/>
    <col min="17" max="17" width="13.28515625" style="1" customWidth="1"/>
    <col min="18" max="18" width="19" style="1" customWidth="1"/>
    <col min="19" max="19" width="32" style="1" customWidth="1"/>
    <col min="20" max="20" width="41.7109375" style="1" customWidth="1"/>
    <col min="21" max="16384" width="9.140625" style="1"/>
  </cols>
  <sheetData>
    <row r="1" spans="1:39" ht="6.75" customHeight="1" x14ac:dyDescent="0.2">
      <c r="A1" s="210"/>
      <c r="B1" s="210"/>
      <c r="C1" s="210"/>
      <c r="D1" s="210"/>
      <c r="E1" s="210"/>
      <c r="F1" s="210"/>
      <c r="G1" s="210"/>
      <c r="H1" s="210"/>
      <c r="I1" s="210"/>
      <c r="J1" s="210"/>
      <c r="K1" s="210"/>
      <c r="L1" s="210"/>
      <c r="M1" s="210"/>
      <c r="N1" s="210"/>
      <c r="O1" s="210"/>
      <c r="P1" s="210"/>
      <c r="Q1" s="210"/>
      <c r="R1" s="210"/>
      <c r="S1" s="210"/>
      <c r="T1" s="210"/>
      <c r="U1" s="210"/>
      <c r="V1" s="210"/>
      <c r="W1" s="210"/>
      <c r="X1" s="210"/>
      <c r="Y1" s="210"/>
      <c r="Z1" s="210"/>
      <c r="AA1" s="210"/>
      <c r="AB1" s="210"/>
      <c r="AC1" s="210"/>
      <c r="AD1" s="210"/>
      <c r="AE1" s="210"/>
      <c r="AF1" s="210"/>
      <c r="AG1" s="210"/>
      <c r="AH1" s="210"/>
    </row>
    <row r="2" spans="1:39" ht="14.25" customHeight="1" x14ac:dyDescent="0.2">
      <c r="A2" s="24"/>
      <c r="B2" s="24"/>
      <c r="C2" s="24"/>
      <c r="D2" s="24"/>
      <c r="E2" s="24"/>
      <c r="F2" s="24"/>
      <c r="G2" s="24"/>
      <c r="H2" s="24"/>
      <c r="I2" s="24"/>
      <c r="J2" s="24"/>
      <c r="K2" s="24"/>
      <c r="L2" s="25"/>
      <c r="M2" s="26"/>
      <c r="N2" s="26"/>
      <c r="O2" s="26"/>
      <c r="P2" s="26"/>
      <c r="Q2" s="26"/>
      <c r="R2" s="26"/>
      <c r="S2" s="26"/>
      <c r="T2" s="26"/>
      <c r="U2" s="26"/>
      <c r="V2" s="26"/>
      <c r="W2" s="24"/>
      <c r="X2" s="26"/>
      <c r="Y2" s="26"/>
      <c r="Z2" s="26"/>
      <c r="AA2" s="27"/>
      <c r="AB2" s="24"/>
      <c r="AC2" s="24"/>
      <c r="AD2" s="24"/>
      <c r="AE2" s="24"/>
      <c r="AF2" s="24"/>
      <c r="AG2" s="24"/>
      <c r="AH2" s="24"/>
      <c r="AI2" s="24"/>
      <c r="AJ2" s="24"/>
      <c r="AK2" s="24"/>
      <c r="AL2" s="24"/>
      <c r="AM2" s="24"/>
    </row>
    <row r="3" spans="1:39" ht="14.25" customHeight="1" x14ac:dyDescent="0.2">
      <c r="A3" s="24"/>
      <c r="B3" s="217" t="s">
        <v>26</v>
      </c>
      <c r="C3" s="217"/>
      <c r="D3" s="217"/>
      <c r="E3" s="217"/>
      <c r="F3" s="217"/>
      <c r="G3" s="217"/>
      <c r="H3" s="217"/>
      <c r="I3" s="217"/>
      <c r="J3" s="217"/>
      <c r="K3" s="217"/>
      <c r="L3" s="217"/>
      <c r="M3" s="217"/>
      <c r="N3" s="217"/>
      <c r="O3" s="217"/>
      <c r="P3" s="217"/>
      <c r="Q3" s="217"/>
      <c r="R3" s="217"/>
      <c r="S3" s="217"/>
      <c r="T3" s="217"/>
      <c r="U3" s="218" t="s">
        <v>36</v>
      </c>
      <c r="V3" s="219"/>
      <c r="W3" s="219"/>
      <c r="X3" s="219"/>
      <c r="Y3" s="220"/>
      <c r="Z3" s="26"/>
      <c r="AA3" s="26"/>
      <c r="AB3" s="26"/>
      <c r="AC3" s="26"/>
      <c r="AD3" s="26"/>
      <c r="AE3" s="26"/>
      <c r="AF3" s="26"/>
      <c r="AG3" s="26"/>
      <c r="AH3" s="26"/>
      <c r="AI3" s="26"/>
      <c r="AJ3" s="26"/>
      <c r="AK3" s="26"/>
      <c r="AL3" s="26"/>
      <c r="AM3" s="26"/>
    </row>
    <row r="4" spans="1:39" ht="14.25" customHeight="1" x14ac:dyDescent="0.2">
      <c r="A4" s="24"/>
      <c r="B4" s="217"/>
      <c r="C4" s="217"/>
      <c r="D4" s="217"/>
      <c r="E4" s="217"/>
      <c r="F4" s="217"/>
      <c r="G4" s="217"/>
      <c r="H4" s="217"/>
      <c r="I4" s="217"/>
      <c r="J4" s="217"/>
      <c r="K4" s="217"/>
      <c r="L4" s="217"/>
      <c r="M4" s="217"/>
      <c r="N4" s="217"/>
      <c r="O4" s="217"/>
      <c r="P4" s="217"/>
      <c r="Q4" s="217"/>
      <c r="R4" s="217"/>
      <c r="S4" s="217"/>
      <c r="T4" s="217"/>
      <c r="U4" s="221"/>
      <c r="V4" s="222"/>
      <c r="W4" s="222"/>
      <c r="X4" s="222"/>
      <c r="Y4" s="223"/>
      <c r="Z4" s="26"/>
      <c r="AA4" s="26"/>
      <c r="AB4" s="26"/>
      <c r="AC4" s="26"/>
      <c r="AD4" s="26"/>
      <c r="AE4" s="26"/>
      <c r="AF4" s="26"/>
      <c r="AG4" s="26"/>
      <c r="AH4" s="26"/>
      <c r="AI4" s="26"/>
      <c r="AJ4" s="26"/>
      <c r="AK4" s="26"/>
      <c r="AL4" s="26"/>
      <c r="AM4" s="26"/>
    </row>
    <row r="5" spans="1:39" ht="14.25" customHeight="1" x14ac:dyDescent="0.2">
      <c r="A5" s="24"/>
      <c r="B5" s="229" t="s">
        <v>27</v>
      </c>
      <c r="C5" s="229"/>
      <c r="D5" s="229"/>
      <c r="E5" s="229"/>
      <c r="F5" s="229"/>
      <c r="G5" s="229"/>
      <c r="H5" s="229"/>
      <c r="I5" s="229"/>
      <c r="J5" s="229"/>
      <c r="K5" s="227" t="s">
        <v>30</v>
      </c>
      <c r="L5" s="227"/>
      <c r="M5" s="227"/>
      <c r="N5" s="227"/>
      <c r="O5" s="227"/>
      <c r="P5" s="227"/>
      <c r="Q5" s="227"/>
      <c r="R5" s="227"/>
      <c r="S5" s="227"/>
      <c r="T5" s="227"/>
      <c r="U5" s="221"/>
      <c r="V5" s="222"/>
      <c r="W5" s="222"/>
      <c r="X5" s="222"/>
      <c r="Y5" s="223"/>
      <c r="Z5" s="26"/>
      <c r="AA5" s="26"/>
      <c r="AB5" s="26"/>
      <c r="AC5" s="26"/>
      <c r="AD5" s="26"/>
      <c r="AE5" s="26"/>
      <c r="AF5" s="26"/>
      <c r="AG5" s="26"/>
      <c r="AH5" s="26"/>
      <c r="AI5" s="26"/>
      <c r="AJ5" s="26"/>
      <c r="AK5" s="26"/>
      <c r="AL5" s="26"/>
      <c r="AM5" s="26"/>
    </row>
    <row r="6" spans="1:39" ht="14.25" customHeight="1" x14ac:dyDescent="0.2">
      <c r="A6" s="24"/>
      <c r="B6" s="228" t="s">
        <v>28</v>
      </c>
      <c r="C6" s="228"/>
      <c r="D6" s="228"/>
      <c r="E6" s="228"/>
      <c r="F6" s="228"/>
      <c r="G6" s="228"/>
      <c r="H6" s="228"/>
      <c r="I6" s="228"/>
      <c r="J6" s="228"/>
      <c r="K6" s="228" t="s">
        <v>31</v>
      </c>
      <c r="L6" s="228"/>
      <c r="M6" s="228"/>
      <c r="N6" s="228"/>
      <c r="O6" s="228"/>
      <c r="P6" s="228"/>
      <c r="Q6" s="228"/>
      <c r="R6" s="228"/>
      <c r="S6" s="228"/>
      <c r="T6" s="228"/>
      <c r="U6" s="221"/>
      <c r="V6" s="222"/>
      <c r="W6" s="222"/>
      <c r="X6" s="222"/>
      <c r="Y6" s="223"/>
      <c r="Z6" s="26"/>
      <c r="AA6" s="26"/>
      <c r="AB6" s="26"/>
      <c r="AC6" s="26"/>
      <c r="AD6" s="26"/>
      <c r="AE6" s="26"/>
      <c r="AF6" s="26"/>
      <c r="AG6" s="26"/>
      <c r="AH6" s="26"/>
      <c r="AI6" s="26"/>
      <c r="AJ6" s="26"/>
      <c r="AK6" s="26"/>
      <c r="AL6" s="26"/>
      <c r="AM6" s="26"/>
    </row>
    <row r="7" spans="1:39" ht="14.25" customHeight="1" x14ac:dyDescent="0.2">
      <c r="A7" s="24"/>
      <c r="B7" s="228" t="s">
        <v>29</v>
      </c>
      <c r="C7" s="228"/>
      <c r="D7" s="228"/>
      <c r="E7" s="228"/>
      <c r="F7" s="228"/>
      <c r="G7" s="228"/>
      <c r="H7" s="228"/>
      <c r="I7" s="228"/>
      <c r="J7" s="228"/>
      <c r="K7" s="228" t="s">
        <v>32</v>
      </c>
      <c r="L7" s="228"/>
      <c r="M7" s="228"/>
      <c r="N7" s="228"/>
      <c r="O7" s="228"/>
      <c r="P7" s="228"/>
      <c r="Q7" s="228"/>
      <c r="R7" s="228"/>
      <c r="S7" s="228"/>
      <c r="T7" s="228"/>
      <c r="U7" s="221"/>
      <c r="V7" s="222"/>
      <c r="W7" s="222"/>
      <c r="X7" s="222"/>
      <c r="Y7" s="223"/>
      <c r="Z7" s="26"/>
      <c r="AA7" s="26"/>
      <c r="AB7" s="26"/>
      <c r="AC7" s="26"/>
      <c r="AD7" s="26"/>
      <c r="AE7" s="26"/>
      <c r="AF7" s="26"/>
      <c r="AG7" s="26"/>
      <c r="AH7" s="26"/>
      <c r="AI7" s="26"/>
      <c r="AJ7" s="26"/>
      <c r="AK7" s="26"/>
      <c r="AL7" s="26"/>
      <c r="AM7" s="26"/>
    </row>
    <row r="8" spans="1:39" ht="14.25" customHeight="1" x14ac:dyDescent="0.2">
      <c r="A8" s="24"/>
      <c r="B8" s="228" t="s">
        <v>33</v>
      </c>
      <c r="C8" s="228"/>
      <c r="D8" s="228"/>
      <c r="E8" s="228"/>
      <c r="F8" s="228"/>
      <c r="G8" s="228"/>
      <c r="H8" s="228"/>
      <c r="I8" s="228"/>
      <c r="J8" s="228"/>
      <c r="K8" s="228" t="s">
        <v>34</v>
      </c>
      <c r="L8" s="228"/>
      <c r="M8" s="228"/>
      <c r="N8" s="228"/>
      <c r="O8" s="228"/>
      <c r="P8" s="228"/>
      <c r="Q8" s="228"/>
      <c r="R8" s="228"/>
      <c r="S8" s="228"/>
      <c r="T8" s="228"/>
      <c r="U8" s="224"/>
      <c r="V8" s="225"/>
      <c r="W8" s="225"/>
      <c r="X8" s="225"/>
      <c r="Y8" s="226"/>
      <c r="Z8" s="26"/>
      <c r="AA8" s="26"/>
      <c r="AB8" s="26"/>
      <c r="AC8" s="26"/>
      <c r="AD8" s="26"/>
      <c r="AE8" s="26"/>
      <c r="AF8" s="26"/>
      <c r="AG8" s="26"/>
      <c r="AH8" s="26"/>
      <c r="AI8" s="26"/>
      <c r="AJ8" s="26"/>
      <c r="AK8" s="26"/>
      <c r="AL8" s="26"/>
      <c r="AM8" s="26"/>
    </row>
    <row r="9" spans="1:39" ht="14.25" customHeight="1" thickBot="1" x14ac:dyDescent="0.25">
      <c r="A9" s="28"/>
      <c r="B9" s="28"/>
      <c r="C9" s="28"/>
      <c r="D9" s="28"/>
      <c r="E9" s="28"/>
      <c r="F9" s="28"/>
      <c r="G9" s="28"/>
      <c r="H9" s="28"/>
      <c r="I9" s="28"/>
      <c r="J9" s="28"/>
      <c r="K9" s="28"/>
      <c r="L9" s="29"/>
      <c r="M9" s="30"/>
      <c r="N9" s="30"/>
      <c r="O9" s="30"/>
      <c r="P9" s="30"/>
      <c r="Q9" s="30"/>
      <c r="R9" s="30"/>
      <c r="S9" s="30"/>
      <c r="T9" s="30"/>
      <c r="U9" s="30"/>
      <c r="V9" s="30"/>
      <c r="W9" s="30"/>
      <c r="X9" s="30"/>
      <c r="Y9" s="30"/>
      <c r="Z9" s="30"/>
      <c r="AA9" s="31"/>
      <c r="AB9" s="28"/>
      <c r="AC9" s="28"/>
      <c r="AD9" s="28"/>
      <c r="AE9" s="28"/>
      <c r="AF9" s="28"/>
      <c r="AG9" s="28"/>
      <c r="AH9" s="28"/>
      <c r="AI9" s="28"/>
      <c r="AJ9" s="28"/>
      <c r="AK9" s="28"/>
      <c r="AL9" s="28"/>
      <c r="AM9" s="28"/>
    </row>
    <row r="10" spans="1:39" ht="9" customHeight="1" x14ac:dyDescent="0.2">
      <c r="Q10" s="1" t="s">
        <v>25</v>
      </c>
    </row>
    <row r="11" spans="1:39" ht="30" customHeight="1" x14ac:dyDescent="0.2">
      <c r="B11" s="214" t="s">
        <v>23</v>
      </c>
      <c r="C11" s="215"/>
      <c r="D11" s="215"/>
      <c r="E11" s="215"/>
      <c r="F11" s="215"/>
      <c r="G11" s="215"/>
      <c r="H11" s="215"/>
      <c r="I11" s="215"/>
      <c r="K11" s="216" t="s">
        <v>24</v>
      </c>
      <c r="L11" s="216"/>
      <c r="M11" s="216"/>
      <c r="N11" s="216"/>
      <c r="O11" s="216"/>
      <c r="P11" s="216"/>
      <c r="Q11" s="216"/>
      <c r="R11" s="216"/>
      <c r="S11" s="216"/>
      <c r="T11" s="216"/>
      <c r="V11" s="211" t="s">
        <v>35</v>
      </c>
      <c r="W11" s="212"/>
      <c r="X11" s="212"/>
      <c r="Y11" s="212"/>
      <c r="Z11" s="212"/>
      <c r="AA11" s="212"/>
      <c r="AB11" s="212"/>
      <c r="AC11" s="212"/>
      <c r="AD11" s="212"/>
      <c r="AE11" s="212"/>
      <c r="AF11" s="212"/>
      <c r="AG11" s="212"/>
      <c r="AH11" s="212"/>
      <c r="AI11" s="212"/>
      <c r="AJ11" s="212"/>
      <c r="AK11" s="212"/>
      <c r="AL11" s="212"/>
      <c r="AM11" s="213"/>
    </row>
    <row r="12" spans="1:39" ht="30" customHeight="1" x14ac:dyDescent="0.2">
      <c r="B12" s="21" t="s">
        <v>2</v>
      </c>
      <c r="C12" s="22" t="s">
        <v>101</v>
      </c>
      <c r="D12" s="22" t="s">
        <v>100</v>
      </c>
      <c r="E12" s="22" t="s">
        <v>99</v>
      </c>
      <c r="F12" s="21" t="s">
        <v>94</v>
      </c>
      <c r="G12" s="21" t="s">
        <v>95</v>
      </c>
      <c r="H12" s="21" t="s">
        <v>102</v>
      </c>
      <c r="I12" s="23" t="s">
        <v>3</v>
      </c>
      <c r="J12" s="11"/>
      <c r="K12" s="88" t="s">
        <v>193</v>
      </c>
      <c r="L12" s="88" t="s">
        <v>97</v>
      </c>
      <c r="M12" s="88" t="s">
        <v>101</v>
      </c>
      <c r="N12" s="88" t="s">
        <v>100</v>
      </c>
      <c r="O12" s="88" t="s">
        <v>99</v>
      </c>
      <c r="P12" s="88" t="s">
        <v>4</v>
      </c>
      <c r="Q12" s="88" t="s">
        <v>98</v>
      </c>
      <c r="R12" s="88" t="s">
        <v>96</v>
      </c>
      <c r="S12" s="88" t="s">
        <v>217</v>
      </c>
      <c r="T12" s="88" t="s">
        <v>3</v>
      </c>
      <c r="U12" s="11"/>
      <c r="V12" s="11"/>
    </row>
    <row r="13" spans="1:39" ht="12.75" customHeight="1" x14ac:dyDescent="0.2">
      <c r="B13" s="19"/>
      <c r="C13" s="89"/>
      <c r="D13" s="89"/>
      <c r="E13" s="89"/>
      <c r="F13" s="19"/>
      <c r="G13" s="19"/>
      <c r="H13" s="19"/>
      <c r="I13" s="20"/>
      <c r="J13" s="12"/>
      <c r="K13" s="16" t="s">
        <v>171</v>
      </c>
      <c r="L13" s="16"/>
      <c r="M13" s="17">
        <v>60034.959000000003</v>
      </c>
      <c r="N13" s="17">
        <v>363844.47100000002</v>
      </c>
      <c r="O13" s="18">
        <v>18.778099999999998</v>
      </c>
      <c r="P13" s="16"/>
      <c r="Q13" s="16"/>
      <c r="R13" s="16"/>
      <c r="S13" s="16" t="s">
        <v>247</v>
      </c>
      <c r="T13" s="16" t="s">
        <v>194</v>
      </c>
      <c r="U13" s="11"/>
    </row>
    <row r="14" spans="1:39" x14ac:dyDescent="0.2">
      <c r="B14" s="19"/>
      <c r="C14" s="89"/>
      <c r="D14" s="89"/>
      <c r="E14" s="89"/>
      <c r="F14" s="19"/>
      <c r="G14" s="19"/>
      <c r="H14" s="19"/>
      <c r="I14" s="20"/>
      <c r="J14" s="12"/>
      <c r="K14" s="16" t="s">
        <v>172</v>
      </c>
      <c r="L14" s="16"/>
      <c r="M14" s="17">
        <v>60035.34</v>
      </c>
      <c r="N14" s="17">
        <v>363845.739</v>
      </c>
      <c r="O14" s="18">
        <v>18.782</v>
      </c>
      <c r="P14" s="16"/>
      <c r="Q14" s="16"/>
      <c r="R14" s="16"/>
      <c r="S14" s="16" t="s">
        <v>248</v>
      </c>
      <c r="T14" s="16" t="s">
        <v>195</v>
      </c>
    </row>
    <row r="15" spans="1:39" ht="12.75" customHeight="1" x14ac:dyDescent="0.2">
      <c r="B15" s="19"/>
      <c r="C15" s="89"/>
      <c r="D15" s="89"/>
      <c r="E15" s="89"/>
      <c r="F15" s="19"/>
      <c r="G15" s="19"/>
      <c r="H15" s="19"/>
      <c r="I15" s="20"/>
      <c r="J15" s="12"/>
      <c r="K15" s="16" t="s">
        <v>174</v>
      </c>
      <c r="L15" s="16"/>
      <c r="M15" s="17">
        <v>60038.118000000002</v>
      </c>
      <c r="N15" s="17">
        <v>363844.94500000001</v>
      </c>
      <c r="O15" s="18">
        <v>18.7788</v>
      </c>
      <c r="P15" s="16"/>
      <c r="Q15" s="16"/>
      <c r="R15" s="16"/>
      <c r="S15" s="16" t="s">
        <v>249</v>
      </c>
      <c r="T15" s="16" t="s">
        <v>196</v>
      </c>
    </row>
    <row r="16" spans="1:39" x14ac:dyDescent="0.2">
      <c r="B16" s="19"/>
      <c r="C16" s="89"/>
      <c r="D16" s="89"/>
      <c r="E16" s="89"/>
      <c r="F16" s="19"/>
      <c r="G16" s="19"/>
      <c r="H16" s="19"/>
      <c r="I16" s="20"/>
      <c r="J16" s="12"/>
      <c r="K16" s="16" t="s">
        <v>173</v>
      </c>
      <c r="L16" s="16"/>
      <c r="M16" s="17">
        <v>60037.805</v>
      </c>
      <c r="N16" s="17">
        <v>363843.65700000001</v>
      </c>
      <c r="O16" s="18">
        <v>18.778500000000001</v>
      </c>
      <c r="P16" s="16"/>
      <c r="Q16" s="16"/>
      <c r="R16" s="16"/>
      <c r="S16" s="16" t="s">
        <v>250</v>
      </c>
      <c r="T16" s="16" t="s">
        <v>197</v>
      </c>
    </row>
    <row r="17" spans="2:20" x14ac:dyDescent="0.2">
      <c r="B17" s="19"/>
      <c r="C17" s="89"/>
      <c r="D17" s="89"/>
      <c r="E17" s="89"/>
      <c r="F17" s="19"/>
      <c r="G17" s="19"/>
      <c r="H17" s="19"/>
      <c r="I17" s="20"/>
      <c r="J17" s="12"/>
      <c r="K17" s="16" t="s">
        <v>176</v>
      </c>
      <c r="L17" s="16"/>
      <c r="M17" s="17">
        <v>60040.968999999997</v>
      </c>
      <c r="N17" s="17">
        <v>363844.11800000002</v>
      </c>
      <c r="O17" s="18">
        <v>18.779</v>
      </c>
      <c r="P17" s="16"/>
      <c r="Q17" s="16"/>
      <c r="R17" s="16"/>
      <c r="S17" s="16" t="s">
        <v>251</v>
      </c>
      <c r="T17" s="16" t="s">
        <v>198</v>
      </c>
    </row>
    <row r="18" spans="2:20" x14ac:dyDescent="0.2">
      <c r="B18" s="19"/>
      <c r="C18" s="89"/>
      <c r="D18" s="89"/>
      <c r="E18" s="89"/>
      <c r="F18" s="19"/>
      <c r="G18" s="19"/>
      <c r="H18" s="19"/>
      <c r="I18" s="20"/>
      <c r="J18" s="12"/>
      <c r="K18" s="16" t="s">
        <v>175</v>
      </c>
      <c r="L18" s="16"/>
      <c r="M18" s="17">
        <v>60040.607000000004</v>
      </c>
      <c r="N18" s="17">
        <v>363842.86100000003</v>
      </c>
      <c r="O18" s="18">
        <v>18.771999999999998</v>
      </c>
      <c r="P18" s="16"/>
      <c r="Q18" s="16"/>
      <c r="R18" s="16"/>
      <c r="S18" s="16" t="s">
        <v>252</v>
      </c>
      <c r="T18" s="16" t="s">
        <v>199</v>
      </c>
    </row>
    <row r="19" spans="2:20" x14ac:dyDescent="0.2">
      <c r="B19" s="19"/>
      <c r="C19" s="89"/>
      <c r="D19" s="89"/>
      <c r="E19" s="89"/>
      <c r="F19" s="19"/>
      <c r="G19" s="19"/>
      <c r="H19" s="19"/>
      <c r="I19" s="20"/>
      <c r="J19" s="12"/>
      <c r="K19" s="16" t="s">
        <v>178</v>
      </c>
      <c r="L19" s="16"/>
      <c r="M19" s="17">
        <v>60043.758999999998</v>
      </c>
      <c r="N19" s="17">
        <v>363843.31400000001</v>
      </c>
      <c r="O19" s="18">
        <v>18.774100000000001</v>
      </c>
      <c r="P19" s="16"/>
      <c r="Q19" s="16"/>
      <c r="R19" s="16"/>
      <c r="S19" s="16" t="s">
        <v>253</v>
      </c>
      <c r="T19" s="16" t="s">
        <v>200</v>
      </c>
    </row>
    <row r="20" spans="2:20" x14ac:dyDescent="0.2">
      <c r="B20" s="19"/>
      <c r="C20" s="89"/>
      <c r="D20" s="89"/>
      <c r="E20" s="89"/>
      <c r="F20" s="19"/>
      <c r="G20" s="19"/>
      <c r="H20" s="19"/>
      <c r="I20" s="20"/>
      <c r="J20" s="12"/>
      <c r="K20" s="16" t="s">
        <v>177</v>
      </c>
      <c r="L20" s="16"/>
      <c r="M20" s="17">
        <v>60043.440999999999</v>
      </c>
      <c r="N20" s="17">
        <v>363842.04000000004</v>
      </c>
      <c r="O20" s="18">
        <v>18.7683</v>
      </c>
      <c r="P20" s="16"/>
      <c r="Q20" s="16"/>
      <c r="R20" s="16"/>
      <c r="S20" s="16" t="s">
        <v>254</v>
      </c>
      <c r="T20" s="16" t="s">
        <v>201</v>
      </c>
    </row>
    <row r="21" spans="2:20" x14ac:dyDescent="0.2">
      <c r="B21" s="19"/>
      <c r="C21" s="89"/>
      <c r="D21" s="89"/>
      <c r="E21" s="89"/>
      <c r="F21" s="19"/>
      <c r="G21" s="19"/>
      <c r="H21" s="19"/>
      <c r="I21" s="20"/>
      <c r="J21" s="12"/>
      <c r="K21" s="16" t="s">
        <v>179</v>
      </c>
      <c r="L21" s="16"/>
      <c r="M21" s="17">
        <v>60046.25</v>
      </c>
      <c r="N21" s="17">
        <v>363841.22600000002</v>
      </c>
      <c r="O21" s="18">
        <v>18.7698</v>
      </c>
      <c r="P21" s="16"/>
      <c r="Q21" s="16"/>
      <c r="R21" s="16"/>
      <c r="S21" s="16" t="s">
        <v>255</v>
      </c>
      <c r="T21" s="16" t="s">
        <v>202</v>
      </c>
    </row>
    <row r="22" spans="2:20" x14ac:dyDescent="0.2">
      <c r="B22" s="19"/>
      <c r="C22" s="89"/>
      <c r="D22" s="89"/>
      <c r="E22" s="89"/>
      <c r="F22" s="19"/>
      <c r="G22" s="19"/>
      <c r="H22" s="19"/>
      <c r="I22" s="20"/>
      <c r="J22" s="12"/>
      <c r="K22" s="16" t="s">
        <v>180</v>
      </c>
      <c r="L22" s="16"/>
      <c r="M22" s="17">
        <v>60046.633000000002</v>
      </c>
      <c r="N22" s="17">
        <v>363842.48499999999</v>
      </c>
      <c r="O22" s="18">
        <v>18.7776</v>
      </c>
      <c r="P22" s="16"/>
      <c r="Q22" s="16"/>
      <c r="R22" s="16"/>
      <c r="S22" s="16" t="s">
        <v>256</v>
      </c>
      <c r="T22" s="16" t="s">
        <v>203</v>
      </c>
    </row>
    <row r="23" spans="2:20" x14ac:dyDescent="0.2">
      <c r="B23" s="19"/>
      <c r="C23" s="89"/>
      <c r="D23" s="89"/>
      <c r="E23" s="89"/>
      <c r="F23" s="19"/>
      <c r="G23" s="19"/>
      <c r="H23" s="19"/>
      <c r="I23" s="20"/>
      <c r="J23" s="12"/>
      <c r="K23" s="16" t="s">
        <v>181</v>
      </c>
      <c r="L23" s="16"/>
      <c r="M23" s="17">
        <v>60049.040999999997</v>
      </c>
      <c r="N23" s="17">
        <v>363840.43299999996</v>
      </c>
      <c r="O23" s="18">
        <v>18.771100000000001</v>
      </c>
      <c r="P23" s="16"/>
      <c r="Q23" s="16"/>
      <c r="R23" s="16"/>
      <c r="S23" s="16" t="s">
        <v>257</v>
      </c>
      <c r="T23" s="16" t="s">
        <v>204</v>
      </c>
    </row>
    <row r="24" spans="2:20" x14ac:dyDescent="0.2">
      <c r="B24" s="19"/>
      <c r="C24" s="89"/>
      <c r="D24" s="89"/>
      <c r="E24" s="89"/>
      <c r="F24" s="19"/>
      <c r="G24" s="19"/>
      <c r="H24" s="19"/>
      <c r="I24" s="20"/>
      <c r="J24" s="12"/>
      <c r="K24" s="16" t="s">
        <v>182</v>
      </c>
      <c r="L24" s="16"/>
      <c r="M24" s="17">
        <v>60049.398999999998</v>
      </c>
      <c r="N24" s="17">
        <v>363841.69799999997</v>
      </c>
      <c r="O24" s="18">
        <v>18.777999999999999</v>
      </c>
      <c r="P24" s="16"/>
      <c r="Q24" s="16"/>
      <c r="R24" s="16"/>
      <c r="S24" s="16" t="s">
        <v>258</v>
      </c>
      <c r="T24" s="16" t="s">
        <v>205</v>
      </c>
    </row>
    <row r="25" spans="2:20" x14ac:dyDescent="0.2">
      <c r="B25" s="19"/>
      <c r="C25" s="89"/>
      <c r="D25" s="89"/>
      <c r="E25" s="89"/>
      <c r="F25" s="19"/>
      <c r="G25" s="19"/>
      <c r="H25" s="19"/>
      <c r="I25" s="20"/>
      <c r="J25" s="12"/>
      <c r="K25" s="16" t="s">
        <v>184</v>
      </c>
      <c r="L25" s="16"/>
      <c r="M25" s="17">
        <v>60052.292999999998</v>
      </c>
      <c r="N25" s="17">
        <v>363840.88500000001</v>
      </c>
      <c r="O25" s="18">
        <v>18.779</v>
      </c>
      <c r="P25" s="16"/>
      <c r="Q25" s="16"/>
      <c r="R25" s="16"/>
      <c r="S25" s="16" t="s">
        <v>259</v>
      </c>
      <c r="T25" s="16" t="s">
        <v>206</v>
      </c>
    </row>
    <row r="26" spans="2:20" x14ac:dyDescent="0.2">
      <c r="B26" s="19"/>
      <c r="C26" s="89"/>
      <c r="D26" s="89"/>
      <c r="E26" s="89"/>
      <c r="F26" s="19"/>
      <c r="G26" s="19"/>
      <c r="H26" s="19"/>
      <c r="I26" s="20"/>
      <c r="J26" s="12"/>
      <c r="K26" s="16" t="s">
        <v>183</v>
      </c>
      <c r="L26" s="16"/>
      <c r="M26" s="17">
        <v>60051.989000000001</v>
      </c>
      <c r="N26" s="17">
        <v>363839.603</v>
      </c>
      <c r="O26" s="18">
        <v>18.770099999999999</v>
      </c>
      <c r="P26" s="16"/>
      <c r="Q26" s="16"/>
      <c r="R26" s="16"/>
      <c r="S26" s="16" t="s">
        <v>260</v>
      </c>
      <c r="T26" s="16" t="s">
        <v>207</v>
      </c>
    </row>
    <row r="27" spans="2:20" x14ac:dyDescent="0.2">
      <c r="B27" s="19"/>
      <c r="C27" s="89"/>
      <c r="D27" s="89"/>
      <c r="E27" s="89"/>
      <c r="F27" s="19"/>
      <c r="G27" s="19"/>
      <c r="H27" s="19"/>
      <c r="I27" s="20"/>
      <c r="J27" s="12"/>
      <c r="K27" s="16" t="s">
        <v>186</v>
      </c>
      <c r="L27" s="16"/>
      <c r="M27" s="17">
        <v>60055.196000000004</v>
      </c>
      <c r="N27" s="17">
        <v>363840.09499999997</v>
      </c>
      <c r="O27" s="18">
        <v>18.780899999999999</v>
      </c>
      <c r="P27" s="16"/>
      <c r="Q27" s="16"/>
      <c r="R27" s="16"/>
      <c r="S27" s="16" t="s">
        <v>261</v>
      </c>
      <c r="T27" s="16" t="s">
        <v>208</v>
      </c>
    </row>
    <row r="28" spans="2:20" x14ac:dyDescent="0.2">
      <c r="B28" s="19"/>
      <c r="C28" s="89"/>
      <c r="D28" s="89"/>
      <c r="E28" s="89"/>
      <c r="F28" s="19"/>
      <c r="G28" s="19"/>
      <c r="H28" s="19"/>
      <c r="I28" s="20"/>
      <c r="J28" s="12"/>
      <c r="K28" s="16" t="s">
        <v>185</v>
      </c>
      <c r="L28" s="16"/>
      <c r="M28" s="17">
        <v>60054.885999999999</v>
      </c>
      <c r="N28" s="17">
        <v>363838.80499999999</v>
      </c>
      <c r="O28" s="18">
        <v>18.773099999999999</v>
      </c>
      <c r="P28" s="16"/>
      <c r="Q28" s="16"/>
      <c r="R28" s="16"/>
      <c r="S28" s="16" t="s">
        <v>262</v>
      </c>
      <c r="T28" s="16" t="s">
        <v>209</v>
      </c>
    </row>
    <row r="29" spans="2:20" x14ac:dyDescent="0.2">
      <c r="B29" s="19"/>
      <c r="C29" s="89"/>
      <c r="D29" s="89"/>
      <c r="E29" s="89"/>
      <c r="F29" s="19"/>
      <c r="G29" s="19"/>
      <c r="H29" s="19"/>
      <c r="I29" s="20"/>
      <c r="J29" s="12"/>
      <c r="K29" s="16" t="s">
        <v>187</v>
      </c>
      <c r="L29" s="16"/>
      <c r="M29" s="17">
        <v>60057.578999999998</v>
      </c>
      <c r="N29" s="17">
        <v>363838.098</v>
      </c>
      <c r="O29" s="18">
        <v>18.776</v>
      </c>
      <c r="P29" s="16"/>
      <c r="Q29" s="16"/>
      <c r="R29" s="16"/>
      <c r="S29" s="16" t="s">
        <v>263</v>
      </c>
      <c r="T29" s="16" t="s">
        <v>210</v>
      </c>
    </row>
    <row r="30" spans="2:20" x14ac:dyDescent="0.2">
      <c r="B30" s="19"/>
      <c r="C30" s="89"/>
      <c r="D30" s="89"/>
      <c r="E30" s="89"/>
      <c r="F30" s="19"/>
      <c r="G30" s="19"/>
      <c r="H30" s="19"/>
      <c r="I30" s="20"/>
      <c r="J30" s="12"/>
      <c r="K30" s="16" t="s">
        <v>188</v>
      </c>
      <c r="L30" s="16"/>
      <c r="M30" s="17">
        <v>60057.951999999997</v>
      </c>
      <c r="N30" s="17">
        <v>363839.36199999996</v>
      </c>
      <c r="O30" s="18">
        <v>18.786000000000001</v>
      </c>
      <c r="P30" s="16"/>
      <c r="Q30" s="16"/>
      <c r="R30" s="16"/>
      <c r="S30" s="16" t="s">
        <v>264</v>
      </c>
      <c r="T30" s="16" t="s">
        <v>211</v>
      </c>
    </row>
    <row r="31" spans="2:20" x14ac:dyDescent="0.2">
      <c r="B31" s="19"/>
      <c r="C31" s="89"/>
      <c r="D31" s="89"/>
      <c r="E31" s="89"/>
      <c r="F31" s="19"/>
      <c r="G31" s="19"/>
      <c r="H31" s="19"/>
      <c r="I31" s="20"/>
      <c r="J31" s="12"/>
      <c r="K31" s="16" t="s">
        <v>189</v>
      </c>
      <c r="L31" s="16"/>
      <c r="M31" s="17">
        <v>60060.639999999999</v>
      </c>
      <c r="N31" s="17">
        <v>363837.32199999999</v>
      </c>
      <c r="O31" s="18">
        <v>18.7836</v>
      </c>
      <c r="P31" s="16"/>
      <c r="Q31" s="16"/>
      <c r="R31" s="16"/>
      <c r="S31" s="16" t="s">
        <v>265</v>
      </c>
      <c r="T31" s="16" t="s">
        <v>212</v>
      </c>
    </row>
    <row r="32" spans="2:20" x14ac:dyDescent="0.2">
      <c r="B32" s="19"/>
      <c r="C32" s="89"/>
      <c r="D32" s="89"/>
      <c r="E32" s="89"/>
      <c r="F32" s="19"/>
      <c r="G32" s="19"/>
      <c r="H32" s="19"/>
      <c r="I32" s="20"/>
      <c r="J32" s="12"/>
      <c r="K32" s="16" t="s">
        <v>190</v>
      </c>
      <c r="L32" s="16"/>
      <c r="M32" s="17">
        <v>60060.963000000003</v>
      </c>
      <c r="N32" s="17">
        <v>363838.60100000002</v>
      </c>
      <c r="O32" s="18">
        <v>18.794599999999999</v>
      </c>
      <c r="P32" s="16"/>
      <c r="Q32" s="16"/>
      <c r="R32" s="16"/>
      <c r="S32" s="16" t="s">
        <v>266</v>
      </c>
      <c r="T32" s="16" t="s">
        <v>213</v>
      </c>
    </row>
    <row r="33" spans="2:20" x14ac:dyDescent="0.2">
      <c r="B33" s="19"/>
      <c r="C33" s="89"/>
      <c r="D33" s="89"/>
      <c r="E33" s="89"/>
      <c r="F33" s="19"/>
      <c r="G33" s="19"/>
      <c r="H33" s="19"/>
      <c r="I33" s="20"/>
      <c r="J33" s="12"/>
      <c r="K33" s="16" t="s">
        <v>191</v>
      </c>
      <c r="L33" s="16"/>
      <c r="M33" s="17">
        <v>60063.421999999999</v>
      </c>
      <c r="N33" s="17">
        <v>363836.636</v>
      </c>
      <c r="O33" s="18">
        <v>18.794899999999998</v>
      </c>
      <c r="P33" s="16"/>
      <c r="Q33" s="16"/>
      <c r="R33" s="16"/>
      <c r="S33" s="16" t="s">
        <v>267</v>
      </c>
      <c r="T33" s="16" t="s">
        <v>214</v>
      </c>
    </row>
    <row r="34" spans="2:20" x14ac:dyDescent="0.2">
      <c r="B34" s="19"/>
      <c r="C34" s="89"/>
      <c r="D34" s="89"/>
      <c r="E34" s="89"/>
      <c r="F34" s="19"/>
      <c r="G34" s="19"/>
      <c r="H34" s="19"/>
      <c r="I34" s="20"/>
      <c r="J34" s="12"/>
      <c r="K34" s="16" t="s">
        <v>192</v>
      </c>
      <c r="L34" s="16"/>
      <c r="M34" s="17">
        <v>60063.750999999997</v>
      </c>
      <c r="N34" s="17">
        <v>363837.91800000001</v>
      </c>
      <c r="O34" s="18">
        <v>18.809000000000001</v>
      </c>
      <c r="P34" s="16"/>
      <c r="Q34" s="16"/>
      <c r="R34" s="16"/>
      <c r="S34" s="16" t="s">
        <v>268</v>
      </c>
      <c r="T34" s="16" t="s">
        <v>215</v>
      </c>
    </row>
    <row r="35" spans="2:20" x14ac:dyDescent="0.2">
      <c r="B35" s="19"/>
      <c r="C35" s="89"/>
      <c r="D35" s="89"/>
      <c r="E35" s="89"/>
      <c r="F35" s="19"/>
      <c r="G35" s="19"/>
      <c r="H35" s="19"/>
      <c r="I35" s="20"/>
      <c r="J35" s="12"/>
    </row>
    <row r="36" spans="2:20" x14ac:dyDescent="0.2">
      <c r="B36" s="19"/>
      <c r="C36" s="89"/>
      <c r="D36" s="89"/>
      <c r="E36" s="89"/>
      <c r="F36" s="19"/>
      <c r="G36" s="19"/>
      <c r="H36" s="19"/>
      <c r="I36" s="20"/>
      <c r="J36" s="12"/>
    </row>
    <row r="37" spans="2:20" x14ac:dyDescent="0.2">
      <c r="B37" s="19"/>
      <c r="C37" s="89"/>
      <c r="D37" s="89"/>
      <c r="E37" s="89"/>
      <c r="F37" s="19"/>
      <c r="G37" s="19"/>
      <c r="H37" s="19"/>
      <c r="I37" s="20"/>
      <c r="J37" s="12"/>
    </row>
    <row r="38" spans="2:20" x14ac:dyDescent="0.2">
      <c r="B38" s="19"/>
      <c r="C38" s="89"/>
      <c r="D38" s="89"/>
      <c r="E38" s="89"/>
      <c r="F38" s="19"/>
      <c r="G38" s="19"/>
      <c r="H38" s="19"/>
      <c r="I38" s="20"/>
      <c r="J38" s="12"/>
    </row>
    <row r="39" spans="2:20" x14ac:dyDescent="0.2">
      <c r="B39" s="19"/>
      <c r="C39" s="89"/>
      <c r="D39" s="89"/>
      <c r="E39" s="89"/>
      <c r="F39" s="19"/>
      <c r="G39" s="19"/>
      <c r="H39" s="19"/>
      <c r="I39" s="20"/>
      <c r="J39" s="12"/>
    </row>
    <row r="40" spans="2:20" x14ac:dyDescent="0.2">
      <c r="B40" s="19"/>
      <c r="C40" s="89"/>
      <c r="D40" s="89"/>
      <c r="E40" s="89"/>
      <c r="F40" s="19"/>
      <c r="G40" s="19"/>
      <c r="H40" s="19"/>
      <c r="I40" s="20"/>
      <c r="J40" s="12"/>
    </row>
    <row r="41" spans="2:20" x14ac:dyDescent="0.2">
      <c r="J41" s="12"/>
    </row>
    <row r="42" spans="2:20" x14ac:dyDescent="0.2">
      <c r="J42" s="12"/>
    </row>
    <row r="43" spans="2:20" x14ac:dyDescent="0.2">
      <c r="J43" s="12"/>
    </row>
    <row r="44" spans="2:20" x14ac:dyDescent="0.2">
      <c r="J44" s="12"/>
    </row>
    <row r="45" spans="2:20" x14ac:dyDescent="0.2">
      <c r="J45" s="13"/>
    </row>
    <row r="46" spans="2:20" x14ac:dyDescent="0.2">
      <c r="J46" s="13"/>
    </row>
    <row r="47" spans="2:20" x14ac:dyDescent="0.2">
      <c r="J47" s="13"/>
      <c r="L47"/>
    </row>
    <row r="48" spans="2:20" x14ac:dyDescent="0.2">
      <c r="J48" s="13"/>
      <c r="L48"/>
    </row>
    <row r="49" spans="9:12" x14ac:dyDescent="0.2">
      <c r="J49" s="13"/>
      <c r="L49"/>
    </row>
    <row r="50" spans="9:12" x14ac:dyDescent="0.2">
      <c r="J50" s="13"/>
      <c r="L50"/>
    </row>
    <row r="51" spans="9:12" x14ac:dyDescent="0.2">
      <c r="J51" s="13"/>
      <c r="L51"/>
    </row>
    <row r="52" spans="9:12" x14ac:dyDescent="0.2">
      <c r="I52" s="1" t="s">
        <v>304</v>
      </c>
      <c r="J52" s="13"/>
      <c r="L52"/>
    </row>
    <row r="53" spans="9:12" x14ac:dyDescent="0.2">
      <c r="J53" s="13"/>
      <c r="L53"/>
    </row>
    <row r="54" spans="9:12" x14ac:dyDescent="0.2">
      <c r="J54" s="13"/>
      <c r="L54"/>
    </row>
    <row r="55" spans="9:12" x14ac:dyDescent="0.2">
      <c r="J55" s="13"/>
      <c r="L55"/>
    </row>
    <row r="56" spans="9:12" x14ac:dyDescent="0.2">
      <c r="J56" s="13"/>
      <c r="L56"/>
    </row>
    <row r="57" spans="9:12" x14ac:dyDescent="0.2">
      <c r="J57" s="13"/>
      <c r="L57"/>
    </row>
    <row r="58" spans="9:12" x14ac:dyDescent="0.2">
      <c r="J58" s="13"/>
      <c r="L58"/>
    </row>
    <row r="59" spans="9:12" x14ac:dyDescent="0.2">
      <c r="J59" s="13"/>
      <c r="L59"/>
    </row>
    <row r="60" spans="9:12" x14ac:dyDescent="0.2">
      <c r="J60" s="13"/>
      <c r="L60"/>
    </row>
    <row r="61" spans="9:12" x14ac:dyDescent="0.2">
      <c r="J61" s="13"/>
      <c r="L61"/>
    </row>
    <row r="62" spans="9:12" x14ac:dyDescent="0.2">
      <c r="J62" s="13"/>
      <c r="L62"/>
    </row>
    <row r="63" spans="9:12" x14ac:dyDescent="0.2">
      <c r="L63"/>
    </row>
    <row r="64" spans="9:12" x14ac:dyDescent="0.2">
      <c r="L64"/>
    </row>
    <row r="65" spans="12:15" x14ac:dyDescent="0.2">
      <c r="L65"/>
    </row>
    <row r="66" spans="12:15" x14ac:dyDescent="0.2">
      <c r="L66"/>
    </row>
    <row r="67" spans="12:15" x14ac:dyDescent="0.2">
      <c r="L67"/>
      <c r="M67"/>
      <c r="N67"/>
      <c r="O67"/>
    </row>
    <row r="68" spans="12:15" x14ac:dyDescent="0.2">
      <c r="L68"/>
      <c r="M68"/>
      <c r="N68"/>
      <c r="O68"/>
    </row>
    <row r="69" spans="12:15" x14ac:dyDescent="0.2">
      <c r="L69"/>
      <c r="M69"/>
      <c r="N69"/>
      <c r="O69"/>
    </row>
    <row r="70" spans="12:15" x14ac:dyDescent="0.2">
      <c r="L70"/>
      <c r="M70"/>
      <c r="N70"/>
      <c r="O70"/>
    </row>
    <row r="71" spans="12:15" x14ac:dyDescent="0.2">
      <c r="L71"/>
      <c r="M71"/>
      <c r="N71"/>
      <c r="O71"/>
    </row>
    <row r="72" spans="12:15" x14ac:dyDescent="0.2">
      <c r="L72"/>
      <c r="M72"/>
      <c r="N72"/>
      <c r="O72"/>
    </row>
    <row r="73" spans="12:15" x14ac:dyDescent="0.2">
      <c r="L73"/>
      <c r="M73"/>
      <c r="N73"/>
      <c r="O73"/>
    </row>
    <row r="74" spans="12:15" x14ac:dyDescent="0.2">
      <c r="L74"/>
      <c r="M74"/>
      <c r="N74"/>
      <c r="O74"/>
    </row>
  </sheetData>
  <mergeCells count="14">
    <mergeCell ref="A1:AH1"/>
    <mergeCell ref="V11:AM11"/>
    <mergeCell ref="B11:I11"/>
    <mergeCell ref="K11:T11"/>
    <mergeCell ref="B3:T4"/>
    <mergeCell ref="U3:Y8"/>
    <mergeCell ref="K5:T5"/>
    <mergeCell ref="K6:T6"/>
    <mergeCell ref="K7:T7"/>
    <mergeCell ref="K8:T8"/>
    <mergeCell ref="B5:J5"/>
    <mergeCell ref="B6:J6"/>
    <mergeCell ref="B7:J7"/>
    <mergeCell ref="B8:J8"/>
  </mergeCells>
  <phoneticPr fontId="4" type="noConversion"/>
  <conditionalFormatting sqref="B13:I13">
    <cfRule type="expression" dxfId="22" priority="290">
      <formula>SUM($AA13:$AB13)&gt;0</formula>
    </cfRule>
  </conditionalFormatting>
  <conditionalFormatting sqref="B14:I40">
    <cfRule type="expression" dxfId="21" priority="292">
      <formula>SUM($AB14:$AC14)&gt;0</formula>
    </cfRule>
  </conditionalFormatting>
  <pageMargins left="0.7" right="0.7" top="0.75" bottom="0.75" header="0.3" footer="0.3"/>
  <pageSetup orientation="portrait" r:id="rId1"/>
  <headerFooter alignWithMargins="0"/>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6E3DA-2A1D-4DC5-9443-085C23464789}">
  <sheetPr codeName="Sheet3">
    <tabColor theme="6" tint="0.79998168889431442"/>
  </sheetPr>
  <dimension ref="A1:T15"/>
  <sheetViews>
    <sheetView showGridLines="0" zoomScale="85" zoomScaleNormal="85" workbookViewId="0">
      <selection activeCell="F22" sqref="F22"/>
    </sheetView>
  </sheetViews>
  <sheetFormatPr defaultRowHeight="12.75" x14ac:dyDescent="0.2"/>
  <cols>
    <col min="1" max="1" width="2.85546875" style="1" customWidth="1"/>
    <col min="2" max="2" width="18" style="1" customWidth="1"/>
    <col min="3" max="3" width="14" style="1" customWidth="1"/>
    <col min="4" max="4" width="17.5703125" style="1" customWidth="1"/>
    <col min="5" max="5" width="19.5703125" style="1" customWidth="1"/>
    <col min="6" max="6" width="16.5703125" style="1" customWidth="1"/>
    <col min="7" max="7" width="17" style="1" customWidth="1"/>
    <col min="8" max="13" width="33.85546875" style="1" customWidth="1"/>
    <col min="14" max="14" width="3.140625" style="1" customWidth="1"/>
    <col min="15" max="15" width="9.140625" style="1" customWidth="1"/>
    <col min="16" max="16" width="13.28515625" style="1" customWidth="1"/>
    <col min="17" max="17" width="19" style="1" customWidth="1"/>
    <col min="18" max="18" width="41.7109375" style="1" customWidth="1"/>
    <col min="19" max="16384" width="9.140625" style="1"/>
  </cols>
  <sheetData>
    <row r="1" spans="1:20" ht="6.75" customHeight="1" x14ac:dyDescent="0.2">
      <c r="A1" s="210"/>
      <c r="B1" s="210"/>
      <c r="C1" s="210"/>
      <c r="D1" s="210"/>
      <c r="E1" s="210"/>
      <c r="F1" s="210"/>
      <c r="G1" s="210"/>
      <c r="H1" s="210"/>
      <c r="I1" s="210"/>
      <c r="J1" s="210"/>
      <c r="K1" s="210"/>
      <c r="L1" s="210"/>
      <c r="M1" s="210"/>
      <c r="N1" s="210"/>
    </row>
    <row r="2" spans="1:20" ht="14.25" customHeight="1" x14ac:dyDescent="0.2">
      <c r="A2" s="24"/>
      <c r="B2" s="24"/>
      <c r="C2" s="24"/>
      <c r="D2" s="24"/>
      <c r="E2" s="24"/>
      <c r="F2" s="24"/>
      <c r="G2" s="24"/>
      <c r="H2" s="24"/>
      <c r="I2" s="24"/>
      <c r="J2" s="24"/>
      <c r="K2" s="25"/>
      <c r="L2" s="26"/>
      <c r="M2" s="26"/>
      <c r="N2" s="26"/>
    </row>
    <row r="3" spans="1:20" ht="14.25" customHeight="1" x14ac:dyDescent="0.2">
      <c r="A3" s="24"/>
      <c r="B3" s="233" t="s">
        <v>128</v>
      </c>
      <c r="C3" s="234"/>
      <c r="D3" s="234"/>
      <c r="E3" s="234"/>
      <c r="F3" s="234"/>
      <c r="G3" s="234"/>
      <c r="H3" s="234"/>
      <c r="I3" s="234"/>
      <c r="J3" s="234"/>
      <c r="K3" s="234"/>
      <c r="L3" s="234"/>
      <c r="M3" s="235"/>
      <c r="N3" s="26"/>
    </row>
    <row r="4" spans="1:20" ht="14.25" customHeight="1" x14ac:dyDescent="0.2">
      <c r="A4" s="24"/>
      <c r="B4" s="233"/>
      <c r="C4" s="234"/>
      <c r="D4" s="234"/>
      <c r="E4" s="234"/>
      <c r="F4" s="234"/>
      <c r="G4" s="234"/>
      <c r="H4" s="234"/>
      <c r="I4" s="234"/>
      <c r="J4" s="234"/>
      <c r="K4" s="234"/>
      <c r="L4" s="234"/>
      <c r="M4" s="235"/>
      <c r="N4" s="26"/>
    </row>
    <row r="5" spans="1:20" ht="14.25" customHeight="1" x14ac:dyDescent="0.2">
      <c r="A5" s="24"/>
      <c r="B5" s="230" t="s">
        <v>130</v>
      </c>
      <c r="C5" s="231"/>
      <c r="D5" s="231"/>
      <c r="E5" s="231"/>
      <c r="F5" s="231"/>
      <c r="G5" s="231"/>
      <c r="H5" s="231"/>
      <c r="I5" s="231"/>
      <c r="J5" s="231"/>
      <c r="K5" s="231"/>
      <c r="L5" s="231"/>
      <c r="M5" s="232"/>
      <c r="N5" s="26"/>
    </row>
    <row r="6" spans="1:20" ht="14.25" customHeight="1" x14ac:dyDescent="0.2">
      <c r="A6" s="24"/>
      <c r="B6" s="236" t="s">
        <v>133</v>
      </c>
      <c r="C6" s="237"/>
      <c r="D6" s="237"/>
      <c r="E6" s="237"/>
      <c r="F6" s="237"/>
      <c r="G6" s="237"/>
      <c r="H6" s="237"/>
      <c r="I6" s="237"/>
      <c r="J6" s="237"/>
      <c r="K6" s="237"/>
      <c r="L6" s="237"/>
      <c r="M6" s="238"/>
      <c r="N6" s="26"/>
    </row>
    <row r="7" spans="1:20" ht="14.25" customHeight="1" x14ac:dyDescent="0.2">
      <c r="A7" s="24"/>
      <c r="B7" s="236" t="s">
        <v>134</v>
      </c>
      <c r="C7" s="237"/>
      <c r="D7" s="237"/>
      <c r="E7" s="237"/>
      <c r="F7" s="237"/>
      <c r="G7" s="237"/>
      <c r="H7" s="237"/>
      <c r="I7" s="237"/>
      <c r="J7" s="237"/>
      <c r="K7" s="237"/>
      <c r="L7" s="237"/>
      <c r="M7" s="238"/>
      <c r="N7" s="26"/>
    </row>
    <row r="8" spans="1:20" ht="14.25" customHeight="1" x14ac:dyDescent="0.2">
      <c r="A8" s="24"/>
      <c r="B8" s="236"/>
      <c r="C8" s="237"/>
      <c r="D8" s="237"/>
      <c r="E8" s="237"/>
      <c r="F8" s="237"/>
      <c r="G8" s="237"/>
      <c r="H8" s="237"/>
      <c r="I8" s="237"/>
      <c r="J8" s="237"/>
      <c r="K8" s="237"/>
      <c r="L8" s="237"/>
      <c r="M8" s="238"/>
      <c r="N8" s="26"/>
    </row>
    <row r="9" spans="1:20" ht="14.25" customHeight="1" thickBot="1" x14ac:dyDescent="0.25">
      <c r="A9" s="28"/>
      <c r="B9" s="28"/>
      <c r="C9" s="28"/>
      <c r="D9" s="28"/>
      <c r="E9" s="28"/>
      <c r="F9" s="28"/>
      <c r="G9" s="28"/>
      <c r="H9" s="28"/>
      <c r="I9" s="28"/>
      <c r="J9" s="28"/>
      <c r="K9" s="29"/>
      <c r="L9" s="30"/>
      <c r="M9" s="30"/>
      <c r="N9" s="30"/>
    </row>
    <row r="10" spans="1:20" ht="9" customHeight="1" x14ac:dyDescent="0.2"/>
    <row r="11" spans="1:20" ht="30" customHeight="1" x14ac:dyDescent="0.2">
      <c r="B11" s="239" t="s">
        <v>129</v>
      </c>
      <c r="C11" s="239"/>
      <c r="D11" s="239"/>
      <c r="E11" s="239"/>
      <c r="F11" s="239"/>
      <c r="G11" s="239"/>
      <c r="H11" s="239"/>
      <c r="I11" s="239"/>
      <c r="J11" s="239"/>
      <c r="K11" s="239"/>
      <c r="L11" s="239"/>
      <c r="M11" s="239"/>
    </row>
    <row r="12" spans="1:20" ht="30" customHeight="1" x14ac:dyDescent="0.2">
      <c r="B12" s="119" t="s">
        <v>108</v>
      </c>
      <c r="C12" s="120" t="s">
        <v>109</v>
      </c>
      <c r="D12" s="120" t="s">
        <v>110</v>
      </c>
      <c r="E12" s="120" t="s">
        <v>111</v>
      </c>
      <c r="F12" s="120" t="s">
        <v>112</v>
      </c>
      <c r="G12" s="120" t="s">
        <v>113</v>
      </c>
      <c r="H12" s="120" t="s">
        <v>114</v>
      </c>
      <c r="I12" s="120" t="s">
        <v>115</v>
      </c>
      <c r="J12" s="120" t="s">
        <v>116</v>
      </c>
      <c r="K12" s="120" t="s">
        <v>117</v>
      </c>
      <c r="L12" s="120" t="s">
        <v>118</v>
      </c>
      <c r="M12" s="121" t="s">
        <v>119</v>
      </c>
      <c r="S12" s="11"/>
      <c r="T12" s="11"/>
    </row>
    <row r="13" spans="1:20" ht="114.75" x14ac:dyDescent="0.2">
      <c r="B13" s="122">
        <v>44936.416666666664</v>
      </c>
      <c r="C13" s="123" t="s">
        <v>20</v>
      </c>
      <c r="D13" s="123" t="s">
        <v>120</v>
      </c>
      <c r="E13" s="124" t="s">
        <v>121</v>
      </c>
      <c r="F13" s="124" t="s">
        <v>122</v>
      </c>
      <c r="G13" s="124"/>
      <c r="H13" s="124" t="s">
        <v>123</v>
      </c>
      <c r="I13" s="125" t="s">
        <v>124</v>
      </c>
      <c r="J13" s="125" t="s">
        <v>124</v>
      </c>
      <c r="K13" s="125" t="s">
        <v>125</v>
      </c>
      <c r="L13" s="125" t="s">
        <v>126</v>
      </c>
      <c r="M13" s="125" t="s">
        <v>127</v>
      </c>
      <c r="S13" s="11"/>
    </row>
    <row r="15" spans="1:20" ht="12.75" customHeight="1" x14ac:dyDescent="0.2"/>
  </sheetData>
  <mergeCells count="7">
    <mergeCell ref="A1:N1"/>
    <mergeCell ref="B5:M5"/>
    <mergeCell ref="B3:M4"/>
    <mergeCell ref="B6:M6"/>
    <mergeCell ref="B11:M11"/>
    <mergeCell ref="B7:M7"/>
    <mergeCell ref="B8:M8"/>
  </mergeCells>
  <conditionalFormatting sqref="B13">
    <cfRule type="expression" dxfId="20" priority="1">
      <formula>$U13=1</formula>
    </cfRule>
  </conditionalFormatting>
  <conditionalFormatting sqref="C13:H13">
    <cfRule type="expression" dxfId="19" priority="414">
      <formula>SUM($Y13:$Z13)&gt;0</formula>
    </cfRule>
  </conditionalFormatting>
  <pageMargins left="0.7" right="0.7" top="0.75" bottom="0.75" header="0.3" footer="0.3"/>
  <pageSetup orientation="portrait"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sheetPr>
  <dimension ref="A1:W1231"/>
  <sheetViews>
    <sheetView showGridLines="0" zoomScale="74" zoomScaleNormal="85" workbookViewId="0">
      <pane xSplit="3" ySplit="12" topLeftCell="D13" activePane="bottomRight" state="frozen"/>
      <selection pane="topRight" activeCell="D1" sqref="D1"/>
      <selection pane="bottomLeft" activeCell="A13" sqref="A13"/>
      <selection pane="bottomRight" activeCell="J41" sqref="J41"/>
    </sheetView>
  </sheetViews>
  <sheetFormatPr defaultColWidth="9.140625" defaultRowHeight="12.75" x14ac:dyDescent="0.2"/>
  <cols>
    <col min="1" max="1" width="2.85546875" style="1" customWidth="1"/>
    <col min="2" max="2" width="23.42578125" style="1" customWidth="1"/>
    <col min="3" max="3" width="2.85546875" style="1" customWidth="1"/>
    <col min="4" max="4" width="19.85546875" style="1" customWidth="1"/>
    <col min="5" max="5" width="22.5703125" style="1" customWidth="1"/>
    <col min="6" max="8" width="16.140625" style="1" customWidth="1"/>
    <col min="9" max="9" width="12.85546875" style="1" customWidth="1"/>
    <col min="10" max="10" width="21.140625" style="1" customWidth="1"/>
    <col min="11" max="13" width="13.28515625" style="1" customWidth="1"/>
    <col min="14" max="14" width="38.42578125" style="1" customWidth="1"/>
    <col min="15" max="15" width="15.42578125" style="1" bestFit="1" customWidth="1"/>
    <col min="16" max="16" width="18.28515625" style="1" bestFit="1" customWidth="1"/>
    <col min="17" max="17" width="13.85546875" style="1" bestFit="1" customWidth="1"/>
    <col min="18" max="18" width="18.85546875" style="1" bestFit="1" customWidth="1"/>
    <col min="19" max="19" width="19.28515625" style="1" bestFit="1" customWidth="1"/>
    <col min="20" max="20" width="11.5703125" style="1" customWidth="1"/>
    <col min="21" max="21" width="35.140625" style="1" bestFit="1" customWidth="1"/>
    <col min="22" max="22" width="10" style="1" customWidth="1"/>
    <col min="23" max="16384" width="9.140625" style="1"/>
  </cols>
  <sheetData>
    <row r="1" spans="1:23" ht="6.75" customHeight="1" x14ac:dyDescent="0.2">
      <c r="A1" s="210"/>
      <c r="B1" s="210"/>
      <c r="C1" s="210"/>
      <c r="D1" s="210"/>
      <c r="E1" s="210"/>
      <c r="F1" s="210"/>
      <c r="G1" s="210"/>
      <c r="H1" s="210"/>
      <c r="I1" s="210"/>
      <c r="J1" s="210"/>
      <c r="K1" s="210"/>
      <c r="L1" s="210"/>
      <c r="M1" s="210"/>
      <c r="N1" s="210"/>
      <c r="O1" s="210"/>
      <c r="P1" s="210"/>
      <c r="Q1" s="210"/>
      <c r="R1" s="210"/>
      <c r="S1" s="210"/>
      <c r="T1" s="210"/>
      <c r="U1" s="210"/>
      <c r="V1" s="210"/>
    </row>
    <row r="2" spans="1:23" ht="14.25" customHeight="1" x14ac:dyDescent="0.2">
      <c r="A2" s="24"/>
      <c r="B2" s="24"/>
      <c r="C2" s="24"/>
      <c r="D2" s="24"/>
      <c r="E2" s="24"/>
      <c r="F2" s="24"/>
      <c r="G2" s="24"/>
      <c r="H2" s="24"/>
      <c r="I2" s="24"/>
      <c r="J2" s="24"/>
      <c r="K2" s="24"/>
      <c r="L2" s="24"/>
      <c r="M2" s="25"/>
      <c r="N2" s="26"/>
      <c r="O2" s="26"/>
      <c r="P2" s="26"/>
      <c r="Q2" s="26"/>
      <c r="R2" s="26"/>
      <c r="S2" s="26"/>
      <c r="T2" s="26"/>
      <c r="U2" s="26"/>
      <c r="V2" s="26"/>
    </row>
    <row r="3" spans="1:23" ht="14.25" customHeight="1" x14ac:dyDescent="0.2">
      <c r="A3" s="24"/>
      <c r="B3" s="24"/>
      <c r="C3" s="24"/>
      <c r="D3" s="246" t="s">
        <v>37</v>
      </c>
      <c r="E3" s="247"/>
      <c r="F3" s="247"/>
      <c r="G3" s="247"/>
      <c r="H3" s="247"/>
      <c r="I3" s="247"/>
      <c r="J3" s="247"/>
      <c r="K3" s="247"/>
      <c r="L3" s="247"/>
      <c r="M3" s="247"/>
      <c r="N3" s="248"/>
      <c r="O3" s="218" t="s">
        <v>46</v>
      </c>
      <c r="P3" s="219"/>
      <c r="Q3" s="219"/>
      <c r="R3" s="220"/>
      <c r="S3" s="26"/>
      <c r="T3" s="26"/>
      <c r="U3" s="26"/>
      <c r="V3" s="26"/>
    </row>
    <row r="4" spans="1:23" ht="14.25" customHeight="1" x14ac:dyDescent="0.2">
      <c r="A4" s="24"/>
      <c r="B4" s="24"/>
      <c r="C4" s="24"/>
      <c r="D4" s="249"/>
      <c r="E4" s="250"/>
      <c r="F4" s="250"/>
      <c r="G4" s="250"/>
      <c r="H4" s="250"/>
      <c r="I4" s="250"/>
      <c r="J4" s="250"/>
      <c r="K4" s="250"/>
      <c r="L4" s="250"/>
      <c r="M4" s="250"/>
      <c r="N4" s="251"/>
      <c r="O4" s="221"/>
      <c r="P4" s="222"/>
      <c r="Q4" s="222"/>
      <c r="R4" s="223"/>
      <c r="S4" s="26"/>
      <c r="T4" s="26"/>
      <c r="U4" s="26"/>
      <c r="V4" s="26"/>
    </row>
    <row r="5" spans="1:23" ht="14.25" customHeight="1" x14ac:dyDescent="0.2">
      <c r="A5" s="24"/>
      <c r="B5" s="24"/>
      <c r="C5" s="24"/>
      <c r="D5" s="228" t="s">
        <v>39</v>
      </c>
      <c r="E5" s="228"/>
      <c r="F5" s="228"/>
      <c r="G5" s="228"/>
      <c r="H5" s="228"/>
      <c r="I5" s="228"/>
      <c r="J5" s="254" t="s">
        <v>41</v>
      </c>
      <c r="K5" s="240" t="s">
        <v>47</v>
      </c>
      <c r="L5" s="241"/>
      <c r="M5" s="241"/>
      <c r="N5" s="242"/>
      <c r="O5" s="221"/>
      <c r="P5" s="222"/>
      <c r="Q5" s="222"/>
      <c r="R5" s="223"/>
      <c r="S5" s="26"/>
      <c r="T5" s="26"/>
      <c r="U5" s="26"/>
      <c r="V5" s="26"/>
    </row>
    <row r="6" spans="1:23" ht="14.25" customHeight="1" x14ac:dyDescent="0.2">
      <c r="A6" s="24"/>
      <c r="B6" s="24"/>
      <c r="C6" s="24"/>
      <c r="D6" s="228" t="s">
        <v>40</v>
      </c>
      <c r="E6" s="228"/>
      <c r="F6" s="228"/>
      <c r="G6" s="228"/>
      <c r="H6" s="228"/>
      <c r="I6" s="228"/>
      <c r="J6" s="254"/>
      <c r="K6" s="243"/>
      <c r="L6" s="244"/>
      <c r="M6" s="244"/>
      <c r="N6" s="245"/>
      <c r="O6" s="221"/>
      <c r="P6" s="222"/>
      <c r="Q6" s="222"/>
      <c r="R6" s="223"/>
      <c r="S6" s="26"/>
      <c r="T6" s="26"/>
      <c r="U6" s="26"/>
      <c r="V6" s="26"/>
    </row>
    <row r="7" spans="1:23" ht="14.25" customHeight="1" x14ac:dyDescent="0.2">
      <c r="A7" s="24"/>
      <c r="B7" s="24"/>
      <c r="C7" s="24"/>
      <c r="D7" s="228" t="s">
        <v>48</v>
      </c>
      <c r="E7" s="228"/>
      <c r="F7" s="228"/>
      <c r="G7" s="228"/>
      <c r="H7" s="228"/>
      <c r="I7" s="228"/>
      <c r="J7" s="254"/>
      <c r="K7" s="240" t="s">
        <v>49</v>
      </c>
      <c r="L7" s="241"/>
      <c r="M7" s="241"/>
      <c r="N7" s="242"/>
      <c r="O7" s="221"/>
      <c r="P7" s="222"/>
      <c r="Q7" s="222"/>
      <c r="R7" s="223"/>
      <c r="S7" s="26"/>
      <c r="T7" s="26"/>
      <c r="U7" s="26"/>
      <c r="V7" s="26"/>
    </row>
    <row r="8" spans="1:23" ht="14.25" customHeight="1" x14ac:dyDescent="0.2">
      <c r="A8" s="24"/>
      <c r="B8" s="24"/>
      <c r="C8" s="24"/>
      <c r="D8" s="228" t="s">
        <v>43</v>
      </c>
      <c r="E8" s="228"/>
      <c r="F8" s="228"/>
      <c r="G8" s="228"/>
      <c r="H8" s="228"/>
      <c r="I8" s="228"/>
      <c r="J8" s="254"/>
      <c r="K8" s="243"/>
      <c r="L8" s="244"/>
      <c r="M8" s="244"/>
      <c r="N8" s="245"/>
      <c r="O8" s="224"/>
      <c r="P8" s="225"/>
      <c r="Q8" s="225"/>
      <c r="R8" s="226"/>
      <c r="S8" s="26"/>
      <c r="T8" s="26"/>
      <c r="U8" s="26"/>
      <c r="V8" s="26"/>
    </row>
    <row r="9" spans="1:23" ht="14.25" customHeight="1" thickBot="1" x14ac:dyDescent="0.25">
      <c r="A9" s="28"/>
      <c r="B9" s="28"/>
      <c r="C9" s="28"/>
      <c r="D9" s="28"/>
      <c r="E9" s="28"/>
      <c r="F9" s="28"/>
      <c r="G9" s="28"/>
      <c r="H9" s="28"/>
      <c r="I9" s="28"/>
      <c r="J9" s="28"/>
      <c r="K9" s="28"/>
      <c r="L9" s="28"/>
      <c r="M9" s="29"/>
      <c r="N9" s="30"/>
      <c r="O9" s="30"/>
      <c r="P9" s="30"/>
      <c r="Q9" s="30"/>
      <c r="R9" s="30"/>
      <c r="S9" s="30"/>
      <c r="T9" s="30"/>
      <c r="U9" s="30"/>
      <c r="V9" s="30"/>
    </row>
    <row r="10" spans="1:23" ht="9" customHeight="1" x14ac:dyDescent="0.2"/>
    <row r="11" spans="1:23" ht="30" customHeight="1" x14ac:dyDescent="0.2">
      <c r="B11" s="252" t="s">
        <v>45</v>
      </c>
      <c r="D11" s="256" t="s">
        <v>38</v>
      </c>
      <c r="E11" s="256"/>
      <c r="F11" s="256"/>
      <c r="G11" s="256"/>
      <c r="H11" s="256"/>
      <c r="I11" s="256"/>
      <c r="J11" s="256"/>
      <c r="K11" s="256"/>
      <c r="L11" s="256"/>
      <c r="M11" s="256"/>
      <c r="N11" s="256"/>
      <c r="O11" s="255" t="s">
        <v>42</v>
      </c>
      <c r="P11" s="255"/>
      <c r="Q11" s="255"/>
      <c r="R11" s="255"/>
      <c r="S11" s="255"/>
      <c r="T11" s="255"/>
      <c r="U11" s="255"/>
      <c r="V11" s="255"/>
    </row>
    <row r="12" spans="1:23" s="2" customFormat="1" ht="30" customHeight="1" x14ac:dyDescent="0.2">
      <c r="B12" s="253"/>
      <c r="C12" s="1"/>
      <c r="D12" s="87" t="s">
        <v>6</v>
      </c>
      <c r="E12" s="87" t="s">
        <v>193</v>
      </c>
      <c r="F12" s="87" t="s">
        <v>218</v>
      </c>
      <c r="G12" s="87" t="s">
        <v>219</v>
      </c>
      <c r="H12" s="87" t="s">
        <v>220</v>
      </c>
      <c r="I12" s="87" t="s">
        <v>9</v>
      </c>
      <c r="J12" s="87" t="s">
        <v>87</v>
      </c>
      <c r="K12" s="87" t="s">
        <v>88</v>
      </c>
      <c r="L12" s="87" t="s">
        <v>10</v>
      </c>
      <c r="M12" s="87" t="s">
        <v>11</v>
      </c>
      <c r="N12" s="87" t="s">
        <v>12</v>
      </c>
      <c r="O12" s="90" t="s">
        <v>13</v>
      </c>
      <c r="P12" s="90" t="s">
        <v>14</v>
      </c>
      <c r="Q12" s="90" t="s">
        <v>44</v>
      </c>
      <c r="R12" s="90" t="s">
        <v>15</v>
      </c>
      <c r="S12" s="90" t="s">
        <v>16</v>
      </c>
      <c r="T12" s="90" t="s">
        <v>5</v>
      </c>
      <c r="U12" s="91" t="s">
        <v>17</v>
      </c>
      <c r="V12" s="92" t="s">
        <v>71</v>
      </c>
      <c r="W12" s="1"/>
    </row>
    <row r="13" spans="1:23" x14ac:dyDescent="0.2">
      <c r="D13" s="32">
        <v>45721.395833333336</v>
      </c>
      <c r="E13" s="33" t="s">
        <v>169</v>
      </c>
      <c r="F13" s="34">
        <v>60053.608</v>
      </c>
      <c r="G13" s="34">
        <v>363837.88199999998</v>
      </c>
      <c r="H13" s="34">
        <v>19.356999999999999</v>
      </c>
      <c r="I13" s="33" t="s">
        <v>86</v>
      </c>
      <c r="J13" s="33" t="s">
        <v>90</v>
      </c>
      <c r="K13" s="33">
        <v>23</v>
      </c>
      <c r="L13" s="33">
        <v>1012</v>
      </c>
      <c r="M13" s="33">
        <v>50</v>
      </c>
      <c r="N13" s="33"/>
      <c r="O13" s="93" t="str">
        <f>IFERROR(IF(Readings[[#This Row],[Obs. X]]="","-",Readings[[#This Row],[Obs. X]]-_xlfn.XLOOKUP(Readings[[#This Row],[Sensor ID]],Table_Baseline[Sensor ID],Table_Baseline[Easting '[m']],"-")),"-")</f>
        <v>-</v>
      </c>
      <c r="P13" s="93" t="str">
        <f>IFERROR(IF(Readings[[#This Row],[Obs. Y]]="","-",Readings[[#This Row],[Obs. Y]]-_xlfn.XLOOKUP(Readings[[#This Row],[Sensor ID]],Table_Baseline[Sensor ID],Table_Baseline[Northing '[m']],"-")),"-")</f>
        <v>-</v>
      </c>
      <c r="Q13" s="93" t="str">
        <f>IFERROR(IF(Readings[[#This Row],[Obs. Z]]="","-",Readings[[#This Row],[Obs. Z]]-_xlfn.XLOOKUP(Readings[[#This Row],[Sensor ID]],Table_Baseline[Sensor ID],Table_Baseline[Level '[m']],"-")),"-")</f>
        <v>-</v>
      </c>
      <c r="R13" s="93" t="str">
        <f>IFERROR(IF(Readings[[#This Row],[Reference Angle]]="-","-",(Readings[[#This Row],[Diff E]]*COS(RADIANS(Readings[[#This Row],[Reference Angle]]))-Readings[[#This Row],[Diff N]]*SIN(RADIANS(Readings[[#This Row],[Reference Angle]])))),"-")</f>
        <v>-</v>
      </c>
      <c r="S13" s="93" t="str">
        <f>IFERROR(IF(Readings[[#This Row],[Reference Angle]]="-","-",(Readings[[#This Row],[Diff E]]*SIN(RADIANS(Readings[[#This Row],[Reference Angle]]))+Readings[[#This Row],[Diff N]]*COS(RADIANS(Readings[[#This Row],[Reference Angle]])))),"-")</f>
        <v>-</v>
      </c>
      <c r="T13" s="94" t="str">
        <f>IFERROR(VLOOKUP(Readings[[#This Row],[Sensor ID]],Table_Baseline[],COLUMNS(Table_Baseline[[#Headers],[Sensor ID]:[Reference Angle '[Deg']]]),FALSE),"-")</f>
        <v>-</v>
      </c>
      <c r="U13" s="95" t="str">
        <f>Readings[[#This Row],[Sensor ID]]&amp;"-"&amp;Readings[[#This Row],[Epoch]]</f>
        <v>250-ST-OP-504-45721.3958333333</v>
      </c>
      <c r="V13" s="99">
        <f ca="1">IF(Readings[[#This Row],[Epoch]]=OFFSET(Readings[[#This Row],[Epoch]],-1,0),0,1)</f>
        <v>1</v>
      </c>
    </row>
    <row r="14" spans="1:23" x14ac:dyDescent="0.2">
      <c r="D14" s="32">
        <v>45721.395833333336</v>
      </c>
      <c r="E14" s="33" t="s">
        <v>168</v>
      </c>
      <c r="F14" s="34">
        <v>60049.766000000003</v>
      </c>
      <c r="G14" s="34">
        <v>363838.99400000001</v>
      </c>
      <c r="H14" s="34">
        <v>19.344999999999999</v>
      </c>
      <c r="I14" s="33" t="s">
        <v>86</v>
      </c>
      <c r="J14" s="33" t="s">
        <v>90</v>
      </c>
      <c r="K14" s="33">
        <v>23</v>
      </c>
      <c r="L14" s="33">
        <v>1012</v>
      </c>
      <c r="M14" s="33">
        <v>50</v>
      </c>
      <c r="N14" s="33"/>
      <c r="O14" s="93" t="str">
        <f>IFERROR(IF(Readings[[#This Row],[Obs. X]]="","-",Readings[[#This Row],[Obs. X]]-_xlfn.XLOOKUP(Readings[[#This Row],[Sensor ID]],Table_Baseline[Sensor ID],Table_Baseline[Easting '[m']],"-")),"-")</f>
        <v>-</v>
      </c>
      <c r="P14" s="93" t="str">
        <f>IFERROR(IF(Readings[[#This Row],[Obs. Y]]="","-",Readings[[#This Row],[Obs. Y]]-_xlfn.XLOOKUP(Readings[[#This Row],[Sensor ID]],Table_Baseline[Sensor ID],Table_Baseline[Northing '[m']],"-")),"-")</f>
        <v>-</v>
      </c>
      <c r="Q14" s="93" t="str">
        <f>IFERROR(IF(Readings[[#This Row],[Obs. Z]]="","-",Readings[[#This Row],[Obs. Z]]-_xlfn.XLOOKUP(Readings[[#This Row],[Sensor ID]],Table_Baseline[Sensor ID],Table_Baseline[Level '[m']],"-")),"-")</f>
        <v>-</v>
      </c>
      <c r="R14" s="93" t="str">
        <f>IFERROR(IF(Readings[[#This Row],[Reference Angle]]="-","-",(Readings[[#This Row],[Diff E]]*COS(RADIANS(Readings[[#This Row],[Reference Angle]]))-Readings[[#This Row],[Diff N]]*SIN(RADIANS(Readings[[#This Row],[Reference Angle]])))),"-")</f>
        <v>-</v>
      </c>
      <c r="S14" s="93" t="str">
        <f>IFERROR(IF(Readings[[#This Row],[Reference Angle]]="-","-",(Readings[[#This Row],[Diff E]]*SIN(RADIANS(Readings[[#This Row],[Reference Angle]]))+Readings[[#This Row],[Diff N]]*COS(RADIANS(Readings[[#This Row],[Reference Angle]])))),"-")</f>
        <v>-</v>
      </c>
      <c r="T14" s="94" t="str">
        <f>IFERROR(VLOOKUP(Readings[[#This Row],[Sensor ID]],Table_Baseline[],COLUMNS(Table_Baseline[[#Headers],[Sensor ID]:[Reference Angle '[Deg']]]),FALSE),"-")</f>
        <v>-</v>
      </c>
      <c r="U14" s="95" t="str">
        <f>Readings[[#This Row],[Sensor ID]]&amp;"-"&amp;Readings[[#This Row],[Epoch]]</f>
        <v>250-ST-OP-503-45721.3958333333</v>
      </c>
      <c r="V14" s="99">
        <f ca="1">IF(Readings[[#This Row],[Epoch]]=OFFSET(Readings[[#This Row],[Epoch]],-1,0),0,1)</f>
        <v>0</v>
      </c>
    </row>
    <row r="15" spans="1:23" x14ac:dyDescent="0.2">
      <c r="D15" s="32">
        <v>45721.395833333336</v>
      </c>
      <c r="E15" s="33" t="s">
        <v>167</v>
      </c>
      <c r="F15" s="34">
        <v>60045.919999999998</v>
      </c>
      <c r="G15" s="34">
        <v>363840.1</v>
      </c>
      <c r="H15" s="34">
        <v>19.334</v>
      </c>
      <c r="I15" s="33" t="s">
        <v>86</v>
      </c>
      <c r="J15" s="33" t="s">
        <v>90</v>
      </c>
      <c r="K15" s="33">
        <v>23</v>
      </c>
      <c r="L15" s="33">
        <v>1012</v>
      </c>
      <c r="M15" s="33">
        <v>50</v>
      </c>
      <c r="N15" s="33"/>
      <c r="O15" s="93" t="str">
        <f>IFERROR(IF(Readings[[#This Row],[Obs. X]]="","-",Readings[[#This Row],[Obs. X]]-_xlfn.XLOOKUP(Readings[[#This Row],[Sensor ID]],Table_Baseline[Sensor ID],Table_Baseline[Easting '[m']],"-")),"-")</f>
        <v>-</v>
      </c>
      <c r="P15" s="93" t="str">
        <f>IFERROR(IF(Readings[[#This Row],[Obs. Y]]="","-",Readings[[#This Row],[Obs. Y]]-_xlfn.XLOOKUP(Readings[[#This Row],[Sensor ID]],Table_Baseline[Sensor ID],Table_Baseline[Northing '[m']],"-")),"-")</f>
        <v>-</v>
      </c>
      <c r="Q15" s="93" t="str">
        <f>IFERROR(IF(Readings[[#This Row],[Obs. Z]]="","-",Readings[[#This Row],[Obs. Z]]-_xlfn.XLOOKUP(Readings[[#This Row],[Sensor ID]],Table_Baseline[Sensor ID],Table_Baseline[Level '[m']],"-")),"-")</f>
        <v>-</v>
      </c>
      <c r="R15" s="93" t="str">
        <f>IFERROR(IF(Readings[[#This Row],[Reference Angle]]="-","-",(Readings[[#This Row],[Diff E]]*COS(RADIANS(Readings[[#This Row],[Reference Angle]]))-Readings[[#This Row],[Diff N]]*SIN(RADIANS(Readings[[#This Row],[Reference Angle]])))),"-")</f>
        <v>-</v>
      </c>
      <c r="S15" s="93" t="str">
        <f>IFERROR(IF(Readings[[#This Row],[Reference Angle]]="-","-",(Readings[[#This Row],[Diff E]]*SIN(RADIANS(Readings[[#This Row],[Reference Angle]]))+Readings[[#This Row],[Diff N]]*COS(RADIANS(Readings[[#This Row],[Reference Angle]])))),"-")</f>
        <v>-</v>
      </c>
      <c r="T15" s="94" t="str">
        <f>IFERROR(VLOOKUP(Readings[[#This Row],[Sensor ID]],Table_Baseline[],COLUMNS(Table_Baseline[[#Headers],[Sensor ID]:[Reference Angle '[Deg']]]),FALSE),"-")</f>
        <v>-</v>
      </c>
      <c r="U15" s="95" t="str">
        <f>Readings[[#This Row],[Sensor ID]]&amp;"-"&amp;Readings[[#This Row],[Epoch]]</f>
        <v>250-ST-OP-502-45721.3958333333</v>
      </c>
      <c r="V15" s="99">
        <f ca="1">IF(Readings[[#This Row],[Epoch]]=OFFSET(Readings[[#This Row],[Epoch]],-1,0),0,1)</f>
        <v>0</v>
      </c>
    </row>
    <row r="16" spans="1:23" x14ac:dyDescent="0.2">
      <c r="D16" s="32">
        <v>45721.395833333336</v>
      </c>
      <c r="E16" s="33" t="s">
        <v>165</v>
      </c>
      <c r="F16" s="34">
        <v>60034.538999999997</v>
      </c>
      <c r="G16" s="34">
        <v>363843.38399999996</v>
      </c>
      <c r="H16" s="34">
        <v>19.332000000000001</v>
      </c>
      <c r="I16" s="33" t="s">
        <v>86</v>
      </c>
      <c r="J16" s="33" t="s">
        <v>90</v>
      </c>
      <c r="K16" s="33">
        <v>23</v>
      </c>
      <c r="L16" s="33">
        <v>1012</v>
      </c>
      <c r="M16" s="33">
        <v>50</v>
      </c>
      <c r="N16" s="33"/>
      <c r="O16" s="93" t="str">
        <f>IFERROR(IF(Readings[[#This Row],[Obs. X]]="","-",Readings[[#This Row],[Obs. X]]-_xlfn.XLOOKUP(Readings[[#This Row],[Sensor ID]],Table_Baseline[Sensor ID],Table_Baseline[Easting '[m']],"-")),"-")</f>
        <v>-</v>
      </c>
      <c r="P16" s="93" t="str">
        <f>IFERROR(IF(Readings[[#This Row],[Obs. Y]]="","-",Readings[[#This Row],[Obs. Y]]-_xlfn.XLOOKUP(Readings[[#This Row],[Sensor ID]],Table_Baseline[Sensor ID],Table_Baseline[Northing '[m']],"-")),"-")</f>
        <v>-</v>
      </c>
      <c r="Q16" s="93" t="str">
        <f>IFERROR(IF(Readings[[#This Row],[Obs. Z]]="","-",Readings[[#This Row],[Obs. Z]]-_xlfn.XLOOKUP(Readings[[#This Row],[Sensor ID]],Table_Baseline[Sensor ID],Table_Baseline[Level '[m']],"-")),"-")</f>
        <v>-</v>
      </c>
      <c r="R16" s="93" t="str">
        <f>IFERROR(IF(Readings[[#This Row],[Reference Angle]]="-","-",(Readings[[#This Row],[Diff E]]*COS(RADIANS(Readings[[#This Row],[Reference Angle]]))-Readings[[#This Row],[Diff N]]*SIN(RADIANS(Readings[[#This Row],[Reference Angle]])))),"-")</f>
        <v>-</v>
      </c>
      <c r="S16" s="93" t="str">
        <f>IFERROR(IF(Readings[[#This Row],[Reference Angle]]="-","-",(Readings[[#This Row],[Diff E]]*SIN(RADIANS(Readings[[#This Row],[Reference Angle]]))+Readings[[#This Row],[Diff N]]*COS(RADIANS(Readings[[#This Row],[Reference Angle]])))),"-")</f>
        <v>-</v>
      </c>
      <c r="T16" s="94" t="str">
        <f>IFERROR(VLOOKUP(Readings[[#This Row],[Sensor ID]],Table_Baseline[],COLUMNS(Table_Baseline[[#Headers],[Sensor ID]:[Reference Angle '[Deg']]]),FALSE),"-")</f>
        <v>-</v>
      </c>
      <c r="U16" s="95" t="str">
        <f>Readings[[#This Row],[Sensor ID]]&amp;"-"&amp;Readings[[#This Row],[Epoch]]</f>
        <v>250-ST-OP-500-45721.3958333333</v>
      </c>
      <c r="V16" s="99">
        <f ca="1">IF(Readings[[#This Row],[Epoch]]=OFFSET(Readings[[#This Row],[Epoch]],-1,0),0,1)</f>
        <v>0</v>
      </c>
    </row>
    <row r="17" spans="4:22" x14ac:dyDescent="0.2">
      <c r="D17" s="32">
        <v>45721.395833333336</v>
      </c>
      <c r="E17" s="33" t="s">
        <v>166</v>
      </c>
      <c r="F17" s="34">
        <v>60040.286999999997</v>
      </c>
      <c r="G17" s="34">
        <v>363841.73199999996</v>
      </c>
      <c r="H17" s="34">
        <v>19.321999999999999</v>
      </c>
      <c r="I17" s="33" t="s">
        <v>86</v>
      </c>
      <c r="J17" s="33" t="s">
        <v>90</v>
      </c>
      <c r="K17" s="33">
        <v>23</v>
      </c>
      <c r="L17" s="33">
        <v>1012</v>
      </c>
      <c r="M17" s="33">
        <v>50</v>
      </c>
      <c r="N17" s="33"/>
      <c r="O17" s="93" t="str">
        <f>IFERROR(IF(Readings[[#This Row],[Obs. X]]="","-",Readings[[#This Row],[Obs. X]]-_xlfn.XLOOKUP(Readings[[#This Row],[Sensor ID]],Table_Baseline[Sensor ID],Table_Baseline[Easting '[m']],"-")),"-")</f>
        <v>-</v>
      </c>
      <c r="P17" s="93" t="str">
        <f>IFERROR(IF(Readings[[#This Row],[Obs. Y]]="","-",Readings[[#This Row],[Obs. Y]]-_xlfn.XLOOKUP(Readings[[#This Row],[Sensor ID]],Table_Baseline[Sensor ID],Table_Baseline[Northing '[m']],"-")),"-")</f>
        <v>-</v>
      </c>
      <c r="Q17" s="93" t="str">
        <f>IFERROR(IF(Readings[[#This Row],[Obs. Z]]="","-",Readings[[#This Row],[Obs. Z]]-_xlfn.XLOOKUP(Readings[[#This Row],[Sensor ID]],Table_Baseline[Sensor ID],Table_Baseline[Level '[m']],"-")),"-")</f>
        <v>-</v>
      </c>
      <c r="R17" s="93" t="str">
        <f>IFERROR(IF(Readings[[#This Row],[Reference Angle]]="-","-",(Readings[[#This Row],[Diff E]]*COS(RADIANS(Readings[[#This Row],[Reference Angle]]))-Readings[[#This Row],[Diff N]]*SIN(RADIANS(Readings[[#This Row],[Reference Angle]])))),"-")</f>
        <v>-</v>
      </c>
      <c r="S17" s="93" t="str">
        <f>IFERROR(IF(Readings[[#This Row],[Reference Angle]]="-","-",(Readings[[#This Row],[Diff E]]*SIN(RADIANS(Readings[[#This Row],[Reference Angle]]))+Readings[[#This Row],[Diff N]]*COS(RADIANS(Readings[[#This Row],[Reference Angle]])))),"-")</f>
        <v>-</v>
      </c>
      <c r="T17" s="94" t="str">
        <f>IFERROR(VLOOKUP(Readings[[#This Row],[Sensor ID]],Table_Baseline[],COLUMNS(Table_Baseline[[#Headers],[Sensor ID]:[Reference Angle '[Deg']]]),FALSE),"-")</f>
        <v>-</v>
      </c>
      <c r="U17" s="95" t="str">
        <f>Readings[[#This Row],[Sensor ID]]&amp;"-"&amp;Readings[[#This Row],[Epoch]]</f>
        <v>250-ST-OP-501-45721.3958333333</v>
      </c>
      <c r="V17" s="99">
        <f ca="1">IF(Readings[[#This Row],[Epoch]]=OFFSET(Readings[[#This Row],[Epoch]],-1,0),0,1)</f>
        <v>0</v>
      </c>
    </row>
    <row r="18" spans="4:22" x14ac:dyDescent="0.2">
      <c r="D18" s="32">
        <v>45721.395833333336</v>
      </c>
      <c r="E18" s="33" t="s">
        <v>171</v>
      </c>
      <c r="F18" s="34">
        <v>60034.957999999999</v>
      </c>
      <c r="G18" s="34">
        <v>363844.47200000001</v>
      </c>
      <c r="H18" s="34">
        <v>18.777999999999999</v>
      </c>
      <c r="I18" s="33" t="s">
        <v>86</v>
      </c>
      <c r="J18" s="33" t="s">
        <v>90</v>
      </c>
      <c r="K18" s="33">
        <v>23</v>
      </c>
      <c r="L18" s="33">
        <v>1012</v>
      </c>
      <c r="M18" s="33">
        <v>50</v>
      </c>
      <c r="N18" s="33"/>
      <c r="O18" s="93">
        <f>IFERROR(IF(Readings[[#This Row],[Obs. X]]="","-",Readings[[#This Row],[Obs. X]]-_xlfn.XLOOKUP(Readings[[#This Row],[Sensor ID]],Table_Baseline[Sensor ID],Table_Baseline[Easting '[m']],"-")),"-")</f>
        <v>-1.0000000038417056E-3</v>
      </c>
      <c r="P18" s="93">
        <f>IFERROR(IF(Readings[[#This Row],[Obs. Y]]="","-",Readings[[#This Row],[Obs. Y]]-_xlfn.XLOOKUP(Readings[[#This Row],[Sensor ID]],Table_Baseline[Sensor ID],Table_Baseline[Northing '[m']],"-")),"-")</f>
        <v>9.9999998928979039E-4</v>
      </c>
      <c r="Q18" s="93">
        <f>IFERROR(IF(Readings[[#This Row],[Obs. Z]]="","-",Readings[[#This Row],[Obs. Z]]-_xlfn.XLOOKUP(Readings[[#This Row],[Sensor ID]],Table_Baseline[Sensor ID],Table_Baseline[Level '[m']],"-")),"-")</f>
        <v>-9.9999999999766942E-5</v>
      </c>
      <c r="R18" s="93">
        <f>IFERROR(IF(Readings[[#This Row],[Reference Angle]]="-","-",(Readings[[#This Row],[Diff E]]*COS(RADIANS(Readings[[#This Row],[Reference Angle]]))-Readings[[#This Row],[Diff N]]*SIN(RADIANS(Readings[[#This Row],[Reference Angle]])))),"-")</f>
        <v>-1.0000000038417056E-3</v>
      </c>
      <c r="S18" s="93">
        <f>IFERROR(IF(Readings[[#This Row],[Reference Angle]]="-","-",(Readings[[#This Row],[Diff E]]*SIN(RADIANS(Readings[[#This Row],[Reference Angle]]))+Readings[[#This Row],[Diff N]]*COS(RADIANS(Readings[[#This Row],[Reference Angle]])))),"-")</f>
        <v>9.9999998928979039E-4</v>
      </c>
      <c r="T18" s="94">
        <f>IFERROR(VLOOKUP(Readings[[#This Row],[Sensor ID]],Table_Baseline[],COLUMNS(Table_Baseline[[#Headers],[Sensor ID]:[Reference Angle '[Deg']]]),FALSE),"-")</f>
        <v>0</v>
      </c>
      <c r="U18" s="95" t="str">
        <f>Readings[[#This Row],[Sensor ID]]&amp;"-"&amp;Readings[[#This Row],[Epoch]]</f>
        <v>250-RL-OP-11002-45721.3958333333</v>
      </c>
      <c r="V18" s="99">
        <f ca="1">IF(Readings[[#This Row],[Epoch]]=OFFSET(Readings[[#This Row],[Epoch]],-1,0),0,1)</f>
        <v>0</v>
      </c>
    </row>
    <row r="19" spans="4:22" x14ac:dyDescent="0.2">
      <c r="D19" s="32">
        <v>45721.395833333336</v>
      </c>
      <c r="E19" s="33" t="s">
        <v>176</v>
      </c>
      <c r="F19" s="34">
        <v>60040.968000000001</v>
      </c>
      <c r="G19" s="34">
        <v>363844.11800000002</v>
      </c>
      <c r="H19" s="34">
        <v>18.779</v>
      </c>
      <c r="I19" s="33" t="s">
        <v>86</v>
      </c>
      <c r="J19" s="33" t="s">
        <v>90</v>
      </c>
      <c r="K19" s="33">
        <v>23</v>
      </c>
      <c r="L19" s="33">
        <v>1012</v>
      </c>
      <c r="M19" s="33">
        <v>50</v>
      </c>
      <c r="N19" s="33"/>
      <c r="O19" s="93">
        <f>IFERROR(IF(Readings[[#This Row],[Obs. X]]="","-",Readings[[#This Row],[Obs. X]]-_xlfn.XLOOKUP(Readings[[#This Row],[Sensor ID]],Table_Baseline[Sensor ID],Table_Baseline[Easting '[m']],"-")),"-")</f>
        <v>-9.9999999656574801E-4</v>
      </c>
      <c r="P19" s="93">
        <f>IFERROR(IF(Readings[[#This Row],[Obs. Y]]="","-",Readings[[#This Row],[Obs. Y]]-_xlfn.XLOOKUP(Readings[[#This Row],[Sensor ID]],Table_Baseline[Sensor ID],Table_Baseline[Northing '[m']],"-")),"-")</f>
        <v>0</v>
      </c>
      <c r="Q19" s="93">
        <f>IFERROR(IF(Readings[[#This Row],[Obs. Z]]="","-",Readings[[#This Row],[Obs. Z]]-_xlfn.XLOOKUP(Readings[[#This Row],[Sensor ID]],Table_Baseline[Sensor ID],Table_Baseline[Level '[m']],"-")),"-")</f>
        <v>0</v>
      </c>
      <c r="R19" s="93">
        <f>IFERROR(IF(Readings[[#This Row],[Reference Angle]]="-","-",(Readings[[#This Row],[Diff E]]*COS(RADIANS(Readings[[#This Row],[Reference Angle]]))-Readings[[#This Row],[Diff N]]*SIN(RADIANS(Readings[[#This Row],[Reference Angle]])))),"-")</f>
        <v>-9.9999999656574801E-4</v>
      </c>
      <c r="S19" s="93">
        <f>IFERROR(IF(Readings[[#This Row],[Reference Angle]]="-","-",(Readings[[#This Row],[Diff E]]*SIN(RADIANS(Readings[[#This Row],[Reference Angle]]))+Readings[[#This Row],[Diff N]]*COS(RADIANS(Readings[[#This Row],[Reference Angle]])))),"-")</f>
        <v>0</v>
      </c>
      <c r="T19" s="94">
        <f>IFERROR(VLOOKUP(Readings[[#This Row],[Sensor ID]],Table_Baseline[],COLUMNS(Table_Baseline[[#Headers],[Sensor ID]:[Reference Angle '[Deg']]]),FALSE),"-")</f>
        <v>0</v>
      </c>
      <c r="U19" s="95" t="str">
        <f>Readings[[#This Row],[Sensor ID]]&amp;"-"&amp;Readings[[#This Row],[Epoch]]</f>
        <v>250-RL-OP-11005-45721.3958333333</v>
      </c>
      <c r="V19" s="99">
        <f ca="1">IF(Readings[[#This Row],[Epoch]]=OFFSET(Readings[[#This Row],[Epoch]],-1,0),0,1)</f>
        <v>0</v>
      </c>
    </row>
    <row r="20" spans="4:22" x14ac:dyDescent="0.2">
      <c r="D20" s="32">
        <v>45721.395833333336</v>
      </c>
      <c r="E20" s="33" t="s">
        <v>174</v>
      </c>
      <c r="F20" s="34">
        <v>60038.116999999998</v>
      </c>
      <c r="G20" s="34">
        <v>363844.946</v>
      </c>
      <c r="H20" s="34">
        <v>18.779</v>
      </c>
      <c r="I20" s="33" t="s">
        <v>86</v>
      </c>
      <c r="J20" s="33" t="s">
        <v>90</v>
      </c>
      <c r="K20" s="33">
        <v>23</v>
      </c>
      <c r="L20" s="33">
        <v>1012</v>
      </c>
      <c r="M20" s="33">
        <v>50</v>
      </c>
      <c r="N20" s="33"/>
      <c r="O20" s="93">
        <f>IFERROR(IF(Readings[[#This Row],[Obs. X]]="","-",Readings[[#This Row],[Obs. X]]-_xlfn.XLOOKUP(Readings[[#This Row],[Sensor ID]],Table_Baseline[Sensor ID],Table_Baseline[Easting '[m']],"-")),"-")</f>
        <v>-1.0000000038417056E-3</v>
      </c>
      <c r="P20" s="93">
        <f>IFERROR(IF(Readings[[#This Row],[Obs. Y]]="","-",Readings[[#This Row],[Obs. Y]]-_xlfn.XLOOKUP(Readings[[#This Row],[Sensor ID]],Table_Baseline[Sensor ID],Table_Baseline[Northing '[m']],"-")),"-")</f>
        <v>9.9999998928979039E-4</v>
      </c>
      <c r="Q20" s="93">
        <f>IFERROR(IF(Readings[[#This Row],[Obs. Z]]="","-",Readings[[#This Row],[Obs. Z]]-_xlfn.XLOOKUP(Readings[[#This Row],[Sensor ID]],Table_Baseline[Sensor ID],Table_Baseline[Level '[m']],"-")),"-")</f>
        <v>1.9999999999953388E-4</v>
      </c>
      <c r="R20" s="93">
        <f>IFERROR(IF(Readings[[#This Row],[Reference Angle]]="-","-",(Readings[[#This Row],[Diff E]]*COS(RADIANS(Readings[[#This Row],[Reference Angle]]))-Readings[[#This Row],[Diff N]]*SIN(RADIANS(Readings[[#This Row],[Reference Angle]])))),"-")</f>
        <v>-1.0000000038417056E-3</v>
      </c>
      <c r="S20" s="93">
        <f>IFERROR(IF(Readings[[#This Row],[Reference Angle]]="-","-",(Readings[[#This Row],[Diff E]]*SIN(RADIANS(Readings[[#This Row],[Reference Angle]]))+Readings[[#This Row],[Diff N]]*COS(RADIANS(Readings[[#This Row],[Reference Angle]])))),"-")</f>
        <v>9.9999998928979039E-4</v>
      </c>
      <c r="T20" s="94">
        <f>IFERROR(VLOOKUP(Readings[[#This Row],[Sensor ID]],Table_Baseline[],COLUMNS(Table_Baseline[[#Headers],[Sensor ID]:[Reference Angle '[Deg']]]),FALSE),"-")</f>
        <v>0</v>
      </c>
      <c r="U20" s="95" t="str">
        <f>Readings[[#This Row],[Sensor ID]]&amp;"-"&amp;Readings[[#This Row],[Epoch]]</f>
        <v>250-RL-OP-11003-45721.3958333333</v>
      </c>
      <c r="V20" s="99">
        <f ca="1">IF(Readings[[#This Row],[Epoch]]=OFFSET(Readings[[#This Row],[Epoch]],-1,0),0,1)</f>
        <v>0</v>
      </c>
    </row>
    <row r="21" spans="4:22" x14ac:dyDescent="0.2">
      <c r="D21" s="32">
        <v>45721.395833333336</v>
      </c>
      <c r="E21" s="33" t="s">
        <v>172</v>
      </c>
      <c r="F21" s="34">
        <v>60035.339</v>
      </c>
      <c r="G21" s="34">
        <v>363845.74</v>
      </c>
      <c r="H21" s="34">
        <v>18.782</v>
      </c>
      <c r="I21" s="33" t="s">
        <v>86</v>
      </c>
      <c r="J21" s="33" t="s">
        <v>90</v>
      </c>
      <c r="K21" s="33">
        <v>23</v>
      </c>
      <c r="L21" s="33">
        <v>1012</v>
      </c>
      <c r="M21" s="33">
        <v>50</v>
      </c>
      <c r="N21" s="33"/>
      <c r="O21" s="93">
        <f>IFERROR(IF(Readings[[#This Row],[Obs. X]]="","-",Readings[[#This Row],[Obs. X]]-_xlfn.XLOOKUP(Readings[[#This Row],[Sensor ID]],Table_Baseline[Sensor ID],Table_Baseline[Easting '[m']],"-")),"-")</f>
        <v>-9.9999999656574801E-4</v>
      </c>
      <c r="P21" s="93">
        <f>IFERROR(IF(Readings[[#This Row],[Obs. Y]]="","-",Readings[[#This Row],[Obs. Y]]-_xlfn.XLOOKUP(Readings[[#This Row],[Sensor ID]],Table_Baseline[Sensor ID],Table_Baseline[Northing '[m']],"-")),"-")</f>
        <v>9.9999998928979039E-4</v>
      </c>
      <c r="Q21" s="93">
        <f>IFERROR(IF(Readings[[#This Row],[Obs. Z]]="","-",Readings[[#This Row],[Obs. Z]]-_xlfn.XLOOKUP(Readings[[#This Row],[Sensor ID]],Table_Baseline[Sensor ID],Table_Baseline[Level '[m']],"-")),"-")</f>
        <v>0</v>
      </c>
      <c r="R21" s="93">
        <f>IFERROR(IF(Readings[[#This Row],[Reference Angle]]="-","-",(Readings[[#This Row],[Diff E]]*COS(RADIANS(Readings[[#This Row],[Reference Angle]]))-Readings[[#This Row],[Diff N]]*SIN(RADIANS(Readings[[#This Row],[Reference Angle]])))),"-")</f>
        <v>-9.9999999656574801E-4</v>
      </c>
      <c r="S21" s="93">
        <f>IFERROR(IF(Readings[[#This Row],[Reference Angle]]="-","-",(Readings[[#This Row],[Diff E]]*SIN(RADIANS(Readings[[#This Row],[Reference Angle]]))+Readings[[#This Row],[Diff N]]*COS(RADIANS(Readings[[#This Row],[Reference Angle]])))),"-")</f>
        <v>9.9999998928979039E-4</v>
      </c>
      <c r="T21" s="94">
        <f>IFERROR(VLOOKUP(Readings[[#This Row],[Sensor ID]],Table_Baseline[],COLUMNS(Table_Baseline[[#Headers],[Sensor ID]:[Reference Angle '[Deg']]]),FALSE),"-")</f>
        <v>0</v>
      </c>
      <c r="U21" s="95" t="str">
        <f>Readings[[#This Row],[Sensor ID]]&amp;"-"&amp;Readings[[#This Row],[Epoch]]</f>
        <v>250-RL-OP-11001-45721.3958333333</v>
      </c>
      <c r="V21" s="99">
        <f ca="1">IF(Readings[[#This Row],[Epoch]]=OFFSET(Readings[[#This Row],[Epoch]],-1,0),0,1)</f>
        <v>0</v>
      </c>
    </row>
    <row r="22" spans="4:22" x14ac:dyDescent="0.2">
      <c r="D22" s="32">
        <v>45721.395833333336</v>
      </c>
      <c r="E22" s="33" t="s">
        <v>191</v>
      </c>
      <c r="F22" s="34">
        <v>60063.42</v>
      </c>
      <c r="G22" s="34">
        <v>363836.63699999999</v>
      </c>
      <c r="H22" s="34">
        <v>18.795000000000002</v>
      </c>
      <c r="I22" s="33" t="s">
        <v>86</v>
      </c>
      <c r="J22" s="33" t="s">
        <v>90</v>
      </c>
      <c r="K22" s="33">
        <v>23</v>
      </c>
      <c r="L22" s="33">
        <v>1012</v>
      </c>
      <c r="M22" s="33">
        <v>50</v>
      </c>
      <c r="N22" s="33"/>
      <c r="O22" s="93">
        <f>IFERROR(IF(Readings[[#This Row],[Obs. X]]="","-",Readings[[#This Row],[Obs. X]]-_xlfn.XLOOKUP(Readings[[#This Row],[Sensor ID]],Table_Baseline[Sensor ID],Table_Baseline[Easting '[m']],"-")),"-")</f>
        <v>-2.0000000004074536E-3</v>
      </c>
      <c r="P22" s="93">
        <f>IFERROR(IF(Readings[[#This Row],[Obs. Y]]="","-",Readings[[#This Row],[Obs. Y]]-_xlfn.XLOOKUP(Readings[[#This Row],[Sensor ID]],Table_Baseline[Sensor ID],Table_Baseline[Northing '[m']],"-")),"-")</f>
        <v>9.9999998928979039E-4</v>
      </c>
      <c r="Q22" s="93">
        <f>IFERROR(IF(Readings[[#This Row],[Obs. Z]]="","-",Readings[[#This Row],[Obs. Z]]-_xlfn.XLOOKUP(Readings[[#This Row],[Sensor ID]],Table_Baseline[Sensor ID],Table_Baseline[Level '[m']],"-")),"-")</f>
        <v>1.0000000000331966E-4</v>
      </c>
      <c r="R22" s="93">
        <f>IFERROR(IF(Readings[[#This Row],[Reference Angle]]="-","-",(Readings[[#This Row],[Diff E]]*COS(RADIANS(Readings[[#This Row],[Reference Angle]]))-Readings[[#This Row],[Diff N]]*SIN(RADIANS(Readings[[#This Row],[Reference Angle]])))),"-")</f>
        <v>-2.0000000004074536E-3</v>
      </c>
      <c r="S22" s="93">
        <f>IFERROR(IF(Readings[[#This Row],[Reference Angle]]="-","-",(Readings[[#This Row],[Diff E]]*SIN(RADIANS(Readings[[#This Row],[Reference Angle]]))+Readings[[#This Row],[Diff N]]*COS(RADIANS(Readings[[#This Row],[Reference Angle]])))),"-")</f>
        <v>9.9999998928979039E-4</v>
      </c>
      <c r="T22" s="94">
        <f>IFERROR(VLOOKUP(Readings[[#This Row],[Sensor ID]],Table_Baseline[],COLUMNS(Table_Baseline[[#Headers],[Sensor ID]:[Reference Angle '[Deg']]]),FALSE),"-")</f>
        <v>0</v>
      </c>
      <c r="U22" s="95" t="str">
        <f>Readings[[#This Row],[Sensor ID]]&amp;"-"&amp;Readings[[#This Row],[Epoch]]</f>
        <v>250-RL-OP-11022-45721.3958333333</v>
      </c>
      <c r="V22" s="99">
        <f ca="1">IF(Readings[[#This Row],[Epoch]]=OFFSET(Readings[[#This Row],[Epoch]],-1,0),0,1)</f>
        <v>0</v>
      </c>
    </row>
    <row r="23" spans="4:22" x14ac:dyDescent="0.2">
      <c r="D23" s="32">
        <v>45721.395833333336</v>
      </c>
      <c r="E23" s="33" t="s">
        <v>189</v>
      </c>
      <c r="F23" s="34">
        <v>60060.637999999999</v>
      </c>
      <c r="G23" s="34">
        <v>363837.32299999997</v>
      </c>
      <c r="H23" s="34">
        <v>18.783000000000001</v>
      </c>
      <c r="I23" s="33" t="s">
        <v>86</v>
      </c>
      <c r="J23" s="33" t="s">
        <v>90</v>
      </c>
      <c r="K23" s="33">
        <v>23</v>
      </c>
      <c r="L23" s="33">
        <v>1012</v>
      </c>
      <c r="M23" s="33">
        <v>50</v>
      </c>
      <c r="N23" s="33"/>
      <c r="O23" s="93">
        <f>IFERROR(IF(Readings[[#This Row],[Obs. X]]="","-",Readings[[#This Row],[Obs. X]]-_xlfn.XLOOKUP(Readings[[#This Row],[Sensor ID]],Table_Baseline[Sensor ID],Table_Baseline[Easting '[m']],"-")),"-")</f>
        <v>-2.0000000004074536E-3</v>
      </c>
      <c r="P23" s="93">
        <f>IFERROR(IF(Readings[[#This Row],[Obs. Y]]="","-",Readings[[#This Row],[Obs. Y]]-_xlfn.XLOOKUP(Readings[[#This Row],[Sensor ID]],Table_Baseline[Sensor ID],Table_Baseline[Northing '[m']],"-")),"-")</f>
        <v>9.9999998928979039E-4</v>
      </c>
      <c r="Q23" s="93">
        <f>IFERROR(IF(Readings[[#This Row],[Obs. Z]]="","-",Readings[[#This Row],[Obs. Z]]-_xlfn.XLOOKUP(Readings[[#This Row],[Sensor ID]],Table_Baseline[Sensor ID],Table_Baseline[Level '[m']],"-")),"-")</f>
        <v>-5.9999999999860165E-4</v>
      </c>
      <c r="R23" s="93">
        <f>IFERROR(IF(Readings[[#This Row],[Reference Angle]]="-","-",(Readings[[#This Row],[Diff E]]*COS(RADIANS(Readings[[#This Row],[Reference Angle]]))-Readings[[#This Row],[Diff N]]*SIN(RADIANS(Readings[[#This Row],[Reference Angle]])))),"-")</f>
        <v>-2.0000000004074536E-3</v>
      </c>
      <c r="S23" s="93">
        <f>IFERROR(IF(Readings[[#This Row],[Reference Angle]]="-","-",(Readings[[#This Row],[Diff E]]*SIN(RADIANS(Readings[[#This Row],[Reference Angle]]))+Readings[[#This Row],[Diff N]]*COS(RADIANS(Readings[[#This Row],[Reference Angle]])))),"-")</f>
        <v>9.9999998928979039E-4</v>
      </c>
      <c r="T23" s="94">
        <f>IFERROR(VLOOKUP(Readings[[#This Row],[Sensor ID]],Table_Baseline[],COLUMNS(Table_Baseline[[#Headers],[Sensor ID]:[Reference Angle '[Deg']]]),FALSE),"-")</f>
        <v>0</v>
      </c>
      <c r="U23" s="95" t="str">
        <f>Readings[[#This Row],[Sensor ID]]&amp;"-"&amp;Readings[[#This Row],[Epoch]]</f>
        <v>250-RL-OP-11020-45721.3958333333</v>
      </c>
      <c r="V23" s="99">
        <f ca="1">IF(Readings[[#This Row],[Epoch]]=OFFSET(Readings[[#This Row],[Epoch]],-1,0),0,1)</f>
        <v>0</v>
      </c>
    </row>
    <row r="24" spans="4:22" x14ac:dyDescent="0.2">
      <c r="D24" s="32">
        <v>45721.395833333336</v>
      </c>
      <c r="E24" s="33" t="s">
        <v>187</v>
      </c>
      <c r="F24" s="34">
        <v>60057.576999999997</v>
      </c>
      <c r="G24" s="34">
        <v>363838.09899999999</v>
      </c>
      <c r="H24" s="34">
        <v>18.776</v>
      </c>
      <c r="I24" s="33" t="s">
        <v>86</v>
      </c>
      <c r="J24" s="33" t="s">
        <v>90</v>
      </c>
      <c r="K24" s="33">
        <v>23</v>
      </c>
      <c r="L24" s="33">
        <v>1012</v>
      </c>
      <c r="M24" s="33">
        <v>50</v>
      </c>
      <c r="N24" s="33"/>
      <c r="O24" s="93">
        <f>IFERROR(IF(Readings[[#This Row],[Obs. X]]="","-",Readings[[#This Row],[Obs. X]]-_xlfn.XLOOKUP(Readings[[#This Row],[Sensor ID]],Table_Baseline[Sensor ID],Table_Baseline[Easting '[m']],"-")),"-")</f>
        <v>-2.0000000004074536E-3</v>
      </c>
      <c r="P24" s="93">
        <f>IFERROR(IF(Readings[[#This Row],[Obs. Y]]="","-",Readings[[#This Row],[Obs. Y]]-_xlfn.XLOOKUP(Readings[[#This Row],[Sensor ID]],Table_Baseline[Sensor ID],Table_Baseline[Northing '[m']],"-")),"-")</f>
        <v>9.9999998928979039E-4</v>
      </c>
      <c r="Q24" s="93">
        <f>IFERROR(IF(Readings[[#This Row],[Obs. Z]]="","-",Readings[[#This Row],[Obs. Z]]-_xlfn.XLOOKUP(Readings[[#This Row],[Sensor ID]],Table_Baseline[Sensor ID],Table_Baseline[Level '[m']],"-")),"-")</f>
        <v>0</v>
      </c>
      <c r="R24" s="93">
        <f>IFERROR(IF(Readings[[#This Row],[Reference Angle]]="-","-",(Readings[[#This Row],[Diff E]]*COS(RADIANS(Readings[[#This Row],[Reference Angle]]))-Readings[[#This Row],[Diff N]]*SIN(RADIANS(Readings[[#This Row],[Reference Angle]])))),"-")</f>
        <v>-2.0000000004074536E-3</v>
      </c>
      <c r="S24" s="93">
        <f>IFERROR(IF(Readings[[#This Row],[Reference Angle]]="-","-",(Readings[[#This Row],[Diff E]]*SIN(RADIANS(Readings[[#This Row],[Reference Angle]]))+Readings[[#This Row],[Diff N]]*COS(RADIANS(Readings[[#This Row],[Reference Angle]])))),"-")</f>
        <v>9.9999998928979039E-4</v>
      </c>
      <c r="T24" s="94">
        <f>IFERROR(VLOOKUP(Readings[[#This Row],[Sensor ID]],Table_Baseline[],COLUMNS(Table_Baseline[[#Headers],[Sensor ID]:[Reference Angle '[Deg']]]),FALSE),"-")</f>
        <v>0</v>
      </c>
      <c r="U24" s="95" t="str">
        <f>Readings[[#This Row],[Sensor ID]]&amp;"-"&amp;Readings[[#This Row],[Epoch]]</f>
        <v>250-RL-OP-11018-45721.3958333333</v>
      </c>
      <c r="V24" s="99">
        <f ca="1">IF(Readings[[#This Row],[Epoch]]=OFFSET(Readings[[#This Row],[Epoch]],-1,0),0,1)</f>
        <v>0</v>
      </c>
    </row>
    <row r="25" spans="4:22" x14ac:dyDescent="0.2">
      <c r="D25" s="32">
        <v>45721.395833333336</v>
      </c>
      <c r="E25" s="33" t="s">
        <v>185</v>
      </c>
      <c r="F25" s="34">
        <v>60054.883999999998</v>
      </c>
      <c r="G25" s="34">
        <v>363838.80599999998</v>
      </c>
      <c r="H25" s="34">
        <v>18.773</v>
      </c>
      <c r="I25" s="33" t="s">
        <v>86</v>
      </c>
      <c r="J25" s="33" t="s">
        <v>90</v>
      </c>
      <c r="K25" s="33">
        <v>23</v>
      </c>
      <c r="L25" s="33">
        <v>1012</v>
      </c>
      <c r="M25" s="33">
        <v>50</v>
      </c>
      <c r="N25" s="33"/>
      <c r="O25" s="93">
        <f>IFERROR(IF(Readings[[#This Row],[Obs. X]]="","-",Readings[[#This Row],[Obs. X]]-_xlfn.XLOOKUP(Readings[[#This Row],[Sensor ID]],Table_Baseline[Sensor ID],Table_Baseline[Easting '[m']],"-")),"-")</f>
        <v>-2.0000000004074536E-3</v>
      </c>
      <c r="P25" s="93">
        <f>IFERROR(IF(Readings[[#This Row],[Obs. Y]]="","-",Readings[[#This Row],[Obs. Y]]-_xlfn.XLOOKUP(Readings[[#This Row],[Sensor ID]],Table_Baseline[Sensor ID],Table_Baseline[Northing '[m']],"-")),"-")</f>
        <v>9.9999998928979039E-4</v>
      </c>
      <c r="Q25" s="93">
        <f>IFERROR(IF(Readings[[#This Row],[Obs. Z]]="","-",Readings[[#This Row],[Obs. Z]]-_xlfn.XLOOKUP(Readings[[#This Row],[Sensor ID]],Table_Baseline[Sensor ID],Table_Baseline[Level '[m']],"-")),"-")</f>
        <v>-9.9999999999766942E-5</v>
      </c>
      <c r="R25" s="93">
        <f>IFERROR(IF(Readings[[#This Row],[Reference Angle]]="-","-",(Readings[[#This Row],[Diff E]]*COS(RADIANS(Readings[[#This Row],[Reference Angle]]))-Readings[[#This Row],[Diff N]]*SIN(RADIANS(Readings[[#This Row],[Reference Angle]])))),"-")</f>
        <v>-2.0000000004074536E-3</v>
      </c>
      <c r="S25" s="93">
        <f>IFERROR(IF(Readings[[#This Row],[Reference Angle]]="-","-",(Readings[[#This Row],[Diff E]]*SIN(RADIANS(Readings[[#This Row],[Reference Angle]]))+Readings[[#This Row],[Diff N]]*COS(RADIANS(Readings[[#This Row],[Reference Angle]])))),"-")</f>
        <v>9.9999998928979039E-4</v>
      </c>
      <c r="T25" s="94">
        <f>IFERROR(VLOOKUP(Readings[[#This Row],[Sensor ID]],Table_Baseline[],COLUMNS(Table_Baseline[[#Headers],[Sensor ID]:[Reference Angle '[Deg']]]),FALSE),"-")</f>
        <v>0</v>
      </c>
      <c r="U25" s="95" t="str">
        <f>Readings[[#This Row],[Sensor ID]]&amp;"-"&amp;Readings[[#This Row],[Epoch]]</f>
        <v>250-RL-OP-11016-45721.3958333333</v>
      </c>
      <c r="V25" s="99">
        <f ca="1">IF(Readings[[#This Row],[Epoch]]=OFFSET(Readings[[#This Row],[Epoch]],-1,0),0,1)</f>
        <v>0</v>
      </c>
    </row>
    <row r="26" spans="4:22" x14ac:dyDescent="0.2">
      <c r="D26" s="32">
        <v>45721.395833333336</v>
      </c>
      <c r="E26" s="33" t="s">
        <v>183</v>
      </c>
      <c r="F26" s="34">
        <v>60051.987999999998</v>
      </c>
      <c r="G26" s="34">
        <v>363839.60399999999</v>
      </c>
      <c r="H26" s="34">
        <v>18.77</v>
      </c>
      <c r="I26" s="33" t="s">
        <v>86</v>
      </c>
      <c r="J26" s="33" t="s">
        <v>90</v>
      </c>
      <c r="K26" s="33">
        <v>23</v>
      </c>
      <c r="L26" s="33">
        <v>1012</v>
      </c>
      <c r="M26" s="33">
        <v>50</v>
      </c>
      <c r="N26" s="33"/>
      <c r="O26" s="93">
        <f>IFERROR(IF(Readings[[#This Row],[Obs. X]]="","-",Readings[[#This Row],[Obs. X]]-_xlfn.XLOOKUP(Readings[[#This Row],[Sensor ID]],Table_Baseline[Sensor ID],Table_Baseline[Easting '[m']],"-")),"-")</f>
        <v>-1.0000000038417056E-3</v>
      </c>
      <c r="P26" s="93">
        <f>IFERROR(IF(Readings[[#This Row],[Obs. Y]]="","-",Readings[[#This Row],[Obs. Y]]-_xlfn.XLOOKUP(Readings[[#This Row],[Sensor ID]],Table_Baseline[Sensor ID],Table_Baseline[Northing '[m']],"-")),"-")</f>
        <v>9.9999998928979039E-4</v>
      </c>
      <c r="Q26" s="93">
        <f>IFERROR(IF(Readings[[#This Row],[Obs. Z]]="","-",Readings[[#This Row],[Obs. Z]]-_xlfn.XLOOKUP(Readings[[#This Row],[Sensor ID]],Table_Baseline[Sensor ID],Table_Baseline[Level '[m']],"-")),"-")</f>
        <v>-9.9999999999766942E-5</v>
      </c>
      <c r="R26" s="93">
        <f>IFERROR(IF(Readings[[#This Row],[Reference Angle]]="-","-",(Readings[[#This Row],[Diff E]]*COS(RADIANS(Readings[[#This Row],[Reference Angle]]))-Readings[[#This Row],[Diff N]]*SIN(RADIANS(Readings[[#This Row],[Reference Angle]])))),"-")</f>
        <v>-1.0000000038417056E-3</v>
      </c>
      <c r="S26" s="93">
        <f>IFERROR(IF(Readings[[#This Row],[Reference Angle]]="-","-",(Readings[[#This Row],[Diff E]]*SIN(RADIANS(Readings[[#This Row],[Reference Angle]]))+Readings[[#This Row],[Diff N]]*COS(RADIANS(Readings[[#This Row],[Reference Angle]])))),"-")</f>
        <v>9.9999998928979039E-4</v>
      </c>
      <c r="T26" s="94">
        <f>IFERROR(VLOOKUP(Readings[[#This Row],[Sensor ID]],Table_Baseline[],COLUMNS(Table_Baseline[[#Headers],[Sensor ID]:[Reference Angle '[Deg']]]),FALSE),"-")</f>
        <v>0</v>
      </c>
      <c r="U26" s="95" t="str">
        <f>Readings[[#This Row],[Sensor ID]]&amp;"-"&amp;Readings[[#This Row],[Epoch]]</f>
        <v>250-RL-OP-11014-45721.3958333333</v>
      </c>
      <c r="V26" s="99">
        <f ca="1">IF(Readings[[#This Row],[Epoch]]=OFFSET(Readings[[#This Row],[Epoch]],-1,0),0,1)</f>
        <v>0</v>
      </c>
    </row>
    <row r="27" spans="4:22" x14ac:dyDescent="0.2">
      <c r="D27" s="32">
        <v>45721.395833333336</v>
      </c>
      <c r="E27" s="33" t="s">
        <v>181</v>
      </c>
      <c r="F27" s="34">
        <v>60049.04</v>
      </c>
      <c r="G27" s="34">
        <v>363840.435</v>
      </c>
      <c r="H27" s="34">
        <v>18.771000000000001</v>
      </c>
      <c r="I27" s="33" t="s">
        <v>86</v>
      </c>
      <c r="J27" s="33" t="s">
        <v>90</v>
      </c>
      <c r="K27" s="33">
        <v>23</v>
      </c>
      <c r="L27" s="33">
        <v>1012</v>
      </c>
      <c r="M27" s="33">
        <v>50</v>
      </c>
      <c r="N27" s="33"/>
      <c r="O27" s="93">
        <f>IFERROR(IF(Readings[[#This Row],[Obs. X]]="","-",Readings[[#This Row],[Obs. X]]-_xlfn.XLOOKUP(Readings[[#This Row],[Sensor ID]],Table_Baseline[Sensor ID],Table_Baseline[Easting '[m']],"-")),"-")</f>
        <v>-9.9999999656574801E-4</v>
      </c>
      <c r="P27" s="93">
        <f>IFERROR(IF(Readings[[#This Row],[Obs. Y]]="","-",Readings[[#This Row],[Obs. Y]]-_xlfn.XLOOKUP(Readings[[#This Row],[Sensor ID]],Table_Baseline[Sensor ID],Table_Baseline[Northing '[m']],"-")),"-")</f>
        <v>2.0000000367872417E-3</v>
      </c>
      <c r="Q27" s="93">
        <f>IFERROR(IF(Readings[[#This Row],[Obs. Z]]="","-",Readings[[#This Row],[Obs. Z]]-_xlfn.XLOOKUP(Readings[[#This Row],[Sensor ID]],Table_Baseline[Sensor ID],Table_Baseline[Level '[m']],"-")),"-")</f>
        <v>-9.9999999999766942E-5</v>
      </c>
      <c r="R27" s="93">
        <f>IFERROR(IF(Readings[[#This Row],[Reference Angle]]="-","-",(Readings[[#This Row],[Diff E]]*COS(RADIANS(Readings[[#This Row],[Reference Angle]]))-Readings[[#This Row],[Diff N]]*SIN(RADIANS(Readings[[#This Row],[Reference Angle]])))),"-")</f>
        <v>-9.9999999656574801E-4</v>
      </c>
      <c r="S27" s="93">
        <f>IFERROR(IF(Readings[[#This Row],[Reference Angle]]="-","-",(Readings[[#This Row],[Diff E]]*SIN(RADIANS(Readings[[#This Row],[Reference Angle]]))+Readings[[#This Row],[Diff N]]*COS(RADIANS(Readings[[#This Row],[Reference Angle]])))),"-")</f>
        <v>2.0000000367872417E-3</v>
      </c>
      <c r="T27" s="94">
        <f>IFERROR(VLOOKUP(Readings[[#This Row],[Sensor ID]],Table_Baseline[],COLUMNS(Table_Baseline[[#Headers],[Sensor ID]:[Reference Angle '[Deg']]]),FALSE),"-")</f>
        <v>0</v>
      </c>
      <c r="U27" s="95" t="str">
        <f>Readings[[#This Row],[Sensor ID]]&amp;"-"&amp;Readings[[#This Row],[Epoch]]</f>
        <v>250-RL-OP-11012-45721.3958333333</v>
      </c>
      <c r="V27" s="99">
        <f ca="1">IF(Readings[[#This Row],[Epoch]]=OFFSET(Readings[[#This Row],[Epoch]],-1,0),0,1)</f>
        <v>0</v>
      </c>
    </row>
    <row r="28" spans="4:22" x14ac:dyDescent="0.2">
      <c r="D28" s="32">
        <v>45721.395833333336</v>
      </c>
      <c r="E28" s="33" t="s">
        <v>179</v>
      </c>
      <c r="F28" s="34">
        <v>60046.249000000003</v>
      </c>
      <c r="G28" s="34">
        <v>363841.22700000001</v>
      </c>
      <c r="H28" s="34">
        <v>18.77</v>
      </c>
      <c r="I28" s="33" t="s">
        <v>86</v>
      </c>
      <c r="J28" s="33" t="s">
        <v>90</v>
      </c>
      <c r="K28" s="33">
        <v>23</v>
      </c>
      <c r="L28" s="33">
        <v>1012</v>
      </c>
      <c r="M28" s="33">
        <v>50</v>
      </c>
      <c r="N28" s="33"/>
      <c r="O28" s="93">
        <f>IFERROR(IF(Readings[[#This Row],[Obs. X]]="","-",Readings[[#This Row],[Obs. X]]-_xlfn.XLOOKUP(Readings[[#This Row],[Sensor ID]],Table_Baseline[Sensor ID],Table_Baseline[Easting '[m']],"-")),"-")</f>
        <v>-9.9999999656574801E-4</v>
      </c>
      <c r="P28" s="93">
        <f>IFERROR(IF(Readings[[#This Row],[Obs. Y]]="","-",Readings[[#This Row],[Obs. Y]]-_xlfn.XLOOKUP(Readings[[#This Row],[Sensor ID]],Table_Baseline[Sensor ID],Table_Baseline[Northing '[m']],"-")),"-")</f>
        <v>9.9999998928979039E-4</v>
      </c>
      <c r="Q28" s="93">
        <f>IFERROR(IF(Readings[[#This Row],[Obs. Z]]="","-",Readings[[#This Row],[Obs. Z]]-_xlfn.XLOOKUP(Readings[[#This Row],[Sensor ID]],Table_Baseline[Sensor ID],Table_Baseline[Level '[m']],"-")),"-")</f>
        <v>1.9999999999953388E-4</v>
      </c>
      <c r="R28" s="93">
        <f>IFERROR(IF(Readings[[#This Row],[Reference Angle]]="-","-",(Readings[[#This Row],[Diff E]]*COS(RADIANS(Readings[[#This Row],[Reference Angle]]))-Readings[[#This Row],[Diff N]]*SIN(RADIANS(Readings[[#This Row],[Reference Angle]])))),"-")</f>
        <v>-9.9999999656574801E-4</v>
      </c>
      <c r="S28" s="93">
        <f>IFERROR(IF(Readings[[#This Row],[Reference Angle]]="-","-",(Readings[[#This Row],[Diff E]]*SIN(RADIANS(Readings[[#This Row],[Reference Angle]]))+Readings[[#This Row],[Diff N]]*COS(RADIANS(Readings[[#This Row],[Reference Angle]])))),"-")</f>
        <v>9.9999998928979039E-4</v>
      </c>
      <c r="T28" s="94">
        <f>IFERROR(VLOOKUP(Readings[[#This Row],[Sensor ID]],Table_Baseline[],COLUMNS(Table_Baseline[[#Headers],[Sensor ID]:[Reference Angle '[Deg']]]),FALSE),"-")</f>
        <v>0</v>
      </c>
      <c r="U28" s="95" t="str">
        <f>Readings[[#This Row],[Sensor ID]]&amp;"-"&amp;Readings[[#This Row],[Epoch]]</f>
        <v>250-RL-OP-11010-45721.3958333333</v>
      </c>
      <c r="V28" s="99">
        <f ca="1">IF(Readings[[#This Row],[Epoch]]=OFFSET(Readings[[#This Row],[Epoch]],-1,0),0,1)</f>
        <v>0</v>
      </c>
    </row>
    <row r="29" spans="4:22" x14ac:dyDescent="0.2">
      <c r="D29" s="32">
        <v>45721.395833333336</v>
      </c>
      <c r="E29" s="33" t="s">
        <v>177</v>
      </c>
      <c r="F29" s="34">
        <v>60043.44</v>
      </c>
      <c r="G29" s="34">
        <v>363842.04099999997</v>
      </c>
      <c r="H29" s="34">
        <v>18.768000000000001</v>
      </c>
      <c r="I29" s="33" t="s">
        <v>86</v>
      </c>
      <c r="J29" s="33" t="s">
        <v>90</v>
      </c>
      <c r="K29" s="33">
        <v>23</v>
      </c>
      <c r="L29" s="33">
        <v>1012</v>
      </c>
      <c r="M29" s="33">
        <v>50</v>
      </c>
      <c r="N29" s="33"/>
      <c r="O29" s="93">
        <f>IFERROR(IF(Readings[[#This Row],[Obs. X]]="","-",Readings[[#This Row],[Obs. X]]-_xlfn.XLOOKUP(Readings[[#This Row],[Sensor ID]],Table_Baseline[Sensor ID],Table_Baseline[Easting '[m']],"-")),"-")</f>
        <v>-9.9999999656574801E-4</v>
      </c>
      <c r="P29" s="93">
        <f>IFERROR(IF(Readings[[#This Row],[Obs. Y]]="","-",Readings[[#This Row],[Obs. Y]]-_xlfn.XLOOKUP(Readings[[#This Row],[Sensor ID]],Table_Baseline[Sensor ID],Table_Baseline[Northing '[m']],"-")),"-")</f>
        <v>9.9999993108212948E-4</v>
      </c>
      <c r="Q29" s="93">
        <f>IFERROR(IF(Readings[[#This Row],[Obs. Z]]="","-",Readings[[#This Row],[Obs. Z]]-_xlfn.XLOOKUP(Readings[[#This Row],[Sensor ID]],Table_Baseline[Sensor ID],Table_Baseline[Level '[m']],"-")),"-")</f>
        <v>-2.9999999999930083E-4</v>
      </c>
      <c r="R29" s="93">
        <f>IFERROR(IF(Readings[[#This Row],[Reference Angle]]="-","-",(Readings[[#This Row],[Diff E]]*COS(RADIANS(Readings[[#This Row],[Reference Angle]]))-Readings[[#This Row],[Diff N]]*SIN(RADIANS(Readings[[#This Row],[Reference Angle]])))),"-")</f>
        <v>-9.9999999656574801E-4</v>
      </c>
      <c r="S29" s="93">
        <f>IFERROR(IF(Readings[[#This Row],[Reference Angle]]="-","-",(Readings[[#This Row],[Diff E]]*SIN(RADIANS(Readings[[#This Row],[Reference Angle]]))+Readings[[#This Row],[Diff N]]*COS(RADIANS(Readings[[#This Row],[Reference Angle]])))),"-")</f>
        <v>9.9999993108212948E-4</v>
      </c>
      <c r="T29" s="94">
        <f>IFERROR(VLOOKUP(Readings[[#This Row],[Sensor ID]],Table_Baseline[],COLUMNS(Table_Baseline[[#Headers],[Sensor ID]:[Reference Angle '[Deg']]]),FALSE),"-")</f>
        <v>0</v>
      </c>
      <c r="U29" s="95" t="str">
        <f>Readings[[#This Row],[Sensor ID]]&amp;"-"&amp;Readings[[#This Row],[Epoch]]</f>
        <v>250-RL-OP-11008-45721.3958333333</v>
      </c>
      <c r="V29" s="99">
        <f ca="1">IF(Readings[[#This Row],[Epoch]]=OFFSET(Readings[[#This Row],[Epoch]],-1,0),0,1)</f>
        <v>0</v>
      </c>
    </row>
    <row r="30" spans="4:22" x14ac:dyDescent="0.2">
      <c r="D30" s="32">
        <v>45721.395833333336</v>
      </c>
      <c r="E30" s="33" t="s">
        <v>175</v>
      </c>
      <c r="F30" s="34">
        <v>60040.606</v>
      </c>
      <c r="G30" s="34">
        <v>363842.86199999996</v>
      </c>
      <c r="H30" s="34">
        <v>18.771999999999998</v>
      </c>
      <c r="I30" s="33" t="s">
        <v>86</v>
      </c>
      <c r="J30" s="33" t="s">
        <v>90</v>
      </c>
      <c r="K30" s="33">
        <v>23</v>
      </c>
      <c r="L30" s="33">
        <v>1012</v>
      </c>
      <c r="M30" s="33">
        <v>50</v>
      </c>
      <c r="N30" s="33"/>
      <c r="O30" s="93">
        <f>IFERROR(IF(Readings[[#This Row],[Obs. X]]="","-",Readings[[#This Row],[Obs. X]]-_xlfn.XLOOKUP(Readings[[#This Row],[Sensor ID]],Table_Baseline[Sensor ID],Table_Baseline[Easting '[m']],"-")),"-")</f>
        <v>-1.0000000038417056E-3</v>
      </c>
      <c r="P30" s="93">
        <f>IFERROR(IF(Readings[[#This Row],[Obs. Y]]="","-",Readings[[#This Row],[Obs. Y]]-_xlfn.XLOOKUP(Readings[[#This Row],[Sensor ID]],Table_Baseline[Sensor ID],Table_Baseline[Northing '[m']],"-")),"-")</f>
        <v>9.9999993108212948E-4</v>
      </c>
      <c r="Q30" s="93">
        <f>IFERROR(IF(Readings[[#This Row],[Obs. Z]]="","-",Readings[[#This Row],[Obs. Z]]-_xlfn.XLOOKUP(Readings[[#This Row],[Sensor ID]],Table_Baseline[Sensor ID],Table_Baseline[Level '[m']],"-")),"-")</f>
        <v>0</v>
      </c>
      <c r="R30" s="93">
        <f>IFERROR(IF(Readings[[#This Row],[Reference Angle]]="-","-",(Readings[[#This Row],[Diff E]]*COS(RADIANS(Readings[[#This Row],[Reference Angle]]))-Readings[[#This Row],[Diff N]]*SIN(RADIANS(Readings[[#This Row],[Reference Angle]])))),"-")</f>
        <v>-1.0000000038417056E-3</v>
      </c>
      <c r="S30" s="93">
        <f>IFERROR(IF(Readings[[#This Row],[Reference Angle]]="-","-",(Readings[[#This Row],[Diff E]]*SIN(RADIANS(Readings[[#This Row],[Reference Angle]]))+Readings[[#This Row],[Diff N]]*COS(RADIANS(Readings[[#This Row],[Reference Angle]])))),"-")</f>
        <v>9.9999993108212948E-4</v>
      </c>
      <c r="T30" s="94">
        <f>IFERROR(VLOOKUP(Readings[[#This Row],[Sensor ID]],Table_Baseline[],COLUMNS(Table_Baseline[[#Headers],[Sensor ID]:[Reference Angle '[Deg']]]),FALSE),"-")</f>
        <v>0</v>
      </c>
      <c r="U30" s="95" t="str">
        <f>Readings[[#This Row],[Sensor ID]]&amp;"-"&amp;Readings[[#This Row],[Epoch]]</f>
        <v>250-RL-OP-11006-45721.3958333333</v>
      </c>
      <c r="V30" s="99">
        <f ca="1">IF(Readings[[#This Row],[Epoch]]=OFFSET(Readings[[#This Row],[Epoch]],-1,0),0,1)</f>
        <v>0</v>
      </c>
    </row>
    <row r="31" spans="4:22" x14ac:dyDescent="0.2">
      <c r="D31" s="32">
        <v>45721.395833333336</v>
      </c>
      <c r="E31" s="33" t="s">
        <v>173</v>
      </c>
      <c r="F31" s="34">
        <v>60037.803999999996</v>
      </c>
      <c r="G31" s="34">
        <v>363843.658</v>
      </c>
      <c r="H31" s="34">
        <v>18.777999999999999</v>
      </c>
      <c r="I31" s="33" t="s">
        <v>86</v>
      </c>
      <c r="J31" s="33" t="s">
        <v>90</v>
      </c>
      <c r="K31" s="33">
        <v>23</v>
      </c>
      <c r="L31" s="33">
        <v>1012</v>
      </c>
      <c r="M31" s="33">
        <v>50</v>
      </c>
      <c r="N31" s="33"/>
      <c r="O31" s="93">
        <f>IFERROR(IF(Readings[[#This Row],[Obs. X]]="","-",Readings[[#This Row],[Obs. X]]-_xlfn.XLOOKUP(Readings[[#This Row],[Sensor ID]],Table_Baseline[Sensor ID],Table_Baseline[Easting '[m']],"-")),"-")</f>
        <v>-1.0000000038417056E-3</v>
      </c>
      <c r="P31" s="93">
        <f>IFERROR(IF(Readings[[#This Row],[Obs. Y]]="","-",Readings[[#This Row],[Obs. Y]]-_xlfn.XLOOKUP(Readings[[#This Row],[Sensor ID]],Table_Baseline[Sensor ID],Table_Baseline[Northing '[m']],"-")),"-")</f>
        <v>9.9999998928979039E-4</v>
      </c>
      <c r="Q31" s="93">
        <f>IFERROR(IF(Readings[[#This Row],[Obs. Z]]="","-",Readings[[#This Row],[Obs. Z]]-_xlfn.XLOOKUP(Readings[[#This Row],[Sensor ID]],Table_Baseline[Sensor ID],Table_Baseline[Level '[m']],"-")),"-")</f>
        <v>-5.0000000000238742E-4</v>
      </c>
      <c r="R31" s="93">
        <f>IFERROR(IF(Readings[[#This Row],[Reference Angle]]="-","-",(Readings[[#This Row],[Diff E]]*COS(RADIANS(Readings[[#This Row],[Reference Angle]]))-Readings[[#This Row],[Diff N]]*SIN(RADIANS(Readings[[#This Row],[Reference Angle]])))),"-")</f>
        <v>-1.0000000038417056E-3</v>
      </c>
      <c r="S31" s="93">
        <f>IFERROR(IF(Readings[[#This Row],[Reference Angle]]="-","-",(Readings[[#This Row],[Diff E]]*SIN(RADIANS(Readings[[#This Row],[Reference Angle]]))+Readings[[#This Row],[Diff N]]*COS(RADIANS(Readings[[#This Row],[Reference Angle]])))),"-")</f>
        <v>9.9999998928979039E-4</v>
      </c>
      <c r="T31" s="94">
        <f>IFERROR(VLOOKUP(Readings[[#This Row],[Sensor ID]],Table_Baseline[],COLUMNS(Table_Baseline[[#Headers],[Sensor ID]:[Reference Angle '[Deg']]]),FALSE),"-")</f>
        <v>0</v>
      </c>
      <c r="U31" s="95" t="str">
        <f>Readings[[#This Row],[Sensor ID]]&amp;"-"&amp;Readings[[#This Row],[Epoch]]</f>
        <v>250-RL-OP-11004-45721.3958333333</v>
      </c>
      <c r="V31" s="99">
        <f ca="1">IF(Readings[[#This Row],[Epoch]]=OFFSET(Readings[[#This Row],[Epoch]],-1,0),0,1)</f>
        <v>0</v>
      </c>
    </row>
    <row r="32" spans="4:22" x14ac:dyDescent="0.2">
      <c r="D32" s="32">
        <v>45721.395833333336</v>
      </c>
      <c r="E32" s="33" t="s">
        <v>192</v>
      </c>
      <c r="F32" s="34">
        <v>60063.75</v>
      </c>
      <c r="G32" s="34">
        <v>363837.91800000001</v>
      </c>
      <c r="H32" s="34">
        <v>18.809000000000001</v>
      </c>
      <c r="I32" s="33" t="s">
        <v>86</v>
      </c>
      <c r="J32" s="33" t="s">
        <v>90</v>
      </c>
      <c r="K32" s="33">
        <v>23</v>
      </c>
      <c r="L32" s="33">
        <v>1012</v>
      </c>
      <c r="M32" s="33">
        <v>50</v>
      </c>
      <c r="N32" s="33"/>
      <c r="O32" s="93">
        <f>IFERROR(IF(Readings[[#This Row],[Obs. X]]="","-",Readings[[#This Row],[Obs. X]]-_xlfn.XLOOKUP(Readings[[#This Row],[Sensor ID]],Table_Baseline[Sensor ID],Table_Baseline[Easting '[m']],"-")),"-")</f>
        <v>-9.9999999656574801E-4</v>
      </c>
      <c r="P32" s="93">
        <f>IFERROR(IF(Readings[[#This Row],[Obs. Y]]="","-",Readings[[#This Row],[Obs. Y]]-_xlfn.XLOOKUP(Readings[[#This Row],[Sensor ID]],Table_Baseline[Sensor ID],Table_Baseline[Northing '[m']],"-")),"-")</f>
        <v>0</v>
      </c>
      <c r="Q32" s="93">
        <f>IFERROR(IF(Readings[[#This Row],[Obs. Z]]="","-",Readings[[#This Row],[Obs. Z]]-_xlfn.XLOOKUP(Readings[[#This Row],[Sensor ID]],Table_Baseline[Sensor ID],Table_Baseline[Level '[m']],"-")),"-")</f>
        <v>0</v>
      </c>
      <c r="R32" s="93">
        <f>IFERROR(IF(Readings[[#This Row],[Reference Angle]]="-","-",(Readings[[#This Row],[Diff E]]*COS(RADIANS(Readings[[#This Row],[Reference Angle]]))-Readings[[#This Row],[Diff N]]*SIN(RADIANS(Readings[[#This Row],[Reference Angle]])))),"-")</f>
        <v>-9.9999999656574801E-4</v>
      </c>
      <c r="S32" s="93">
        <f>IFERROR(IF(Readings[[#This Row],[Reference Angle]]="-","-",(Readings[[#This Row],[Diff E]]*SIN(RADIANS(Readings[[#This Row],[Reference Angle]]))+Readings[[#This Row],[Diff N]]*COS(RADIANS(Readings[[#This Row],[Reference Angle]])))),"-")</f>
        <v>0</v>
      </c>
      <c r="T32" s="94">
        <f>IFERROR(VLOOKUP(Readings[[#This Row],[Sensor ID]],Table_Baseline[],COLUMNS(Table_Baseline[[#Headers],[Sensor ID]:[Reference Angle '[Deg']]]),FALSE),"-")</f>
        <v>0</v>
      </c>
      <c r="U32" s="95" t="str">
        <f>Readings[[#This Row],[Sensor ID]]&amp;"-"&amp;Readings[[#This Row],[Epoch]]</f>
        <v>250-RL-OP-11021-45721.3958333333</v>
      </c>
      <c r="V32" s="99">
        <f ca="1">IF(Readings[[#This Row],[Epoch]]=OFFSET(Readings[[#This Row],[Epoch]],-1,0),0,1)</f>
        <v>0</v>
      </c>
    </row>
    <row r="33" spans="4:22" x14ac:dyDescent="0.2">
      <c r="D33" s="32">
        <v>45721.395833333336</v>
      </c>
      <c r="E33" s="33" t="s">
        <v>190</v>
      </c>
      <c r="F33" s="34">
        <v>60060.961000000003</v>
      </c>
      <c r="G33" s="34">
        <v>363838.60100000002</v>
      </c>
      <c r="H33" s="34">
        <v>18.794</v>
      </c>
      <c r="I33" s="33" t="s">
        <v>86</v>
      </c>
      <c r="J33" s="33" t="s">
        <v>90</v>
      </c>
      <c r="K33" s="33">
        <v>23</v>
      </c>
      <c r="L33" s="33">
        <v>1012</v>
      </c>
      <c r="M33" s="33">
        <v>50</v>
      </c>
      <c r="N33" s="33"/>
      <c r="O33" s="93">
        <f>IFERROR(IF(Readings[[#This Row],[Obs. X]]="","-",Readings[[#This Row],[Obs. X]]-_xlfn.XLOOKUP(Readings[[#This Row],[Sensor ID]],Table_Baseline[Sensor ID],Table_Baseline[Easting '[m']],"-")),"-")</f>
        <v>-2.0000000004074536E-3</v>
      </c>
      <c r="P33" s="93">
        <f>IFERROR(IF(Readings[[#This Row],[Obs. Y]]="","-",Readings[[#This Row],[Obs. Y]]-_xlfn.XLOOKUP(Readings[[#This Row],[Sensor ID]],Table_Baseline[Sensor ID],Table_Baseline[Northing '[m']],"-")),"-")</f>
        <v>0</v>
      </c>
      <c r="Q33" s="93">
        <f>IFERROR(IF(Readings[[#This Row],[Obs. Z]]="","-",Readings[[#This Row],[Obs. Z]]-_xlfn.XLOOKUP(Readings[[#This Row],[Sensor ID]],Table_Baseline[Sensor ID],Table_Baseline[Level '[m']],"-")),"-")</f>
        <v>-5.9999999999860165E-4</v>
      </c>
      <c r="R33" s="93">
        <f>IFERROR(IF(Readings[[#This Row],[Reference Angle]]="-","-",(Readings[[#This Row],[Diff E]]*COS(RADIANS(Readings[[#This Row],[Reference Angle]]))-Readings[[#This Row],[Diff N]]*SIN(RADIANS(Readings[[#This Row],[Reference Angle]])))),"-")</f>
        <v>-2.0000000004074536E-3</v>
      </c>
      <c r="S33" s="93">
        <f>IFERROR(IF(Readings[[#This Row],[Reference Angle]]="-","-",(Readings[[#This Row],[Diff E]]*SIN(RADIANS(Readings[[#This Row],[Reference Angle]]))+Readings[[#This Row],[Diff N]]*COS(RADIANS(Readings[[#This Row],[Reference Angle]])))),"-")</f>
        <v>0</v>
      </c>
      <c r="T33" s="94">
        <f>IFERROR(VLOOKUP(Readings[[#This Row],[Sensor ID]],Table_Baseline[],COLUMNS(Table_Baseline[[#Headers],[Sensor ID]:[Reference Angle '[Deg']]]),FALSE),"-")</f>
        <v>0</v>
      </c>
      <c r="U33" s="95" t="str">
        <f>Readings[[#This Row],[Sensor ID]]&amp;"-"&amp;Readings[[#This Row],[Epoch]]</f>
        <v>250-RL-OP-11019-45721.3958333333</v>
      </c>
      <c r="V33" s="99">
        <f ca="1">IF(Readings[[#This Row],[Epoch]]=OFFSET(Readings[[#This Row],[Epoch]],-1,0),0,1)</f>
        <v>0</v>
      </c>
    </row>
    <row r="34" spans="4:22" x14ac:dyDescent="0.2">
      <c r="D34" s="32">
        <v>45721.395833333336</v>
      </c>
      <c r="E34" s="33" t="s">
        <v>188</v>
      </c>
      <c r="F34" s="34">
        <v>60057.951000000001</v>
      </c>
      <c r="G34" s="34">
        <v>363839.36300000001</v>
      </c>
      <c r="H34" s="34">
        <v>18.786000000000001</v>
      </c>
      <c r="I34" s="33" t="s">
        <v>86</v>
      </c>
      <c r="J34" s="33" t="s">
        <v>90</v>
      </c>
      <c r="K34" s="33">
        <v>23</v>
      </c>
      <c r="L34" s="33">
        <v>1012</v>
      </c>
      <c r="M34" s="33">
        <v>50</v>
      </c>
      <c r="N34" s="33"/>
      <c r="O34" s="93">
        <f>IFERROR(IF(Readings[[#This Row],[Obs. X]]="","-",Readings[[#This Row],[Obs. X]]-_xlfn.XLOOKUP(Readings[[#This Row],[Sensor ID]],Table_Baseline[Sensor ID],Table_Baseline[Easting '[m']],"-")),"-")</f>
        <v>-9.9999999656574801E-4</v>
      </c>
      <c r="P34" s="93">
        <f>IFERROR(IF(Readings[[#This Row],[Obs. Y]]="","-",Readings[[#This Row],[Obs. Y]]-_xlfn.XLOOKUP(Readings[[#This Row],[Sensor ID]],Table_Baseline[Sensor ID],Table_Baseline[Northing '[m']],"-")),"-")</f>
        <v>1.0000000474974513E-3</v>
      </c>
      <c r="Q34" s="93">
        <f>IFERROR(IF(Readings[[#This Row],[Obs. Z]]="","-",Readings[[#This Row],[Obs. Z]]-_xlfn.XLOOKUP(Readings[[#This Row],[Sensor ID]],Table_Baseline[Sensor ID],Table_Baseline[Level '[m']],"-")),"-")</f>
        <v>0</v>
      </c>
      <c r="R34" s="93">
        <f>IFERROR(IF(Readings[[#This Row],[Reference Angle]]="-","-",(Readings[[#This Row],[Diff E]]*COS(RADIANS(Readings[[#This Row],[Reference Angle]]))-Readings[[#This Row],[Diff N]]*SIN(RADIANS(Readings[[#This Row],[Reference Angle]])))),"-")</f>
        <v>-9.9999999656574801E-4</v>
      </c>
      <c r="S34" s="93">
        <f>IFERROR(IF(Readings[[#This Row],[Reference Angle]]="-","-",(Readings[[#This Row],[Diff E]]*SIN(RADIANS(Readings[[#This Row],[Reference Angle]]))+Readings[[#This Row],[Diff N]]*COS(RADIANS(Readings[[#This Row],[Reference Angle]])))),"-")</f>
        <v>1.0000000474974513E-3</v>
      </c>
      <c r="T34" s="94">
        <f>IFERROR(VLOOKUP(Readings[[#This Row],[Sensor ID]],Table_Baseline[],COLUMNS(Table_Baseline[[#Headers],[Sensor ID]:[Reference Angle '[Deg']]]),FALSE),"-")</f>
        <v>0</v>
      </c>
      <c r="U34" s="95" t="str">
        <f>Readings[[#This Row],[Sensor ID]]&amp;"-"&amp;Readings[[#This Row],[Epoch]]</f>
        <v>250-RL-OP-11017-45721.3958333333</v>
      </c>
      <c r="V34" s="99">
        <f ca="1">IF(Readings[[#This Row],[Epoch]]=OFFSET(Readings[[#This Row],[Epoch]],-1,0),0,1)</f>
        <v>0</v>
      </c>
    </row>
    <row r="35" spans="4:22" x14ac:dyDescent="0.2">
      <c r="D35" s="32">
        <v>45721.395833333336</v>
      </c>
      <c r="E35" s="33" t="s">
        <v>186</v>
      </c>
      <c r="F35" s="34">
        <v>60055.195</v>
      </c>
      <c r="G35" s="34">
        <v>363840.09499999997</v>
      </c>
      <c r="H35" s="34">
        <v>18.780999999999999</v>
      </c>
      <c r="I35" s="33" t="s">
        <v>86</v>
      </c>
      <c r="J35" s="33" t="s">
        <v>90</v>
      </c>
      <c r="K35" s="33">
        <v>23</v>
      </c>
      <c r="L35" s="33">
        <v>1012</v>
      </c>
      <c r="M35" s="33">
        <v>50</v>
      </c>
      <c r="N35" s="33"/>
      <c r="O35" s="93">
        <f>IFERROR(IF(Readings[[#This Row],[Obs. X]]="","-",Readings[[#This Row],[Obs. X]]-_xlfn.XLOOKUP(Readings[[#This Row],[Sensor ID]],Table_Baseline[Sensor ID],Table_Baseline[Easting '[m']],"-")),"-")</f>
        <v>-1.0000000038417056E-3</v>
      </c>
      <c r="P35" s="93">
        <f>IFERROR(IF(Readings[[#This Row],[Obs. Y]]="","-",Readings[[#This Row],[Obs. Y]]-_xlfn.XLOOKUP(Readings[[#This Row],[Sensor ID]],Table_Baseline[Sensor ID],Table_Baseline[Northing '[m']],"-")),"-")</f>
        <v>0</v>
      </c>
      <c r="Q35" s="93">
        <f>IFERROR(IF(Readings[[#This Row],[Obs. Z]]="","-",Readings[[#This Row],[Obs. Z]]-_xlfn.XLOOKUP(Readings[[#This Row],[Sensor ID]],Table_Baseline[Sensor ID],Table_Baseline[Level '[m']],"-")),"-")</f>
        <v>9.9999999999766942E-5</v>
      </c>
      <c r="R35" s="93">
        <f>IFERROR(IF(Readings[[#This Row],[Reference Angle]]="-","-",(Readings[[#This Row],[Diff E]]*COS(RADIANS(Readings[[#This Row],[Reference Angle]]))-Readings[[#This Row],[Diff N]]*SIN(RADIANS(Readings[[#This Row],[Reference Angle]])))),"-")</f>
        <v>-1.0000000038417056E-3</v>
      </c>
      <c r="S35" s="93">
        <f>IFERROR(IF(Readings[[#This Row],[Reference Angle]]="-","-",(Readings[[#This Row],[Diff E]]*SIN(RADIANS(Readings[[#This Row],[Reference Angle]]))+Readings[[#This Row],[Diff N]]*COS(RADIANS(Readings[[#This Row],[Reference Angle]])))),"-")</f>
        <v>0</v>
      </c>
      <c r="T35" s="94">
        <f>IFERROR(VLOOKUP(Readings[[#This Row],[Sensor ID]],Table_Baseline[],COLUMNS(Table_Baseline[[#Headers],[Sensor ID]:[Reference Angle '[Deg']]]),FALSE),"-")</f>
        <v>0</v>
      </c>
      <c r="U35" s="95" t="str">
        <f>Readings[[#This Row],[Sensor ID]]&amp;"-"&amp;Readings[[#This Row],[Epoch]]</f>
        <v>250-RL-OP-11015-45721.3958333333</v>
      </c>
      <c r="V35" s="99">
        <f ca="1">IF(Readings[[#This Row],[Epoch]]=OFFSET(Readings[[#This Row],[Epoch]],-1,0),0,1)</f>
        <v>0</v>
      </c>
    </row>
    <row r="36" spans="4:22" x14ac:dyDescent="0.2">
      <c r="D36" s="32">
        <v>45721.395833333336</v>
      </c>
      <c r="E36" s="33" t="s">
        <v>184</v>
      </c>
      <c r="F36" s="34">
        <v>60052.292000000001</v>
      </c>
      <c r="G36" s="34">
        <v>363840.88500000001</v>
      </c>
      <c r="H36" s="34">
        <v>18.779</v>
      </c>
      <c r="I36" s="33" t="s">
        <v>86</v>
      </c>
      <c r="J36" s="33" t="s">
        <v>90</v>
      </c>
      <c r="K36" s="33">
        <v>23</v>
      </c>
      <c r="L36" s="33">
        <v>1012</v>
      </c>
      <c r="M36" s="33">
        <v>50</v>
      </c>
      <c r="N36" s="33"/>
      <c r="O36" s="93">
        <f>IFERROR(IF(Readings[[#This Row],[Obs. X]]="","-",Readings[[#This Row],[Obs. X]]-_xlfn.XLOOKUP(Readings[[#This Row],[Sensor ID]],Table_Baseline[Sensor ID],Table_Baseline[Easting '[m']],"-")),"-")</f>
        <v>-9.9999999656574801E-4</v>
      </c>
      <c r="P36" s="93">
        <f>IFERROR(IF(Readings[[#This Row],[Obs. Y]]="","-",Readings[[#This Row],[Obs. Y]]-_xlfn.XLOOKUP(Readings[[#This Row],[Sensor ID]],Table_Baseline[Sensor ID],Table_Baseline[Northing '[m']],"-")),"-")</f>
        <v>0</v>
      </c>
      <c r="Q36" s="93">
        <f>IFERROR(IF(Readings[[#This Row],[Obs. Z]]="","-",Readings[[#This Row],[Obs. Z]]-_xlfn.XLOOKUP(Readings[[#This Row],[Sensor ID]],Table_Baseline[Sensor ID],Table_Baseline[Level '[m']],"-")),"-")</f>
        <v>0</v>
      </c>
      <c r="R36" s="93">
        <f>IFERROR(IF(Readings[[#This Row],[Reference Angle]]="-","-",(Readings[[#This Row],[Diff E]]*COS(RADIANS(Readings[[#This Row],[Reference Angle]]))-Readings[[#This Row],[Diff N]]*SIN(RADIANS(Readings[[#This Row],[Reference Angle]])))),"-")</f>
        <v>-9.9999999656574801E-4</v>
      </c>
      <c r="S36" s="93">
        <f>IFERROR(IF(Readings[[#This Row],[Reference Angle]]="-","-",(Readings[[#This Row],[Diff E]]*SIN(RADIANS(Readings[[#This Row],[Reference Angle]]))+Readings[[#This Row],[Diff N]]*COS(RADIANS(Readings[[#This Row],[Reference Angle]])))),"-")</f>
        <v>0</v>
      </c>
      <c r="T36" s="94">
        <f>IFERROR(VLOOKUP(Readings[[#This Row],[Sensor ID]],Table_Baseline[],COLUMNS(Table_Baseline[[#Headers],[Sensor ID]:[Reference Angle '[Deg']]]),FALSE),"-")</f>
        <v>0</v>
      </c>
      <c r="U36" s="95" t="str">
        <f>Readings[[#This Row],[Sensor ID]]&amp;"-"&amp;Readings[[#This Row],[Epoch]]</f>
        <v>250-RL-OP-11013-45721.3958333333</v>
      </c>
      <c r="V36" s="99">
        <f ca="1">IF(Readings[[#This Row],[Epoch]]=OFFSET(Readings[[#This Row],[Epoch]],-1,0),0,1)</f>
        <v>0</v>
      </c>
    </row>
    <row r="37" spans="4:22" x14ac:dyDescent="0.2">
      <c r="D37" s="32">
        <v>45721.395833333336</v>
      </c>
      <c r="E37" s="33" t="s">
        <v>182</v>
      </c>
      <c r="F37" s="34">
        <v>60049.398000000001</v>
      </c>
      <c r="G37" s="34">
        <v>363841.69799999997</v>
      </c>
      <c r="H37" s="34">
        <v>18.777999999999999</v>
      </c>
      <c r="I37" s="33" t="s">
        <v>86</v>
      </c>
      <c r="J37" s="33" t="s">
        <v>90</v>
      </c>
      <c r="K37" s="33">
        <v>23</v>
      </c>
      <c r="L37" s="33">
        <v>1012</v>
      </c>
      <c r="M37" s="33">
        <v>50</v>
      </c>
      <c r="N37" s="33"/>
      <c r="O37" s="93">
        <f>IFERROR(IF(Readings[[#This Row],[Obs. X]]="","-",Readings[[#This Row],[Obs. X]]-_xlfn.XLOOKUP(Readings[[#This Row],[Sensor ID]],Table_Baseline[Sensor ID],Table_Baseline[Easting '[m']],"-")),"-")</f>
        <v>-9.9999999656574801E-4</v>
      </c>
      <c r="P37" s="93">
        <f>IFERROR(IF(Readings[[#This Row],[Obs. Y]]="","-",Readings[[#This Row],[Obs. Y]]-_xlfn.XLOOKUP(Readings[[#This Row],[Sensor ID]],Table_Baseline[Sensor ID],Table_Baseline[Northing '[m']],"-")),"-")</f>
        <v>0</v>
      </c>
      <c r="Q37" s="93">
        <f>IFERROR(IF(Readings[[#This Row],[Obs. Z]]="","-",Readings[[#This Row],[Obs. Z]]-_xlfn.XLOOKUP(Readings[[#This Row],[Sensor ID]],Table_Baseline[Sensor ID],Table_Baseline[Level '[m']],"-")),"-")</f>
        <v>0</v>
      </c>
      <c r="R37" s="93">
        <f>IFERROR(IF(Readings[[#This Row],[Reference Angle]]="-","-",(Readings[[#This Row],[Diff E]]*COS(RADIANS(Readings[[#This Row],[Reference Angle]]))-Readings[[#This Row],[Diff N]]*SIN(RADIANS(Readings[[#This Row],[Reference Angle]])))),"-")</f>
        <v>-9.9999999656574801E-4</v>
      </c>
      <c r="S37" s="93">
        <f>IFERROR(IF(Readings[[#This Row],[Reference Angle]]="-","-",(Readings[[#This Row],[Diff E]]*SIN(RADIANS(Readings[[#This Row],[Reference Angle]]))+Readings[[#This Row],[Diff N]]*COS(RADIANS(Readings[[#This Row],[Reference Angle]])))),"-")</f>
        <v>0</v>
      </c>
      <c r="T37" s="94">
        <f>IFERROR(VLOOKUP(Readings[[#This Row],[Sensor ID]],Table_Baseline[],COLUMNS(Table_Baseline[[#Headers],[Sensor ID]:[Reference Angle '[Deg']]]),FALSE),"-")</f>
        <v>0</v>
      </c>
      <c r="U37" s="95" t="str">
        <f>Readings[[#This Row],[Sensor ID]]&amp;"-"&amp;Readings[[#This Row],[Epoch]]</f>
        <v>250-RL-OP-11011-45721.3958333333</v>
      </c>
      <c r="V37" s="99">
        <f ca="1">IF(Readings[[#This Row],[Epoch]]=OFFSET(Readings[[#This Row],[Epoch]],-1,0),0,1)</f>
        <v>0</v>
      </c>
    </row>
    <row r="38" spans="4:22" x14ac:dyDescent="0.2">
      <c r="D38" s="32">
        <v>45721.395833333336</v>
      </c>
      <c r="E38" s="33" t="s">
        <v>180</v>
      </c>
      <c r="F38" s="34">
        <v>60046.631999999998</v>
      </c>
      <c r="G38" s="34">
        <v>363842.48499999999</v>
      </c>
      <c r="H38" s="34">
        <v>18.777000000000001</v>
      </c>
      <c r="I38" s="33" t="s">
        <v>86</v>
      </c>
      <c r="J38" s="33" t="s">
        <v>90</v>
      </c>
      <c r="K38" s="33">
        <v>23</v>
      </c>
      <c r="L38" s="33">
        <v>1012</v>
      </c>
      <c r="M38" s="33">
        <v>50</v>
      </c>
      <c r="N38" s="33"/>
      <c r="O38" s="93">
        <f>IFERROR(IF(Readings[[#This Row],[Obs. X]]="","-",Readings[[#This Row],[Obs. X]]-_xlfn.XLOOKUP(Readings[[#This Row],[Sensor ID]],Table_Baseline[Sensor ID],Table_Baseline[Easting '[m']],"-")),"-")</f>
        <v>-1.0000000038417056E-3</v>
      </c>
      <c r="P38" s="93">
        <f>IFERROR(IF(Readings[[#This Row],[Obs. Y]]="","-",Readings[[#This Row],[Obs. Y]]-_xlfn.XLOOKUP(Readings[[#This Row],[Sensor ID]],Table_Baseline[Sensor ID],Table_Baseline[Northing '[m']],"-")),"-")</f>
        <v>0</v>
      </c>
      <c r="Q38" s="93">
        <f>IFERROR(IF(Readings[[#This Row],[Obs. Z]]="","-",Readings[[#This Row],[Obs. Z]]-_xlfn.XLOOKUP(Readings[[#This Row],[Sensor ID]],Table_Baseline[Sensor ID],Table_Baseline[Level '[m']],"-")),"-")</f>
        <v>-5.9999999999860165E-4</v>
      </c>
      <c r="R38" s="93">
        <f>IFERROR(IF(Readings[[#This Row],[Reference Angle]]="-","-",(Readings[[#This Row],[Diff E]]*COS(RADIANS(Readings[[#This Row],[Reference Angle]]))-Readings[[#This Row],[Diff N]]*SIN(RADIANS(Readings[[#This Row],[Reference Angle]])))),"-")</f>
        <v>-1.0000000038417056E-3</v>
      </c>
      <c r="S38" s="93">
        <f>IFERROR(IF(Readings[[#This Row],[Reference Angle]]="-","-",(Readings[[#This Row],[Diff E]]*SIN(RADIANS(Readings[[#This Row],[Reference Angle]]))+Readings[[#This Row],[Diff N]]*COS(RADIANS(Readings[[#This Row],[Reference Angle]])))),"-")</f>
        <v>0</v>
      </c>
      <c r="T38" s="94">
        <f>IFERROR(VLOOKUP(Readings[[#This Row],[Sensor ID]],Table_Baseline[],COLUMNS(Table_Baseline[[#Headers],[Sensor ID]:[Reference Angle '[Deg']]]),FALSE),"-")</f>
        <v>0</v>
      </c>
      <c r="U38" s="95" t="str">
        <f>Readings[[#This Row],[Sensor ID]]&amp;"-"&amp;Readings[[#This Row],[Epoch]]</f>
        <v>250-RL-OP-11009-45721.3958333333</v>
      </c>
      <c r="V38" s="99">
        <f ca="1">IF(Readings[[#This Row],[Epoch]]=OFFSET(Readings[[#This Row],[Epoch]],-1,0),0,1)</f>
        <v>0</v>
      </c>
    </row>
    <row r="39" spans="4:22" x14ac:dyDescent="0.2">
      <c r="D39" s="32">
        <v>45721.395833333336</v>
      </c>
      <c r="E39" s="33" t="s">
        <v>178</v>
      </c>
      <c r="F39" s="34">
        <v>60043.758000000002</v>
      </c>
      <c r="G39" s="34">
        <v>363843.315</v>
      </c>
      <c r="H39" s="34">
        <v>18.774000000000001</v>
      </c>
      <c r="I39" s="33" t="s">
        <v>86</v>
      </c>
      <c r="J39" s="33" t="s">
        <v>90</v>
      </c>
      <c r="K39" s="33">
        <v>23</v>
      </c>
      <c r="L39" s="33">
        <v>1012</v>
      </c>
      <c r="M39" s="33">
        <v>50</v>
      </c>
      <c r="N39" s="33"/>
      <c r="O39" s="93">
        <f>IFERROR(IF(Readings[[#This Row],[Obs. X]]="","-",Readings[[#This Row],[Obs. X]]-_xlfn.XLOOKUP(Readings[[#This Row],[Sensor ID]],Table_Baseline[Sensor ID],Table_Baseline[Easting '[m']],"-")),"-")</f>
        <v>-9.9999999656574801E-4</v>
      </c>
      <c r="P39" s="93">
        <f>IFERROR(IF(Readings[[#This Row],[Obs. Y]]="","-",Readings[[#This Row],[Obs. Y]]-_xlfn.XLOOKUP(Readings[[#This Row],[Sensor ID]],Table_Baseline[Sensor ID],Table_Baseline[Northing '[m']],"-")),"-")</f>
        <v>9.9999998928979039E-4</v>
      </c>
      <c r="Q39" s="93">
        <f>IFERROR(IF(Readings[[#This Row],[Obs. Z]]="","-",Readings[[#This Row],[Obs. Z]]-_xlfn.XLOOKUP(Readings[[#This Row],[Sensor ID]],Table_Baseline[Sensor ID],Table_Baseline[Level '[m']],"-")),"-")</f>
        <v>-9.9999999999766942E-5</v>
      </c>
      <c r="R39" s="93">
        <f>IFERROR(IF(Readings[[#This Row],[Reference Angle]]="-","-",(Readings[[#This Row],[Diff E]]*COS(RADIANS(Readings[[#This Row],[Reference Angle]]))-Readings[[#This Row],[Diff N]]*SIN(RADIANS(Readings[[#This Row],[Reference Angle]])))),"-")</f>
        <v>-9.9999999656574801E-4</v>
      </c>
      <c r="S39" s="93">
        <f>IFERROR(IF(Readings[[#This Row],[Reference Angle]]="-","-",(Readings[[#This Row],[Diff E]]*SIN(RADIANS(Readings[[#This Row],[Reference Angle]]))+Readings[[#This Row],[Diff N]]*COS(RADIANS(Readings[[#This Row],[Reference Angle]])))),"-")</f>
        <v>9.9999998928979039E-4</v>
      </c>
      <c r="T39" s="94">
        <f>IFERROR(VLOOKUP(Readings[[#This Row],[Sensor ID]],Table_Baseline[],COLUMNS(Table_Baseline[[#Headers],[Sensor ID]:[Reference Angle '[Deg']]]),FALSE),"-")</f>
        <v>0</v>
      </c>
      <c r="U39" s="95" t="str">
        <f>Readings[[#This Row],[Sensor ID]]&amp;"-"&amp;Readings[[#This Row],[Epoch]]</f>
        <v>250-RL-OP-11007-45721.3958333333</v>
      </c>
      <c r="V39" s="99">
        <f ca="1">IF(Readings[[#This Row],[Epoch]]=OFFSET(Readings[[#This Row],[Epoch]],-1,0),0,1)</f>
        <v>0</v>
      </c>
    </row>
    <row r="40" spans="4:22" x14ac:dyDescent="0.2">
      <c r="D40" s="32">
        <v>45721.395833333336</v>
      </c>
      <c r="E40" s="151" t="s">
        <v>170</v>
      </c>
      <c r="F40" s="152">
        <v>60060.065000000002</v>
      </c>
      <c r="G40" s="152">
        <v>363836.02399999998</v>
      </c>
      <c r="H40" s="152">
        <v>19.356999999999999</v>
      </c>
      <c r="I40" s="33" t="s">
        <v>86</v>
      </c>
      <c r="J40" s="33" t="s">
        <v>90</v>
      </c>
      <c r="K40" s="33">
        <v>23</v>
      </c>
      <c r="L40" s="33">
        <v>1012</v>
      </c>
      <c r="M40" s="33">
        <v>50</v>
      </c>
      <c r="N40" s="151"/>
      <c r="O40" s="96" t="str">
        <f>IFERROR(IF(Readings[[#This Row],[Obs. X]]="","-",Readings[[#This Row],[Obs. X]]-_xlfn.XLOOKUP(Readings[[#This Row],[Sensor ID]],Table_Baseline[Sensor ID],Table_Baseline[Easting '[m']],"-")),"-")</f>
        <v>-</v>
      </c>
      <c r="P40" s="96" t="str">
        <f>IFERROR(IF(Readings[[#This Row],[Obs. Y]]="","-",Readings[[#This Row],[Obs. Y]]-_xlfn.XLOOKUP(Readings[[#This Row],[Sensor ID]],Table_Baseline[Sensor ID],Table_Baseline[Northing '[m']],"-")),"-")</f>
        <v>-</v>
      </c>
      <c r="Q40" s="96" t="str">
        <f>IFERROR(IF(Readings[[#This Row],[Obs. Z]]="","-",Readings[[#This Row],[Obs. Z]]-_xlfn.XLOOKUP(Readings[[#This Row],[Sensor ID]],Table_Baseline[Sensor ID],Table_Baseline[Level '[m']],"-")),"-")</f>
        <v>-</v>
      </c>
      <c r="R40" s="96" t="str">
        <f>IFERROR(IF(Readings[[#This Row],[Reference Angle]]="-","-",(Readings[[#This Row],[Diff E]]*COS(RADIANS(Readings[[#This Row],[Reference Angle]]))-Readings[[#This Row],[Diff N]]*SIN(RADIANS(Readings[[#This Row],[Reference Angle]])))),"-")</f>
        <v>-</v>
      </c>
      <c r="S40" s="96" t="str">
        <f>IFERROR(IF(Readings[[#This Row],[Reference Angle]]="-","-",(Readings[[#This Row],[Diff E]]*SIN(RADIANS(Readings[[#This Row],[Reference Angle]]))+Readings[[#This Row],[Diff N]]*COS(RADIANS(Readings[[#This Row],[Reference Angle]])))),"-")</f>
        <v>-</v>
      </c>
      <c r="T40" s="97" t="str">
        <f>IFERROR(VLOOKUP(Readings[[#This Row],[Sensor ID]],Table_Baseline[],COLUMNS(Table_Baseline[[#Headers],[Sensor ID]:[Reference Angle '[Deg']]]),FALSE),"-")</f>
        <v>-</v>
      </c>
      <c r="U40" s="98" t="str">
        <f>Readings[[#This Row],[Sensor ID]]&amp;"-"&amp;Readings[[#This Row],[Epoch]]</f>
        <v>250-ST-OP-505-45721.3958333333</v>
      </c>
      <c r="V40" s="100">
        <f ca="1">IF(Readings[[#This Row],[Epoch]]=OFFSET(Readings[[#This Row],[Epoch]],-1,0),0,1)</f>
        <v>0</v>
      </c>
    </row>
    <row r="41" spans="4:22" x14ac:dyDescent="0.2">
      <c r="D41" s="32">
        <v>45733.840277777781</v>
      </c>
      <c r="E41" s="33" t="s">
        <v>192</v>
      </c>
      <c r="F41" s="34">
        <v>60063.7503</v>
      </c>
      <c r="G41" s="34">
        <v>363837.91839999997</v>
      </c>
      <c r="H41" s="34">
        <v>18.809000000000001</v>
      </c>
      <c r="I41" s="33" t="s">
        <v>85</v>
      </c>
      <c r="J41" s="33" t="s">
        <v>90</v>
      </c>
      <c r="K41" s="33">
        <v>27.5</v>
      </c>
      <c r="L41" s="33">
        <v>1011.4</v>
      </c>
      <c r="M41" s="33">
        <v>58</v>
      </c>
      <c r="N41" s="33"/>
      <c r="O41" s="93">
        <f>IFERROR(IF(Readings[[#This Row],[Obs. X]]="","-",Readings[[#This Row],[Obs. X]]-_xlfn.XLOOKUP(Readings[[#This Row],[Sensor ID]],Table_Baseline[Sensor ID],Table_Baseline[Easting '[m']],"-")),"-")</f>
        <v>-6.9999999686842784E-4</v>
      </c>
      <c r="P41" s="93">
        <f>IFERROR(IF(Readings[[#This Row],[Obs. Y]]="","-",Readings[[#This Row],[Obs. Y]]-_xlfn.XLOOKUP(Readings[[#This Row],[Sensor ID]],Table_Baseline[Sensor ID],Table_Baseline[Northing '[m']],"-")),"-")</f>
        <v>3.9999996079131961E-4</v>
      </c>
      <c r="Q41" s="93">
        <f>IFERROR(IF(Readings[[#This Row],[Obs. Z]]="","-",Readings[[#This Row],[Obs. Z]]-_xlfn.XLOOKUP(Readings[[#This Row],[Sensor ID]],Table_Baseline[Sensor ID],Table_Baseline[Level '[m']],"-")),"-")</f>
        <v>0</v>
      </c>
      <c r="R41" s="93">
        <f>IFERROR(IF(Readings[[#This Row],[Reference Angle]]="-","-",(Readings[[#This Row],[Diff E]]*COS(RADIANS(Readings[[#This Row],[Reference Angle]]))-Readings[[#This Row],[Diff N]]*SIN(RADIANS(Readings[[#This Row],[Reference Angle]])))),"-")</f>
        <v>-6.9999999686842784E-4</v>
      </c>
      <c r="S41" s="93">
        <f>IFERROR(IF(Readings[[#This Row],[Reference Angle]]="-","-",(Readings[[#This Row],[Diff E]]*SIN(RADIANS(Readings[[#This Row],[Reference Angle]]))+Readings[[#This Row],[Diff N]]*COS(RADIANS(Readings[[#This Row],[Reference Angle]])))),"-")</f>
        <v>3.9999996079131961E-4</v>
      </c>
      <c r="T41" s="94">
        <f>IFERROR(VLOOKUP(Readings[[#This Row],[Sensor ID]],Table_Baseline[],COLUMNS(Table_Baseline[[#Headers],[Sensor ID]:[Reference Angle '[Deg']]]),FALSE),"-")</f>
        <v>0</v>
      </c>
      <c r="U41" s="95" t="str">
        <f>Readings[[#This Row],[Sensor ID]]&amp;"-"&amp;Readings[[#This Row],[Epoch]]</f>
        <v>250-RL-OP-11021-45733.8402777778</v>
      </c>
      <c r="V41" s="99">
        <f ca="1">IF(Readings[[#This Row],[Epoch]]=OFFSET(Readings[[#This Row],[Epoch]],-1,0),0,1)</f>
        <v>1</v>
      </c>
    </row>
    <row r="42" spans="4:22" x14ac:dyDescent="0.2">
      <c r="D42" s="32">
        <v>45733.840277777781</v>
      </c>
      <c r="E42" s="33" t="s">
        <v>190</v>
      </c>
      <c r="F42" s="34">
        <v>60060.962299999999</v>
      </c>
      <c r="G42" s="34">
        <v>363838.60129999998</v>
      </c>
      <c r="H42" s="34">
        <v>18.794699999999999</v>
      </c>
      <c r="I42" s="33" t="s">
        <v>85</v>
      </c>
      <c r="J42" s="33" t="s">
        <v>90</v>
      </c>
      <c r="K42" s="33">
        <v>27.5</v>
      </c>
      <c r="L42" s="33">
        <v>1011.4</v>
      </c>
      <c r="M42" s="33">
        <v>58</v>
      </c>
      <c r="N42" s="33"/>
      <c r="O42" s="93">
        <f>IFERROR(IF(Readings[[#This Row],[Obs. X]]="","-",Readings[[#This Row],[Obs. X]]-_xlfn.XLOOKUP(Readings[[#This Row],[Sensor ID]],Table_Baseline[Sensor ID],Table_Baseline[Easting '[m']],"-")),"-")</f>
        <v>-7.0000000414438546E-4</v>
      </c>
      <c r="P42" s="93">
        <f>IFERROR(IF(Readings[[#This Row],[Obs. Y]]="","-",Readings[[#This Row],[Obs. Y]]-_xlfn.XLOOKUP(Readings[[#This Row],[Sensor ID]],Table_Baseline[Sensor ID],Table_Baseline[Northing '[m']],"-")),"-")</f>
        <v>2.9999995604157448E-4</v>
      </c>
      <c r="Q42" s="93">
        <f>IFERROR(IF(Readings[[#This Row],[Obs. Z]]="","-",Readings[[#This Row],[Obs. Z]]-_xlfn.XLOOKUP(Readings[[#This Row],[Sensor ID]],Table_Baseline[Sensor ID],Table_Baseline[Level '[m']],"-")),"-")</f>
        <v>9.9999999999766942E-5</v>
      </c>
      <c r="R42" s="93">
        <f>IFERROR(IF(Readings[[#This Row],[Reference Angle]]="-","-",(Readings[[#This Row],[Diff E]]*COS(RADIANS(Readings[[#This Row],[Reference Angle]]))-Readings[[#This Row],[Diff N]]*SIN(RADIANS(Readings[[#This Row],[Reference Angle]])))),"-")</f>
        <v>-7.0000000414438546E-4</v>
      </c>
      <c r="S42" s="93">
        <f>IFERROR(IF(Readings[[#This Row],[Reference Angle]]="-","-",(Readings[[#This Row],[Diff E]]*SIN(RADIANS(Readings[[#This Row],[Reference Angle]]))+Readings[[#This Row],[Diff N]]*COS(RADIANS(Readings[[#This Row],[Reference Angle]])))),"-")</f>
        <v>2.9999995604157448E-4</v>
      </c>
      <c r="T42" s="94">
        <f>IFERROR(VLOOKUP(Readings[[#This Row],[Sensor ID]],Table_Baseline[],COLUMNS(Table_Baseline[[#Headers],[Sensor ID]:[Reference Angle '[Deg']]]),FALSE),"-")</f>
        <v>0</v>
      </c>
      <c r="U42" s="95" t="str">
        <f>Readings[[#This Row],[Sensor ID]]&amp;"-"&amp;Readings[[#This Row],[Epoch]]</f>
        <v>250-RL-OP-11019-45733.8402777778</v>
      </c>
      <c r="V42" s="99">
        <f ca="1">IF(Readings[[#This Row],[Epoch]]=OFFSET(Readings[[#This Row],[Epoch]],-1,0),0,1)</f>
        <v>0</v>
      </c>
    </row>
    <row r="43" spans="4:22" x14ac:dyDescent="0.2">
      <c r="D43" s="32">
        <v>45733.840277777781</v>
      </c>
      <c r="E43" s="33" t="s">
        <v>188</v>
      </c>
      <c r="F43" s="34">
        <v>60057.9516</v>
      </c>
      <c r="G43" s="34">
        <v>363839.3628</v>
      </c>
      <c r="H43" s="34">
        <v>18.786000000000001</v>
      </c>
      <c r="I43" s="33" t="s">
        <v>85</v>
      </c>
      <c r="J43" s="33" t="s">
        <v>90</v>
      </c>
      <c r="K43" s="33">
        <v>27.5</v>
      </c>
      <c r="L43" s="33">
        <v>1011.4</v>
      </c>
      <c r="M43" s="33">
        <v>58</v>
      </c>
      <c r="N43" s="33"/>
      <c r="O43" s="93">
        <f>IFERROR(IF(Readings[[#This Row],[Obs. X]]="","-",Readings[[#This Row],[Obs. X]]-_xlfn.XLOOKUP(Readings[[#This Row],[Sensor ID]],Table_Baseline[Sensor ID],Table_Baseline[Easting '[m']],"-")),"-")</f>
        <v>-3.9999999717110768E-4</v>
      </c>
      <c r="P43" s="93">
        <f>IFERROR(IF(Readings[[#This Row],[Obs. Y]]="","-",Readings[[#This Row],[Obs. Y]]-_xlfn.XLOOKUP(Readings[[#This Row],[Sensor ID]],Table_Baseline[Sensor ID],Table_Baseline[Northing '[m']],"-")),"-")</f>
        <v>8.0000003799796104E-4</v>
      </c>
      <c r="Q43" s="93">
        <f>IFERROR(IF(Readings[[#This Row],[Obs. Z]]="","-",Readings[[#This Row],[Obs. Z]]-_xlfn.XLOOKUP(Readings[[#This Row],[Sensor ID]],Table_Baseline[Sensor ID],Table_Baseline[Level '[m']],"-")),"-")</f>
        <v>0</v>
      </c>
      <c r="R43" s="93">
        <f>IFERROR(IF(Readings[[#This Row],[Reference Angle]]="-","-",(Readings[[#This Row],[Diff E]]*COS(RADIANS(Readings[[#This Row],[Reference Angle]]))-Readings[[#This Row],[Diff N]]*SIN(RADIANS(Readings[[#This Row],[Reference Angle]])))),"-")</f>
        <v>-3.9999999717110768E-4</v>
      </c>
      <c r="S43" s="93">
        <f>IFERROR(IF(Readings[[#This Row],[Reference Angle]]="-","-",(Readings[[#This Row],[Diff E]]*SIN(RADIANS(Readings[[#This Row],[Reference Angle]]))+Readings[[#This Row],[Diff N]]*COS(RADIANS(Readings[[#This Row],[Reference Angle]])))),"-")</f>
        <v>8.0000003799796104E-4</v>
      </c>
      <c r="T43" s="94">
        <f>IFERROR(VLOOKUP(Readings[[#This Row],[Sensor ID]],Table_Baseline[],COLUMNS(Table_Baseline[[#Headers],[Sensor ID]:[Reference Angle '[Deg']]]),FALSE),"-")</f>
        <v>0</v>
      </c>
      <c r="U43" s="95" t="str">
        <f>Readings[[#This Row],[Sensor ID]]&amp;"-"&amp;Readings[[#This Row],[Epoch]]</f>
        <v>250-RL-OP-11017-45733.8402777778</v>
      </c>
      <c r="V43" s="99">
        <f ca="1">IF(Readings[[#This Row],[Epoch]]=OFFSET(Readings[[#This Row],[Epoch]],-1,0),0,1)</f>
        <v>0</v>
      </c>
    </row>
    <row r="44" spans="4:22" x14ac:dyDescent="0.2">
      <c r="D44" s="32">
        <v>45733.840277777781</v>
      </c>
      <c r="E44" s="33" t="s">
        <v>186</v>
      </c>
      <c r="F44" s="34">
        <v>60055.195599999999</v>
      </c>
      <c r="G44" s="34">
        <v>363840.09490000003</v>
      </c>
      <c r="H44" s="34">
        <v>18.7807</v>
      </c>
      <c r="I44" s="33" t="s">
        <v>85</v>
      </c>
      <c r="J44" s="33" t="s">
        <v>90</v>
      </c>
      <c r="K44" s="33">
        <v>27.5</v>
      </c>
      <c r="L44" s="33">
        <v>1011.4</v>
      </c>
      <c r="M44" s="33">
        <v>58</v>
      </c>
      <c r="N44" s="33"/>
      <c r="O44" s="93">
        <f>IFERROR(IF(Readings[[#This Row],[Obs. X]]="","-",Readings[[#This Row],[Obs. X]]-_xlfn.XLOOKUP(Readings[[#This Row],[Sensor ID]],Table_Baseline[Sensor ID],Table_Baseline[Easting '[m']],"-")),"-")</f>
        <v>-4.0000000444706529E-4</v>
      </c>
      <c r="P44" s="93">
        <f>IFERROR(IF(Readings[[#This Row],[Obs. Y]]="","-",Readings[[#This Row],[Obs. Y]]-_xlfn.XLOOKUP(Readings[[#This Row],[Sensor ID]],Table_Baseline[Sensor ID],Table_Baseline[Northing '[m']],"-")),"-")</f>
        <v>-9.9999946542084217E-5</v>
      </c>
      <c r="Q44" s="93">
        <f>IFERROR(IF(Readings[[#This Row],[Obs. Z]]="","-",Readings[[#This Row],[Obs. Z]]-_xlfn.XLOOKUP(Readings[[#This Row],[Sensor ID]],Table_Baseline[Sensor ID],Table_Baseline[Level '[m']],"-")),"-")</f>
        <v>-1.9999999999953388E-4</v>
      </c>
      <c r="R44" s="93">
        <f>IFERROR(IF(Readings[[#This Row],[Reference Angle]]="-","-",(Readings[[#This Row],[Diff E]]*COS(RADIANS(Readings[[#This Row],[Reference Angle]]))-Readings[[#This Row],[Diff N]]*SIN(RADIANS(Readings[[#This Row],[Reference Angle]])))),"-")</f>
        <v>-4.0000000444706529E-4</v>
      </c>
      <c r="S44" s="93">
        <f>IFERROR(IF(Readings[[#This Row],[Reference Angle]]="-","-",(Readings[[#This Row],[Diff E]]*SIN(RADIANS(Readings[[#This Row],[Reference Angle]]))+Readings[[#This Row],[Diff N]]*COS(RADIANS(Readings[[#This Row],[Reference Angle]])))),"-")</f>
        <v>-9.9999946542084217E-5</v>
      </c>
      <c r="T44" s="94">
        <f>IFERROR(VLOOKUP(Readings[[#This Row],[Sensor ID]],Table_Baseline[],COLUMNS(Table_Baseline[[#Headers],[Sensor ID]:[Reference Angle '[Deg']]]),FALSE),"-")</f>
        <v>0</v>
      </c>
      <c r="U44" s="95" t="str">
        <f>Readings[[#This Row],[Sensor ID]]&amp;"-"&amp;Readings[[#This Row],[Epoch]]</f>
        <v>250-RL-OP-11015-45733.8402777778</v>
      </c>
      <c r="V44" s="99">
        <f ca="1">IF(Readings[[#This Row],[Epoch]]=OFFSET(Readings[[#This Row],[Epoch]],-1,0),0,1)</f>
        <v>0</v>
      </c>
    </row>
    <row r="45" spans="4:22" x14ac:dyDescent="0.2">
      <c r="D45" s="32">
        <v>45733.840277777781</v>
      </c>
      <c r="E45" s="33" t="s">
        <v>184</v>
      </c>
      <c r="F45" s="34">
        <v>60052.292099999999</v>
      </c>
      <c r="G45" s="34">
        <v>363840.8849</v>
      </c>
      <c r="H45" s="34">
        <v>18.7789</v>
      </c>
      <c r="I45" s="33" t="s">
        <v>85</v>
      </c>
      <c r="J45" s="33" t="s">
        <v>90</v>
      </c>
      <c r="K45" s="33">
        <v>27.5</v>
      </c>
      <c r="L45" s="33">
        <v>1011.4</v>
      </c>
      <c r="M45" s="33">
        <v>58</v>
      </c>
      <c r="N45" s="33"/>
      <c r="O45" s="93">
        <f>IFERROR(IF(Readings[[#This Row],[Obs. X]]="","-",Readings[[#This Row],[Obs. X]]-_xlfn.XLOOKUP(Readings[[#This Row],[Sensor ID]],Table_Baseline[Sensor ID],Table_Baseline[Easting '[m']],"-")),"-")</f>
        <v>-8.9999999909196049E-4</v>
      </c>
      <c r="P45" s="93">
        <f>IFERROR(IF(Readings[[#This Row],[Obs. Y]]="","-",Readings[[#This Row],[Obs. Y]]-_xlfn.XLOOKUP(Readings[[#This Row],[Sensor ID]],Table_Baseline[Sensor ID],Table_Baseline[Northing '[m']],"-")),"-")</f>
        <v>-1.0000000474974513E-4</v>
      </c>
      <c r="Q45" s="93">
        <f>IFERROR(IF(Readings[[#This Row],[Obs. Z]]="","-",Readings[[#This Row],[Obs. Z]]-_xlfn.XLOOKUP(Readings[[#This Row],[Sensor ID]],Table_Baseline[Sensor ID],Table_Baseline[Level '[m']],"-")),"-")</f>
        <v>-9.9999999999766942E-5</v>
      </c>
      <c r="R45" s="93">
        <f>IFERROR(IF(Readings[[#This Row],[Reference Angle]]="-","-",(Readings[[#This Row],[Diff E]]*COS(RADIANS(Readings[[#This Row],[Reference Angle]]))-Readings[[#This Row],[Diff N]]*SIN(RADIANS(Readings[[#This Row],[Reference Angle]])))),"-")</f>
        <v>-8.9999999909196049E-4</v>
      </c>
      <c r="S45" s="93">
        <f>IFERROR(IF(Readings[[#This Row],[Reference Angle]]="-","-",(Readings[[#This Row],[Diff E]]*SIN(RADIANS(Readings[[#This Row],[Reference Angle]]))+Readings[[#This Row],[Diff N]]*COS(RADIANS(Readings[[#This Row],[Reference Angle]])))),"-")</f>
        <v>-1.0000000474974513E-4</v>
      </c>
      <c r="T45" s="94">
        <f>IFERROR(VLOOKUP(Readings[[#This Row],[Sensor ID]],Table_Baseline[],COLUMNS(Table_Baseline[[#Headers],[Sensor ID]:[Reference Angle '[Deg']]]),FALSE),"-")</f>
        <v>0</v>
      </c>
      <c r="U45" s="95" t="str">
        <f>Readings[[#This Row],[Sensor ID]]&amp;"-"&amp;Readings[[#This Row],[Epoch]]</f>
        <v>250-RL-OP-11013-45733.8402777778</v>
      </c>
      <c r="V45" s="99">
        <f ca="1">IF(Readings[[#This Row],[Epoch]]=OFFSET(Readings[[#This Row],[Epoch]],-1,0),0,1)</f>
        <v>0</v>
      </c>
    </row>
    <row r="46" spans="4:22" x14ac:dyDescent="0.2">
      <c r="D46" s="32">
        <v>45733.840277777781</v>
      </c>
      <c r="E46" s="151" t="s">
        <v>182</v>
      </c>
      <c r="F46" s="152">
        <v>60049.398200000003</v>
      </c>
      <c r="G46" s="152">
        <v>363841.69770000002</v>
      </c>
      <c r="H46" s="152">
        <v>18.778099999999998</v>
      </c>
      <c r="I46" s="33" t="s">
        <v>85</v>
      </c>
      <c r="J46" s="33" t="s">
        <v>90</v>
      </c>
      <c r="K46" s="33">
        <v>27.5</v>
      </c>
      <c r="L46" s="33">
        <v>1011.4</v>
      </c>
      <c r="M46" s="33">
        <v>58</v>
      </c>
      <c r="N46" s="151"/>
      <c r="O46" s="96">
        <f>IFERROR(IF(Readings[[#This Row],[Obs. X]]="","-",Readings[[#This Row],[Obs. X]]-_xlfn.XLOOKUP(Readings[[#This Row],[Sensor ID]],Table_Baseline[Sensor ID],Table_Baseline[Easting '[m']],"-")),"-")</f>
        <v>-7.9999999434221536E-4</v>
      </c>
      <c r="P46" s="96">
        <f>IFERROR(IF(Readings[[#This Row],[Obs. Y]]="","-",Readings[[#This Row],[Obs. Y]]-_xlfn.XLOOKUP(Readings[[#This Row],[Sensor ID]],Table_Baseline[Sensor ID],Table_Baseline[Northing '[m']],"-")),"-")</f>
        <v>-2.9999995604157448E-4</v>
      </c>
      <c r="Q46" s="96">
        <f>IFERROR(IF(Readings[[#This Row],[Obs. Z]]="","-",Readings[[#This Row],[Obs. Z]]-_xlfn.XLOOKUP(Readings[[#This Row],[Sensor ID]],Table_Baseline[Sensor ID],Table_Baseline[Level '[m']],"-")),"-")</f>
        <v>9.9999999999766942E-5</v>
      </c>
      <c r="R46" s="96">
        <f>IFERROR(IF(Readings[[#This Row],[Reference Angle]]="-","-",(Readings[[#This Row],[Diff E]]*COS(RADIANS(Readings[[#This Row],[Reference Angle]]))-Readings[[#This Row],[Diff N]]*SIN(RADIANS(Readings[[#This Row],[Reference Angle]])))),"-")</f>
        <v>-7.9999999434221536E-4</v>
      </c>
      <c r="S46" s="96">
        <f>IFERROR(IF(Readings[[#This Row],[Reference Angle]]="-","-",(Readings[[#This Row],[Diff E]]*SIN(RADIANS(Readings[[#This Row],[Reference Angle]]))+Readings[[#This Row],[Diff N]]*COS(RADIANS(Readings[[#This Row],[Reference Angle]])))),"-")</f>
        <v>-2.9999995604157448E-4</v>
      </c>
      <c r="T46" s="97">
        <f>IFERROR(VLOOKUP(Readings[[#This Row],[Sensor ID]],Table_Baseline[],COLUMNS(Table_Baseline[[#Headers],[Sensor ID]:[Reference Angle '[Deg']]]),FALSE),"-")</f>
        <v>0</v>
      </c>
      <c r="U46" s="98" t="str">
        <f>Readings[[#This Row],[Sensor ID]]&amp;"-"&amp;Readings[[#This Row],[Epoch]]</f>
        <v>250-RL-OP-11011-45733.8402777778</v>
      </c>
      <c r="V46" s="100">
        <f ca="1">IF(Readings[[#This Row],[Epoch]]=OFFSET(Readings[[#This Row],[Epoch]],-1,0),0,1)</f>
        <v>0</v>
      </c>
    </row>
    <row r="47" spans="4:22" x14ac:dyDescent="0.2">
      <c r="D47" s="32">
        <v>45733.840277777781</v>
      </c>
      <c r="E47" s="33" t="s">
        <v>180</v>
      </c>
      <c r="F47" s="34">
        <v>60046.632899999997</v>
      </c>
      <c r="G47" s="34">
        <v>363842.48439999996</v>
      </c>
      <c r="H47" s="34">
        <v>18.777899999999999</v>
      </c>
      <c r="I47" s="33" t="s">
        <v>85</v>
      </c>
      <c r="J47" s="33" t="s">
        <v>90</v>
      </c>
      <c r="K47" s="33">
        <v>27.5</v>
      </c>
      <c r="L47" s="33">
        <v>1011.4</v>
      </c>
      <c r="M47" s="33">
        <v>58</v>
      </c>
      <c r="N47" s="33"/>
      <c r="O47" s="93">
        <f>IFERROR(IF(Readings[[#This Row],[Obs. X]]="","-",Readings[[#This Row],[Obs. X]]-_xlfn.XLOOKUP(Readings[[#This Row],[Sensor ID]],Table_Baseline[Sensor ID],Table_Baseline[Easting '[m']],"-")),"-")</f>
        <v>-1.0000000474974513E-4</v>
      </c>
      <c r="P47" s="93">
        <f>IFERROR(IF(Readings[[#This Row],[Obs. Y]]="","-",Readings[[#This Row],[Obs. Y]]-_xlfn.XLOOKUP(Readings[[#This Row],[Sensor ID]],Table_Baseline[Sensor ID],Table_Baseline[Northing '[m']],"-")),"-")</f>
        <v>-6.0000002849847078E-4</v>
      </c>
      <c r="Q47" s="93">
        <f>IFERROR(IF(Readings[[#This Row],[Obs. Z]]="","-",Readings[[#This Row],[Obs. Z]]-_xlfn.XLOOKUP(Readings[[#This Row],[Sensor ID]],Table_Baseline[Sensor ID],Table_Baseline[Level '[m']],"-")),"-")</f>
        <v>2.9999999999930083E-4</v>
      </c>
      <c r="R47" s="93">
        <f>IFERROR(IF(Readings[[#This Row],[Reference Angle]]="-","-",(Readings[[#This Row],[Diff E]]*COS(RADIANS(Readings[[#This Row],[Reference Angle]]))-Readings[[#This Row],[Diff N]]*SIN(RADIANS(Readings[[#This Row],[Reference Angle]])))),"-")</f>
        <v>-1.0000000474974513E-4</v>
      </c>
      <c r="S47" s="93">
        <f>IFERROR(IF(Readings[[#This Row],[Reference Angle]]="-","-",(Readings[[#This Row],[Diff E]]*SIN(RADIANS(Readings[[#This Row],[Reference Angle]]))+Readings[[#This Row],[Diff N]]*COS(RADIANS(Readings[[#This Row],[Reference Angle]])))),"-")</f>
        <v>-6.0000002849847078E-4</v>
      </c>
      <c r="T47" s="94">
        <f>IFERROR(VLOOKUP(Readings[[#This Row],[Sensor ID]],Table_Baseline[],COLUMNS(Table_Baseline[[#Headers],[Sensor ID]:[Reference Angle '[Deg']]]),FALSE),"-")</f>
        <v>0</v>
      </c>
      <c r="U47" s="95" t="str">
        <f>Readings[[#This Row],[Sensor ID]]&amp;"-"&amp;Readings[[#This Row],[Epoch]]</f>
        <v>250-RL-OP-11009-45733.8402777778</v>
      </c>
      <c r="V47" s="99">
        <f ca="1">IF(Readings[[#This Row],[Epoch]]=OFFSET(Readings[[#This Row],[Epoch]],-1,0),0,1)</f>
        <v>0</v>
      </c>
    </row>
    <row r="48" spans="4:22" x14ac:dyDescent="0.2">
      <c r="D48" s="32">
        <v>45733.840277777781</v>
      </c>
      <c r="E48" s="33" t="s">
        <v>178</v>
      </c>
      <c r="F48" s="34">
        <v>60043.758199999997</v>
      </c>
      <c r="G48" s="34">
        <v>363843.31420000002</v>
      </c>
      <c r="H48" s="34">
        <v>18.7744</v>
      </c>
      <c r="I48" s="33" t="s">
        <v>85</v>
      </c>
      <c r="J48" s="33" t="s">
        <v>90</v>
      </c>
      <c r="K48" s="33">
        <v>27.5</v>
      </c>
      <c r="L48" s="33">
        <v>1011.4</v>
      </c>
      <c r="M48" s="33">
        <v>58</v>
      </c>
      <c r="N48" s="33"/>
      <c r="O48" s="93">
        <f>IFERROR(IF(Readings[[#This Row],[Obs. X]]="","-",Readings[[#This Row],[Obs. X]]-_xlfn.XLOOKUP(Readings[[#This Row],[Sensor ID]],Table_Baseline[Sensor ID],Table_Baseline[Easting '[m']],"-")),"-")</f>
        <v>-8.0000000161817297E-4</v>
      </c>
      <c r="P48" s="93">
        <f>IFERROR(IF(Readings[[#This Row],[Obs. Y]]="","-",Readings[[#This Row],[Obs. Y]]-_xlfn.XLOOKUP(Readings[[#This Row],[Sensor ID]],Table_Baseline[Sensor ID],Table_Baseline[Northing '[m']],"-")),"-")</f>
        <v>2.0000000949949026E-4</v>
      </c>
      <c r="Q48" s="93">
        <f>IFERROR(IF(Readings[[#This Row],[Obs. Z]]="","-",Readings[[#This Row],[Obs. Z]]-_xlfn.XLOOKUP(Readings[[#This Row],[Sensor ID]],Table_Baseline[Sensor ID],Table_Baseline[Level '[m']],"-")),"-")</f>
        <v>2.9999999999930083E-4</v>
      </c>
      <c r="R48" s="93">
        <f>IFERROR(IF(Readings[[#This Row],[Reference Angle]]="-","-",(Readings[[#This Row],[Diff E]]*COS(RADIANS(Readings[[#This Row],[Reference Angle]]))-Readings[[#This Row],[Diff N]]*SIN(RADIANS(Readings[[#This Row],[Reference Angle]])))),"-")</f>
        <v>-8.0000000161817297E-4</v>
      </c>
      <c r="S48" s="93">
        <f>IFERROR(IF(Readings[[#This Row],[Reference Angle]]="-","-",(Readings[[#This Row],[Diff E]]*SIN(RADIANS(Readings[[#This Row],[Reference Angle]]))+Readings[[#This Row],[Diff N]]*COS(RADIANS(Readings[[#This Row],[Reference Angle]])))),"-")</f>
        <v>2.0000000949949026E-4</v>
      </c>
      <c r="T48" s="94">
        <f>IFERROR(VLOOKUP(Readings[[#This Row],[Sensor ID]],Table_Baseline[],COLUMNS(Table_Baseline[[#Headers],[Sensor ID]:[Reference Angle '[Deg']]]),FALSE),"-")</f>
        <v>0</v>
      </c>
      <c r="U48" s="95" t="str">
        <f>Readings[[#This Row],[Sensor ID]]&amp;"-"&amp;Readings[[#This Row],[Epoch]]</f>
        <v>250-RL-OP-11007-45733.8402777778</v>
      </c>
      <c r="V48" s="99">
        <f ca="1">IF(Readings[[#This Row],[Epoch]]=OFFSET(Readings[[#This Row],[Epoch]],-1,0),0,1)</f>
        <v>0</v>
      </c>
    </row>
    <row r="49" spans="4:22" x14ac:dyDescent="0.2">
      <c r="D49" s="32">
        <v>45733.840277777781</v>
      </c>
      <c r="E49" s="33" t="s">
        <v>176</v>
      </c>
      <c r="F49" s="34">
        <v>60040.968200000003</v>
      </c>
      <c r="G49" s="34">
        <v>363844.11719999998</v>
      </c>
      <c r="H49" s="34">
        <v>18.779</v>
      </c>
      <c r="I49" s="33" t="s">
        <v>85</v>
      </c>
      <c r="J49" s="33" t="s">
        <v>90</v>
      </c>
      <c r="K49" s="33">
        <v>27.5</v>
      </c>
      <c r="L49" s="33">
        <v>1011.4</v>
      </c>
      <c r="M49" s="33">
        <v>58</v>
      </c>
      <c r="N49" s="33"/>
      <c r="O49" s="93">
        <f>IFERROR(IF(Readings[[#This Row],[Obs. X]]="","-",Readings[[#This Row],[Obs. X]]-_xlfn.XLOOKUP(Readings[[#This Row],[Sensor ID]],Table_Baseline[Sensor ID],Table_Baseline[Easting '[m']],"-")),"-")</f>
        <v>-7.9999999434221536E-4</v>
      </c>
      <c r="P49" s="93">
        <f>IFERROR(IF(Readings[[#This Row],[Obs. Y]]="","-",Readings[[#This Row],[Obs. Y]]-_xlfn.XLOOKUP(Readings[[#This Row],[Sensor ID]],Table_Baseline[Sensor ID],Table_Baseline[Northing '[m']],"-")),"-")</f>
        <v>-8.0000003799796104E-4</v>
      </c>
      <c r="Q49" s="93">
        <f>IFERROR(IF(Readings[[#This Row],[Obs. Z]]="","-",Readings[[#This Row],[Obs. Z]]-_xlfn.XLOOKUP(Readings[[#This Row],[Sensor ID]],Table_Baseline[Sensor ID],Table_Baseline[Level '[m']],"-")),"-")</f>
        <v>0</v>
      </c>
      <c r="R49" s="93">
        <f>IFERROR(IF(Readings[[#This Row],[Reference Angle]]="-","-",(Readings[[#This Row],[Diff E]]*COS(RADIANS(Readings[[#This Row],[Reference Angle]]))-Readings[[#This Row],[Diff N]]*SIN(RADIANS(Readings[[#This Row],[Reference Angle]])))),"-")</f>
        <v>-7.9999999434221536E-4</v>
      </c>
      <c r="S49" s="93">
        <f>IFERROR(IF(Readings[[#This Row],[Reference Angle]]="-","-",(Readings[[#This Row],[Diff E]]*SIN(RADIANS(Readings[[#This Row],[Reference Angle]]))+Readings[[#This Row],[Diff N]]*COS(RADIANS(Readings[[#This Row],[Reference Angle]])))),"-")</f>
        <v>-8.0000003799796104E-4</v>
      </c>
      <c r="T49" s="94">
        <f>IFERROR(VLOOKUP(Readings[[#This Row],[Sensor ID]],Table_Baseline[],COLUMNS(Table_Baseline[[#Headers],[Sensor ID]:[Reference Angle '[Deg']]]),FALSE),"-")</f>
        <v>0</v>
      </c>
      <c r="U49" s="95" t="str">
        <f>Readings[[#This Row],[Sensor ID]]&amp;"-"&amp;Readings[[#This Row],[Epoch]]</f>
        <v>250-RL-OP-11005-45733.8402777778</v>
      </c>
      <c r="V49" s="99">
        <f ca="1">IF(Readings[[#This Row],[Epoch]]=OFFSET(Readings[[#This Row],[Epoch]],-1,0),0,1)</f>
        <v>0</v>
      </c>
    </row>
    <row r="50" spans="4:22" x14ac:dyDescent="0.2">
      <c r="D50" s="32">
        <v>45733.840277777781</v>
      </c>
      <c r="E50" s="33" t="s">
        <v>174</v>
      </c>
      <c r="F50" s="34">
        <v>60038.117200000001</v>
      </c>
      <c r="G50" s="34">
        <v>363844.9448</v>
      </c>
      <c r="H50" s="34">
        <v>18.778400000000001</v>
      </c>
      <c r="I50" s="33" t="s">
        <v>85</v>
      </c>
      <c r="J50" s="33" t="s">
        <v>90</v>
      </c>
      <c r="K50" s="33">
        <v>27.5</v>
      </c>
      <c r="L50" s="33">
        <v>1011.4</v>
      </c>
      <c r="M50" s="33">
        <v>58</v>
      </c>
      <c r="N50" s="33"/>
      <c r="O50" s="93">
        <f>IFERROR(IF(Readings[[#This Row],[Obs. X]]="","-",Readings[[#This Row],[Obs. X]]-_xlfn.XLOOKUP(Readings[[#This Row],[Sensor ID]],Table_Baseline[Sensor ID],Table_Baseline[Easting '[m']],"-")),"-")</f>
        <v>-8.0000000161817297E-4</v>
      </c>
      <c r="P50" s="93">
        <f>IFERROR(IF(Readings[[#This Row],[Obs. Y]]="","-",Readings[[#This Row],[Obs. Y]]-_xlfn.XLOOKUP(Readings[[#This Row],[Sensor ID]],Table_Baseline[Sensor ID],Table_Baseline[Northing '[m']],"-")),"-")</f>
        <v>-2.0000000949949026E-4</v>
      </c>
      <c r="Q50" s="93">
        <f>IFERROR(IF(Readings[[#This Row],[Obs. Z]]="","-",Readings[[#This Row],[Obs. Z]]-_xlfn.XLOOKUP(Readings[[#This Row],[Sensor ID]],Table_Baseline[Sensor ID],Table_Baseline[Level '[m']],"-")),"-")</f>
        <v>-3.9999999999906777E-4</v>
      </c>
      <c r="R50" s="93">
        <f>IFERROR(IF(Readings[[#This Row],[Reference Angle]]="-","-",(Readings[[#This Row],[Diff E]]*COS(RADIANS(Readings[[#This Row],[Reference Angle]]))-Readings[[#This Row],[Diff N]]*SIN(RADIANS(Readings[[#This Row],[Reference Angle]])))),"-")</f>
        <v>-8.0000000161817297E-4</v>
      </c>
      <c r="S50" s="93">
        <f>IFERROR(IF(Readings[[#This Row],[Reference Angle]]="-","-",(Readings[[#This Row],[Diff E]]*SIN(RADIANS(Readings[[#This Row],[Reference Angle]]))+Readings[[#This Row],[Diff N]]*COS(RADIANS(Readings[[#This Row],[Reference Angle]])))),"-")</f>
        <v>-2.0000000949949026E-4</v>
      </c>
      <c r="T50" s="94">
        <f>IFERROR(VLOOKUP(Readings[[#This Row],[Sensor ID]],Table_Baseline[],COLUMNS(Table_Baseline[[#Headers],[Sensor ID]:[Reference Angle '[Deg']]]),FALSE),"-")</f>
        <v>0</v>
      </c>
      <c r="U50" s="95" t="str">
        <f>Readings[[#This Row],[Sensor ID]]&amp;"-"&amp;Readings[[#This Row],[Epoch]]</f>
        <v>250-RL-OP-11003-45733.8402777778</v>
      </c>
      <c r="V50" s="99">
        <f ca="1">IF(Readings[[#This Row],[Epoch]]=OFFSET(Readings[[#This Row],[Epoch]],-1,0),0,1)</f>
        <v>0</v>
      </c>
    </row>
    <row r="51" spans="4:22" x14ac:dyDescent="0.2">
      <c r="D51" s="32">
        <v>45733.840277777781</v>
      </c>
      <c r="E51" s="33" t="s">
        <v>191</v>
      </c>
      <c r="F51" s="34">
        <v>60063.4205</v>
      </c>
      <c r="G51" s="34">
        <v>363836.63679999998</v>
      </c>
      <c r="H51" s="34">
        <v>18.794799999999999</v>
      </c>
      <c r="I51" s="33" t="s">
        <v>85</v>
      </c>
      <c r="J51" s="33" t="s">
        <v>90</v>
      </c>
      <c r="K51" s="33">
        <v>27.5</v>
      </c>
      <c r="L51" s="33">
        <v>1011.4</v>
      </c>
      <c r="M51" s="33">
        <v>58</v>
      </c>
      <c r="N51" s="33"/>
      <c r="O51" s="93">
        <f>IFERROR(IF(Readings[[#This Row],[Obs. X]]="","-",Readings[[#This Row],[Obs. X]]-_xlfn.XLOOKUP(Readings[[#This Row],[Sensor ID]],Table_Baseline[Sensor ID],Table_Baseline[Easting '[m']],"-")),"-")</f>
        <v>-1.4999999984866008E-3</v>
      </c>
      <c r="P51" s="93">
        <f>IFERROR(IF(Readings[[#This Row],[Obs. Y]]="","-",Readings[[#This Row],[Obs. Y]]-_xlfn.XLOOKUP(Readings[[#This Row],[Sensor ID]],Table_Baseline[Sensor ID],Table_Baseline[Northing '[m']],"-")),"-")</f>
        <v>7.9999997979030013E-4</v>
      </c>
      <c r="Q51" s="93">
        <f>IFERROR(IF(Readings[[#This Row],[Obs. Z]]="","-",Readings[[#This Row],[Obs. Z]]-_xlfn.XLOOKUP(Readings[[#This Row],[Sensor ID]],Table_Baseline[Sensor ID],Table_Baseline[Level '[m']],"-")),"-")</f>
        <v>-9.9999999999766942E-5</v>
      </c>
      <c r="R51" s="93">
        <f>IFERROR(IF(Readings[[#This Row],[Reference Angle]]="-","-",(Readings[[#This Row],[Diff E]]*COS(RADIANS(Readings[[#This Row],[Reference Angle]]))-Readings[[#This Row],[Diff N]]*SIN(RADIANS(Readings[[#This Row],[Reference Angle]])))),"-")</f>
        <v>-1.4999999984866008E-3</v>
      </c>
      <c r="S51" s="93">
        <f>IFERROR(IF(Readings[[#This Row],[Reference Angle]]="-","-",(Readings[[#This Row],[Diff E]]*SIN(RADIANS(Readings[[#This Row],[Reference Angle]]))+Readings[[#This Row],[Diff N]]*COS(RADIANS(Readings[[#This Row],[Reference Angle]])))),"-")</f>
        <v>7.9999997979030013E-4</v>
      </c>
      <c r="T51" s="94">
        <f>IFERROR(VLOOKUP(Readings[[#This Row],[Sensor ID]],Table_Baseline[],COLUMNS(Table_Baseline[[#Headers],[Sensor ID]:[Reference Angle '[Deg']]]),FALSE),"-")</f>
        <v>0</v>
      </c>
      <c r="U51" s="95" t="str">
        <f>Readings[[#This Row],[Sensor ID]]&amp;"-"&amp;Readings[[#This Row],[Epoch]]</f>
        <v>250-RL-OP-11022-45733.8402777778</v>
      </c>
      <c r="V51" s="99">
        <f ca="1">IF(Readings[[#This Row],[Epoch]]=OFFSET(Readings[[#This Row],[Epoch]],-1,0),0,1)</f>
        <v>0</v>
      </c>
    </row>
    <row r="52" spans="4:22" x14ac:dyDescent="0.2">
      <c r="D52" s="32">
        <v>45733.840277777781</v>
      </c>
      <c r="E52" s="33" t="s">
        <v>189</v>
      </c>
      <c r="F52" s="34">
        <v>60060.6394</v>
      </c>
      <c r="G52" s="34">
        <v>363837.32279999997</v>
      </c>
      <c r="H52" s="34">
        <v>18.783799999999999</v>
      </c>
      <c r="I52" s="33" t="s">
        <v>85</v>
      </c>
      <c r="J52" s="33" t="s">
        <v>90</v>
      </c>
      <c r="K52" s="33">
        <v>27.5</v>
      </c>
      <c r="L52" s="33">
        <v>1011.4</v>
      </c>
      <c r="M52" s="33">
        <v>58</v>
      </c>
      <c r="N52" s="33"/>
      <c r="O52" s="93">
        <f>IFERROR(IF(Readings[[#This Row],[Obs. X]]="","-",Readings[[#This Row],[Obs. X]]-_xlfn.XLOOKUP(Readings[[#This Row],[Sensor ID]],Table_Baseline[Sensor ID],Table_Baseline[Easting '[m']],"-")),"-")</f>
        <v>-5.9999999939464033E-4</v>
      </c>
      <c r="P52" s="93">
        <f>IFERROR(IF(Readings[[#This Row],[Obs. Y]]="","-",Readings[[#This Row],[Obs. Y]]-_xlfn.XLOOKUP(Readings[[#This Row],[Sensor ID]],Table_Baseline[Sensor ID],Table_Baseline[Northing '[m']],"-")),"-")</f>
        <v>7.9999997979030013E-4</v>
      </c>
      <c r="Q52" s="93">
        <f>IFERROR(IF(Readings[[#This Row],[Obs. Z]]="","-",Readings[[#This Row],[Obs. Z]]-_xlfn.XLOOKUP(Readings[[#This Row],[Sensor ID]],Table_Baseline[Sensor ID],Table_Baseline[Level '[m']],"-")),"-")</f>
        <v>1.9999999999953388E-4</v>
      </c>
      <c r="R52" s="93">
        <f>IFERROR(IF(Readings[[#This Row],[Reference Angle]]="-","-",(Readings[[#This Row],[Diff E]]*COS(RADIANS(Readings[[#This Row],[Reference Angle]]))-Readings[[#This Row],[Diff N]]*SIN(RADIANS(Readings[[#This Row],[Reference Angle]])))),"-")</f>
        <v>-5.9999999939464033E-4</v>
      </c>
      <c r="S52" s="93">
        <f>IFERROR(IF(Readings[[#This Row],[Reference Angle]]="-","-",(Readings[[#This Row],[Diff E]]*SIN(RADIANS(Readings[[#This Row],[Reference Angle]]))+Readings[[#This Row],[Diff N]]*COS(RADIANS(Readings[[#This Row],[Reference Angle]])))),"-")</f>
        <v>7.9999997979030013E-4</v>
      </c>
      <c r="T52" s="94">
        <f>IFERROR(VLOOKUP(Readings[[#This Row],[Sensor ID]],Table_Baseline[],COLUMNS(Table_Baseline[[#Headers],[Sensor ID]:[Reference Angle '[Deg']]]),FALSE),"-")</f>
        <v>0</v>
      </c>
      <c r="U52" s="95" t="str">
        <f>Readings[[#This Row],[Sensor ID]]&amp;"-"&amp;Readings[[#This Row],[Epoch]]</f>
        <v>250-RL-OP-11020-45733.8402777778</v>
      </c>
      <c r="V52" s="99">
        <f ca="1">IF(Readings[[#This Row],[Epoch]]=OFFSET(Readings[[#This Row],[Epoch]],-1,0),0,1)</f>
        <v>0</v>
      </c>
    </row>
    <row r="53" spans="4:22" x14ac:dyDescent="0.2">
      <c r="D53" s="32">
        <v>45733.840277777781</v>
      </c>
      <c r="E53" s="33" t="s">
        <v>187</v>
      </c>
      <c r="F53" s="34">
        <v>60057.578099999999</v>
      </c>
      <c r="G53" s="34">
        <v>363838.09820000001</v>
      </c>
      <c r="H53" s="34">
        <v>18.7761</v>
      </c>
      <c r="I53" s="33" t="s">
        <v>85</v>
      </c>
      <c r="J53" s="33" t="s">
        <v>90</v>
      </c>
      <c r="K53" s="33">
        <v>27.5</v>
      </c>
      <c r="L53" s="33">
        <v>1011.4</v>
      </c>
      <c r="M53" s="33">
        <v>58</v>
      </c>
      <c r="N53" s="33"/>
      <c r="O53" s="93">
        <f>IFERROR(IF(Readings[[#This Row],[Obs. X]]="","-",Readings[[#This Row],[Obs. X]]-_xlfn.XLOOKUP(Readings[[#This Row],[Sensor ID]],Table_Baseline[Sensor ID],Table_Baseline[Easting '[m']],"-")),"-")</f>
        <v>-8.9999999909196049E-4</v>
      </c>
      <c r="P53" s="93">
        <f>IFERROR(IF(Readings[[#This Row],[Obs. Y]]="","-",Readings[[#This Row],[Obs. Y]]-_xlfn.XLOOKUP(Readings[[#This Row],[Sensor ID]],Table_Baseline[Sensor ID],Table_Baseline[Northing '[m']],"-")),"-")</f>
        <v>2.0000000949949026E-4</v>
      </c>
      <c r="Q53" s="93">
        <f>IFERROR(IF(Readings[[#This Row],[Obs. Z]]="","-",Readings[[#This Row],[Obs. Z]]-_xlfn.XLOOKUP(Readings[[#This Row],[Sensor ID]],Table_Baseline[Sensor ID],Table_Baseline[Level '[m']],"-")),"-")</f>
        <v>9.9999999999766942E-5</v>
      </c>
      <c r="R53" s="93">
        <f>IFERROR(IF(Readings[[#This Row],[Reference Angle]]="-","-",(Readings[[#This Row],[Diff E]]*COS(RADIANS(Readings[[#This Row],[Reference Angle]]))-Readings[[#This Row],[Diff N]]*SIN(RADIANS(Readings[[#This Row],[Reference Angle]])))),"-")</f>
        <v>-8.9999999909196049E-4</v>
      </c>
      <c r="S53" s="93">
        <f>IFERROR(IF(Readings[[#This Row],[Reference Angle]]="-","-",(Readings[[#This Row],[Diff E]]*SIN(RADIANS(Readings[[#This Row],[Reference Angle]]))+Readings[[#This Row],[Diff N]]*COS(RADIANS(Readings[[#This Row],[Reference Angle]])))),"-")</f>
        <v>2.0000000949949026E-4</v>
      </c>
      <c r="T53" s="94">
        <f>IFERROR(VLOOKUP(Readings[[#This Row],[Sensor ID]],Table_Baseline[],COLUMNS(Table_Baseline[[#Headers],[Sensor ID]:[Reference Angle '[Deg']]]),FALSE),"-")</f>
        <v>0</v>
      </c>
      <c r="U53" s="95" t="str">
        <f>Readings[[#This Row],[Sensor ID]]&amp;"-"&amp;Readings[[#This Row],[Epoch]]</f>
        <v>250-RL-OP-11018-45733.8402777778</v>
      </c>
      <c r="V53" s="99">
        <f ca="1">IF(Readings[[#This Row],[Epoch]]=OFFSET(Readings[[#This Row],[Epoch]],-1,0),0,1)</f>
        <v>0</v>
      </c>
    </row>
    <row r="54" spans="4:22" x14ac:dyDescent="0.2">
      <c r="D54" s="32">
        <v>45733.840277777781</v>
      </c>
      <c r="E54" s="33" t="s">
        <v>185</v>
      </c>
      <c r="F54" s="34">
        <v>60054.884899999997</v>
      </c>
      <c r="G54" s="34">
        <v>363838.80480000004</v>
      </c>
      <c r="H54" s="34">
        <v>18.773299999999999</v>
      </c>
      <c r="I54" s="33" t="s">
        <v>85</v>
      </c>
      <c r="J54" s="33" t="s">
        <v>90</v>
      </c>
      <c r="K54" s="33">
        <v>27.5</v>
      </c>
      <c r="L54" s="33">
        <v>1011.4</v>
      </c>
      <c r="M54" s="33">
        <v>58</v>
      </c>
      <c r="N54" s="33"/>
      <c r="O54" s="93">
        <f>IFERROR(IF(Readings[[#This Row],[Obs. X]]="","-",Readings[[#This Row],[Obs. X]]-_xlfn.XLOOKUP(Readings[[#This Row],[Sensor ID]],Table_Baseline[Sensor ID],Table_Baseline[Easting '[m']],"-")),"-")</f>
        <v>-1.1000000013154931E-3</v>
      </c>
      <c r="P54" s="93">
        <f>IFERROR(IF(Readings[[#This Row],[Obs. Y]]="","-",Readings[[#This Row],[Obs. Y]]-_xlfn.XLOOKUP(Readings[[#This Row],[Sensor ID]],Table_Baseline[Sensor ID],Table_Baseline[Northing '[m']],"-")),"-")</f>
        <v>-1.9999995129182935E-4</v>
      </c>
      <c r="Q54" s="93">
        <f>IFERROR(IF(Readings[[#This Row],[Obs. Z]]="","-",Readings[[#This Row],[Obs. Z]]-_xlfn.XLOOKUP(Readings[[#This Row],[Sensor ID]],Table_Baseline[Sensor ID],Table_Baseline[Level '[m']],"-")),"-")</f>
        <v>1.9999999999953388E-4</v>
      </c>
      <c r="R54" s="93">
        <f>IFERROR(IF(Readings[[#This Row],[Reference Angle]]="-","-",(Readings[[#This Row],[Diff E]]*COS(RADIANS(Readings[[#This Row],[Reference Angle]]))-Readings[[#This Row],[Diff N]]*SIN(RADIANS(Readings[[#This Row],[Reference Angle]])))),"-")</f>
        <v>-1.1000000013154931E-3</v>
      </c>
      <c r="S54" s="93">
        <f>IFERROR(IF(Readings[[#This Row],[Reference Angle]]="-","-",(Readings[[#This Row],[Diff E]]*SIN(RADIANS(Readings[[#This Row],[Reference Angle]]))+Readings[[#This Row],[Diff N]]*COS(RADIANS(Readings[[#This Row],[Reference Angle]])))),"-")</f>
        <v>-1.9999995129182935E-4</v>
      </c>
      <c r="T54" s="94">
        <f>IFERROR(VLOOKUP(Readings[[#This Row],[Sensor ID]],Table_Baseline[],COLUMNS(Table_Baseline[[#Headers],[Sensor ID]:[Reference Angle '[Deg']]]),FALSE),"-")</f>
        <v>0</v>
      </c>
      <c r="U54" s="95" t="str">
        <f>Readings[[#This Row],[Sensor ID]]&amp;"-"&amp;Readings[[#This Row],[Epoch]]</f>
        <v>250-RL-OP-11016-45733.8402777778</v>
      </c>
      <c r="V54" s="99">
        <f ca="1">IF(Readings[[#This Row],[Epoch]]=OFFSET(Readings[[#This Row],[Epoch]],-1,0),0,1)</f>
        <v>0</v>
      </c>
    </row>
    <row r="55" spans="4:22" x14ac:dyDescent="0.2">
      <c r="D55" s="32">
        <v>45733.840277777781</v>
      </c>
      <c r="E55" s="33" t="s">
        <v>183</v>
      </c>
      <c r="F55" s="34">
        <v>60051.988599999997</v>
      </c>
      <c r="G55" s="34">
        <v>363839.60279999999</v>
      </c>
      <c r="H55" s="34">
        <v>18.770199999999999</v>
      </c>
      <c r="I55" s="33" t="s">
        <v>85</v>
      </c>
      <c r="J55" s="33" t="s">
        <v>90</v>
      </c>
      <c r="K55" s="33">
        <v>27.5</v>
      </c>
      <c r="L55" s="33">
        <v>1011.4</v>
      </c>
      <c r="M55" s="33">
        <v>58</v>
      </c>
      <c r="N55" s="33"/>
      <c r="O55" s="93">
        <f>IFERROR(IF(Readings[[#This Row],[Obs. X]]="","-",Readings[[#This Row],[Obs. X]]-_xlfn.XLOOKUP(Readings[[#This Row],[Sensor ID]],Table_Baseline[Sensor ID],Table_Baseline[Easting '[m']],"-")),"-")</f>
        <v>-4.0000000444706529E-4</v>
      </c>
      <c r="P55" s="93">
        <f>IFERROR(IF(Readings[[#This Row],[Obs. Y]]="","-",Readings[[#This Row],[Obs. Y]]-_xlfn.XLOOKUP(Readings[[#This Row],[Sensor ID]],Table_Baseline[Sensor ID],Table_Baseline[Northing '[m']],"-")),"-")</f>
        <v>-2.0000000949949026E-4</v>
      </c>
      <c r="Q55" s="93">
        <f>IFERROR(IF(Readings[[#This Row],[Obs. Z]]="","-",Readings[[#This Row],[Obs. Z]]-_xlfn.XLOOKUP(Readings[[#This Row],[Sensor ID]],Table_Baseline[Sensor ID],Table_Baseline[Level '[m']],"-")),"-")</f>
        <v>9.9999999999766942E-5</v>
      </c>
      <c r="R55" s="93">
        <f>IFERROR(IF(Readings[[#This Row],[Reference Angle]]="-","-",(Readings[[#This Row],[Diff E]]*COS(RADIANS(Readings[[#This Row],[Reference Angle]]))-Readings[[#This Row],[Diff N]]*SIN(RADIANS(Readings[[#This Row],[Reference Angle]])))),"-")</f>
        <v>-4.0000000444706529E-4</v>
      </c>
      <c r="S55" s="93">
        <f>IFERROR(IF(Readings[[#This Row],[Reference Angle]]="-","-",(Readings[[#This Row],[Diff E]]*SIN(RADIANS(Readings[[#This Row],[Reference Angle]]))+Readings[[#This Row],[Diff N]]*COS(RADIANS(Readings[[#This Row],[Reference Angle]])))),"-")</f>
        <v>-2.0000000949949026E-4</v>
      </c>
      <c r="T55" s="94">
        <f>IFERROR(VLOOKUP(Readings[[#This Row],[Sensor ID]],Table_Baseline[],COLUMNS(Table_Baseline[[#Headers],[Sensor ID]:[Reference Angle '[Deg']]]),FALSE),"-")</f>
        <v>0</v>
      </c>
      <c r="U55" s="95" t="str">
        <f>Readings[[#This Row],[Sensor ID]]&amp;"-"&amp;Readings[[#This Row],[Epoch]]</f>
        <v>250-RL-OP-11014-45733.8402777778</v>
      </c>
      <c r="V55" s="99">
        <f ca="1">IF(Readings[[#This Row],[Epoch]]=OFFSET(Readings[[#This Row],[Epoch]],-1,0),0,1)</f>
        <v>0</v>
      </c>
    </row>
    <row r="56" spans="4:22" x14ac:dyDescent="0.2">
      <c r="D56" s="32">
        <v>45733.840277777781</v>
      </c>
      <c r="E56" s="33" t="s">
        <v>181</v>
      </c>
      <c r="F56" s="34">
        <v>60049.040300000001</v>
      </c>
      <c r="G56" s="34">
        <v>363840.43319999997</v>
      </c>
      <c r="H56" s="34">
        <v>18.7712</v>
      </c>
      <c r="I56" s="33" t="s">
        <v>85</v>
      </c>
      <c r="J56" s="33" t="s">
        <v>90</v>
      </c>
      <c r="K56" s="33">
        <v>27.5</v>
      </c>
      <c r="L56" s="33">
        <v>1011.4</v>
      </c>
      <c r="M56" s="33">
        <v>58</v>
      </c>
      <c r="N56" s="33"/>
      <c r="O56" s="93">
        <f>IFERROR(IF(Readings[[#This Row],[Obs. X]]="","-",Readings[[#This Row],[Obs. X]]-_xlfn.XLOOKUP(Readings[[#This Row],[Sensor ID]],Table_Baseline[Sensor ID],Table_Baseline[Easting '[m']],"-")),"-")</f>
        <v>-6.9999999686842784E-4</v>
      </c>
      <c r="P56" s="93">
        <f>IFERROR(IF(Readings[[#This Row],[Obs. Y]]="","-",Readings[[#This Row],[Obs. Y]]-_xlfn.XLOOKUP(Readings[[#This Row],[Sensor ID]],Table_Baseline[Sensor ID],Table_Baseline[Northing '[m']],"-")),"-")</f>
        <v>2.0000000949949026E-4</v>
      </c>
      <c r="Q56" s="93">
        <f>IFERROR(IF(Readings[[#This Row],[Obs. Z]]="","-",Readings[[#This Row],[Obs. Z]]-_xlfn.XLOOKUP(Readings[[#This Row],[Sensor ID]],Table_Baseline[Sensor ID],Table_Baseline[Level '[m']],"-")),"-")</f>
        <v>9.9999999999766942E-5</v>
      </c>
      <c r="R56" s="93">
        <f>IFERROR(IF(Readings[[#This Row],[Reference Angle]]="-","-",(Readings[[#This Row],[Diff E]]*COS(RADIANS(Readings[[#This Row],[Reference Angle]]))-Readings[[#This Row],[Diff N]]*SIN(RADIANS(Readings[[#This Row],[Reference Angle]])))),"-")</f>
        <v>-6.9999999686842784E-4</v>
      </c>
      <c r="S56" s="93">
        <f>IFERROR(IF(Readings[[#This Row],[Reference Angle]]="-","-",(Readings[[#This Row],[Diff E]]*SIN(RADIANS(Readings[[#This Row],[Reference Angle]]))+Readings[[#This Row],[Diff N]]*COS(RADIANS(Readings[[#This Row],[Reference Angle]])))),"-")</f>
        <v>2.0000000949949026E-4</v>
      </c>
      <c r="T56" s="94">
        <f>IFERROR(VLOOKUP(Readings[[#This Row],[Sensor ID]],Table_Baseline[],COLUMNS(Table_Baseline[[#Headers],[Sensor ID]:[Reference Angle '[Deg']]]),FALSE),"-")</f>
        <v>0</v>
      </c>
      <c r="U56" s="95" t="str">
        <f>Readings[[#This Row],[Sensor ID]]&amp;"-"&amp;Readings[[#This Row],[Epoch]]</f>
        <v>250-RL-OP-11012-45733.8402777778</v>
      </c>
      <c r="V56" s="99">
        <f ca="1">IF(Readings[[#This Row],[Epoch]]=OFFSET(Readings[[#This Row],[Epoch]],-1,0),0,1)</f>
        <v>0</v>
      </c>
    </row>
    <row r="57" spans="4:22" x14ac:dyDescent="0.2">
      <c r="D57" s="32">
        <v>45733.840277777781</v>
      </c>
      <c r="E57" s="33" t="s">
        <v>179</v>
      </c>
      <c r="F57" s="34">
        <v>60046.249300000003</v>
      </c>
      <c r="G57" s="34">
        <v>363841.22499999998</v>
      </c>
      <c r="H57" s="34">
        <v>18.770399999999999</v>
      </c>
      <c r="I57" s="33" t="s">
        <v>85</v>
      </c>
      <c r="J57" s="33" t="s">
        <v>90</v>
      </c>
      <c r="K57" s="33">
        <v>27.5</v>
      </c>
      <c r="L57" s="33">
        <v>1011.4</v>
      </c>
      <c r="M57" s="33">
        <v>58</v>
      </c>
      <c r="N57" s="33"/>
      <c r="O57" s="93">
        <f>IFERROR(IF(Readings[[#This Row],[Obs. X]]="","-",Readings[[#This Row],[Obs. X]]-_xlfn.XLOOKUP(Readings[[#This Row],[Sensor ID]],Table_Baseline[Sensor ID],Table_Baseline[Easting '[m']],"-")),"-")</f>
        <v>-6.9999999686842784E-4</v>
      </c>
      <c r="P57" s="93">
        <f>IFERROR(IF(Readings[[#This Row],[Obs. Y]]="","-",Readings[[#This Row],[Obs. Y]]-_xlfn.XLOOKUP(Readings[[#This Row],[Sensor ID]],Table_Baseline[Sensor ID],Table_Baseline[Northing '[m']],"-")),"-")</f>
        <v>-1.0000000474974513E-3</v>
      </c>
      <c r="Q57" s="93">
        <f>IFERROR(IF(Readings[[#This Row],[Obs. Z]]="","-",Readings[[#This Row],[Obs. Z]]-_xlfn.XLOOKUP(Readings[[#This Row],[Sensor ID]],Table_Baseline[Sensor ID],Table_Baseline[Level '[m']],"-")),"-")</f>
        <v>5.9999999999860165E-4</v>
      </c>
      <c r="R57" s="93">
        <f>IFERROR(IF(Readings[[#This Row],[Reference Angle]]="-","-",(Readings[[#This Row],[Diff E]]*COS(RADIANS(Readings[[#This Row],[Reference Angle]]))-Readings[[#This Row],[Diff N]]*SIN(RADIANS(Readings[[#This Row],[Reference Angle]])))),"-")</f>
        <v>-6.9999999686842784E-4</v>
      </c>
      <c r="S57" s="93">
        <f>IFERROR(IF(Readings[[#This Row],[Reference Angle]]="-","-",(Readings[[#This Row],[Diff E]]*SIN(RADIANS(Readings[[#This Row],[Reference Angle]]))+Readings[[#This Row],[Diff N]]*COS(RADIANS(Readings[[#This Row],[Reference Angle]])))),"-")</f>
        <v>-1.0000000474974513E-3</v>
      </c>
      <c r="T57" s="94">
        <f>IFERROR(VLOOKUP(Readings[[#This Row],[Sensor ID]],Table_Baseline[],COLUMNS(Table_Baseline[[#Headers],[Sensor ID]:[Reference Angle '[Deg']]]),FALSE),"-")</f>
        <v>0</v>
      </c>
      <c r="U57" s="95" t="str">
        <f>Readings[[#This Row],[Sensor ID]]&amp;"-"&amp;Readings[[#This Row],[Epoch]]</f>
        <v>250-RL-OP-11010-45733.8402777778</v>
      </c>
      <c r="V57" s="99">
        <f ca="1">IF(Readings[[#This Row],[Epoch]]=OFFSET(Readings[[#This Row],[Epoch]],-1,0),0,1)</f>
        <v>0</v>
      </c>
    </row>
    <row r="58" spans="4:22" x14ac:dyDescent="0.2">
      <c r="D58" s="32">
        <v>45733.840277777781</v>
      </c>
      <c r="E58" s="33" t="s">
        <v>177</v>
      </c>
      <c r="F58" s="34">
        <v>60043.440900000001</v>
      </c>
      <c r="G58" s="34">
        <v>363842.03969999996</v>
      </c>
      <c r="H58" s="34">
        <v>18.768999999999998</v>
      </c>
      <c r="I58" s="33" t="s">
        <v>85</v>
      </c>
      <c r="J58" s="33" t="s">
        <v>90</v>
      </c>
      <c r="K58" s="33">
        <v>27.5</v>
      </c>
      <c r="L58" s="33">
        <v>1011.4</v>
      </c>
      <c r="M58" s="33">
        <v>58</v>
      </c>
      <c r="N58" s="33"/>
      <c r="O58" s="93">
        <f>IFERROR(IF(Readings[[#This Row],[Obs. X]]="","-",Readings[[#This Row],[Obs. X]]-_xlfn.XLOOKUP(Readings[[#This Row],[Sensor ID]],Table_Baseline[Sensor ID],Table_Baseline[Easting '[m']],"-")),"-")</f>
        <v>-9.9999997473787516E-5</v>
      </c>
      <c r="P58" s="93">
        <f>IFERROR(IF(Readings[[#This Row],[Obs. Y]]="","-",Readings[[#This Row],[Obs. Y]]-_xlfn.XLOOKUP(Readings[[#This Row],[Sensor ID]],Table_Baseline[Sensor ID],Table_Baseline[Northing '[m']],"-")),"-")</f>
        <v>-3.0000007245689631E-4</v>
      </c>
      <c r="Q58" s="93">
        <f>IFERROR(IF(Readings[[#This Row],[Obs. Z]]="","-",Readings[[#This Row],[Obs. Z]]-_xlfn.XLOOKUP(Readings[[#This Row],[Sensor ID]],Table_Baseline[Sensor ID],Table_Baseline[Level '[m']],"-")),"-")</f>
        <v>6.9999999999836859E-4</v>
      </c>
      <c r="R58" s="93">
        <f>IFERROR(IF(Readings[[#This Row],[Reference Angle]]="-","-",(Readings[[#This Row],[Diff E]]*COS(RADIANS(Readings[[#This Row],[Reference Angle]]))-Readings[[#This Row],[Diff N]]*SIN(RADIANS(Readings[[#This Row],[Reference Angle]])))),"-")</f>
        <v>-9.9999997473787516E-5</v>
      </c>
      <c r="S58" s="93">
        <f>IFERROR(IF(Readings[[#This Row],[Reference Angle]]="-","-",(Readings[[#This Row],[Diff E]]*SIN(RADIANS(Readings[[#This Row],[Reference Angle]]))+Readings[[#This Row],[Diff N]]*COS(RADIANS(Readings[[#This Row],[Reference Angle]])))),"-")</f>
        <v>-3.0000007245689631E-4</v>
      </c>
      <c r="T58" s="94">
        <f>IFERROR(VLOOKUP(Readings[[#This Row],[Sensor ID]],Table_Baseline[],COLUMNS(Table_Baseline[[#Headers],[Sensor ID]:[Reference Angle '[Deg']]]),FALSE),"-")</f>
        <v>0</v>
      </c>
      <c r="U58" s="95" t="str">
        <f>Readings[[#This Row],[Sensor ID]]&amp;"-"&amp;Readings[[#This Row],[Epoch]]</f>
        <v>250-RL-OP-11008-45733.8402777778</v>
      </c>
      <c r="V58" s="99">
        <f ca="1">IF(Readings[[#This Row],[Epoch]]=OFFSET(Readings[[#This Row],[Epoch]],-1,0),0,1)</f>
        <v>0</v>
      </c>
    </row>
    <row r="59" spans="4:22" x14ac:dyDescent="0.2">
      <c r="D59" s="32">
        <v>45733.840277777781</v>
      </c>
      <c r="E59" s="33" t="s">
        <v>175</v>
      </c>
      <c r="F59" s="34">
        <v>60040.606399999997</v>
      </c>
      <c r="G59" s="34">
        <v>363842.8602</v>
      </c>
      <c r="H59" s="34">
        <v>18.771999999999998</v>
      </c>
      <c r="I59" s="33" t="s">
        <v>85</v>
      </c>
      <c r="J59" s="33" t="s">
        <v>90</v>
      </c>
      <c r="K59" s="33">
        <v>27.5</v>
      </c>
      <c r="L59" s="33">
        <v>1011.4</v>
      </c>
      <c r="M59" s="33">
        <v>58</v>
      </c>
      <c r="N59" s="33"/>
      <c r="O59" s="93">
        <f>IFERROR(IF(Readings[[#This Row],[Obs. X]]="","-",Readings[[#This Row],[Obs. X]]-_xlfn.XLOOKUP(Readings[[#This Row],[Sensor ID]],Table_Baseline[Sensor ID],Table_Baseline[Easting '[m']],"-")),"-")</f>
        <v>-6.0000000667059794E-4</v>
      </c>
      <c r="P59" s="93">
        <f>IFERROR(IF(Readings[[#This Row],[Obs. Y]]="","-",Readings[[#This Row],[Obs. Y]]-_xlfn.XLOOKUP(Readings[[#This Row],[Sensor ID]],Table_Baseline[Sensor ID],Table_Baseline[Northing '[m']],"-")),"-")</f>
        <v>-8.0000003799796104E-4</v>
      </c>
      <c r="Q59" s="93">
        <f>IFERROR(IF(Readings[[#This Row],[Obs. Z]]="","-",Readings[[#This Row],[Obs. Z]]-_xlfn.XLOOKUP(Readings[[#This Row],[Sensor ID]],Table_Baseline[Sensor ID],Table_Baseline[Level '[m']],"-")),"-")</f>
        <v>0</v>
      </c>
      <c r="R59" s="93">
        <f>IFERROR(IF(Readings[[#This Row],[Reference Angle]]="-","-",(Readings[[#This Row],[Diff E]]*COS(RADIANS(Readings[[#This Row],[Reference Angle]]))-Readings[[#This Row],[Diff N]]*SIN(RADIANS(Readings[[#This Row],[Reference Angle]])))),"-")</f>
        <v>-6.0000000667059794E-4</v>
      </c>
      <c r="S59" s="93">
        <f>IFERROR(IF(Readings[[#This Row],[Reference Angle]]="-","-",(Readings[[#This Row],[Diff E]]*SIN(RADIANS(Readings[[#This Row],[Reference Angle]]))+Readings[[#This Row],[Diff N]]*COS(RADIANS(Readings[[#This Row],[Reference Angle]])))),"-")</f>
        <v>-8.0000003799796104E-4</v>
      </c>
      <c r="T59" s="94">
        <f>IFERROR(VLOOKUP(Readings[[#This Row],[Sensor ID]],Table_Baseline[],COLUMNS(Table_Baseline[[#Headers],[Sensor ID]:[Reference Angle '[Deg']]]),FALSE),"-")</f>
        <v>0</v>
      </c>
      <c r="U59" s="95" t="str">
        <f>Readings[[#This Row],[Sensor ID]]&amp;"-"&amp;Readings[[#This Row],[Epoch]]</f>
        <v>250-RL-OP-11006-45733.8402777778</v>
      </c>
      <c r="V59" s="99">
        <f ca="1">IF(Readings[[#This Row],[Epoch]]=OFFSET(Readings[[#This Row],[Epoch]],-1,0),0,1)</f>
        <v>0</v>
      </c>
    </row>
    <row r="60" spans="4:22" x14ac:dyDescent="0.2">
      <c r="D60" s="32">
        <v>45733.840277777781</v>
      </c>
      <c r="E60" s="33" t="s">
        <v>173</v>
      </c>
      <c r="F60" s="34">
        <v>60037.804300000003</v>
      </c>
      <c r="G60" s="34">
        <v>363843.65639999998</v>
      </c>
      <c r="H60" s="34">
        <v>18.778500000000001</v>
      </c>
      <c r="I60" s="33" t="s">
        <v>85</v>
      </c>
      <c r="J60" s="33" t="s">
        <v>90</v>
      </c>
      <c r="K60" s="33">
        <v>27.5</v>
      </c>
      <c r="L60" s="33">
        <v>1011.4</v>
      </c>
      <c r="M60" s="33">
        <v>58</v>
      </c>
      <c r="N60" s="33"/>
      <c r="O60" s="93">
        <f>IFERROR(IF(Readings[[#This Row],[Obs. X]]="","-",Readings[[#This Row],[Obs. X]]-_xlfn.XLOOKUP(Readings[[#This Row],[Sensor ID]],Table_Baseline[Sensor ID],Table_Baseline[Easting '[m']],"-")),"-")</f>
        <v>-6.9999999686842784E-4</v>
      </c>
      <c r="P60" s="93">
        <f>IFERROR(IF(Readings[[#This Row],[Obs. Y]]="","-",Readings[[#This Row],[Obs. Y]]-_xlfn.XLOOKUP(Readings[[#This Row],[Sensor ID]],Table_Baseline[Sensor ID],Table_Baseline[Northing '[m']],"-")),"-")</f>
        <v>-6.0000002849847078E-4</v>
      </c>
      <c r="Q60" s="93">
        <f>IFERROR(IF(Readings[[#This Row],[Obs. Z]]="","-",Readings[[#This Row],[Obs. Z]]-_xlfn.XLOOKUP(Readings[[#This Row],[Sensor ID]],Table_Baseline[Sensor ID],Table_Baseline[Level '[m']],"-")),"-")</f>
        <v>0</v>
      </c>
      <c r="R60" s="93">
        <f>IFERROR(IF(Readings[[#This Row],[Reference Angle]]="-","-",(Readings[[#This Row],[Diff E]]*COS(RADIANS(Readings[[#This Row],[Reference Angle]]))-Readings[[#This Row],[Diff N]]*SIN(RADIANS(Readings[[#This Row],[Reference Angle]])))),"-")</f>
        <v>-6.9999999686842784E-4</v>
      </c>
      <c r="S60" s="93">
        <f>IFERROR(IF(Readings[[#This Row],[Reference Angle]]="-","-",(Readings[[#This Row],[Diff E]]*SIN(RADIANS(Readings[[#This Row],[Reference Angle]]))+Readings[[#This Row],[Diff N]]*COS(RADIANS(Readings[[#This Row],[Reference Angle]])))),"-")</f>
        <v>-6.0000002849847078E-4</v>
      </c>
      <c r="T60" s="94">
        <f>IFERROR(VLOOKUP(Readings[[#This Row],[Sensor ID]],Table_Baseline[],COLUMNS(Table_Baseline[[#Headers],[Sensor ID]:[Reference Angle '[Deg']]]),FALSE),"-")</f>
        <v>0</v>
      </c>
      <c r="U60" s="95" t="str">
        <f>Readings[[#This Row],[Sensor ID]]&amp;"-"&amp;Readings[[#This Row],[Epoch]]</f>
        <v>250-RL-OP-11004-45733.8402777778</v>
      </c>
      <c r="V60" s="99">
        <f ca="1">IF(Readings[[#This Row],[Epoch]]=OFFSET(Readings[[#This Row],[Epoch]],-1,0),0,1)</f>
        <v>0</v>
      </c>
    </row>
    <row r="61" spans="4:22" x14ac:dyDescent="0.2">
      <c r="D61" s="32">
        <v>45733.840277777781</v>
      </c>
      <c r="E61" s="33" t="s">
        <v>171</v>
      </c>
      <c r="F61" s="34">
        <v>60034.958700000003</v>
      </c>
      <c r="G61" s="34">
        <v>363844.47</v>
      </c>
      <c r="H61" s="34">
        <v>18.778300000000002</v>
      </c>
      <c r="I61" s="33" t="s">
        <v>85</v>
      </c>
      <c r="J61" s="33" t="s">
        <v>90</v>
      </c>
      <c r="K61" s="33">
        <v>27.5</v>
      </c>
      <c r="L61" s="33">
        <v>1011.4</v>
      </c>
      <c r="M61" s="33">
        <v>58</v>
      </c>
      <c r="N61" s="33"/>
      <c r="O61" s="93">
        <f>IFERROR(IF(Readings[[#This Row],[Obs. X]]="","-",Readings[[#This Row],[Obs. X]]-_xlfn.XLOOKUP(Readings[[#This Row],[Sensor ID]],Table_Baseline[Sensor ID],Table_Baseline[Easting '[m']],"-")),"-")</f>
        <v>-2.9999999969732016E-4</v>
      </c>
      <c r="P61" s="93">
        <f>IFERROR(IF(Readings[[#This Row],[Obs. Y]]="","-",Readings[[#This Row],[Obs. Y]]-_xlfn.XLOOKUP(Readings[[#This Row],[Sensor ID]],Table_Baseline[Sensor ID],Table_Baseline[Northing '[m']],"-")),"-")</f>
        <v>-1.0000000474974513E-3</v>
      </c>
      <c r="Q61" s="93">
        <f>IFERROR(IF(Readings[[#This Row],[Obs. Z]]="","-",Readings[[#This Row],[Obs. Z]]-_xlfn.XLOOKUP(Readings[[#This Row],[Sensor ID]],Table_Baseline[Sensor ID],Table_Baseline[Level '[m']],"-")),"-")</f>
        <v>2.000000000030866E-4</v>
      </c>
      <c r="R61" s="93">
        <f>IFERROR(IF(Readings[[#This Row],[Reference Angle]]="-","-",(Readings[[#This Row],[Diff E]]*COS(RADIANS(Readings[[#This Row],[Reference Angle]]))-Readings[[#This Row],[Diff N]]*SIN(RADIANS(Readings[[#This Row],[Reference Angle]])))),"-")</f>
        <v>-2.9999999969732016E-4</v>
      </c>
      <c r="S61" s="93">
        <f>IFERROR(IF(Readings[[#This Row],[Reference Angle]]="-","-",(Readings[[#This Row],[Diff E]]*SIN(RADIANS(Readings[[#This Row],[Reference Angle]]))+Readings[[#This Row],[Diff N]]*COS(RADIANS(Readings[[#This Row],[Reference Angle]])))),"-")</f>
        <v>-1.0000000474974513E-3</v>
      </c>
      <c r="T61" s="94">
        <f>IFERROR(VLOOKUP(Readings[[#This Row],[Sensor ID]],Table_Baseline[],COLUMNS(Table_Baseline[[#Headers],[Sensor ID]:[Reference Angle '[Deg']]]),FALSE),"-")</f>
        <v>0</v>
      </c>
      <c r="U61" s="95" t="str">
        <f>Readings[[#This Row],[Sensor ID]]&amp;"-"&amp;Readings[[#This Row],[Epoch]]</f>
        <v>250-RL-OP-11002-45733.8402777778</v>
      </c>
      <c r="V61" s="99">
        <f ca="1">IF(Readings[[#This Row],[Epoch]]=OFFSET(Readings[[#This Row],[Epoch]],-1,0),0,1)</f>
        <v>0</v>
      </c>
    </row>
    <row r="62" spans="4:22" x14ac:dyDescent="0.2">
      <c r="D62" s="32">
        <v>45743.493055555555</v>
      </c>
      <c r="E62" s="33" t="s">
        <v>192</v>
      </c>
      <c r="F62" s="34">
        <v>60063.75</v>
      </c>
      <c r="G62" s="34">
        <v>363837.91800000001</v>
      </c>
      <c r="H62" s="34">
        <v>18.809000000000001</v>
      </c>
      <c r="I62" s="33" t="s">
        <v>85</v>
      </c>
      <c r="J62" s="33" t="s">
        <v>90</v>
      </c>
      <c r="K62" s="33">
        <v>25.5</v>
      </c>
      <c r="L62" s="33">
        <v>1016.8</v>
      </c>
      <c r="M62" s="33">
        <v>77</v>
      </c>
      <c r="N62" s="33"/>
      <c r="O62" s="93">
        <f>IFERROR(IF(Readings[[#This Row],[Obs. X]]="","-",Readings[[#This Row],[Obs. X]]-_xlfn.XLOOKUP(Readings[[#This Row],[Sensor ID]],Table_Baseline[Sensor ID],Table_Baseline[Easting '[m']],"-")),"-")</f>
        <v>-9.9999999656574801E-4</v>
      </c>
      <c r="P62" s="93">
        <f>IFERROR(IF(Readings[[#This Row],[Obs. Y]]="","-",Readings[[#This Row],[Obs. Y]]-_xlfn.XLOOKUP(Readings[[#This Row],[Sensor ID]],Table_Baseline[Sensor ID],Table_Baseline[Northing '[m']],"-")),"-")</f>
        <v>0</v>
      </c>
      <c r="Q62" s="93">
        <f>IFERROR(IF(Readings[[#This Row],[Obs. Z]]="","-",Readings[[#This Row],[Obs. Z]]-_xlfn.XLOOKUP(Readings[[#This Row],[Sensor ID]],Table_Baseline[Sensor ID],Table_Baseline[Level '[m']],"-")),"-")</f>
        <v>0</v>
      </c>
      <c r="R62" s="93">
        <f>IFERROR(IF(Readings[[#This Row],[Reference Angle]]="-","-",(Readings[[#This Row],[Diff E]]*COS(RADIANS(Readings[[#This Row],[Reference Angle]]))-Readings[[#This Row],[Diff N]]*SIN(RADIANS(Readings[[#This Row],[Reference Angle]])))),"-")</f>
        <v>-9.9999999656574801E-4</v>
      </c>
      <c r="S62" s="93">
        <f>IFERROR(IF(Readings[[#This Row],[Reference Angle]]="-","-",(Readings[[#This Row],[Diff E]]*SIN(RADIANS(Readings[[#This Row],[Reference Angle]]))+Readings[[#This Row],[Diff N]]*COS(RADIANS(Readings[[#This Row],[Reference Angle]])))),"-")</f>
        <v>0</v>
      </c>
      <c r="T62" s="94">
        <f>IFERROR(VLOOKUP(Readings[[#This Row],[Sensor ID]],Table_Baseline[],COLUMNS(Table_Baseline[[#Headers],[Sensor ID]:[Reference Angle '[Deg']]]),FALSE),"-")</f>
        <v>0</v>
      </c>
      <c r="U62" s="95" t="str">
        <f>Readings[[#This Row],[Sensor ID]]&amp;"-"&amp;Readings[[#This Row],[Epoch]]</f>
        <v>250-RL-OP-11021-45743.4930555556</v>
      </c>
      <c r="V62" s="99">
        <f ca="1">IF(Readings[[#This Row],[Epoch]]=OFFSET(Readings[[#This Row],[Epoch]],-1,0),0,1)</f>
        <v>1</v>
      </c>
    </row>
    <row r="63" spans="4:22" x14ac:dyDescent="0.2">
      <c r="D63" s="32">
        <v>45743.493055555555</v>
      </c>
      <c r="E63" s="33" t="s">
        <v>190</v>
      </c>
      <c r="F63" s="34">
        <v>60060.962</v>
      </c>
      <c r="G63" s="34">
        <v>363838.60100000002</v>
      </c>
      <c r="H63" s="34">
        <v>18.795000000000002</v>
      </c>
      <c r="I63" s="33" t="s">
        <v>85</v>
      </c>
      <c r="J63" s="33" t="s">
        <v>90</v>
      </c>
      <c r="K63" s="33">
        <v>25.5</v>
      </c>
      <c r="L63" s="33">
        <v>1016.8</v>
      </c>
      <c r="M63" s="33">
        <v>77</v>
      </c>
      <c r="N63" s="33"/>
      <c r="O63" s="93">
        <f>IFERROR(IF(Readings[[#This Row],[Obs. X]]="","-",Readings[[#This Row],[Obs. X]]-_xlfn.XLOOKUP(Readings[[#This Row],[Sensor ID]],Table_Baseline[Sensor ID],Table_Baseline[Easting '[m']],"-")),"-")</f>
        <v>-1.0000000038417056E-3</v>
      </c>
      <c r="P63" s="93">
        <f>IFERROR(IF(Readings[[#This Row],[Obs. Y]]="","-",Readings[[#This Row],[Obs. Y]]-_xlfn.XLOOKUP(Readings[[#This Row],[Sensor ID]],Table_Baseline[Sensor ID],Table_Baseline[Northing '[m']],"-")),"-")</f>
        <v>0</v>
      </c>
      <c r="Q63" s="93">
        <f>IFERROR(IF(Readings[[#This Row],[Obs. Z]]="","-",Readings[[#This Row],[Obs. Z]]-_xlfn.XLOOKUP(Readings[[#This Row],[Sensor ID]],Table_Baseline[Sensor ID],Table_Baseline[Level '[m']],"-")),"-")</f>
        <v>4.0000000000262048E-4</v>
      </c>
      <c r="R63" s="93">
        <f>IFERROR(IF(Readings[[#This Row],[Reference Angle]]="-","-",(Readings[[#This Row],[Diff E]]*COS(RADIANS(Readings[[#This Row],[Reference Angle]]))-Readings[[#This Row],[Diff N]]*SIN(RADIANS(Readings[[#This Row],[Reference Angle]])))),"-")</f>
        <v>-1.0000000038417056E-3</v>
      </c>
      <c r="S63" s="93">
        <f>IFERROR(IF(Readings[[#This Row],[Reference Angle]]="-","-",(Readings[[#This Row],[Diff E]]*SIN(RADIANS(Readings[[#This Row],[Reference Angle]]))+Readings[[#This Row],[Diff N]]*COS(RADIANS(Readings[[#This Row],[Reference Angle]])))),"-")</f>
        <v>0</v>
      </c>
      <c r="T63" s="94">
        <f>IFERROR(VLOOKUP(Readings[[#This Row],[Sensor ID]],Table_Baseline[],COLUMNS(Table_Baseline[[#Headers],[Sensor ID]:[Reference Angle '[Deg']]]),FALSE),"-")</f>
        <v>0</v>
      </c>
      <c r="U63" s="95" t="str">
        <f>Readings[[#This Row],[Sensor ID]]&amp;"-"&amp;Readings[[#This Row],[Epoch]]</f>
        <v>250-RL-OP-11019-45743.4930555556</v>
      </c>
      <c r="V63" s="99">
        <f ca="1">IF(Readings[[#This Row],[Epoch]]=OFFSET(Readings[[#This Row],[Epoch]],-1,0),0,1)</f>
        <v>0</v>
      </c>
    </row>
    <row r="64" spans="4:22" x14ac:dyDescent="0.2">
      <c r="D64" s="32">
        <v>45743.493055555555</v>
      </c>
      <c r="E64" s="33" t="s">
        <v>188</v>
      </c>
      <c r="F64" s="34">
        <v>60057.951999999997</v>
      </c>
      <c r="G64" s="34">
        <v>363839.36300000001</v>
      </c>
      <c r="H64" s="34">
        <v>18.786000000000001</v>
      </c>
      <c r="I64" s="33" t="s">
        <v>85</v>
      </c>
      <c r="J64" s="33" t="s">
        <v>90</v>
      </c>
      <c r="K64" s="33">
        <v>25.5</v>
      </c>
      <c r="L64" s="33">
        <v>1016.8</v>
      </c>
      <c r="M64" s="33">
        <v>77</v>
      </c>
      <c r="N64" s="33"/>
      <c r="O64" s="93">
        <f>IFERROR(IF(Readings[[#This Row],[Obs. X]]="","-",Readings[[#This Row],[Obs. X]]-_xlfn.XLOOKUP(Readings[[#This Row],[Sensor ID]],Table_Baseline[Sensor ID],Table_Baseline[Easting '[m']],"-")),"-")</f>
        <v>0</v>
      </c>
      <c r="P64" s="93">
        <f>IFERROR(IF(Readings[[#This Row],[Obs. Y]]="","-",Readings[[#This Row],[Obs. Y]]-_xlfn.XLOOKUP(Readings[[#This Row],[Sensor ID]],Table_Baseline[Sensor ID],Table_Baseline[Northing '[m']],"-")),"-")</f>
        <v>1.0000000474974513E-3</v>
      </c>
      <c r="Q64" s="93">
        <f>IFERROR(IF(Readings[[#This Row],[Obs. Z]]="","-",Readings[[#This Row],[Obs. Z]]-_xlfn.XLOOKUP(Readings[[#This Row],[Sensor ID]],Table_Baseline[Sensor ID],Table_Baseline[Level '[m']],"-")),"-")</f>
        <v>0</v>
      </c>
      <c r="R64" s="93">
        <f>IFERROR(IF(Readings[[#This Row],[Reference Angle]]="-","-",(Readings[[#This Row],[Diff E]]*COS(RADIANS(Readings[[#This Row],[Reference Angle]]))-Readings[[#This Row],[Diff N]]*SIN(RADIANS(Readings[[#This Row],[Reference Angle]])))),"-")</f>
        <v>0</v>
      </c>
      <c r="S64" s="93">
        <f>IFERROR(IF(Readings[[#This Row],[Reference Angle]]="-","-",(Readings[[#This Row],[Diff E]]*SIN(RADIANS(Readings[[#This Row],[Reference Angle]]))+Readings[[#This Row],[Diff N]]*COS(RADIANS(Readings[[#This Row],[Reference Angle]])))),"-")</f>
        <v>1.0000000474974513E-3</v>
      </c>
      <c r="T64" s="94">
        <f>IFERROR(VLOOKUP(Readings[[#This Row],[Sensor ID]],Table_Baseline[],COLUMNS(Table_Baseline[[#Headers],[Sensor ID]:[Reference Angle '[Deg']]]),FALSE),"-")</f>
        <v>0</v>
      </c>
      <c r="U64" s="95" t="str">
        <f>Readings[[#This Row],[Sensor ID]]&amp;"-"&amp;Readings[[#This Row],[Epoch]]</f>
        <v>250-RL-OP-11017-45743.4930555556</v>
      </c>
      <c r="V64" s="99">
        <f ca="1">IF(Readings[[#This Row],[Epoch]]=OFFSET(Readings[[#This Row],[Epoch]],-1,0),0,1)</f>
        <v>0</v>
      </c>
    </row>
    <row r="65" spans="4:22" x14ac:dyDescent="0.2">
      <c r="D65" s="32">
        <v>45743.493055555555</v>
      </c>
      <c r="E65" s="33" t="s">
        <v>186</v>
      </c>
      <c r="F65" s="34">
        <v>60055.196000000004</v>
      </c>
      <c r="G65" s="34">
        <v>363840.09499999997</v>
      </c>
      <c r="H65" s="34">
        <v>18.780999999999999</v>
      </c>
      <c r="I65" s="33" t="s">
        <v>85</v>
      </c>
      <c r="J65" s="33" t="s">
        <v>90</v>
      </c>
      <c r="K65" s="33">
        <v>25.5</v>
      </c>
      <c r="L65" s="33">
        <v>1016.8</v>
      </c>
      <c r="M65" s="33">
        <v>77</v>
      </c>
      <c r="N65" s="33"/>
      <c r="O65" s="93">
        <f>IFERROR(IF(Readings[[#This Row],[Obs. X]]="","-",Readings[[#This Row],[Obs. X]]-_xlfn.XLOOKUP(Readings[[#This Row],[Sensor ID]],Table_Baseline[Sensor ID],Table_Baseline[Easting '[m']],"-")),"-")</f>
        <v>0</v>
      </c>
      <c r="P65" s="93">
        <f>IFERROR(IF(Readings[[#This Row],[Obs. Y]]="","-",Readings[[#This Row],[Obs. Y]]-_xlfn.XLOOKUP(Readings[[#This Row],[Sensor ID]],Table_Baseline[Sensor ID],Table_Baseline[Northing '[m']],"-")),"-")</f>
        <v>0</v>
      </c>
      <c r="Q65" s="93">
        <f>IFERROR(IF(Readings[[#This Row],[Obs. Z]]="","-",Readings[[#This Row],[Obs. Z]]-_xlfn.XLOOKUP(Readings[[#This Row],[Sensor ID]],Table_Baseline[Sensor ID],Table_Baseline[Level '[m']],"-")),"-")</f>
        <v>9.9999999999766942E-5</v>
      </c>
      <c r="R65" s="93">
        <f>IFERROR(IF(Readings[[#This Row],[Reference Angle]]="-","-",(Readings[[#This Row],[Diff E]]*COS(RADIANS(Readings[[#This Row],[Reference Angle]]))-Readings[[#This Row],[Diff N]]*SIN(RADIANS(Readings[[#This Row],[Reference Angle]])))),"-")</f>
        <v>0</v>
      </c>
      <c r="S65" s="93">
        <f>IFERROR(IF(Readings[[#This Row],[Reference Angle]]="-","-",(Readings[[#This Row],[Diff E]]*SIN(RADIANS(Readings[[#This Row],[Reference Angle]]))+Readings[[#This Row],[Diff N]]*COS(RADIANS(Readings[[#This Row],[Reference Angle]])))),"-")</f>
        <v>0</v>
      </c>
      <c r="T65" s="94">
        <f>IFERROR(VLOOKUP(Readings[[#This Row],[Sensor ID]],Table_Baseline[],COLUMNS(Table_Baseline[[#Headers],[Sensor ID]:[Reference Angle '[Deg']]]),FALSE),"-")</f>
        <v>0</v>
      </c>
      <c r="U65" s="95" t="str">
        <f>Readings[[#This Row],[Sensor ID]]&amp;"-"&amp;Readings[[#This Row],[Epoch]]</f>
        <v>250-RL-OP-11015-45743.4930555556</v>
      </c>
      <c r="V65" s="99">
        <f ca="1">IF(Readings[[#This Row],[Epoch]]=OFFSET(Readings[[#This Row],[Epoch]],-1,0),0,1)</f>
        <v>0</v>
      </c>
    </row>
    <row r="66" spans="4:22" x14ac:dyDescent="0.2">
      <c r="D66" s="32">
        <v>45743.493055555555</v>
      </c>
      <c r="E66" s="33" t="s">
        <v>184</v>
      </c>
      <c r="F66" s="34">
        <v>60052.292000000001</v>
      </c>
      <c r="G66" s="34">
        <v>363840.88500000001</v>
      </c>
      <c r="H66" s="34">
        <v>18.779</v>
      </c>
      <c r="I66" s="33" t="s">
        <v>85</v>
      </c>
      <c r="J66" s="33" t="s">
        <v>90</v>
      </c>
      <c r="K66" s="33">
        <v>25.5</v>
      </c>
      <c r="L66" s="33">
        <v>1016.8</v>
      </c>
      <c r="M66" s="33">
        <v>77</v>
      </c>
      <c r="N66" s="33"/>
      <c r="O66" s="93">
        <f>IFERROR(IF(Readings[[#This Row],[Obs. X]]="","-",Readings[[#This Row],[Obs. X]]-_xlfn.XLOOKUP(Readings[[#This Row],[Sensor ID]],Table_Baseline[Sensor ID],Table_Baseline[Easting '[m']],"-")),"-")</f>
        <v>-9.9999999656574801E-4</v>
      </c>
      <c r="P66" s="93">
        <f>IFERROR(IF(Readings[[#This Row],[Obs. Y]]="","-",Readings[[#This Row],[Obs. Y]]-_xlfn.XLOOKUP(Readings[[#This Row],[Sensor ID]],Table_Baseline[Sensor ID],Table_Baseline[Northing '[m']],"-")),"-")</f>
        <v>0</v>
      </c>
      <c r="Q66" s="93">
        <f>IFERROR(IF(Readings[[#This Row],[Obs. Z]]="","-",Readings[[#This Row],[Obs. Z]]-_xlfn.XLOOKUP(Readings[[#This Row],[Sensor ID]],Table_Baseline[Sensor ID],Table_Baseline[Level '[m']],"-")),"-")</f>
        <v>0</v>
      </c>
      <c r="R66" s="93">
        <f>IFERROR(IF(Readings[[#This Row],[Reference Angle]]="-","-",(Readings[[#This Row],[Diff E]]*COS(RADIANS(Readings[[#This Row],[Reference Angle]]))-Readings[[#This Row],[Diff N]]*SIN(RADIANS(Readings[[#This Row],[Reference Angle]])))),"-")</f>
        <v>-9.9999999656574801E-4</v>
      </c>
      <c r="S66" s="93">
        <f>IFERROR(IF(Readings[[#This Row],[Reference Angle]]="-","-",(Readings[[#This Row],[Diff E]]*SIN(RADIANS(Readings[[#This Row],[Reference Angle]]))+Readings[[#This Row],[Diff N]]*COS(RADIANS(Readings[[#This Row],[Reference Angle]])))),"-")</f>
        <v>0</v>
      </c>
      <c r="T66" s="94">
        <f>IFERROR(VLOOKUP(Readings[[#This Row],[Sensor ID]],Table_Baseline[],COLUMNS(Table_Baseline[[#Headers],[Sensor ID]:[Reference Angle '[Deg']]]),FALSE),"-")</f>
        <v>0</v>
      </c>
      <c r="U66" s="95" t="str">
        <f>Readings[[#This Row],[Sensor ID]]&amp;"-"&amp;Readings[[#This Row],[Epoch]]</f>
        <v>250-RL-OP-11013-45743.4930555556</v>
      </c>
      <c r="V66" s="99">
        <f ca="1">IF(Readings[[#This Row],[Epoch]]=OFFSET(Readings[[#This Row],[Epoch]],-1,0),0,1)</f>
        <v>0</v>
      </c>
    </row>
    <row r="67" spans="4:22" x14ac:dyDescent="0.2">
      <c r="D67" s="32">
        <v>45743.493055555555</v>
      </c>
      <c r="E67" s="33" t="s">
        <v>182</v>
      </c>
      <c r="F67" s="34">
        <v>60049.398000000001</v>
      </c>
      <c r="G67" s="34">
        <v>363841.69799999997</v>
      </c>
      <c r="H67" s="34">
        <v>18.777999999999999</v>
      </c>
      <c r="I67" s="33" t="s">
        <v>85</v>
      </c>
      <c r="J67" s="33" t="s">
        <v>90</v>
      </c>
      <c r="K67" s="33">
        <v>25.5</v>
      </c>
      <c r="L67" s="33">
        <v>1016.8</v>
      </c>
      <c r="M67" s="33">
        <v>77</v>
      </c>
      <c r="N67" s="33"/>
      <c r="O67" s="93">
        <f>IFERROR(IF(Readings[[#This Row],[Obs. X]]="","-",Readings[[#This Row],[Obs. X]]-_xlfn.XLOOKUP(Readings[[#This Row],[Sensor ID]],Table_Baseline[Sensor ID],Table_Baseline[Easting '[m']],"-")),"-")</f>
        <v>-9.9999999656574801E-4</v>
      </c>
      <c r="P67" s="93">
        <f>IFERROR(IF(Readings[[#This Row],[Obs. Y]]="","-",Readings[[#This Row],[Obs. Y]]-_xlfn.XLOOKUP(Readings[[#This Row],[Sensor ID]],Table_Baseline[Sensor ID],Table_Baseline[Northing '[m']],"-")),"-")</f>
        <v>0</v>
      </c>
      <c r="Q67" s="93">
        <f>IFERROR(IF(Readings[[#This Row],[Obs. Z]]="","-",Readings[[#This Row],[Obs. Z]]-_xlfn.XLOOKUP(Readings[[#This Row],[Sensor ID]],Table_Baseline[Sensor ID],Table_Baseline[Level '[m']],"-")),"-")</f>
        <v>0</v>
      </c>
      <c r="R67" s="93">
        <f>IFERROR(IF(Readings[[#This Row],[Reference Angle]]="-","-",(Readings[[#This Row],[Diff E]]*COS(RADIANS(Readings[[#This Row],[Reference Angle]]))-Readings[[#This Row],[Diff N]]*SIN(RADIANS(Readings[[#This Row],[Reference Angle]])))),"-")</f>
        <v>-9.9999999656574801E-4</v>
      </c>
      <c r="S67" s="93">
        <f>IFERROR(IF(Readings[[#This Row],[Reference Angle]]="-","-",(Readings[[#This Row],[Diff E]]*SIN(RADIANS(Readings[[#This Row],[Reference Angle]]))+Readings[[#This Row],[Diff N]]*COS(RADIANS(Readings[[#This Row],[Reference Angle]])))),"-")</f>
        <v>0</v>
      </c>
      <c r="T67" s="94">
        <f>IFERROR(VLOOKUP(Readings[[#This Row],[Sensor ID]],Table_Baseline[],COLUMNS(Table_Baseline[[#Headers],[Sensor ID]:[Reference Angle '[Deg']]]),FALSE),"-")</f>
        <v>0</v>
      </c>
      <c r="U67" s="95" t="str">
        <f>Readings[[#This Row],[Sensor ID]]&amp;"-"&amp;Readings[[#This Row],[Epoch]]</f>
        <v>250-RL-OP-11011-45743.4930555556</v>
      </c>
      <c r="V67" s="99">
        <f ca="1">IF(Readings[[#This Row],[Epoch]]=OFFSET(Readings[[#This Row],[Epoch]],-1,0),0,1)</f>
        <v>0</v>
      </c>
    </row>
    <row r="68" spans="4:22" x14ac:dyDescent="0.2">
      <c r="D68" s="32">
        <v>45743.493055555555</v>
      </c>
      <c r="E68" s="33" t="s">
        <v>180</v>
      </c>
      <c r="F68" s="34">
        <v>60046.633000000002</v>
      </c>
      <c r="G68" s="34">
        <v>363842.484</v>
      </c>
      <c r="H68" s="34">
        <v>18.777000000000001</v>
      </c>
      <c r="I68" s="33" t="s">
        <v>85</v>
      </c>
      <c r="J68" s="33" t="s">
        <v>90</v>
      </c>
      <c r="K68" s="33">
        <v>25.5</v>
      </c>
      <c r="L68" s="33">
        <v>1016.8</v>
      </c>
      <c r="M68" s="33">
        <v>77</v>
      </c>
      <c r="N68" s="33"/>
      <c r="O68" s="93">
        <f>IFERROR(IF(Readings[[#This Row],[Obs. X]]="","-",Readings[[#This Row],[Obs. X]]-_xlfn.XLOOKUP(Readings[[#This Row],[Sensor ID]],Table_Baseline[Sensor ID],Table_Baseline[Easting '[m']],"-")),"-")</f>
        <v>0</v>
      </c>
      <c r="P68" s="93">
        <f>IFERROR(IF(Readings[[#This Row],[Obs. Y]]="","-",Readings[[#This Row],[Obs. Y]]-_xlfn.XLOOKUP(Readings[[#This Row],[Sensor ID]],Table_Baseline[Sensor ID],Table_Baseline[Northing '[m']],"-")),"-")</f>
        <v>-9.9999998928979039E-4</v>
      </c>
      <c r="Q68" s="93">
        <f>IFERROR(IF(Readings[[#This Row],[Obs. Z]]="","-",Readings[[#This Row],[Obs. Z]]-_xlfn.XLOOKUP(Readings[[#This Row],[Sensor ID]],Table_Baseline[Sensor ID],Table_Baseline[Level '[m']],"-")),"-")</f>
        <v>-5.9999999999860165E-4</v>
      </c>
      <c r="R68" s="93">
        <f>IFERROR(IF(Readings[[#This Row],[Reference Angle]]="-","-",(Readings[[#This Row],[Diff E]]*COS(RADIANS(Readings[[#This Row],[Reference Angle]]))-Readings[[#This Row],[Diff N]]*SIN(RADIANS(Readings[[#This Row],[Reference Angle]])))),"-")</f>
        <v>0</v>
      </c>
      <c r="S68" s="93">
        <f>IFERROR(IF(Readings[[#This Row],[Reference Angle]]="-","-",(Readings[[#This Row],[Diff E]]*SIN(RADIANS(Readings[[#This Row],[Reference Angle]]))+Readings[[#This Row],[Diff N]]*COS(RADIANS(Readings[[#This Row],[Reference Angle]])))),"-")</f>
        <v>-9.9999998928979039E-4</v>
      </c>
      <c r="T68" s="94">
        <f>IFERROR(VLOOKUP(Readings[[#This Row],[Sensor ID]],Table_Baseline[],COLUMNS(Table_Baseline[[#Headers],[Sensor ID]:[Reference Angle '[Deg']]]),FALSE),"-")</f>
        <v>0</v>
      </c>
      <c r="U68" s="95" t="str">
        <f>Readings[[#This Row],[Sensor ID]]&amp;"-"&amp;Readings[[#This Row],[Epoch]]</f>
        <v>250-RL-OP-11009-45743.4930555556</v>
      </c>
      <c r="V68" s="99">
        <f ca="1">IF(Readings[[#This Row],[Epoch]]=OFFSET(Readings[[#This Row],[Epoch]],-1,0),0,1)</f>
        <v>0</v>
      </c>
    </row>
    <row r="69" spans="4:22" x14ac:dyDescent="0.2">
      <c r="D69" s="32">
        <v>45743.493055555555</v>
      </c>
      <c r="E69" s="33" t="s">
        <v>178</v>
      </c>
      <c r="F69" s="34">
        <v>60043.758000000002</v>
      </c>
      <c r="G69" s="34">
        <v>363843.31400000001</v>
      </c>
      <c r="H69" s="34">
        <v>18.774000000000001</v>
      </c>
      <c r="I69" s="33" t="s">
        <v>85</v>
      </c>
      <c r="J69" s="33" t="s">
        <v>90</v>
      </c>
      <c r="K69" s="33">
        <v>25.5</v>
      </c>
      <c r="L69" s="33">
        <v>1016.8</v>
      </c>
      <c r="M69" s="33">
        <v>77</v>
      </c>
      <c r="N69" s="33"/>
      <c r="O69" s="93">
        <f>IFERROR(IF(Readings[[#This Row],[Obs. X]]="","-",Readings[[#This Row],[Obs. X]]-_xlfn.XLOOKUP(Readings[[#This Row],[Sensor ID]],Table_Baseline[Sensor ID],Table_Baseline[Easting '[m']],"-")),"-")</f>
        <v>-9.9999999656574801E-4</v>
      </c>
      <c r="P69" s="93">
        <f>IFERROR(IF(Readings[[#This Row],[Obs. Y]]="","-",Readings[[#This Row],[Obs. Y]]-_xlfn.XLOOKUP(Readings[[#This Row],[Sensor ID]],Table_Baseline[Sensor ID],Table_Baseline[Northing '[m']],"-")),"-")</f>
        <v>0</v>
      </c>
      <c r="Q69" s="93">
        <f>IFERROR(IF(Readings[[#This Row],[Obs. Z]]="","-",Readings[[#This Row],[Obs. Z]]-_xlfn.XLOOKUP(Readings[[#This Row],[Sensor ID]],Table_Baseline[Sensor ID],Table_Baseline[Level '[m']],"-")),"-")</f>
        <v>-9.9999999999766942E-5</v>
      </c>
      <c r="R69" s="93">
        <f>IFERROR(IF(Readings[[#This Row],[Reference Angle]]="-","-",(Readings[[#This Row],[Diff E]]*COS(RADIANS(Readings[[#This Row],[Reference Angle]]))-Readings[[#This Row],[Diff N]]*SIN(RADIANS(Readings[[#This Row],[Reference Angle]])))),"-")</f>
        <v>-9.9999999656574801E-4</v>
      </c>
      <c r="S69" s="93">
        <f>IFERROR(IF(Readings[[#This Row],[Reference Angle]]="-","-",(Readings[[#This Row],[Diff E]]*SIN(RADIANS(Readings[[#This Row],[Reference Angle]]))+Readings[[#This Row],[Diff N]]*COS(RADIANS(Readings[[#This Row],[Reference Angle]])))),"-")</f>
        <v>0</v>
      </c>
      <c r="T69" s="94">
        <f>IFERROR(VLOOKUP(Readings[[#This Row],[Sensor ID]],Table_Baseline[],COLUMNS(Table_Baseline[[#Headers],[Sensor ID]:[Reference Angle '[Deg']]]),FALSE),"-")</f>
        <v>0</v>
      </c>
      <c r="U69" s="95" t="str">
        <f>Readings[[#This Row],[Sensor ID]]&amp;"-"&amp;Readings[[#This Row],[Epoch]]</f>
        <v>250-RL-OP-11007-45743.4930555556</v>
      </c>
      <c r="V69" s="99">
        <f ca="1">IF(Readings[[#This Row],[Epoch]]=OFFSET(Readings[[#This Row],[Epoch]],-1,0),0,1)</f>
        <v>0</v>
      </c>
    </row>
    <row r="70" spans="4:22" x14ac:dyDescent="0.2">
      <c r="D70" s="32">
        <v>45743.493055555555</v>
      </c>
      <c r="E70" s="33" t="s">
        <v>176</v>
      </c>
      <c r="F70" s="34">
        <v>60040.968000000001</v>
      </c>
      <c r="G70" s="34">
        <v>363844.11699999997</v>
      </c>
      <c r="H70" s="34">
        <v>18.779</v>
      </c>
      <c r="I70" s="33" t="s">
        <v>85</v>
      </c>
      <c r="J70" s="33" t="s">
        <v>90</v>
      </c>
      <c r="K70" s="33">
        <v>25.5</v>
      </c>
      <c r="L70" s="33">
        <v>1016.8</v>
      </c>
      <c r="M70" s="33">
        <v>77</v>
      </c>
      <c r="N70" s="33"/>
      <c r="O70" s="93">
        <f>IFERROR(IF(Readings[[#This Row],[Obs. X]]="","-",Readings[[#This Row],[Obs. X]]-_xlfn.XLOOKUP(Readings[[#This Row],[Sensor ID]],Table_Baseline[Sensor ID],Table_Baseline[Easting '[m']],"-")),"-")</f>
        <v>-9.9999999656574801E-4</v>
      </c>
      <c r="P70" s="93">
        <f>IFERROR(IF(Readings[[#This Row],[Obs. Y]]="","-",Readings[[#This Row],[Obs. Y]]-_xlfn.XLOOKUP(Readings[[#This Row],[Sensor ID]],Table_Baseline[Sensor ID],Table_Baseline[Northing '[m']],"-")),"-")</f>
        <v>-1.0000000474974513E-3</v>
      </c>
      <c r="Q70" s="93">
        <f>IFERROR(IF(Readings[[#This Row],[Obs. Z]]="","-",Readings[[#This Row],[Obs. Z]]-_xlfn.XLOOKUP(Readings[[#This Row],[Sensor ID]],Table_Baseline[Sensor ID],Table_Baseline[Level '[m']],"-")),"-")</f>
        <v>0</v>
      </c>
      <c r="R70" s="93">
        <f>IFERROR(IF(Readings[[#This Row],[Reference Angle]]="-","-",(Readings[[#This Row],[Diff E]]*COS(RADIANS(Readings[[#This Row],[Reference Angle]]))-Readings[[#This Row],[Diff N]]*SIN(RADIANS(Readings[[#This Row],[Reference Angle]])))),"-")</f>
        <v>-9.9999999656574801E-4</v>
      </c>
      <c r="S70" s="93">
        <f>IFERROR(IF(Readings[[#This Row],[Reference Angle]]="-","-",(Readings[[#This Row],[Diff E]]*SIN(RADIANS(Readings[[#This Row],[Reference Angle]]))+Readings[[#This Row],[Diff N]]*COS(RADIANS(Readings[[#This Row],[Reference Angle]])))),"-")</f>
        <v>-1.0000000474974513E-3</v>
      </c>
      <c r="T70" s="94">
        <f>IFERROR(VLOOKUP(Readings[[#This Row],[Sensor ID]],Table_Baseline[],COLUMNS(Table_Baseline[[#Headers],[Sensor ID]:[Reference Angle '[Deg']]]),FALSE),"-")</f>
        <v>0</v>
      </c>
      <c r="U70" s="95" t="str">
        <f>Readings[[#This Row],[Sensor ID]]&amp;"-"&amp;Readings[[#This Row],[Epoch]]</f>
        <v>250-RL-OP-11005-45743.4930555556</v>
      </c>
      <c r="V70" s="99">
        <f ca="1">IF(Readings[[#This Row],[Epoch]]=OFFSET(Readings[[#This Row],[Epoch]],-1,0),0,1)</f>
        <v>0</v>
      </c>
    </row>
    <row r="71" spans="4:22" x14ac:dyDescent="0.2">
      <c r="D71" s="32">
        <v>45743.493055555555</v>
      </c>
      <c r="E71" s="33" t="s">
        <v>174</v>
      </c>
      <c r="F71" s="34">
        <v>60038.116999999998</v>
      </c>
      <c r="G71" s="34">
        <v>363844.94500000001</v>
      </c>
      <c r="H71" s="34">
        <v>18.779</v>
      </c>
      <c r="I71" s="33" t="s">
        <v>85</v>
      </c>
      <c r="J71" s="33" t="s">
        <v>90</v>
      </c>
      <c r="K71" s="33">
        <v>25.5</v>
      </c>
      <c r="L71" s="33">
        <v>1016.8</v>
      </c>
      <c r="M71" s="33">
        <v>77</v>
      </c>
      <c r="N71" s="33"/>
      <c r="O71" s="93">
        <f>IFERROR(IF(Readings[[#This Row],[Obs. X]]="","-",Readings[[#This Row],[Obs. X]]-_xlfn.XLOOKUP(Readings[[#This Row],[Sensor ID]],Table_Baseline[Sensor ID],Table_Baseline[Easting '[m']],"-")),"-")</f>
        <v>-1.0000000038417056E-3</v>
      </c>
      <c r="P71" s="93">
        <f>IFERROR(IF(Readings[[#This Row],[Obs. Y]]="","-",Readings[[#This Row],[Obs. Y]]-_xlfn.XLOOKUP(Readings[[#This Row],[Sensor ID]],Table_Baseline[Sensor ID],Table_Baseline[Northing '[m']],"-")),"-")</f>
        <v>0</v>
      </c>
      <c r="Q71" s="93">
        <f>IFERROR(IF(Readings[[#This Row],[Obs. Z]]="","-",Readings[[#This Row],[Obs. Z]]-_xlfn.XLOOKUP(Readings[[#This Row],[Sensor ID]],Table_Baseline[Sensor ID],Table_Baseline[Level '[m']],"-")),"-")</f>
        <v>1.9999999999953388E-4</v>
      </c>
      <c r="R71" s="93">
        <f>IFERROR(IF(Readings[[#This Row],[Reference Angle]]="-","-",(Readings[[#This Row],[Diff E]]*COS(RADIANS(Readings[[#This Row],[Reference Angle]]))-Readings[[#This Row],[Diff N]]*SIN(RADIANS(Readings[[#This Row],[Reference Angle]])))),"-")</f>
        <v>-1.0000000038417056E-3</v>
      </c>
      <c r="S71" s="93">
        <f>IFERROR(IF(Readings[[#This Row],[Reference Angle]]="-","-",(Readings[[#This Row],[Diff E]]*SIN(RADIANS(Readings[[#This Row],[Reference Angle]]))+Readings[[#This Row],[Diff N]]*COS(RADIANS(Readings[[#This Row],[Reference Angle]])))),"-")</f>
        <v>0</v>
      </c>
      <c r="T71" s="94">
        <f>IFERROR(VLOOKUP(Readings[[#This Row],[Sensor ID]],Table_Baseline[],COLUMNS(Table_Baseline[[#Headers],[Sensor ID]:[Reference Angle '[Deg']]]),FALSE),"-")</f>
        <v>0</v>
      </c>
      <c r="U71" s="95" t="str">
        <f>Readings[[#This Row],[Sensor ID]]&amp;"-"&amp;Readings[[#This Row],[Epoch]]</f>
        <v>250-RL-OP-11003-45743.4930555556</v>
      </c>
      <c r="V71" s="99">
        <f ca="1">IF(Readings[[#This Row],[Epoch]]=OFFSET(Readings[[#This Row],[Epoch]],-1,0),0,1)</f>
        <v>0</v>
      </c>
    </row>
    <row r="72" spans="4:22" x14ac:dyDescent="0.2">
      <c r="D72" s="32">
        <v>45743.493055555555</v>
      </c>
      <c r="E72" s="33" t="s">
        <v>191</v>
      </c>
      <c r="F72" s="34">
        <v>60063.42</v>
      </c>
      <c r="G72" s="34">
        <v>363836.63699999999</v>
      </c>
      <c r="H72" s="34">
        <v>18.795000000000002</v>
      </c>
      <c r="I72" s="33" t="s">
        <v>85</v>
      </c>
      <c r="J72" s="33" t="s">
        <v>90</v>
      </c>
      <c r="K72" s="33">
        <v>25.5</v>
      </c>
      <c r="L72" s="33">
        <v>1016.8</v>
      </c>
      <c r="M72" s="33">
        <v>77</v>
      </c>
      <c r="N72" s="33"/>
      <c r="O72" s="93">
        <f>IFERROR(IF(Readings[[#This Row],[Obs. X]]="","-",Readings[[#This Row],[Obs. X]]-_xlfn.XLOOKUP(Readings[[#This Row],[Sensor ID]],Table_Baseline[Sensor ID],Table_Baseline[Easting '[m']],"-")),"-")</f>
        <v>-2.0000000004074536E-3</v>
      </c>
      <c r="P72" s="93">
        <f>IFERROR(IF(Readings[[#This Row],[Obs. Y]]="","-",Readings[[#This Row],[Obs. Y]]-_xlfn.XLOOKUP(Readings[[#This Row],[Sensor ID]],Table_Baseline[Sensor ID],Table_Baseline[Northing '[m']],"-")),"-")</f>
        <v>9.9999998928979039E-4</v>
      </c>
      <c r="Q72" s="93">
        <f>IFERROR(IF(Readings[[#This Row],[Obs. Z]]="","-",Readings[[#This Row],[Obs. Z]]-_xlfn.XLOOKUP(Readings[[#This Row],[Sensor ID]],Table_Baseline[Sensor ID],Table_Baseline[Level '[m']],"-")),"-")</f>
        <v>1.0000000000331966E-4</v>
      </c>
      <c r="R72" s="93">
        <f>IFERROR(IF(Readings[[#This Row],[Reference Angle]]="-","-",(Readings[[#This Row],[Diff E]]*COS(RADIANS(Readings[[#This Row],[Reference Angle]]))-Readings[[#This Row],[Diff N]]*SIN(RADIANS(Readings[[#This Row],[Reference Angle]])))),"-")</f>
        <v>-2.0000000004074536E-3</v>
      </c>
      <c r="S72" s="93">
        <f>IFERROR(IF(Readings[[#This Row],[Reference Angle]]="-","-",(Readings[[#This Row],[Diff E]]*SIN(RADIANS(Readings[[#This Row],[Reference Angle]]))+Readings[[#This Row],[Diff N]]*COS(RADIANS(Readings[[#This Row],[Reference Angle]])))),"-")</f>
        <v>9.9999998928979039E-4</v>
      </c>
      <c r="T72" s="94">
        <f>IFERROR(VLOOKUP(Readings[[#This Row],[Sensor ID]],Table_Baseline[],COLUMNS(Table_Baseline[[#Headers],[Sensor ID]:[Reference Angle '[Deg']]]),FALSE),"-")</f>
        <v>0</v>
      </c>
      <c r="U72" s="95" t="str">
        <f>Readings[[#This Row],[Sensor ID]]&amp;"-"&amp;Readings[[#This Row],[Epoch]]</f>
        <v>250-RL-OP-11022-45743.4930555556</v>
      </c>
      <c r="V72" s="99">
        <f ca="1">IF(Readings[[#This Row],[Epoch]]=OFFSET(Readings[[#This Row],[Epoch]],-1,0),0,1)</f>
        <v>0</v>
      </c>
    </row>
    <row r="73" spans="4:22" x14ac:dyDescent="0.2">
      <c r="D73" s="32">
        <v>45743.493055555555</v>
      </c>
      <c r="E73" s="33" t="s">
        <v>189</v>
      </c>
      <c r="F73" s="34">
        <v>60060.639000000003</v>
      </c>
      <c r="G73" s="34">
        <v>363837.32299999997</v>
      </c>
      <c r="H73" s="34">
        <v>18.783000000000001</v>
      </c>
      <c r="I73" s="33" t="s">
        <v>85</v>
      </c>
      <c r="J73" s="33" t="s">
        <v>90</v>
      </c>
      <c r="K73" s="33">
        <v>25.5</v>
      </c>
      <c r="L73" s="33">
        <v>1016.8</v>
      </c>
      <c r="M73" s="33">
        <v>77</v>
      </c>
      <c r="N73" s="33"/>
      <c r="O73" s="93">
        <f>IFERROR(IF(Readings[[#This Row],[Obs. X]]="","-",Readings[[#This Row],[Obs. X]]-_xlfn.XLOOKUP(Readings[[#This Row],[Sensor ID]],Table_Baseline[Sensor ID],Table_Baseline[Easting '[m']],"-")),"-")</f>
        <v>-9.9999999656574801E-4</v>
      </c>
      <c r="P73" s="93">
        <f>IFERROR(IF(Readings[[#This Row],[Obs. Y]]="","-",Readings[[#This Row],[Obs. Y]]-_xlfn.XLOOKUP(Readings[[#This Row],[Sensor ID]],Table_Baseline[Sensor ID],Table_Baseline[Northing '[m']],"-")),"-")</f>
        <v>9.9999998928979039E-4</v>
      </c>
      <c r="Q73" s="93">
        <f>IFERROR(IF(Readings[[#This Row],[Obs. Z]]="","-",Readings[[#This Row],[Obs. Z]]-_xlfn.XLOOKUP(Readings[[#This Row],[Sensor ID]],Table_Baseline[Sensor ID],Table_Baseline[Level '[m']],"-")),"-")</f>
        <v>-5.9999999999860165E-4</v>
      </c>
      <c r="R73" s="93">
        <f>IFERROR(IF(Readings[[#This Row],[Reference Angle]]="-","-",(Readings[[#This Row],[Diff E]]*COS(RADIANS(Readings[[#This Row],[Reference Angle]]))-Readings[[#This Row],[Diff N]]*SIN(RADIANS(Readings[[#This Row],[Reference Angle]])))),"-")</f>
        <v>-9.9999999656574801E-4</v>
      </c>
      <c r="S73" s="93">
        <f>IFERROR(IF(Readings[[#This Row],[Reference Angle]]="-","-",(Readings[[#This Row],[Diff E]]*SIN(RADIANS(Readings[[#This Row],[Reference Angle]]))+Readings[[#This Row],[Diff N]]*COS(RADIANS(Readings[[#This Row],[Reference Angle]])))),"-")</f>
        <v>9.9999998928979039E-4</v>
      </c>
      <c r="T73" s="94">
        <f>IFERROR(VLOOKUP(Readings[[#This Row],[Sensor ID]],Table_Baseline[],COLUMNS(Table_Baseline[[#Headers],[Sensor ID]:[Reference Angle '[Deg']]]),FALSE),"-")</f>
        <v>0</v>
      </c>
      <c r="U73" s="95" t="str">
        <f>Readings[[#This Row],[Sensor ID]]&amp;"-"&amp;Readings[[#This Row],[Epoch]]</f>
        <v>250-RL-OP-11020-45743.4930555556</v>
      </c>
      <c r="V73" s="99">
        <f ca="1">IF(Readings[[#This Row],[Epoch]]=OFFSET(Readings[[#This Row],[Epoch]],-1,0),0,1)</f>
        <v>0</v>
      </c>
    </row>
    <row r="74" spans="4:22" x14ac:dyDescent="0.2">
      <c r="D74" s="32">
        <v>45743.493055555555</v>
      </c>
      <c r="E74" s="151" t="s">
        <v>187</v>
      </c>
      <c r="F74" s="152">
        <v>60057.578000000001</v>
      </c>
      <c r="G74" s="152">
        <v>363838.09899999999</v>
      </c>
      <c r="H74" s="152">
        <v>18.776</v>
      </c>
      <c r="I74" s="33" t="s">
        <v>85</v>
      </c>
      <c r="J74" s="33" t="s">
        <v>90</v>
      </c>
      <c r="K74" s="33">
        <v>25.5</v>
      </c>
      <c r="L74" s="33">
        <v>1016.8</v>
      </c>
      <c r="M74" s="33">
        <v>77</v>
      </c>
      <c r="N74" s="151"/>
      <c r="O74" s="96">
        <f>IFERROR(IF(Readings[[#This Row],[Obs. X]]="","-",Readings[[#This Row],[Obs. X]]-_xlfn.XLOOKUP(Readings[[#This Row],[Sensor ID]],Table_Baseline[Sensor ID],Table_Baseline[Easting '[m']],"-")),"-")</f>
        <v>-9.9999999656574801E-4</v>
      </c>
      <c r="P74" s="96">
        <f>IFERROR(IF(Readings[[#This Row],[Obs. Y]]="","-",Readings[[#This Row],[Obs. Y]]-_xlfn.XLOOKUP(Readings[[#This Row],[Sensor ID]],Table_Baseline[Sensor ID],Table_Baseline[Northing '[m']],"-")),"-")</f>
        <v>9.9999998928979039E-4</v>
      </c>
      <c r="Q74" s="96">
        <f>IFERROR(IF(Readings[[#This Row],[Obs. Z]]="","-",Readings[[#This Row],[Obs. Z]]-_xlfn.XLOOKUP(Readings[[#This Row],[Sensor ID]],Table_Baseline[Sensor ID],Table_Baseline[Level '[m']],"-")),"-")</f>
        <v>0</v>
      </c>
      <c r="R74" s="96">
        <f>IFERROR(IF(Readings[[#This Row],[Reference Angle]]="-","-",(Readings[[#This Row],[Diff E]]*COS(RADIANS(Readings[[#This Row],[Reference Angle]]))-Readings[[#This Row],[Diff N]]*SIN(RADIANS(Readings[[#This Row],[Reference Angle]])))),"-")</f>
        <v>-9.9999999656574801E-4</v>
      </c>
      <c r="S74" s="96">
        <f>IFERROR(IF(Readings[[#This Row],[Reference Angle]]="-","-",(Readings[[#This Row],[Diff E]]*SIN(RADIANS(Readings[[#This Row],[Reference Angle]]))+Readings[[#This Row],[Diff N]]*COS(RADIANS(Readings[[#This Row],[Reference Angle]])))),"-")</f>
        <v>9.9999998928979039E-4</v>
      </c>
      <c r="T74" s="97">
        <f>IFERROR(VLOOKUP(Readings[[#This Row],[Sensor ID]],Table_Baseline[],COLUMNS(Table_Baseline[[#Headers],[Sensor ID]:[Reference Angle '[Deg']]]),FALSE),"-")</f>
        <v>0</v>
      </c>
      <c r="U74" s="98" t="str">
        <f>Readings[[#This Row],[Sensor ID]]&amp;"-"&amp;Readings[[#This Row],[Epoch]]</f>
        <v>250-RL-OP-11018-45743.4930555556</v>
      </c>
      <c r="V74" s="100">
        <f ca="1">IF(Readings[[#This Row],[Epoch]]=OFFSET(Readings[[#This Row],[Epoch]],-1,0),0,1)</f>
        <v>0</v>
      </c>
    </row>
    <row r="75" spans="4:22" x14ac:dyDescent="0.2">
      <c r="D75" s="32">
        <v>45743.493055555555</v>
      </c>
      <c r="E75" s="33" t="s">
        <v>185</v>
      </c>
      <c r="F75" s="34">
        <v>60054.885000000002</v>
      </c>
      <c r="G75" s="34">
        <v>363838.80499999999</v>
      </c>
      <c r="H75" s="34">
        <v>18.773</v>
      </c>
      <c r="I75" s="33" t="s">
        <v>85</v>
      </c>
      <c r="J75" s="33" t="s">
        <v>90</v>
      </c>
      <c r="K75" s="33">
        <v>25.5</v>
      </c>
      <c r="L75" s="33">
        <v>1016.8</v>
      </c>
      <c r="M75" s="33">
        <v>77</v>
      </c>
      <c r="N75" s="33"/>
      <c r="O75" s="93">
        <f>IFERROR(IF(Readings[[#This Row],[Obs. X]]="","-",Readings[[#This Row],[Obs. X]]-_xlfn.XLOOKUP(Readings[[#This Row],[Sensor ID]],Table_Baseline[Sensor ID],Table_Baseline[Easting '[m']],"-")),"-")</f>
        <v>-9.9999999656574801E-4</v>
      </c>
      <c r="P75" s="93">
        <f>IFERROR(IF(Readings[[#This Row],[Obs. Y]]="","-",Readings[[#This Row],[Obs. Y]]-_xlfn.XLOOKUP(Readings[[#This Row],[Sensor ID]],Table_Baseline[Sensor ID],Table_Baseline[Northing '[m']],"-")),"-")</f>
        <v>0</v>
      </c>
      <c r="Q75" s="93">
        <f>IFERROR(IF(Readings[[#This Row],[Obs. Z]]="","-",Readings[[#This Row],[Obs. Z]]-_xlfn.XLOOKUP(Readings[[#This Row],[Sensor ID]],Table_Baseline[Sensor ID],Table_Baseline[Level '[m']],"-")),"-")</f>
        <v>-9.9999999999766942E-5</v>
      </c>
      <c r="R75" s="93">
        <f>IFERROR(IF(Readings[[#This Row],[Reference Angle]]="-","-",(Readings[[#This Row],[Diff E]]*COS(RADIANS(Readings[[#This Row],[Reference Angle]]))-Readings[[#This Row],[Diff N]]*SIN(RADIANS(Readings[[#This Row],[Reference Angle]])))),"-")</f>
        <v>-9.9999999656574801E-4</v>
      </c>
      <c r="S75" s="93">
        <f>IFERROR(IF(Readings[[#This Row],[Reference Angle]]="-","-",(Readings[[#This Row],[Diff E]]*SIN(RADIANS(Readings[[#This Row],[Reference Angle]]))+Readings[[#This Row],[Diff N]]*COS(RADIANS(Readings[[#This Row],[Reference Angle]])))),"-")</f>
        <v>0</v>
      </c>
      <c r="T75" s="94">
        <f>IFERROR(VLOOKUP(Readings[[#This Row],[Sensor ID]],Table_Baseline[],COLUMNS(Table_Baseline[[#Headers],[Sensor ID]:[Reference Angle '[Deg']]]),FALSE),"-")</f>
        <v>0</v>
      </c>
      <c r="U75" s="95" t="str">
        <f>Readings[[#This Row],[Sensor ID]]&amp;"-"&amp;Readings[[#This Row],[Epoch]]</f>
        <v>250-RL-OP-11016-45743.4930555556</v>
      </c>
      <c r="V75" s="99">
        <f ca="1">IF(Readings[[#This Row],[Epoch]]=OFFSET(Readings[[#This Row],[Epoch]],-1,0),0,1)</f>
        <v>0</v>
      </c>
    </row>
    <row r="76" spans="4:22" x14ac:dyDescent="0.2">
      <c r="D76" s="32">
        <v>45743.493055555555</v>
      </c>
      <c r="E76" s="33" t="s">
        <v>183</v>
      </c>
      <c r="F76" s="34">
        <v>60051.987999999998</v>
      </c>
      <c r="G76" s="34">
        <v>363839.603</v>
      </c>
      <c r="H76" s="34">
        <v>18.77</v>
      </c>
      <c r="I76" s="33" t="s">
        <v>85</v>
      </c>
      <c r="J76" s="33" t="s">
        <v>90</v>
      </c>
      <c r="K76" s="33">
        <v>25.5</v>
      </c>
      <c r="L76" s="33">
        <v>1016.8</v>
      </c>
      <c r="M76" s="33">
        <v>77</v>
      </c>
      <c r="N76" s="33"/>
      <c r="O76" s="93">
        <f>IFERROR(IF(Readings[[#This Row],[Obs. X]]="","-",Readings[[#This Row],[Obs. X]]-_xlfn.XLOOKUP(Readings[[#This Row],[Sensor ID]],Table_Baseline[Sensor ID],Table_Baseline[Easting '[m']],"-")),"-")</f>
        <v>-1.0000000038417056E-3</v>
      </c>
      <c r="P76" s="93">
        <f>IFERROR(IF(Readings[[#This Row],[Obs. Y]]="","-",Readings[[#This Row],[Obs. Y]]-_xlfn.XLOOKUP(Readings[[#This Row],[Sensor ID]],Table_Baseline[Sensor ID],Table_Baseline[Northing '[m']],"-")),"-")</f>
        <v>0</v>
      </c>
      <c r="Q76" s="93">
        <f>IFERROR(IF(Readings[[#This Row],[Obs. Z]]="","-",Readings[[#This Row],[Obs. Z]]-_xlfn.XLOOKUP(Readings[[#This Row],[Sensor ID]],Table_Baseline[Sensor ID],Table_Baseline[Level '[m']],"-")),"-")</f>
        <v>-9.9999999999766942E-5</v>
      </c>
      <c r="R76" s="93">
        <f>IFERROR(IF(Readings[[#This Row],[Reference Angle]]="-","-",(Readings[[#This Row],[Diff E]]*COS(RADIANS(Readings[[#This Row],[Reference Angle]]))-Readings[[#This Row],[Diff N]]*SIN(RADIANS(Readings[[#This Row],[Reference Angle]])))),"-")</f>
        <v>-1.0000000038417056E-3</v>
      </c>
      <c r="S76" s="93">
        <f>IFERROR(IF(Readings[[#This Row],[Reference Angle]]="-","-",(Readings[[#This Row],[Diff E]]*SIN(RADIANS(Readings[[#This Row],[Reference Angle]]))+Readings[[#This Row],[Diff N]]*COS(RADIANS(Readings[[#This Row],[Reference Angle]])))),"-")</f>
        <v>0</v>
      </c>
      <c r="T76" s="94">
        <f>IFERROR(VLOOKUP(Readings[[#This Row],[Sensor ID]],Table_Baseline[],COLUMNS(Table_Baseline[[#Headers],[Sensor ID]:[Reference Angle '[Deg']]]),FALSE),"-")</f>
        <v>0</v>
      </c>
      <c r="U76" s="95" t="str">
        <f>Readings[[#This Row],[Sensor ID]]&amp;"-"&amp;Readings[[#This Row],[Epoch]]</f>
        <v>250-RL-OP-11014-45743.4930555556</v>
      </c>
      <c r="V76" s="99">
        <f ca="1">IF(Readings[[#This Row],[Epoch]]=OFFSET(Readings[[#This Row],[Epoch]],-1,0),0,1)</f>
        <v>0</v>
      </c>
    </row>
    <row r="77" spans="4:22" x14ac:dyDescent="0.2">
      <c r="D77" s="32">
        <v>45743.493055555555</v>
      </c>
      <c r="E77" s="33" t="s">
        <v>181</v>
      </c>
      <c r="F77" s="34">
        <v>60049.04</v>
      </c>
      <c r="G77" s="34">
        <v>363840.43400000001</v>
      </c>
      <c r="H77" s="34">
        <v>18.771000000000001</v>
      </c>
      <c r="I77" s="33" t="s">
        <v>85</v>
      </c>
      <c r="J77" s="33" t="s">
        <v>90</v>
      </c>
      <c r="K77" s="33">
        <v>25.5</v>
      </c>
      <c r="L77" s="33">
        <v>1016.8</v>
      </c>
      <c r="M77" s="33">
        <v>77</v>
      </c>
      <c r="N77" s="33"/>
      <c r="O77" s="93">
        <f>IFERROR(IF(Readings[[#This Row],[Obs. X]]="","-",Readings[[#This Row],[Obs. X]]-_xlfn.XLOOKUP(Readings[[#This Row],[Sensor ID]],Table_Baseline[Sensor ID],Table_Baseline[Easting '[m']],"-")),"-")</f>
        <v>-9.9999999656574801E-4</v>
      </c>
      <c r="P77" s="93">
        <f>IFERROR(IF(Readings[[#This Row],[Obs. Y]]="","-",Readings[[#This Row],[Obs. Y]]-_xlfn.XLOOKUP(Readings[[#This Row],[Sensor ID]],Table_Baseline[Sensor ID],Table_Baseline[Northing '[m']],"-")),"-")</f>
        <v>1.0000000474974513E-3</v>
      </c>
      <c r="Q77" s="93">
        <f>IFERROR(IF(Readings[[#This Row],[Obs. Z]]="","-",Readings[[#This Row],[Obs. Z]]-_xlfn.XLOOKUP(Readings[[#This Row],[Sensor ID]],Table_Baseline[Sensor ID],Table_Baseline[Level '[m']],"-")),"-")</f>
        <v>-9.9999999999766942E-5</v>
      </c>
      <c r="R77" s="93">
        <f>IFERROR(IF(Readings[[#This Row],[Reference Angle]]="-","-",(Readings[[#This Row],[Diff E]]*COS(RADIANS(Readings[[#This Row],[Reference Angle]]))-Readings[[#This Row],[Diff N]]*SIN(RADIANS(Readings[[#This Row],[Reference Angle]])))),"-")</f>
        <v>-9.9999999656574801E-4</v>
      </c>
      <c r="S77" s="93">
        <f>IFERROR(IF(Readings[[#This Row],[Reference Angle]]="-","-",(Readings[[#This Row],[Diff E]]*SIN(RADIANS(Readings[[#This Row],[Reference Angle]]))+Readings[[#This Row],[Diff N]]*COS(RADIANS(Readings[[#This Row],[Reference Angle]])))),"-")</f>
        <v>1.0000000474974513E-3</v>
      </c>
      <c r="T77" s="94">
        <f>IFERROR(VLOOKUP(Readings[[#This Row],[Sensor ID]],Table_Baseline[],COLUMNS(Table_Baseline[[#Headers],[Sensor ID]:[Reference Angle '[Deg']]]),FALSE),"-")</f>
        <v>0</v>
      </c>
      <c r="U77" s="95" t="str">
        <f>Readings[[#This Row],[Sensor ID]]&amp;"-"&amp;Readings[[#This Row],[Epoch]]</f>
        <v>250-RL-OP-11012-45743.4930555556</v>
      </c>
      <c r="V77" s="99">
        <f ca="1">IF(Readings[[#This Row],[Epoch]]=OFFSET(Readings[[#This Row],[Epoch]],-1,0),0,1)</f>
        <v>0</v>
      </c>
    </row>
    <row r="78" spans="4:22" x14ac:dyDescent="0.2">
      <c r="D78" s="32">
        <v>45743.493055555555</v>
      </c>
      <c r="E78" s="33" t="s">
        <v>179</v>
      </c>
      <c r="F78" s="34">
        <v>60046.249000000003</v>
      </c>
      <c r="G78" s="34">
        <v>363841.22600000002</v>
      </c>
      <c r="H78" s="34">
        <v>18.77</v>
      </c>
      <c r="I78" s="33" t="s">
        <v>85</v>
      </c>
      <c r="J78" s="33" t="s">
        <v>90</v>
      </c>
      <c r="K78" s="33">
        <v>25.5</v>
      </c>
      <c r="L78" s="33">
        <v>1016.8</v>
      </c>
      <c r="M78" s="33">
        <v>77</v>
      </c>
      <c r="N78" s="33"/>
      <c r="O78" s="93">
        <f>IFERROR(IF(Readings[[#This Row],[Obs. X]]="","-",Readings[[#This Row],[Obs. X]]-_xlfn.XLOOKUP(Readings[[#This Row],[Sensor ID]],Table_Baseline[Sensor ID],Table_Baseline[Easting '[m']],"-")),"-")</f>
        <v>-9.9999999656574801E-4</v>
      </c>
      <c r="P78" s="93">
        <f>IFERROR(IF(Readings[[#This Row],[Obs. Y]]="","-",Readings[[#This Row],[Obs. Y]]-_xlfn.XLOOKUP(Readings[[#This Row],[Sensor ID]],Table_Baseline[Sensor ID],Table_Baseline[Northing '[m']],"-")),"-")</f>
        <v>0</v>
      </c>
      <c r="Q78" s="93">
        <f>IFERROR(IF(Readings[[#This Row],[Obs. Z]]="","-",Readings[[#This Row],[Obs. Z]]-_xlfn.XLOOKUP(Readings[[#This Row],[Sensor ID]],Table_Baseline[Sensor ID],Table_Baseline[Level '[m']],"-")),"-")</f>
        <v>1.9999999999953388E-4</v>
      </c>
      <c r="R78" s="93">
        <f>IFERROR(IF(Readings[[#This Row],[Reference Angle]]="-","-",(Readings[[#This Row],[Diff E]]*COS(RADIANS(Readings[[#This Row],[Reference Angle]]))-Readings[[#This Row],[Diff N]]*SIN(RADIANS(Readings[[#This Row],[Reference Angle]])))),"-")</f>
        <v>-9.9999999656574801E-4</v>
      </c>
      <c r="S78" s="93">
        <f>IFERROR(IF(Readings[[#This Row],[Reference Angle]]="-","-",(Readings[[#This Row],[Diff E]]*SIN(RADIANS(Readings[[#This Row],[Reference Angle]]))+Readings[[#This Row],[Diff N]]*COS(RADIANS(Readings[[#This Row],[Reference Angle]])))),"-")</f>
        <v>0</v>
      </c>
      <c r="T78" s="94">
        <f>IFERROR(VLOOKUP(Readings[[#This Row],[Sensor ID]],Table_Baseline[],COLUMNS(Table_Baseline[[#Headers],[Sensor ID]:[Reference Angle '[Deg']]]),FALSE),"-")</f>
        <v>0</v>
      </c>
      <c r="U78" s="95" t="str">
        <f>Readings[[#This Row],[Sensor ID]]&amp;"-"&amp;Readings[[#This Row],[Epoch]]</f>
        <v>250-RL-OP-11010-45743.4930555556</v>
      </c>
      <c r="V78" s="99">
        <f ca="1">IF(Readings[[#This Row],[Epoch]]=OFFSET(Readings[[#This Row],[Epoch]],-1,0),0,1)</f>
        <v>0</v>
      </c>
    </row>
    <row r="79" spans="4:22" x14ac:dyDescent="0.2">
      <c r="D79" s="32">
        <v>45743.493055555555</v>
      </c>
      <c r="E79" s="33" t="s">
        <v>177</v>
      </c>
      <c r="F79" s="34">
        <v>60043.440999999999</v>
      </c>
      <c r="G79" s="34">
        <v>363842.04000000004</v>
      </c>
      <c r="H79" s="34">
        <v>18.768999999999998</v>
      </c>
      <c r="I79" s="33" t="s">
        <v>85</v>
      </c>
      <c r="J79" s="33" t="s">
        <v>90</v>
      </c>
      <c r="K79" s="33">
        <v>25.5</v>
      </c>
      <c r="L79" s="33">
        <v>1016.8</v>
      </c>
      <c r="M79" s="33">
        <v>77</v>
      </c>
      <c r="N79" s="33"/>
      <c r="O79" s="93">
        <f>IFERROR(IF(Readings[[#This Row],[Obs. X]]="","-",Readings[[#This Row],[Obs. X]]-_xlfn.XLOOKUP(Readings[[#This Row],[Sensor ID]],Table_Baseline[Sensor ID],Table_Baseline[Easting '[m']],"-")),"-")</f>
        <v>0</v>
      </c>
      <c r="P79" s="93">
        <f>IFERROR(IF(Readings[[#This Row],[Obs. Y]]="","-",Readings[[#This Row],[Obs. Y]]-_xlfn.XLOOKUP(Readings[[#This Row],[Sensor ID]],Table_Baseline[Sensor ID],Table_Baseline[Northing '[m']],"-")),"-")</f>
        <v>0</v>
      </c>
      <c r="Q79" s="93">
        <f>IFERROR(IF(Readings[[#This Row],[Obs. Z]]="","-",Readings[[#This Row],[Obs. Z]]-_xlfn.XLOOKUP(Readings[[#This Row],[Sensor ID]],Table_Baseline[Sensor ID],Table_Baseline[Level '[m']],"-")),"-")</f>
        <v>6.9999999999836859E-4</v>
      </c>
      <c r="R79" s="93">
        <f>IFERROR(IF(Readings[[#This Row],[Reference Angle]]="-","-",(Readings[[#This Row],[Diff E]]*COS(RADIANS(Readings[[#This Row],[Reference Angle]]))-Readings[[#This Row],[Diff N]]*SIN(RADIANS(Readings[[#This Row],[Reference Angle]])))),"-")</f>
        <v>0</v>
      </c>
      <c r="S79" s="93">
        <f>IFERROR(IF(Readings[[#This Row],[Reference Angle]]="-","-",(Readings[[#This Row],[Diff E]]*SIN(RADIANS(Readings[[#This Row],[Reference Angle]]))+Readings[[#This Row],[Diff N]]*COS(RADIANS(Readings[[#This Row],[Reference Angle]])))),"-")</f>
        <v>0</v>
      </c>
      <c r="T79" s="94">
        <f>IFERROR(VLOOKUP(Readings[[#This Row],[Sensor ID]],Table_Baseline[],COLUMNS(Table_Baseline[[#Headers],[Sensor ID]:[Reference Angle '[Deg']]]),FALSE),"-")</f>
        <v>0</v>
      </c>
      <c r="U79" s="95" t="str">
        <f>Readings[[#This Row],[Sensor ID]]&amp;"-"&amp;Readings[[#This Row],[Epoch]]</f>
        <v>250-RL-OP-11008-45743.4930555556</v>
      </c>
      <c r="V79" s="99">
        <f ca="1">IF(Readings[[#This Row],[Epoch]]=OFFSET(Readings[[#This Row],[Epoch]],-1,0),0,1)</f>
        <v>0</v>
      </c>
    </row>
    <row r="80" spans="4:22" x14ac:dyDescent="0.2">
      <c r="D80" s="32">
        <v>45743.493055555555</v>
      </c>
      <c r="E80" s="33" t="s">
        <v>175</v>
      </c>
      <c r="F80" s="34">
        <v>60040.606</v>
      </c>
      <c r="G80" s="34">
        <v>363842.86100000003</v>
      </c>
      <c r="H80" s="34">
        <v>18.771999999999998</v>
      </c>
      <c r="I80" s="33" t="s">
        <v>85</v>
      </c>
      <c r="J80" s="33" t="s">
        <v>90</v>
      </c>
      <c r="K80" s="33">
        <v>25.5</v>
      </c>
      <c r="L80" s="33">
        <v>1016.8</v>
      </c>
      <c r="M80" s="33">
        <v>77</v>
      </c>
      <c r="N80" s="33"/>
      <c r="O80" s="93">
        <f>IFERROR(IF(Readings[[#This Row],[Obs. X]]="","-",Readings[[#This Row],[Obs. X]]-_xlfn.XLOOKUP(Readings[[#This Row],[Sensor ID]],Table_Baseline[Sensor ID],Table_Baseline[Easting '[m']],"-")),"-")</f>
        <v>-1.0000000038417056E-3</v>
      </c>
      <c r="P80" s="93">
        <f>IFERROR(IF(Readings[[#This Row],[Obs. Y]]="","-",Readings[[#This Row],[Obs. Y]]-_xlfn.XLOOKUP(Readings[[#This Row],[Sensor ID]],Table_Baseline[Sensor ID],Table_Baseline[Northing '[m']],"-")),"-")</f>
        <v>0</v>
      </c>
      <c r="Q80" s="93">
        <f>IFERROR(IF(Readings[[#This Row],[Obs. Z]]="","-",Readings[[#This Row],[Obs. Z]]-_xlfn.XLOOKUP(Readings[[#This Row],[Sensor ID]],Table_Baseline[Sensor ID],Table_Baseline[Level '[m']],"-")),"-")</f>
        <v>0</v>
      </c>
      <c r="R80" s="93">
        <f>IFERROR(IF(Readings[[#This Row],[Reference Angle]]="-","-",(Readings[[#This Row],[Diff E]]*COS(RADIANS(Readings[[#This Row],[Reference Angle]]))-Readings[[#This Row],[Diff N]]*SIN(RADIANS(Readings[[#This Row],[Reference Angle]])))),"-")</f>
        <v>-1.0000000038417056E-3</v>
      </c>
      <c r="S80" s="93">
        <f>IFERROR(IF(Readings[[#This Row],[Reference Angle]]="-","-",(Readings[[#This Row],[Diff E]]*SIN(RADIANS(Readings[[#This Row],[Reference Angle]]))+Readings[[#This Row],[Diff N]]*COS(RADIANS(Readings[[#This Row],[Reference Angle]])))),"-")</f>
        <v>0</v>
      </c>
      <c r="T80" s="94">
        <f>IFERROR(VLOOKUP(Readings[[#This Row],[Sensor ID]],Table_Baseline[],COLUMNS(Table_Baseline[[#Headers],[Sensor ID]:[Reference Angle '[Deg']]]),FALSE),"-")</f>
        <v>0</v>
      </c>
      <c r="U80" s="95" t="str">
        <f>Readings[[#This Row],[Sensor ID]]&amp;"-"&amp;Readings[[#This Row],[Epoch]]</f>
        <v>250-RL-OP-11006-45743.4930555556</v>
      </c>
      <c r="V80" s="99">
        <f ca="1">IF(Readings[[#This Row],[Epoch]]=OFFSET(Readings[[#This Row],[Epoch]],-1,0),0,1)</f>
        <v>0</v>
      </c>
    </row>
    <row r="81" spans="4:22" x14ac:dyDescent="0.2">
      <c r="D81" s="32">
        <v>45743.493055555555</v>
      </c>
      <c r="E81" s="33" t="s">
        <v>173</v>
      </c>
      <c r="F81" s="34">
        <v>60037.803999999996</v>
      </c>
      <c r="G81" s="34">
        <v>363843.65700000001</v>
      </c>
      <c r="H81" s="34">
        <v>18.779</v>
      </c>
      <c r="I81" s="33" t="s">
        <v>85</v>
      </c>
      <c r="J81" s="33" t="s">
        <v>90</v>
      </c>
      <c r="K81" s="33">
        <v>25.5</v>
      </c>
      <c r="L81" s="33">
        <v>1016.8</v>
      </c>
      <c r="M81" s="33">
        <v>77</v>
      </c>
      <c r="N81" s="33"/>
      <c r="O81" s="93">
        <f>IFERROR(IF(Readings[[#This Row],[Obs. X]]="","-",Readings[[#This Row],[Obs. X]]-_xlfn.XLOOKUP(Readings[[#This Row],[Sensor ID]],Table_Baseline[Sensor ID],Table_Baseline[Easting '[m']],"-")),"-")</f>
        <v>-1.0000000038417056E-3</v>
      </c>
      <c r="P81" s="93">
        <f>IFERROR(IF(Readings[[#This Row],[Obs. Y]]="","-",Readings[[#This Row],[Obs. Y]]-_xlfn.XLOOKUP(Readings[[#This Row],[Sensor ID]],Table_Baseline[Sensor ID],Table_Baseline[Northing '[m']],"-")),"-")</f>
        <v>0</v>
      </c>
      <c r="Q81" s="93">
        <f>IFERROR(IF(Readings[[#This Row],[Obs. Z]]="","-",Readings[[#This Row],[Obs. Z]]-_xlfn.XLOOKUP(Readings[[#This Row],[Sensor ID]],Table_Baseline[Sensor ID],Table_Baseline[Level '[m']],"-")),"-")</f>
        <v>4.9999999999883471E-4</v>
      </c>
      <c r="R81" s="93">
        <f>IFERROR(IF(Readings[[#This Row],[Reference Angle]]="-","-",(Readings[[#This Row],[Diff E]]*COS(RADIANS(Readings[[#This Row],[Reference Angle]]))-Readings[[#This Row],[Diff N]]*SIN(RADIANS(Readings[[#This Row],[Reference Angle]])))),"-")</f>
        <v>-1.0000000038417056E-3</v>
      </c>
      <c r="S81" s="93">
        <f>IFERROR(IF(Readings[[#This Row],[Reference Angle]]="-","-",(Readings[[#This Row],[Diff E]]*SIN(RADIANS(Readings[[#This Row],[Reference Angle]]))+Readings[[#This Row],[Diff N]]*COS(RADIANS(Readings[[#This Row],[Reference Angle]])))),"-")</f>
        <v>0</v>
      </c>
      <c r="T81" s="94">
        <f>IFERROR(VLOOKUP(Readings[[#This Row],[Sensor ID]],Table_Baseline[],COLUMNS(Table_Baseline[[#Headers],[Sensor ID]:[Reference Angle '[Deg']]]),FALSE),"-")</f>
        <v>0</v>
      </c>
      <c r="U81" s="95" t="str">
        <f>Readings[[#This Row],[Sensor ID]]&amp;"-"&amp;Readings[[#This Row],[Epoch]]</f>
        <v>250-RL-OP-11004-45743.4930555556</v>
      </c>
      <c r="V81" s="99">
        <f ca="1">IF(Readings[[#This Row],[Epoch]]=OFFSET(Readings[[#This Row],[Epoch]],-1,0),0,1)</f>
        <v>0</v>
      </c>
    </row>
    <row r="82" spans="4:22" x14ac:dyDescent="0.2">
      <c r="D82" s="32">
        <v>45743.493055555555</v>
      </c>
      <c r="E82" s="33" t="s">
        <v>172</v>
      </c>
      <c r="F82" s="34">
        <v>60035.339</v>
      </c>
      <c r="G82" s="34">
        <v>363845.73800000001</v>
      </c>
      <c r="H82" s="34">
        <v>18.782</v>
      </c>
      <c r="I82" s="33" t="s">
        <v>85</v>
      </c>
      <c r="J82" s="33" t="s">
        <v>90</v>
      </c>
      <c r="K82" s="33">
        <v>25.5</v>
      </c>
      <c r="L82" s="33">
        <v>1016.8</v>
      </c>
      <c r="M82" s="33">
        <v>77</v>
      </c>
      <c r="N82" s="33"/>
      <c r="O82" s="93">
        <f>IFERROR(IF(Readings[[#This Row],[Obs. X]]="","-",Readings[[#This Row],[Obs. X]]-_xlfn.XLOOKUP(Readings[[#This Row],[Sensor ID]],Table_Baseline[Sensor ID],Table_Baseline[Easting '[m']],"-")),"-")</f>
        <v>-9.9999999656574801E-4</v>
      </c>
      <c r="P82" s="93">
        <f>IFERROR(IF(Readings[[#This Row],[Obs. Y]]="","-",Readings[[#This Row],[Obs. Y]]-_xlfn.XLOOKUP(Readings[[#This Row],[Sensor ID]],Table_Baseline[Sensor ID],Table_Baseline[Northing '[m']],"-")),"-")</f>
        <v>-9.9999998928979039E-4</v>
      </c>
      <c r="Q82" s="93">
        <f>IFERROR(IF(Readings[[#This Row],[Obs. Z]]="","-",Readings[[#This Row],[Obs. Z]]-_xlfn.XLOOKUP(Readings[[#This Row],[Sensor ID]],Table_Baseline[Sensor ID],Table_Baseline[Level '[m']],"-")),"-")</f>
        <v>0</v>
      </c>
      <c r="R82" s="93">
        <f>IFERROR(IF(Readings[[#This Row],[Reference Angle]]="-","-",(Readings[[#This Row],[Diff E]]*COS(RADIANS(Readings[[#This Row],[Reference Angle]]))-Readings[[#This Row],[Diff N]]*SIN(RADIANS(Readings[[#This Row],[Reference Angle]])))),"-")</f>
        <v>-9.9999999656574801E-4</v>
      </c>
      <c r="S82" s="93">
        <f>IFERROR(IF(Readings[[#This Row],[Reference Angle]]="-","-",(Readings[[#This Row],[Diff E]]*SIN(RADIANS(Readings[[#This Row],[Reference Angle]]))+Readings[[#This Row],[Diff N]]*COS(RADIANS(Readings[[#This Row],[Reference Angle]])))),"-")</f>
        <v>-9.9999998928979039E-4</v>
      </c>
      <c r="T82" s="94">
        <f>IFERROR(VLOOKUP(Readings[[#This Row],[Sensor ID]],Table_Baseline[],COLUMNS(Table_Baseline[[#Headers],[Sensor ID]:[Reference Angle '[Deg']]]),FALSE),"-")</f>
        <v>0</v>
      </c>
      <c r="U82" s="95" t="str">
        <f>Readings[[#This Row],[Sensor ID]]&amp;"-"&amp;Readings[[#This Row],[Epoch]]</f>
        <v>250-RL-OP-11001-45743.4930555556</v>
      </c>
      <c r="V82" s="99">
        <f ca="1">IF(Readings[[#This Row],[Epoch]]=OFFSET(Readings[[#This Row],[Epoch]],-1,0),0,1)</f>
        <v>0</v>
      </c>
    </row>
    <row r="83" spans="4:22" x14ac:dyDescent="0.2">
      <c r="D83" s="32">
        <v>45743.493055555555</v>
      </c>
      <c r="E83" s="33" t="s">
        <v>171</v>
      </c>
      <c r="F83" s="34">
        <v>60034.959000000003</v>
      </c>
      <c r="G83" s="34">
        <v>363844.47</v>
      </c>
      <c r="H83" s="34">
        <v>18.777999999999999</v>
      </c>
      <c r="I83" s="33" t="s">
        <v>85</v>
      </c>
      <c r="J83" s="33" t="s">
        <v>90</v>
      </c>
      <c r="K83" s="33">
        <v>25.5</v>
      </c>
      <c r="L83" s="33">
        <v>1016.8</v>
      </c>
      <c r="M83" s="33">
        <v>77</v>
      </c>
      <c r="N83" s="33"/>
      <c r="O83" s="93">
        <f>IFERROR(IF(Readings[[#This Row],[Obs. X]]="","-",Readings[[#This Row],[Obs. X]]-_xlfn.XLOOKUP(Readings[[#This Row],[Sensor ID]],Table_Baseline[Sensor ID],Table_Baseline[Easting '[m']],"-")),"-")</f>
        <v>0</v>
      </c>
      <c r="P83" s="93">
        <f>IFERROR(IF(Readings[[#This Row],[Obs. Y]]="","-",Readings[[#This Row],[Obs. Y]]-_xlfn.XLOOKUP(Readings[[#This Row],[Sensor ID]],Table_Baseline[Sensor ID],Table_Baseline[Northing '[m']],"-")),"-")</f>
        <v>-1.0000000474974513E-3</v>
      </c>
      <c r="Q83" s="93">
        <f>IFERROR(IF(Readings[[#This Row],[Obs. Z]]="","-",Readings[[#This Row],[Obs. Z]]-_xlfn.XLOOKUP(Readings[[#This Row],[Sensor ID]],Table_Baseline[Sensor ID],Table_Baseline[Level '[m']],"-")),"-")</f>
        <v>-9.9999999999766942E-5</v>
      </c>
      <c r="R83" s="93">
        <f>IFERROR(IF(Readings[[#This Row],[Reference Angle]]="-","-",(Readings[[#This Row],[Diff E]]*COS(RADIANS(Readings[[#This Row],[Reference Angle]]))-Readings[[#This Row],[Diff N]]*SIN(RADIANS(Readings[[#This Row],[Reference Angle]])))),"-")</f>
        <v>0</v>
      </c>
      <c r="S83" s="93">
        <f>IFERROR(IF(Readings[[#This Row],[Reference Angle]]="-","-",(Readings[[#This Row],[Diff E]]*SIN(RADIANS(Readings[[#This Row],[Reference Angle]]))+Readings[[#This Row],[Diff N]]*COS(RADIANS(Readings[[#This Row],[Reference Angle]])))),"-")</f>
        <v>-1.0000000474974513E-3</v>
      </c>
      <c r="T83" s="94">
        <f>IFERROR(VLOOKUP(Readings[[#This Row],[Sensor ID]],Table_Baseline[],COLUMNS(Table_Baseline[[#Headers],[Sensor ID]:[Reference Angle '[Deg']]]),FALSE),"-")</f>
        <v>0</v>
      </c>
      <c r="U83" s="95" t="str">
        <f>Readings[[#This Row],[Sensor ID]]&amp;"-"&amp;Readings[[#This Row],[Epoch]]</f>
        <v>250-RL-OP-11002-45743.4930555556</v>
      </c>
      <c r="V83" s="99">
        <f ca="1">IF(Readings[[#This Row],[Epoch]]=OFFSET(Readings[[#This Row],[Epoch]],-1,0),0,1)</f>
        <v>0</v>
      </c>
    </row>
    <row r="84" spans="4:22" x14ac:dyDescent="0.2">
      <c r="D84" s="32">
        <v>45743.493055555555</v>
      </c>
      <c r="E84" s="33" t="s">
        <v>170</v>
      </c>
      <c r="F84" s="34">
        <v>60060.065000000002</v>
      </c>
      <c r="G84" s="34">
        <v>363836.02399999998</v>
      </c>
      <c r="H84" s="34">
        <v>19.356999999999999</v>
      </c>
      <c r="I84" s="33" t="s">
        <v>85</v>
      </c>
      <c r="J84" s="33" t="s">
        <v>90</v>
      </c>
      <c r="K84" s="33">
        <v>25.5</v>
      </c>
      <c r="L84" s="33">
        <v>1016.8</v>
      </c>
      <c r="M84" s="33">
        <v>77</v>
      </c>
      <c r="N84" s="33"/>
      <c r="O84" s="93" t="str">
        <f>IFERROR(IF(Readings[[#This Row],[Obs. X]]="","-",Readings[[#This Row],[Obs. X]]-_xlfn.XLOOKUP(Readings[[#This Row],[Sensor ID]],Table_Baseline[Sensor ID],Table_Baseline[Easting '[m']],"-")),"-")</f>
        <v>-</v>
      </c>
      <c r="P84" s="93" t="str">
        <f>IFERROR(IF(Readings[[#This Row],[Obs. Y]]="","-",Readings[[#This Row],[Obs. Y]]-_xlfn.XLOOKUP(Readings[[#This Row],[Sensor ID]],Table_Baseline[Sensor ID],Table_Baseline[Northing '[m']],"-")),"-")</f>
        <v>-</v>
      </c>
      <c r="Q84" s="93" t="str">
        <f>IFERROR(IF(Readings[[#This Row],[Obs. Z]]="","-",Readings[[#This Row],[Obs. Z]]-_xlfn.XLOOKUP(Readings[[#This Row],[Sensor ID]],Table_Baseline[Sensor ID],Table_Baseline[Level '[m']],"-")),"-")</f>
        <v>-</v>
      </c>
      <c r="R84" s="93" t="str">
        <f>IFERROR(IF(Readings[[#This Row],[Reference Angle]]="-","-",(Readings[[#This Row],[Diff E]]*COS(RADIANS(Readings[[#This Row],[Reference Angle]]))-Readings[[#This Row],[Diff N]]*SIN(RADIANS(Readings[[#This Row],[Reference Angle]])))),"-")</f>
        <v>-</v>
      </c>
      <c r="S84" s="93" t="str">
        <f>IFERROR(IF(Readings[[#This Row],[Reference Angle]]="-","-",(Readings[[#This Row],[Diff E]]*SIN(RADIANS(Readings[[#This Row],[Reference Angle]]))+Readings[[#This Row],[Diff N]]*COS(RADIANS(Readings[[#This Row],[Reference Angle]])))),"-")</f>
        <v>-</v>
      </c>
      <c r="T84" s="94" t="str">
        <f>IFERROR(VLOOKUP(Readings[[#This Row],[Sensor ID]],Table_Baseline[],COLUMNS(Table_Baseline[[#Headers],[Sensor ID]:[Reference Angle '[Deg']]]),FALSE),"-")</f>
        <v>-</v>
      </c>
      <c r="U84" s="95" t="str">
        <f>Readings[[#This Row],[Sensor ID]]&amp;"-"&amp;Readings[[#This Row],[Epoch]]</f>
        <v>250-ST-OP-505-45743.4930555556</v>
      </c>
      <c r="V84" s="99">
        <f ca="1">IF(Readings[[#This Row],[Epoch]]=OFFSET(Readings[[#This Row],[Epoch]],-1,0),0,1)</f>
        <v>0</v>
      </c>
    </row>
    <row r="85" spans="4:22" x14ac:dyDescent="0.2">
      <c r="D85" s="32">
        <v>45743.493055555555</v>
      </c>
      <c r="E85" s="33" t="s">
        <v>166</v>
      </c>
      <c r="F85" s="34">
        <v>60040.286</v>
      </c>
      <c r="G85" s="34">
        <v>363841.73</v>
      </c>
      <c r="H85" s="34">
        <v>19.321999999999999</v>
      </c>
      <c r="I85" s="33" t="s">
        <v>85</v>
      </c>
      <c r="J85" s="33" t="s">
        <v>90</v>
      </c>
      <c r="K85" s="33">
        <v>25.5</v>
      </c>
      <c r="L85" s="33">
        <v>1016.8</v>
      </c>
      <c r="M85" s="33">
        <v>77</v>
      </c>
      <c r="N85" s="33"/>
      <c r="O85" s="93" t="str">
        <f>IFERROR(IF(Readings[[#This Row],[Obs. X]]="","-",Readings[[#This Row],[Obs. X]]-_xlfn.XLOOKUP(Readings[[#This Row],[Sensor ID]],Table_Baseline[Sensor ID],Table_Baseline[Easting '[m']],"-")),"-")</f>
        <v>-</v>
      </c>
      <c r="P85" s="93" t="str">
        <f>IFERROR(IF(Readings[[#This Row],[Obs. Y]]="","-",Readings[[#This Row],[Obs. Y]]-_xlfn.XLOOKUP(Readings[[#This Row],[Sensor ID]],Table_Baseline[Sensor ID],Table_Baseline[Northing '[m']],"-")),"-")</f>
        <v>-</v>
      </c>
      <c r="Q85" s="93" t="str">
        <f>IFERROR(IF(Readings[[#This Row],[Obs. Z]]="","-",Readings[[#This Row],[Obs. Z]]-_xlfn.XLOOKUP(Readings[[#This Row],[Sensor ID]],Table_Baseline[Sensor ID],Table_Baseline[Level '[m']],"-")),"-")</f>
        <v>-</v>
      </c>
      <c r="R85" s="93" t="str">
        <f>IFERROR(IF(Readings[[#This Row],[Reference Angle]]="-","-",(Readings[[#This Row],[Diff E]]*COS(RADIANS(Readings[[#This Row],[Reference Angle]]))-Readings[[#This Row],[Diff N]]*SIN(RADIANS(Readings[[#This Row],[Reference Angle]])))),"-")</f>
        <v>-</v>
      </c>
      <c r="S85" s="93" t="str">
        <f>IFERROR(IF(Readings[[#This Row],[Reference Angle]]="-","-",(Readings[[#This Row],[Diff E]]*SIN(RADIANS(Readings[[#This Row],[Reference Angle]]))+Readings[[#This Row],[Diff N]]*COS(RADIANS(Readings[[#This Row],[Reference Angle]])))),"-")</f>
        <v>-</v>
      </c>
      <c r="T85" s="94" t="str">
        <f>IFERROR(VLOOKUP(Readings[[#This Row],[Sensor ID]],Table_Baseline[],COLUMNS(Table_Baseline[[#Headers],[Sensor ID]:[Reference Angle '[Deg']]]),FALSE),"-")</f>
        <v>-</v>
      </c>
      <c r="U85" s="95" t="str">
        <f>Readings[[#This Row],[Sensor ID]]&amp;"-"&amp;Readings[[#This Row],[Epoch]]</f>
        <v>250-ST-OP-501-45743.4930555556</v>
      </c>
      <c r="V85" s="99">
        <f ca="1">IF(Readings[[#This Row],[Epoch]]=OFFSET(Readings[[#This Row],[Epoch]],-1,0),0,1)</f>
        <v>0</v>
      </c>
    </row>
    <row r="86" spans="4:22" x14ac:dyDescent="0.2">
      <c r="D86" s="32">
        <v>45743.493055555555</v>
      </c>
      <c r="E86" s="33" t="s">
        <v>165</v>
      </c>
      <c r="F86" s="34">
        <v>60034.538999999997</v>
      </c>
      <c r="G86" s="34">
        <v>363843.38199999998</v>
      </c>
      <c r="H86" s="34">
        <v>19.331</v>
      </c>
      <c r="I86" s="33" t="s">
        <v>85</v>
      </c>
      <c r="J86" s="33" t="s">
        <v>90</v>
      </c>
      <c r="K86" s="33">
        <v>25.5</v>
      </c>
      <c r="L86" s="33">
        <v>1016.8</v>
      </c>
      <c r="M86" s="33">
        <v>77</v>
      </c>
      <c r="N86" s="33"/>
      <c r="O86" s="93" t="str">
        <f>IFERROR(IF(Readings[[#This Row],[Obs. X]]="","-",Readings[[#This Row],[Obs. X]]-_xlfn.XLOOKUP(Readings[[#This Row],[Sensor ID]],Table_Baseline[Sensor ID],Table_Baseline[Easting '[m']],"-")),"-")</f>
        <v>-</v>
      </c>
      <c r="P86" s="93" t="str">
        <f>IFERROR(IF(Readings[[#This Row],[Obs. Y]]="","-",Readings[[#This Row],[Obs. Y]]-_xlfn.XLOOKUP(Readings[[#This Row],[Sensor ID]],Table_Baseline[Sensor ID],Table_Baseline[Northing '[m']],"-")),"-")</f>
        <v>-</v>
      </c>
      <c r="Q86" s="93" t="str">
        <f>IFERROR(IF(Readings[[#This Row],[Obs. Z]]="","-",Readings[[#This Row],[Obs. Z]]-_xlfn.XLOOKUP(Readings[[#This Row],[Sensor ID]],Table_Baseline[Sensor ID],Table_Baseline[Level '[m']],"-")),"-")</f>
        <v>-</v>
      </c>
      <c r="R86" s="93" t="str">
        <f>IFERROR(IF(Readings[[#This Row],[Reference Angle]]="-","-",(Readings[[#This Row],[Diff E]]*COS(RADIANS(Readings[[#This Row],[Reference Angle]]))-Readings[[#This Row],[Diff N]]*SIN(RADIANS(Readings[[#This Row],[Reference Angle]])))),"-")</f>
        <v>-</v>
      </c>
      <c r="S86" s="93" t="str">
        <f>IFERROR(IF(Readings[[#This Row],[Reference Angle]]="-","-",(Readings[[#This Row],[Diff E]]*SIN(RADIANS(Readings[[#This Row],[Reference Angle]]))+Readings[[#This Row],[Diff N]]*COS(RADIANS(Readings[[#This Row],[Reference Angle]])))),"-")</f>
        <v>-</v>
      </c>
      <c r="T86" s="94" t="str">
        <f>IFERROR(VLOOKUP(Readings[[#This Row],[Sensor ID]],Table_Baseline[],COLUMNS(Table_Baseline[[#Headers],[Sensor ID]:[Reference Angle '[Deg']]]),FALSE),"-")</f>
        <v>-</v>
      </c>
      <c r="U86" s="95" t="str">
        <f>Readings[[#This Row],[Sensor ID]]&amp;"-"&amp;Readings[[#This Row],[Epoch]]</f>
        <v>250-ST-OP-500-45743.4930555556</v>
      </c>
      <c r="V86" s="99">
        <f ca="1">IF(Readings[[#This Row],[Epoch]]=OFFSET(Readings[[#This Row],[Epoch]],-1,0),0,1)</f>
        <v>0</v>
      </c>
    </row>
    <row r="87" spans="4:22" x14ac:dyDescent="0.2">
      <c r="D87" s="32">
        <v>45743.493055555555</v>
      </c>
      <c r="E87" s="33" t="s">
        <v>169</v>
      </c>
      <c r="F87" s="34">
        <v>60053.608</v>
      </c>
      <c r="G87" s="34">
        <v>363837.88199999998</v>
      </c>
      <c r="H87" s="34">
        <v>19.356999999999999</v>
      </c>
      <c r="I87" s="33" t="s">
        <v>85</v>
      </c>
      <c r="J87" s="33" t="s">
        <v>90</v>
      </c>
      <c r="K87" s="33">
        <v>25.5</v>
      </c>
      <c r="L87" s="33">
        <v>1016.8</v>
      </c>
      <c r="M87" s="33">
        <v>77</v>
      </c>
      <c r="N87" s="33"/>
      <c r="O87" s="93" t="str">
        <f>IFERROR(IF(Readings[[#This Row],[Obs. X]]="","-",Readings[[#This Row],[Obs. X]]-_xlfn.XLOOKUP(Readings[[#This Row],[Sensor ID]],Table_Baseline[Sensor ID],Table_Baseline[Easting '[m']],"-")),"-")</f>
        <v>-</v>
      </c>
      <c r="P87" s="93" t="str">
        <f>IFERROR(IF(Readings[[#This Row],[Obs. Y]]="","-",Readings[[#This Row],[Obs. Y]]-_xlfn.XLOOKUP(Readings[[#This Row],[Sensor ID]],Table_Baseline[Sensor ID],Table_Baseline[Northing '[m']],"-")),"-")</f>
        <v>-</v>
      </c>
      <c r="Q87" s="93" t="str">
        <f>IFERROR(IF(Readings[[#This Row],[Obs. Z]]="","-",Readings[[#This Row],[Obs. Z]]-_xlfn.XLOOKUP(Readings[[#This Row],[Sensor ID]],Table_Baseline[Sensor ID],Table_Baseline[Level '[m']],"-")),"-")</f>
        <v>-</v>
      </c>
      <c r="R87" s="93" t="str">
        <f>IFERROR(IF(Readings[[#This Row],[Reference Angle]]="-","-",(Readings[[#This Row],[Diff E]]*COS(RADIANS(Readings[[#This Row],[Reference Angle]]))-Readings[[#This Row],[Diff N]]*SIN(RADIANS(Readings[[#This Row],[Reference Angle]])))),"-")</f>
        <v>-</v>
      </c>
      <c r="S87" s="93" t="str">
        <f>IFERROR(IF(Readings[[#This Row],[Reference Angle]]="-","-",(Readings[[#This Row],[Diff E]]*SIN(RADIANS(Readings[[#This Row],[Reference Angle]]))+Readings[[#This Row],[Diff N]]*COS(RADIANS(Readings[[#This Row],[Reference Angle]])))),"-")</f>
        <v>-</v>
      </c>
      <c r="T87" s="94" t="str">
        <f>IFERROR(VLOOKUP(Readings[[#This Row],[Sensor ID]],Table_Baseline[],COLUMNS(Table_Baseline[[#Headers],[Sensor ID]:[Reference Angle '[Deg']]]),FALSE),"-")</f>
        <v>-</v>
      </c>
      <c r="U87" s="95" t="str">
        <f>Readings[[#This Row],[Sensor ID]]&amp;"-"&amp;Readings[[#This Row],[Epoch]]</f>
        <v>250-ST-OP-504-45743.4930555556</v>
      </c>
      <c r="V87" s="99">
        <f ca="1">IF(Readings[[#This Row],[Epoch]]=OFFSET(Readings[[#This Row],[Epoch]],-1,0),0,1)</f>
        <v>0</v>
      </c>
    </row>
    <row r="88" spans="4:22" x14ac:dyDescent="0.2">
      <c r="D88" s="32">
        <v>45743.493055555555</v>
      </c>
      <c r="E88" s="33" t="s">
        <v>168</v>
      </c>
      <c r="F88" s="34">
        <v>60049.767</v>
      </c>
      <c r="G88" s="34">
        <v>363838.99300000002</v>
      </c>
      <c r="H88" s="34">
        <v>19.344999999999999</v>
      </c>
      <c r="I88" s="33" t="s">
        <v>85</v>
      </c>
      <c r="J88" s="33" t="s">
        <v>90</v>
      </c>
      <c r="K88" s="33">
        <v>25.5</v>
      </c>
      <c r="L88" s="33">
        <v>1016.8</v>
      </c>
      <c r="M88" s="33">
        <v>77</v>
      </c>
      <c r="N88" s="33"/>
      <c r="O88" s="93" t="str">
        <f>IFERROR(IF(Readings[[#This Row],[Obs. X]]="","-",Readings[[#This Row],[Obs. X]]-_xlfn.XLOOKUP(Readings[[#This Row],[Sensor ID]],Table_Baseline[Sensor ID],Table_Baseline[Easting '[m']],"-")),"-")</f>
        <v>-</v>
      </c>
      <c r="P88" s="93" t="str">
        <f>IFERROR(IF(Readings[[#This Row],[Obs. Y]]="","-",Readings[[#This Row],[Obs. Y]]-_xlfn.XLOOKUP(Readings[[#This Row],[Sensor ID]],Table_Baseline[Sensor ID],Table_Baseline[Northing '[m']],"-")),"-")</f>
        <v>-</v>
      </c>
      <c r="Q88" s="93" t="str">
        <f>IFERROR(IF(Readings[[#This Row],[Obs. Z]]="","-",Readings[[#This Row],[Obs. Z]]-_xlfn.XLOOKUP(Readings[[#This Row],[Sensor ID]],Table_Baseline[Sensor ID],Table_Baseline[Level '[m']],"-")),"-")</f>
        <v>-</v>
      </c>
      <c r="R88" s="93" t="str">
        <f>IFERROR(IF(Readings[[#This Row],[Reference Angle]]="-","-",(Readings[[#This Row],[Diff E]]*COS(RADIANS(Readings[[#This Row],[Reference Angle]]))-Readings[[#This Row],[Diff N]]*SIN(RADIANS(Readings[[#This Row],[Reference Angle]])))),"-")</f>
        <v>-</v>
      </c>
      <c r="S88" s="93" t="str">
        <f>IFERROR(IF(Readings[[#This Row],[Reference Angle]]="-","-",(Readings[[#This Row],[Diff E]]*SIN(RADIANS(Readings[[#This Row],[Reference Angle]]))+Readings[[#This Row],[Diff N]]*COS(RADIANS(Readings[[#This Row],[Reference Angle]])))),"-")</f>
        <v>-</v>
      </c>
      <c r="T88" s="94" t="str">
        <f>IFERROR(VLOOKUP(Readings[[#This Row],[Sensor ID]],Table_Baseline[],COLUMNS(Table_Baseline[[#Headers],[Sensor ID]:[Reference Angle '[Deg']]]),FALSE),"-")</f>
        <v>-</v>
      </c>
      <c r="U88" s="95" t="str">
        <f>Readings[[#This Row],[Sensor ID]]&amp;"-"&amp;Readings[[#This Row],[Epoch]]</f>
        <v>250-ST-OP-503-45743.4930555556</v>
      </c>
      <c r="V88" s="99">
        <f ca="1">IF(Readings[[#This Row],[Epoch]]=OFFSET(Readings[[#This Row],[Epoch]],-1,0),0,1)</f>
        <v>0</v>
      </c>
    </row>
    <row r="89" spans="4:22" x14ac:dyDescent="0.2">
      <c r="D89" s="32">
        <v>45743.493055555555</v>
      </c>
      <c r="E89" s="33" t="s">
        <v>167</v>
      </c>
      <c r="F89" s="34">
        <v>60045.921000000002</v>
      </c>
      <c r="G89" s="34">
        <v>363840.1</v>
      </c>
      <c r="H89" s="34">
        <v>19.334</v>
      </c>
      <c r="I89" s="33" t="s">
        <v>85</v>
      </c>
      <c r="J89" s="33" t="s">
        <v>90</v>
      </c>
      <c r="K89" s="33">
        <v>25.5</v>
      </c>
      <c r="L89" s="33">
        <v>1016.8</v>
      </c>
      <c r="M89" s="33">
        <v>77</v>
      </c>
      <c r="N89" s="33"/>
      <c r="O89" s="93" t="str">
        <f>IFERROR(IF(Readings[[#This Row],[Obs. X]]="","-",Readings[[#This Row],[Obs. X]]-_xlfn.XLOOKUP(Readings[[#This Row],[Sensor ID]],Table_Baseline[Sensor ID],Table_Baseline[Easting '[m']],"-")),"-")</f>
        <v>-</v>
      </c>
      <c r="P89" s="93" t="str">
        <f>IFERROR(IF(Readings[[#This Row],[Obs. Y]]="","-",Readings[[#This Row],[Obs. Y]]-_xlfn.XLOOKUP(Readings[[#This Row],[Sensor ID]],Table_Baseline[Sensor ID],Table_Baseline[Northing '[m']],"-")),"-")</f>
        <v>-</v>
      </c>
      <c r="Q89" s="93" t="str">
        <f>IFERROR(IF(Readings[[#This Row],[Obs. Z]]="","-",Readings[[#This Row],[Obs. Z]]-_xlfn.XLOOKUP(Readings[[#This Row],[Sensor ID]],Table_Baseline[Sensor ID],Table_Baseline[Level '[m']],"-")),"-")</f>
        <v>-</v>
      </c>
      <c r="R89" s="93" t="str">
        <f>IFERROR(IF(Readings[[#This Row],[Reference Angle]]="-","-",(Readings[[#This Row],[Diff E]]*COS(RADIANS(Readings[[#This Row],[Reference Angle]]))-Readings[[#This Row],[Diff N]]*SIN(RADIANS(Readings[[#This Row],[Reference Angle]])))),"-")</f>
        <v>-</v>
      </c>
      <c r="S89" s="93" t="str">
        <f>IFERROR(IF(Readings[[#This Row],[Reference Angle]]="-","-",(Readings[[#This Row],[Diff E]]*SIN(RADIANS(Readings[[#This Row],[Reference Angle]]))+Readings[[#This Row],[Diff N]]*COS(RADIANS(Readings[[#This Row],[Reference Angle]])))),"-")</f>
        <v>-</v>
      </c>
      <c r="T89" s="94" t="str">
        <f>IFERROR(VLOOKUP(Readings[[#This Row],[Sensor ID]],Table_Baseline[],COLUMNS(Table_Baseline[[#Headers],[Sensor ID]:[Reference Angle '[Deg']]]),FALSE),"-")</f>
        <v>-</v>
      </c>
      <c r="U89" s="95" t="str">
        <f>Readings[[#This Row],[Sensor ID]]&amp;"-"&amp;Readings[[#This Row],[Epoch]]</f>
        <v>250-ST-OP-502-45743.4930555556</v>
      </c>
      <c r="V89" s="99">
        <f ca="1">IF(Readings[[#This Row],[Epoch]]=OFFSET(Readings[[#This Row],[Epoch]],-1,0),0,1)</f>
        <v>0</v>
      </c>
    </row>
    <row r="90" spans="4:22" x14ac:dyDescent="0.2">
      <c r="D90" s="32">
        <v>45750.28125</v>
      </c>
      <c r="E90" s="33" t="s">
        <v>192</v>
      </c>
      <c r="F90" s="34">
        <v>60063.75</v>
      </c>
      <c r="G90" s="34">
        <v>363837.91800000001</v>
      </c>
      <c r="H90" s="34">
        <v>18.809000000000001</v>
      </c>
      <c r="I90" s="33" t="s">
        <v>85</v>
      </c>
      <c r="J90" s="33" t="s">
        <v>90</v>
      </c>
      <c r="K90" s="33">
        <v>19.3</v>
      </c>
      <c r="L90" s="33">
        <v>1008.3</v>
      </c>
      <c r="M90" s="33">
        <v>94</v>
      </c>
      <c r="N90" s="33"/>
      <c r="O90" s="93">
        <f>IFERROR(IF(Readings[[#This Row],[Obs. X]]="","-",Readings[[#This Row],[Obs. X]]-_xlfn.XLOOKUP(Readings[[#This Row],[Sensor ID]],Table_Baseline[Sensor ID],Table_Baseline[Easting '[m']],"-")),"-")</f>
        <v>-9.9999999656574801E-4</v>
      </c>
      <c r="P90" s="93">
        <f>IFERROR(IF(Readings[[#This Row],[Obs. Y]]="","-",Readings[[#This Row],[Obs. Y]]-_xlfn.XLOOKUP(Readings[[#This Row],[Sensor ID]],Table_Baseline[Sensor ID],Table_Baseline[Northing '[m']],"-")),"-")</f>
        <v>0</v>
      </c>
      <c r="Q90" s="93">
        <f>IFERROR(IF(Readings[[#This Row],[Obs. Z]]="","-",Readings[[#This Row],[Obs. Z]]-_xlfn.XLOOKUP(Readings[[#This Row],[Sensor ID]],Table_Baseline[Sensor ID],Table_Baseline[Level '[m']],"-")),"-")</f>
        <v>0</v>
      </c>
      <c r="R90" s="93">
        <f>IFERROR(IF(Readings[[#This Row],[Reference Angle]]="-","-",(Readings[[#This Row],[Diff E]]*COS(RADIANS(Readings[[#This Row],[Reference Angle]]))-Readings[[#This Row],[Diff N]]*SIN(RADIANS(Readings[[#This Row],[Reference Angle]])))),"-")</f>
        <v>-9.9999999656574801E-4</v>
      </c>
      <c r="S90" s="93">
        <f>IFERROR(IF(Readings[[#This Row],[Reference Angle]]="-","-",(Readings[[#This Row],[Diff E]]*SIN(RADIANS(Readings[[#This Row],[Reference Angle]]))+Readings[[#This Row],[Diff N]]*COS(RADIANS(Readings[[#This Row],[Reference Angle]])))),"-")</f>
        <v>0</v>
      </c>
      <c r="T90" s="94">
        <f>IFERROR(VLOOKUP(Readings[[#This Row],[Sensor ID]],Table_Baseline[],COLUMNS(Table_Baseline[[#Headers],[Sensor ID]:[Reference Angle '[Deg']]]),FALSE),"-")</f>
        <v>0</v>
      </c>
      <c r="U90" s="95" t="str">
        <f>Readings[[#This Row],[Sensor ID]]&amp;"-"&amp;Readings[[#This Row],[Epoch]]</f>
        <v>250-RL-OP-11021-45750.28125</v>
      </c>
      <c r="V90" s="99">
        <f ca="1">IF(Readings[[#This Row],[Epoch]]=OFFSET(Readings[[#This Row],[Epoch]],-1,0),0,1)</f>
        <v>1</v>
      </c>
    </row>
    <row r="91" spans="4:22" x14ac:dyDescent="0.2">
      <c r="D91" s="32">
        <v>45750.28125</v>
      </c>
      <c r="E91" s="33" t="s">
        <v>190</v>
      </c>
      <c r="F91" s="34">
        <v>60060.962</v>
      </c>
      <c r="G91" s="34">
        <v>363838.60100000002</v>
      </c>
      <c r="H91" s="34">
        <v>18.795000000000002</v>
      </c>
      <c r="I91" s="33" t="s">
        <v>85</v>
      </c>
      <c r="J91" s="33" t="s">
        <v>90</v>
      </c>
      <c r="K91" s="33">
        <v>19.3</v>
      </c>
      <c r="L91" s="33">
        <v>1008.3</v>
      </c>
      <c r="M91" s="33">
        <v>94</v>
      </c>
      <c r="N91" s="33"/>
      <c r="O91" s="93">
        <f>IFERROR(IF(Readings[[#This Row],[Obs. X]]="","-",Readings[[#This Row],[Obs. X]]-_xlfn.XLOOKUP(Readings[[#This Row],[Sensor ID]],Table_Baseline[Sensor ID],Table_Baseline[Easting '[m']],"-")),"-")</f>
        <v>-1.0000000038417056E-3</v>
      </c>
      <c r="P91" s="93">
        <f>IFERROR(IF(Readings[[#This Row],[Obs. Y]]="","-",Readings[[#This Row],[Obs. Y]]-_xlfn.XLOOKUP(Readings[[#This Row],[Sensor ID]],Table_Baseline[Sensor ID],Table_Baseline[Northing '[m']],"-")),"-")</f>
        <v>0</v>
      </c>
      <c r="Q91" s="93">
        <f>IFERROR(IF(Readings[[#This Row],[Obs. Z]]="","-",Readings[[#This Row],[Obs. Z]]-_xlfn.XLOOKUP(Readings[[#This Row],[Sensor ID]],Table_Baseline[Sensor ID],Table_Baseline[Level '[m']],"-")),"-")</f>
        <v>4.0000000000262048E-4</v>
      </c>
      <c r="R91" s="93">
        <f>IFERROR(IF(Readings[[#This Row],[Reference Angle]]="-","-",(Readings[[#This Row],[Diff E]]*COS(RADIANS(Readings[[#This Row],[Reference Angle]]))-Readings[[#This Row],[Diff N]]*SIN(RADIANS(Readings[[#This Row],[Reference Angle]])))),"-")</f>
        <v>-1.0000000038417056E-3</v>
      </c>
      <c r="S91" s="93">
        <f>IFERROR(IF(Readings[[#This Row],[Reference Angle]]="-","-",(Readings[[#This Row],[Diff E]]*SIN(RADIANS(Readings[[#This Row],[Reference Angle]]))+Readings[[#This Row],[Diff N]]*COS(RADIANS(Readings[[#This Row],[Reference Angle]])))),"-")</f>
        <v>0</v>
      </c>
      <c r="T91" s="94">
        <f>IFERROR(VLOOKUP(Readings[[#This Row],[Sensor ID]],Table_Baseline[],COLUMNS(Table_Baseline[[#Headers],[Sensor ID]:[Reference Angle '[Deg']]]),FALSE),"-")</f>
        <v>0</v>
      </c>
      <c r="U91" s="95" t="str">
        <f>Readings[[#This Row],[Sensor ID]]&amp;"-"&amp;Readings[[#This Row],[Epoch]]</f>
        <v>250-RL-OP-11019-45750.28125</v>
      </c>
      <c r="V91" s="99">
        <f ca="1">IF(Readings[[#This Row],[Epoch]]=OFFSET(Readings[[#This Row],[Epoch]],-1,0),0,1)</f>
        <v>0</v>
      </c>
    </row>
    <row r="92" spans="4:22" x14ac:dyDescent="0.2">
      <c r="D92" s="32">
        <v>45750.28125</v>
      </c>
      <c r="E92" s="33" t="s">
        <v>188</v>
      </c>
      <c r="F92" s="34">
        <v>60057.951999999997</v>
      </c>
      <c r="G92" s="34">
        <v>363839.36300000001</v>
      </c>
      <c r="H92" s="34">
        <v>18.786000000000001</v>
      </c>
      <c r="I92" s="33" t="s">
        <v>85</v>
      </c>
      <c r="J92" s="33" t="s">
        <v>90</v>
      </c>
      <c r="K92" s="33">
        <v>19.3</v>
      </c>
      <c r="L92" s="33">
        <v>1008.3</v>
      </c>
      <c r="M92" s="33">
        <v>94</v>
      </c>
      <c r="N92" s="33"/>
      <c r="O92" s="93">
        <f>IFERROR(IF(Readings[[#This Row],[Obs. X]]="","-",Readings[[#This Row],[Obs. X]]-_xlfn.XLOOKUP(Readings[[#This Row],[Sensor ID]],Table_Baseline[Sensor ID],Table_Baseline[Easting '[m']],"-")),"-")</f>
        <v>0</v>
      </c>
      <c r="P92" s="93">
        <f>IFERROR(IF(Readings[[#This Row],[Obs. Y]]="","-",Readings[[#This Row],[Obs. Y]]-_xlfn.XLOOKUP(Readings[[#This Row],[Sensor ID]],Table_Baseline[Sensor ID],Table_Baseline[Northing '[m']],"-")),"-")</f>
        <v>1.0000000474974513E-3</v>
      </c>
      <c r="Q92" s="93">
        <f>IFERROR(IF(Readings[[#This Row],[Obs. Z]]="","-",Readings[[#This Row],[Obs. Z]]-_xlfn.XLOOKUP(Readings[[#This Row],[Sensor ID]],Table_Baseline[Sensor ID],Table_Baseline[Level '[m']],"-")),"-")</f>
        <v>0</v>
      </c>
      <c r="R92" s="93">
        <f>IFERROR(IF(Readings[[#This Row],[Reference Angle]]="-","-",(Readings[[#This Row],[Diff E]]*COS(RADIANS(Readings[[#This Row],[Reference Angle]]))-Readings[[#This Row],[Diff N]]*SIN(RADIANS(Readings[[#This Row],[Reference Angle]])))),"-")</f>
        <v>0</v>
      </c>
      <c r="S92" s="93">
        <f>IFERROR(IF(Readings[[#This Row],[Reference Angle]]="-","-",(Readings[[#This Row],[Diff E]]*SIN(RADIANS(Readings[[#This Row],[Reference Angle]]))+Readings[[#This Row],[Diff N]]*COS(RADIANS(Readings[[#This Row],[Reference Angle]])))),"-")</f>
        <v>1.0000000474974513E-3</v>
      </c>
      <c r="T92" s="94">
        <f>IFERROR(VLOOKUP(Readings[[#This Row],[Sensor ID]],Table_Baseline[],COLUMNS(Table_Baseline[[#Headers],[Sensor ID]:[Reference Angle '[Deg']]]),FALSE),"-")</f>
        <v>0</v>
      </c>
      <c r="U92" s="95" t="str">
        <f>Readings[[#This Row],[Sensor ID]]&amp;"-"&amp;Readings[[#This Row],[Epoch]]</f>
        <v>250-RL-OP-11017-45750.28125</v>
      </c>
      <c r="V92" s="99">
        <f ca="1">IF(Readings[[#This Row],[Epoch]]=OFFSET(Readings[[#This Row],[Epoch]],-1,0),0,1)</f>
        <v>0</v>
      </c>
    </row>
    <row r="93" spans="4:22" x14ac:dyDescent="0.2">
      <c r="D93" s="32">
        <v>45750.28125</v>
      </c>
      <c r="E93" s="33" t="s">
        <v>186</v>
      </c>
      <c r="F93" s="34">
        <v>60055.196000000004</v>
      </c>
      <c r="G93" s="34">
        <v>363840.09499999997</v>
      </c>
      <c r="H93" s="34">
        <v>18.780999999999999</v>
      </c>
      <c r="I93" s="33" t="s">
        <v>85</v>
      </c>
      <c r="J93" s="33" t="s">
        <v>90</v>
      </c>
      <c r="K93" s="33">
        <v>19.3</v>
      </c>
      <c r="L93" s="33">
        <v>1008.3</v>
      </c>
      <c r="M93" s="33">
        <v>94</v>
      </c>
      <c r="N93" s="33"/>
      <c r="O93" s="93">
        <f>IFERROR(IF(Readings[[#This Row],[Obs. X]]="","-",Readings[[#This Row],[Obs. X]]-_xlfn.XLOOKUP(Readings[[#This Row],[Sensor ID]],Table_Baseline[Sensor ID],Table_Baseline[Easting '[m']],"-")),"-")</f>
        <v>0</v>
      </c>
      <c r="P93" s="93">
        <f>IFERROR(IF(Readings[[#This Row],[Obs. Y]]="","-",Readings[[#This Row],[Obs. Y]]-_xlfn.XLOOKUP(Readings[[#This Row],[Sensor ID]],Table_Baseline[Sensor ID],Table_Baseline[Northing '[m']],"-")),"-")</f>
        <v>0</v>
      </c>
      <c r="Q93" s="93">
        <f>IFERROR(IF(Readings[[#This Row],[Obs. Z]]="","-",Readings[[#This Row],[Obs. Z]]-_xlfn.XLOOKUP(Readings[[#This Row],[Sensor ID]],Table_Baseline[Sensor ID],Table_Baseline[Level '[m']],"-")),"-")</f>
        <v>9.9999999999766942E-5</v>
      </c>
      <c r="R93" s="93">
        <f>IFERROR(IF(Readings[[#This Row],[Reference Angle]]="-","-",(Readings[[#This Row],[Diff E]]*COS(RADIANS(Readings[[#This Row],[Reference Angle]]))-Readings[[#This Row],[Diff N]]*SIN(RADIANS(Readings[[#This Row],[Reference Angle]])))),"-")</f>
        <v>0</v>
      </c>
      <c r="S93" s="93">
        <f>IFERROR(IF(Readings[[#This Row],[Reference Angle]]="-","-",(Readings[[#This Row],[Diff E]]*SIN(RADIANS(Readings[[#This Row],[Reference Angle]]))+Readings[[#This Row],[Diff N]]*COS(RADIANS(Readings[[#This Row],[Reference Angle]])))),"-")</f>
        <v>0</v>
      </c>
      <c r="T93" s="94">
        <f>IFERROR(VLOOKUP(Readings[[#This Row],[Sensor ID]],Table_Baseline[],COLUMNS(Table_Baseline[[#Headers],[Sensor ID]:[Reference Angle '[Deg']]]),FALSE),"-")</f>
        <v>0</v>
      </c>
      <c r="U93" s="95" t="str">
        <f>Readings[[#This Row],[Sensor ID]]&amp;"-"&amp;Readings[[#This Row],[Epoch]]</f>
        <v>250-RL-OP-11015-45750.28125</v>
      </c>
      <c r="V93" s="99">
        <f ca="1">IF(Readings[[#This Row],[Epoch]]=OFFSET(Readings[[#This Row],[Epoch]],-1,0),0,1)</f>
        <v>0</v>
      </c>
    </row>
    <row r="94" spans="4:22" x14ac:dyDescent="0.2">
      <c r="D94" s="32">
        <v>45750.28125</v>
      </c>
      <c r="E94" s="33" t="s">
        <v>184</v>
      </c>
      <c r="F94" s="34">
        <v>60052.292000000001</v>
      </c>
      <c r="G94" s="34">
        <v>363840.88500000001</v>
      </c>
      <c r="H94" s="34">
        <v>18.779</v>
      </c>
      <c r="I94" s="33" t="s">
        <v>85</v>
      </c>
      <c r="J94" s="33" t="s">
        <v>90</v>
      </c>
      <c r="K94" s="33">
        <v>19.3</v>
      </c>
      <c r="L94" s="33">
        <v>1008.3</v>
      </c>
      <c r="M94" s="33">
        <v>94</v>
      </c>
      <c r="N94" s="33"/>
      <c r="O94" s="93">
        <f>IFERROR(IF(Readings[[#This Row],[Obs. X]]="","-",Readings[[#This Row],[Obs. X]]-_xlfn.XLOOKUP(Readings[[#This Row],[Sensor ID]],Table_Baseline[Sensor ID],Table_Baseline[Easting '[m']],"-")),"-")</f>
        <v>-9.9999999656574801E-4</v>
      </c>
      <c r="P94" s="93">
        <f>IFERROR(IF(Readings[[#This Row],[Obs. Y]]="","-",Readings[[#This Row],[Obs. Y]]-_xlfn.XLOOKUP(Readings[[#This Row],[Sensor ID]],Table_Baseline[Sensor ID],Table_Baseline[Northing '[m']],"-")),"-")</f>
        <v>0</v>
      </c>
      <c r="Q94" s="93">
        <f>IFERROR(IF(Readings[[#This Row],[Obs. Z]]="","-",Readings[[#This Row],[Obs. Z]]-_xlfn.XLOOKUP(Readings[[#This Row],[Sensor ID]],Table_Baseline[Sensor ID],Table_Baseline[Level '[m']],"-")),"-")</f>
        <v>0</v>
      </c>
      <c r="R94" s="93">
        <f>IFERROR(IF(Readings[[#This Row],[Reference Angle]]="-","-",(Readings[[#This Row],[Diff E]]*COS(RADIANS(Readings[[#This Row],[Reference Angle]]))-Readings[[#This Row],[Diff N]]*SIN(RADIANS(Readings[[#This Row],[Reference Angle]])))),"-")</f>
        <v>-9.9999999656574801E-4</v>
      </c>
      <c r="S94" s="93">
        <f>IFERROR(IF(Readings[[#This Row],[Reference Angle]]="-","-",(Readings[[#This Row],[Diff E]]*SIN(RADIANS(Readings[[#This Row],[Reference Angle]]))+Readings[[#This Row],[Diff N]]*COS(RADIANS(Readings[[#This Row],[Reference Angle]])))),"-")</f>
        <v>0</v>
      </c>
      <c r="T94" s="94">
        <f>IFERROR(VLOOKUP(Readings[[#This Row],[Sensor ID]],Table_Baseline[],COLUMNS(Table_Baseline[[#Headers],[Sensor ID]:[Reference Angle '[Deg']]]),FALSE),"-")</f>
        <v>0</v>
      </c>
      <c r="U94" s="95" t="str">
        <f>Readings[[#This Row],[Sensor ID]]&amp;"-"&amp;Readings[[#This Row],[Epoch]]</f>
        <v>250-RL-OP-11013-45750.28125</v>
      </c>
      <c r="V94" s="99">
        <f ca="1">IF(Readings[[#This Row],[Epoch]]=OFFSET(Readings[[#This Row],[Epoch]],-1,0),0,1)</f>
        <v>0</v>
      </c>
    </row>
    <row r="95" spans="4:22" x14ac:dyDescent="0.2">
      <c r="D95" s="32">
        <v>45750.28125</v>
      </c>
      <c r="E95" s="33" t="s">
        <v>182</v>
      </c>
      <c r="F95" s="34">
        <v>60049.398000000001</v>
      </c>
      <c r="G95" s="34">
        <v>363841.69799999997</v>
      </c>
      <c r="H95" s="34">
        <v>18.777999999999999</v>
      </c>
      <c r="I95" s="33" t="s">
        <v>85</v>
      </c>
      <c r="J95" s="33" t="s">
        <v>90</v>
      </c>
      <c r="K95" s="33">
        <v>19.3</v>
      </c>
      <c r="L95" s="33">
        <v>1008.3</v>
      </c>
      <c r="M95" s="33">
        <v>94</v>
      </c>
      <c r="N95" s="33"/>
      <c r="O95" s="93">
        <f>IFERROR(IF(Readings[[#This Row],[Obs. X]]="","-",Readings[[#This Row],[Obs. X]]-_xlfn.XLOOKUP(Readings[[#This Row],[Sensor ID]],Table_Baseline[Sensor ID],Table_Baseline[Easting '[m']],"-")),"-")</f>
        <v>-9.9999999656574801E-4</v>
      </c>
      <c r="P95" s="93">
        <f>IFERROR(IF(Readings[[#This Row],[Obs. Y]]="","-",Readings[[#This Row],[Obs. Y]]-_xlfn.XLOOKUP(Readings[[#This Row],[Sensor ID]],Table_Baseline[Sensor ID],Table_Baseline[Northing '[m']],"-")),"-")</f>
        <v>0</v>
      </c>
      <c r="Q95" s="93">
        <f>IFERROR(IF(Readings[[#This Row],[Obs. Z]]="","-",Readings[[#This Row],[Obs. Z]]-_xlfn.XLOOKUP(Readings[[#This Row],[Sensor ID]],Table_Baseline[Sensor ID],Table_Baseline[Level '[m']],"-")),"-")</f>
        <v>0</v>
      </c>
      <c r="R95" s="93">
        <f>IFERROR(IF(Readings[[#This Row],[Reference Angle]]="-","-",(Readings[[#This Row],[Diff E]]*COS(RADIANS(Readings[[#This Row],[Reference Angle]]))-Readings[[#This Row],[Diff N]]*SIN(RADIANS(Readings[[#This Row],[Reference Angle]])))),"-")</f>
        <v>-9.9999999656574801E-4</v>
      </c>
      <c r="S95" s="93">
        <f>IFERROR(IF(Readings[[#This Row],[Reference Angle]]="-","-",(Readings[[#This Row],[Diff E]]*SIN(RADIANS(Readings[[#This Row],[Reference Angle]]))+Readings[[#This Row],[Diff N]]*COS(RADIANS(Readings[[#This Row],[Reference Angle]])))),"-")</f>
        <v>0</v>
      </c>
      <c r="T95" s="94">
        <f>IFERROR(VLOOKUP(Readings[[#This Row],[Sensor ID]],Table_Baseline[],COLUMNS(Table_Baseline[[#Headers],[Sensor ID]:[Reference Angle '[Deg']]]),FALSE),"-")</f>
        <v>0</v>
      </c>
      <c r="U95" s="95" t="str">
        <f>Readings[[#This Row],[Sensor ID]]&amp;"-"&amp;Readings[[#This Row],[Epoch]]</f>
        <v>250-RL-OP-11011-45750.28125</v>
      </c>
      <c r="V95" s="99">
        <f ca="1">IF(Readings[[#This Row],[Epoch]]=OFFSET(Readings[[#This Row],[Epoch]],-1,0),0,1)</f>
        <v>0</v>
      </c>
    </row>
    <row r="96" spans="4:22" x14ac:dyDescent="0.2">
      <c r="D96" s="32">
        <v>45750.28125</v>
      </c>
      <c r="E96" s="33" t="s">
        <v>180</v>
      </c>
      <c r="F96" s="34">
        <v>60046.633000000002</v>
      </c>
      <c r="G96" s="34">
        <v>363842.484</v>
      </c>
      <c r="H96" s="34">
        <v>18.777999999999999</v>
      </c>
      <c r="I96" s="33" t="s">
        <v>85</v>
      </c>
      <c r="J96" s="33" t="s">
        <v>90</v>
      </c>
      <c r="K96" s="33">
        <v>19.3</v>
      </c>
      <c r="L96" s="33">
        <v>1008.3</v>
      </c>
      <c r="M96" s="33">
        <v>94</v>
      </c>
      <c r="N96" s="33"/>
      <c r="O96" s="93">
        <f>IFERROR(IF(Readings[[#This Row],[Obs. X]]="","-",Readings[[#This Row],[Obs. X]]-_xlfn.XLOOKUP(Readings[[#This Row],[Sensor ID]],Table_Baseline[Sensor ID],Table_Baseline[Easting '[m']],"-")),"-")</f>
        <v>0</v>
      </c>
      <c r="P96" s="93">
        <f>IFERROR(IF(Readings[[#This Row],[Obs. Y]]="","-",Readings[[#This Row],[Obs. Y]]-_xlfn.XLOOKUP(Readings[[#This Row],[Sensor ID]],Table_Baseline[Sensor ID],Table_Baseline[Northing '[m']],"-")),"-")</f>
        <v>-9.9999998928979039E-4</v>
      </c>
      <c r="Q96" s="93">
        <f>IFERROR(IF(Readings[[#This Row],[Obs. Z]]="","-",Readings[[#This Row],[Obs. Z]]-_xlfn.XLOOKUP(Readings[[#This Row],[Sensor ID]],Table_Baseline[Sensor ID],Table_Baseline[Level '[m']],"-")),"-")</f>
        <v>3.9999999999906777E-4</v>
      </c>
      <c r="R96" s="93">
        <f>IFERROR(IF(Readings[[#This Row],[Reference Angle]]="-","-",(Readings[[#This Row],[Diff E]]*COS(RADIANS(Readings[[#This Row],[Reference Angle]]))-Readings[[#This Row],[Diff N]]*SIN(RADIANS(Readings[[#This Row],[Reference Angle]])))),"-")</f>
        <v>0</v>
      </c>
      <c r="S96" s="93">
        <f>IFERROR(IF(Readings[[#This Row],[Reference Angle]]="-","-",(Readings[[#This Row],[Diff E]]*SIN(RADIANS(Readings[[#This Row],[Reference Angle]]))+Readings[[#This Row],[Diff N]]*COS(RADIANS(Readings[[#This Row],[Reference Angle]])))),"-")</f>
        <v>-9.9999998928979039E-4</v>
      </c>
      <c r="T96" s="94">
        <f>IFERROR(VLOOKUP(Readings[[#This Row],[Sensor ID]],Table_Baseline[],COLUMNS(Table_Baseline[[#Headers],[Sensor ID]:[Reference Angle '[Deg']]]),FALSE),"-")</f>
        <v>0</v>
      </c>
      <c r="U96" s="95" t="str">
        <f>Readings[[#This Row],[Sensor ID]]&amp;"-"&amp;Readings[[#This Row],[Epoch]]</f>
        <v>250-RL-OP-11009-45750.28125</v>
      </c>
      <c r="V96" s="99">
        <f ca="1">IF(Readings[[#This Row],[Epoch]]=OFFSET(Readings[[#This Row],[Epoch]],-1,0),0,1)</f>
        <v>0</v>
      </c>
    </row>
    <row r="97" spans="4:22" x14ac:dyDescent="0.2">
      <c r="D97" s="32">
        <v>45750.28125</v>
      </c>
      <c r="E97" s="33" t="s">
        <v>178</v>
      </c>
      <c r="F97" s="34">
        <v>60043.758000000002</v>
      </c>
      <c r="G97" s="34">
        <v>363843.31400000001</v>
      </c>
      <c r="H97" s="34">
        <v>18.774000000000001</v>
      </c>
      <c r="I97" s="33" t="s">
        <v>85</v>
      </c>
      <c r="J97" s="33" t="s">
        <v>90</v>
      </c>
      <c r="K97" s="33">
        <v>19.3</v>
      </c>
      <c r="L97" s="33">
        <v>1008.3</v>
      </c>
      <c r="M97" s="33">
        <v>94</v>
      </c>
      <c r="N97" s="33"/>
      <c r="O97" s="93">
        <f>IFERROR(IF(Readings[[#This Row],[Obs. X]]="","-",Readings[[#This Row],[Obs. X]]-_xlfn.XLOOKUP(Readings[[#This Row],[Sensor ID]],Table_Baseline[Sensor ID],Table_Baseline[Easting '[m']],"-")),"-")</f>
        <v>-9.9999999656574801E-4</v>
      </c>
      <c r="P97" s="93">
        <f>IFERROR(IF(Readings[[#This Row],[Obs. Y]]="","-",Readings[[#This Row],[Obs. Y]]-_xlfn.XLOOKUP(Readings[[#This Row],[Sensor ID]],Table_Baseline[Sensor ID],Table_Baseline[Northing '[m']],"-")),"-")</f>
        <v>0</v>
      </c>
      <c r="Q97" s="93">
        <f>IFERROR(IF(Readings[[#This Row],[Obs. Z]]="","-",Readings[[#This Row],[Obs. Z]]-_xlfn.XLOOKUP(Readings[[#This Row],[Sensor ID]],Table_Baseline[Sensor ID],Table_Baseline[Level '[m']],"-")),"-")</f>
        <v>-9.9999999999766942E-5</v>
      </c>
      <c r="R97" s="93">
        <f>IFERROR(IF(Readings[[#This Row],[Reference Angle]]="-","-",(Readings[[#This Row],[Diff E]]*COS(RADIANS(Readings[[#This Row],[Reference Angle]]))-Readings[[#This Row],[Diff N]]*SIN(RADIANS(Readings[[#This Row],[Reference Angle]])))),"-")</f>
        <v>-9.9999999656574801E-4</v>
      </c>
      <c r="S97" s="93">
        <f>IFERROR(IF(Readings[[#This Row],[Reference Angle]]="-","-",(Readings[[#This Row],[Diff E]]*SIN(RADIANS(Readings[[#This Row],[Reference Angle]]))+Readings[[#This Row],[Diff N]]*COS(RADIANS(Readings[[#This Row],[Reference Angle]])))),"-")</f>
        <v>0</v>
      </c>
      <c r="T97" s="94">
        <f>IFERROR(VLOOKUP(Readings[[#This Row],[Sensor ID]],Table_Baseline[],COLUMNS(Table_Baseline[[#Headers],[Sensor ID]:[Reference Angle '[Deg']]]),FALSE),"-")</f>
        <v>0</v>
      </c>
      <c r="U97" s="95" t="str">
        <f>Readings[[#This Row],[Sensor ID]]&amp;"-"&amp;Readings[[#This Row],[Epoch]]</f>
        <v>250-RL-OP-11007-45750.28125</v>
      </c>
      <c r="V97" s="99">
        <f ca="1">IF(Readings[[#This Row],[Epoch]]=OFFSET(Readings[[#This Row],[Epoch]],-1,0),0,1)</f>
        <v>0</v>
      </c>
    </row>
    <row r="98" spans="4:22" x14ac:dyDescent="0.2">
      <c r="D98" s="32">
        <v>45750.28125</v>
      </c>
      <c r="E98" s="33" t="s">
        <v>176</v>
      </c>
      <c r="F98" s="34">
        <v>60040.968000000001</v>
      </c>
      <c r="G98" s="34">
        <v>363844.11699999997</v>
      </c>
      <c r="H98" s="34">
        <v>18.779</v>
      </c>
      <c r="I98" s="33" t="s">
        <v>85</v>
      </c>
      <c r="J98" s="33" t="s">
        <v>90</v>
      </c>
      <c r="K98" s="33">
        <v>19.3</v>
      </c>
      <c r="L98" s="33">
        <v>1008.3</v>
      </c>
      <c r="M98" s="33">
        <v>94</v>
      </c>
      <c r="N98" s="33"/>
      <c r="O98" s="93">
        <f>IFERROR(IF(Readings[[#This Row],[Obs. X]]="","-",Readings[[#This Row],[Obs. X]]-_xlfn.XLOOKUP(Readings[[#This Row],[Sensor ID]],Table_Baseline[Sensor ID],Table_Baseline[Easting '[m']],"-")),"-")</f>
        <v>-9.9999999656574801E-4</v>
      </c>
      <c r="P98" s="93">
        <f>IFERROR(IF(Readings[[#This Row],[Obs. Y]]="","-",Readings[[#This Row],[Obs. Y]]-_xlfn.XLOOKUP(Readings[[#This Row],[Sensor ID]],Table_Baseline[Sensor ID],Table_Baseline[Northing '[m']],"-")),"-")</f>
        <v>-1.0000000474974513E-3</v>
      </c>
      <c r="Q98" s="93">
        <f>IFERROR(IF(Readings[[#This Row],[Obs. Z]]="","-",Readings[[#This Row],[Obs. Z]]-_xlfn.XLOOKUP(Readings[[#This Row],[Sensor ID]],Table_Baseline[Sensor ID],Table_Baseline[Level '[m']],"-")),"-")</f>
        <v>0</v>
      </c>
      <c r="R98" s="93">
        <f>IFERROR(IF(Readings[[#This Row],[Reference Angle]]="-","-",(Readings[[#This Row],[Diff E]]*COS(RADIANS(Readings[[#This Row],[Reference Angle]]))-Readings[[#This Row],[Diff N]]*SIN(RADIANS(Readings[[#This Row],[Reference Angle]])))),"-")</f>
        <v>-9.9999999656574801E-4</v>
      </c>
      <c r="S98" s="93">
        <f>IFERROR(IF(Readings[[#This Row],[Reference Angle]]="-","-",(Readings[[#This Row],[Diff E]]*SIN(RADIANS(Readings[[#This Row],[Reference Angle]]))+Readings[[#This Row],[Diff N]]*COS(RADIANS(Readings[[#This Row],[Reference Angle]])))),"-")</f>
        <v>-1.0000000474974513E-3</v>
      </c>
      <c r="T98" s="94">
        <f>IFERROR(VLOOKUP(Readings[[#This Row],[Sensor ID]],Table_Baseline[],COLUMNS(Table_Baseline[[#Headers],[Sensor ID]:[Reference Angle '[Deg']]]),FALSE),"-")</f>
        <v>0</v>
      </c>
      <c r="U98" s="95" t="str">
        <f>Readings[[#This Row],[Sensor ID]]&amp;"-"&amp;Readings[[#This Row],[Epoch]]</f>
        <v>250-RL-OP-11005-45750.28125</v>
      </c>
      <c r="V98" s="99">
        <f ca="1">IF(Readings[[#This Row],[Epoch]]=OFFSET(Readings[[#This Row],[Epoch]],-1,0),0,1)</f>
        <v>0</v>
      </c>
    </row>
    <row r="99" spans="4:22" x14ac:dyDescent="0.2">
      <c r="D99" s="32">
        <v>45750.28125</v>
      </c>
      <c r="E99" s="33" t="s">
        <v>174</v>
      </c>
      <c r="F99" s="34">
        <v>60038.116999999998</v>
      </c>
      <c r="G99" s="34">
        <v>363844.94500000001</v>
      </c>
      <c r="H99" s="34">
        <v>18.779</v>
      </c>
      <c r="I99" s="33" t="s">
        <v>85</v>
      </c>
      <c r="J99" s="33" t="s">
        <v>90</v>
      </c>
      <c r="K99" s="33">
        <v>19.3</v>
      </c>
      <c r="L99" s="33">
        <v>1008.3</v>
      </c>
      <c r="M99" s="33">
        <v>94</v>
      </c>
      <c r="N99" s="33"/>
      <c r="O99" s="93">
        <f>IFERROR(IF(Readings[[#This Row],[Obs. X]]="","-",Readings[[#This Row],[Obs. X]]-_xlfn.XLOOKUP(Readings[[#This Row],[Sensor ID]],Table_Baseline[Sensor ID],Table_Baseline[Easting '[m']],"-")),"-")</f>
        <v>-1.0000000038417056E-3</v>
      </c>
      <c r="P99" s="93">
        <f>IFERROR(IF(Readings[[#This Row],[Obs. Y]]="","-",Readings[[#This Row],[Obs. Y]]-_xlfn.XLOOKUP(Readings[[#This Row],[Sensor ID]],Table_Baseline[Sensor ID],Table_Baseline[Northing '[m']],"-")),"-")</f>
        <v>0</v>
      </c>
      <c r="Q99" s="93">
        <f>IFERROR(IF(Readings[[#This Row],[Obs. Z]]="","-",Readings[[#This Row],[Obs. Z]]-_xlfn.XLOOKUP(Readings[[#This Row],[Sensor ID]],Table_Baseline[Sensor ID],Table_Baseline[Level '[m']],"-")),"-")</f>
        <v>1.9999999999953388E-4</v>
      </c>
      <c r="R99" s="93">
        <f>IFERROR(IF(Readings[[#This Row],[Reference Angle]]="-","-",(Readings[[#This Row],[Diff E]]*COS(RADIANS(Readings[[#This Row],[Reference Angle]]))-Readings[[#This Row],[Diff N]]*SIN(RADIANS(Readings[[#This Row],[Reference Angle]])))),"-")</f>
        <v>-1.0000000038417056E-3</v>
      </c>
      <c r="S99" s="93">
        <f>IFERROR(IF(Readings[[#This Row],[Reference Angle]]="-","-",(Readings[[#This Row],[Diff E]]*SIN(RADIANS(Readings[[#This Row],[Reference Angle]]))+Readings[[#This Row],[Diff N]]*COS(RADIANS(Readings[[#This Row],[Reference Angle]])))),"-")</f>
        <v>0</v>
      </c>
      <c r="T99" s="94">
        <f>IFERROR(VLOOKUP(Readings[[#This Row],[Sensor ID]],Table_Baseline[],COLUMNS(Table_Baseline[[#Headers],[Sensor ID]:[Reference Angle '[Deg']]]),FALSE),"-")</f>
        <v>0</v>
      </c>
      <c r="U99" s="95" t="str">
        <f>Readings[[#This Row],[Sensor ID]]&amp;"-"&amp;Readings[[#This Row],[Epoch]]</f>
        <v>250-RL-OP-11003-45750.28125</v>
      </c>
      <c r="V99" s="99">
        <f ca="1">IF(Readings[[#This Row],[Epoch]]=OFFSET(Readings[[#This Row],[Epoch]],-1,0),0,1)</f>
        <v>0</v>
      </c>
    </row>
    <row r="100" spans="4:22" x14ac:dyDescent="0.2">
      <c r="D100" s="32">
        <v>45750.28125</v>
      </c>
      <c r="E100" s="33" t="s">
        <v>191</v>
      </c>
      <c r="F100" s="34">
        <v>60063.421000000002</v>
      </c>
      <c r="G100" s="34">
        <v>363836.63699999999</v>
      </c>
      <c r="H100" s="34">
        <v>18.795000000000002</v>
      </c>
      <c r="I100" s="33" t="s">
        <v>85</v>
      </c>
      <c r="J100" s="33" t="s">
        <v>90</v>
      </c>
      <c r="K100" s="33">
        <v>19.3</v>
      </c>
      <c r="L100" s="33">
        <v>1008.3</v>
      </c>
      <c r="M100" s="33">
        <v>94</v>
      </c>
      <c r="N100" s="33"/>
      <c r="O100" s="93">
        <f>IFERROR(IF(Readings[[#This Row],[Obs. X]]="","-",Readings[[#This Row],[Obs. X]]-_xlfn.XLOOKUP(Readings[[#This Row],[Sensor ID]],Table_Baseline[Sensor ID],Table_Baseline[Easting '[m']],"-")),"-")</f>
        <v>-9.9999999656574801E-4</v>
      </c>
      <c r="P100" s="93">
        <f>IFERROR(IF(Readings[[#This Row],[Obs. Y]]="","-",Readings[[#This Row],[Obs. Y]]-_xlfn.XLOOKUP(Readings[[#This Row],[Sensor ID]],Table_Baseline[Sensor ID],Table_Baseline[Northing '[m']],"-")),"-")</f>
        <v>9.9999998928979039E-4</v>
      </c>
      <c r="Q100" s="93">
        <f>IFERROR(IF(Readings[[#This Row],[Obs. Z]]="","-",Readings[[#This Row],[Obs. Z]]-_xlfn.XLOOKUP(Readings[[#This Row],[Sensor ID]],Table_Baseline[Sensor ID],Table_Baseline[Level '[m']],"-")),"-")</f>
        <v>1.0000000000331966E-4</v>
      </c>
      <c r="R100" s="93">
        <f>IFERROR(IF(Readings[[#This Row],[Reference Angle]]="-","-",(Readings[[#This Row],[Diff E]]*COS(RADIANS(Readings[[#This Row],[Reference Angle]]))-Readings[[#This Row],[Diff N]]*SIN(RADIANS(Readings[[#This Row],[Reference Angle]])))),"-")</f>
        <v>-9.9999999656574801E-4</v>
      </c>
      <c r="S100" s="93">
        <f>IFERROR(IF(Readings[[#This Row],[Reference Angle]]="-","-",(Readings[[#This Row],[Diff E]]*SIN(RADIANS(Readings[[#This Row],[Reference Angle]]))+Readings[[#This Row],[Diff N]]*COS(RADIANS(Readings[[#This Row],[Reference Angle]])))),"-")</f>
        <v>9.9999998928979039E-4</v>
      </c>
      <c r="T100" s="94">
        <f>IFERROR(VLOOKUP(Readings[[#This Row],[Sensor ID]],Table_Baseline[],COLUMNS(Table_Baseline[[#Headers],[Sensor ID]:[Reference Angle '[Deg']]]),FALSE),"-")</f>
        <v>0</v>
      </c>
      <c r="U100" s="95" t="str">
        <f>Readings[[#This Row],[Sensor ID]]&amp;"-"&amp;Readings[[#This Row],[Epoch]]</f>
        <v>250-RL-OP-11022-45750.28125</v>
      </c>
      <c r="V100" s="99">
        <f ca="1">IF(Readings[[#This Row],[Epoch]]=OFFSET(Readings[[#This Row],[Epoch]],-1,0),0,1)</f>
        <v>0</v>
      </c>
    </row>
    <row r="101" spans="4:22" x14ac:dyDescent="0.2">
      <c r="D101" s="32">
        <v>45750.28125</v>
      </c>
      <c r="E101" s="33" t="s">
        <v>189</v>
      </c>
      <c r="F101" s="34">
        <v>60060.639000000003</v>
      </c>
      <c r="G101" s="34">
        <v>363837.32299999997</v>
      </c>
      <c r="H101" s="34">
        <v>18.783999999999999</v>
      </c>
      <c r="I101" s="33" t="s">
        <v>85</v>
      </c>
      <c r="J101" s="33" t="s">
        <v>90</v>
      </c>
      <c r="K101" s="33">
        <v>19.3</v>
      </c>
      <c r="L101" s="33">
        <v>1008.3</v>
      </c>
      <c r="M101" s="33">
        <v>94</v>
      </c>
      <c r="N101" s="33"/>
      <c r="O101" s="93">
        <f>IFERROR(IF(Readings[[#This Row],[Obs. X]]="","-",Readings[[#This Row],[Obs. X]]-_xlfn.XLOOKUP(Readings[[#This Row],[Sensor ID]],Table_Baseline[Sensor ID],Table_Baseline[Easting '[m']],"-")),"-")</f>
        <v>-9.9999999656574801E-4</v>
      </c>
      <c r="P101" s="93">
        <f>IFERROR(IF(Readings[[#This Row],[Obs. Y]]="","-",Readings[[#This Row],[Obs. Y]]-_xlfn.XLOOKUP(Readings[[#This Row],[Sensor ID]],Table_Baseline[Sensor ID],Table_Baseline[Northing '[m']],"-")),"-")</f>
        <v>9.9999998928979039E-4</v>
      </c>
      <c r="Q101" s="93">
        <f>IFERROR(IF(Readings[[#This Row],[Obs. Z]]="","-",Readings[[#This Row],[Obs. Z]]-_xlfn.XLOOKUP(Readings[[#This Row],[Sensor ID]],Table_Baseline[Sensor ID],Table_Baseline[Level '[m']],"-")),"-")</f>
        <v>3.9999999999906777E-4</v>
      </c>
      <c r="R101" s="93">
        <f>IFERROR(IF(Readings[[#This Row],[Reference Angle]]="-","-",(Readings[[#This Row],[Diff E]]*COS(RADIANS(Readings[[#This Row],[Reference Angle]]))-Readings[[#This Row],[Diff N]]*SIN(RADIANS(Readings[[#This Row],[Reference Angle]])))),"-")</f>
        <v>-9.9999999656574801E-4</v>
      </c>
      <c r="S101" s="93">
        <f>IFERROR(IF(Readings[[#This Row],[Reference Angle]]="-","-",(Readings[[#This Row],[Diff E]]*SIN(RADIANS(Readings[[#This Row],[Reference Angle]]))+Readings[[#This Row],[Diff N]]*COS(RADIANS(Readings[[#This Row],[Reference Angle]])))),"-")</f>
        <v>9.9999998928979039E-4</v>
      </c>
      <c r="T101" s="94">
        <f>IFERROR(VLOOKUP(Readings[[#This Row],[Sensor ID]],Table_Baseline[],COLUMNS(Table_Baseline[[#Headers],[Sensor ID]:[Reference Angle '[Deg']]]),FALSE),"-")</f>
        <v>0</v>
      </c>
      <c r="U101" s="95" t="str">
        <f>Readings[[#This Row],[Sensor ID]]&amp;"-"&amp;Readings[[#This Row],[Epoch]]</f>
        <v>250-RL-OP-11020-45750.28125</v>
      </c>
      <c r="V101" s="99">
        <f ca="1">IF(Readings[[#This Row],[Epoch]]=OFFSET(Readings[[#This Row],[Epoch]],-1,0),0,1)</f>
        <v>0</v>
      </c>
    </row>
    <row r="102" spans="4:22" x14ac:dyDescent="0.2">
      <c r="D102" s="32">
        <v>45750.28125</v>
      </c>
      <c r="E102" s="151" t="s">
        <v>187</v>
      </c>
      <c r="F102" s="152">
        <v>60057.578000000001</v>
      </c>
      <c r="G102" s="152">
        <v>363838.098</v>
      </c>
      <c r="H102" s="152">
        <v>18.776</v>
      </c>
      <c r="I102" s="33" t="s">
        <v>85</v>
      </c>
      <c r="J102" s="33" t="s">
        <v>90</v>
      </c>
      <c r="K102" s="33">
        <v>19.3</v>
      </c>
      <c r="L102" s="33">
        <v>1008.3</v>
      </c>
      <c r="M102" s="33">
        <v>94</v>
      </c>
      <c r="N102" s="151"/>
      <c r="O102" s="96">
        <f>IFERROR(IF(Readings[[#This Row],[Obs. X]]="","-",Readings[[#This Row],[Obs. X]]-_xlfn.XLOOKUP(Readings[[#This Row],[Sensor ID]],Table_Baseline[Sensor ID],Table_Baseline[Easting '[m']],"-")),"-")</f>
        <v>-9.9999999656574801E-4</v>
      </c>
      <c r="P102" s="96">
        <f>IFERROR(IF(Readings[[#This Row],[Obs. Y]]="","-",Readings[[#This Row],[Obs. Y]]-_xlfn.XLOOKUP(Readings[[#This Row],[Sensor ID]],Table_Baseline[Sensor ID],Table_Baseline[Northing '[m']],"-")),"-")</f>
        <v>0</v>
      </c>
      <c r="Q102" s="96">
        <f>IFERROR(IF(Readings[[#This Row],[Obs. Z]]="","-",Readings[[#This Row],[Obs. Z]]-_xlfn.XLOOKUP(Readings[[#This Row],[Sensor ID]],Table_Baseline[Sensor ID],Table_Baseline[Level '[m']],"-")),"-")</f>
        <v>0</v>
      </c>
      <c r="R102" s="96">
        <f>IFERROR(IF(Readings[[#This Row],[Reference Angle]]="-","-",(Readings[[#This Row],[Diff E]]*COS(RADIANS(Readings[[#This Row],[Reference Angle]]))-Readings[[#This Row],[Diff N]]*SIN(RADIANS(Readings[[#This Row],[Reference Angle]])))),"-")</f>
        <v>-9.9999999656574801E-4</v>
      </c>
      <c r="S102" s="96">
        <f>IFERROR(IF(Readings[[#This Row],[Reference Angle]]="-","-",(Readings[[#This Row],[Diff E]]*SIN(RADIANS(Readings[[#This Row],[Reference Angle]]))+Readings[[#This Row],[Diff N]]*COS(RADIANS(Readings[[#This Row],[Reference Angle]])))),"-")</f>
        <v>0</v>
      </c>
      <c r="T102" s="97">
        <f>IFERROR(VLOOKUP(Readings[[#This Row],[Sensor ID]],Table_Baseline[],COLUMNS(Table_Baseline[[#Headers],[Sensor ID]:[Reference Angle '[Deg']]]),FALSE),"-")</f>
        <v>0</v>
      </c>
      <c r="U102" s="98" t="str">
        <f>Readings[[#This Row],[Sensor ID]]&amp;"-"&amp;Readings[[#This Row],[Epoch]]</f>
        <v>250-RL-OP-11018-45750.28125</v>
      </c>
      <c r="V102" s="100">
        <f ca="1">IF(Readings[[#This Row],[Epoch]]=OFFSET(Readings[[#This Row],[Epoch]],-1,0),0,1)</f>
        <v>0</v>
      </c>
    </row>
    <row r="103" spans="4:22" x14ac:dyDescent="0.2">
      <c r="D103" s="32">
        <v>45750.28125</v>
      </c>
      <c r="E103" s="33" t="s">
        <v>185</v>
      </c>
      <c r="F103" s="34">
        <v>60054.885000000002</v>
      </c>
      <c r="G103" s="34">
        <v>363838.80499999999</v>
      </c>
      <c r="H103" s="34">
        <v>18.773</v>
      </c>
      <c r="I103" s="33" t="s">
        <v>85</v>
      </c>
      <c r="J103" s="33" t="s">
        <v>90</v>
      </c>
      <c r="K103" s="33">
        <v>19.3</v>
      </c>
      <c r="L103" s="33">
        <v>1008.3</v>
      </c>
      <c r="M103" s="33">
        <v>94</v>
      </c>
      <c r="N103" s="33"/>
      <c r="O103" s="93">
        <f>IFERROR(IF(Readings[[#This Row],[Obs. X]]="","-",Readings[[#This Row],[Obs. X]]-_xlfn.XLOOKUP(Readings[[#This Row],[Sensor ID]],Table_Baseline[Sensor ID],Table_Baseline[Easting '[m']],"-")),"-")</f>
        <v>-9.9999999656574801E-4</v>
      </c>
      <c r="P103" s="93">
        <f>IFERROR(IF(Readings[[#This Row],[Obs. Y]]="","-",Readings[[#This Row],[Obs. Y]]-_xlfn.XLOOKUP(Readings[[#This Row],[Sensor ID]],Table_Baseline[Sensor ID],Table_Baseline[Northing '[m']],"-")),"-")</f>
        <v>0</v>
      </c>
      <c r="Q103" s="93">
        <f>IFERROR(IF(Readings[[#This Row],[Obs. Z]]="","-",Readings[[#This Row],[Obs. Z]]-_xlfn.XLOOKUP(Readings[[#This Row],[Sensor ID]],Table_Baseline[Sensor ID],Table_Baseline[Level '[m']],"-")),"-")</f>
        <v>-9.9999999999766942E-5</v>
      </c>
      <c r="R103" s="93">
        <f>IFERROR(IF(Readings[[#This Row],[Reference Angle]]="-","-",(Readings[[#This Row],[Diff E]]*COS(RADIANS(Readings[[#This Row],[Reference Angle]]))-Readings[[#This Row],[Diff N]]*SIN(RADIANS(Readings[[#This Row],[Reference Angle]])))),"-")</f>
        <v>-9.9999999656574801E-4</v>
      </c>
      <c r="S103" s="93">
        <f>IFERROR(IF(Readings[[#This Row],[Reference Angle]]="-","-",(Readings[[#This Row],[Diff E]]*SIN(RADIANS(Readings[[#This Row],[Reference Angle]]))+Readings[[#This Row],[Diff N]]*COS(RADIANS(Readings[[#This Row],[Reference Angle]])))),"-")</f>
        <v>0</v>
      </c>
      <c r="T103" s="94">
        <f>IFERROR(VLOOKUP(Readings[[#This Row],[Sensor ID]],Table_Baseline[],COLUMNS(Table_Baseline[[#Headers],[Sensor ID]:[Reference Angle '[Deg']]]),FALSE),"-")</f>
        <v>0</v>
      </c>
      <c r="U103" s="95" t="str">
        <f>Readings[[#This Row],[Sensor ID]]&amp;"-"&amp;Readings[[#This Row],[Epoch]]</f>
        <v>250-RL-OP-11016-45750.28125</v>
      </c>
      <c r="V103" s="99">
        <f ca="1">IF(Readings[[#This Row],[Epoch]]=OFFSET(Readings[[#This Row],[Epoch]],-1,0),0,1)</f>
        <v>0</v>
      </c>
    </row>
    <row r="104" spans="4:22" x14ac:dyDescent="0.2">
      <c r="D104" s="32">
        <v>45750.28125</v>
      </c>
      <c r="E104" s="33" t="s">
        <v>183</v>
      </c>
      <c r="F104" s="34">
        <v>60051.989000000001</v>
      </c>
      <c r="G104" s="34">
        <v>363839.603</v>
      </c>
      <c r="H104" s="34">
        <v>18.77</v>
      </c>
      <c r="I104" s="33" t="s">
        <v>85</v>
      </c>
      <c r="J104" s="33" t="s">
        <v>90</v>
      </c>
      <c r="K104" s="33">
        <v>19.3</v>
      </c>
      <c r="L104" s="33">
        <v>1008.3</v>
      </c>
      <c r="M104" s="33">
        <v>94</v>
      </c>
      <c r="N104" s="33"/>
      <c r="O104" s="93">
        <f>IFERROR(IF(Readings[[#This Row],[Obs. X]]="","-",Readings[[#This Row],[Obs. X]]-_xlfn.XLOOKUP(Readings[[#This Row],[Sensor ID]],Table_Baseline[Sensor ID],Table_Baseline[Easting '[m']],"-")),"-")</f>
        <v>0</v>
      </c>
      <c r="P104" s="93">
        <f>IFERROR(IF(Readings[[#This Row],[Obs. Y]]="","-",Readings[[#This Row],[Obs. Y]]-_xlfn.XLOOKUP(Readings[[#This Row],[Sensor ID]],Table_Baseline[Sensor ID],Table_Baseline[Northing '[m']],"-")),"-")</f>
        <v>0</v>
      </c>
      <c r="Q104" s="93">
        <f>IFERROR(IF(Readings[[#This Row],[Obs. Z]]="","-",Readings[[#This Row],[Obs. Z]]-_xlfn.XLOOKUP(Readings[[#This Row],[Sensor ID]],Table_Baseline[Sensor ID],Table_Baseline[Level '[m']],"-")),"-")</f>
        <v>-9.9999999999766942E-5</v>
      </c>
      <c r="R104" s="93">
        <f>IFERROR(IF(Readings[[#This Row],[Reference Angle]]="-","-",(Readings[[#This Row],[Diff E]]*COS(RADIANS(Readings[[#This Row],[Reference Angle]]))-Readings[[#This Row],[Diff N]]*SIN(RADIANS(Readings[[#This Row],[Reference Angle]])))),"-")</f>
        <v>0</v>
      </c>
      <c r="S104" s="93">
        <f>IFERROR(IF(Readings[[#This Row],[Reference Angle]]="-","-",(Readings[[#This Row],[Diff E]]*SIN(RADIANS(Readings[[#This Row],[Reference Angle]]))+Readings[[#This Row],[Diff N]]*COS(RADIANS(Readings[[#This Row],[Reference Angle]])))),"-")</f>
        <v>0</v>
      </c>
      <c r="T104" s="94">
        <f>IFERROR(VLOOKUP(Readings[[#This Row],[Sensor ID]],Table_Baseline[],COLUMNS(Table_Baseline[[#Headers],[Sensor ID]:[Reference Angle '[Deg']]]),FALSE),"-")</f>
        <v>0</v>
      </c>
      <c r="U104" s="95" t="str">
        <f>Readings[[#This Row],[Sensor ID]]&amp;"-"&amp;Readings[[#This Row],[Epoch]]</f>
        <v>250-RL-OP-11014-45750.28125</v>
      </c>
      <c r="V104" s="99">
        <f ca="1">IF(Readings[[#This Row],[Epoch]]=OFFSET(Readings[[#This Row],[Epoch]],-1,0),0,1)</f>
        <v>0</v>
      </c>
    </row>
    <row r="105" spans="4:22" x14ac:dyDescent="0.2">
      <c r="D105" s="32">
        <v>45750.28125</v>
      </c>
      <c r="E105" s="33" t="s">
        <v>181</v>
      </c>
      <c r="F105" s="34">
        <v>60049.04</v>
      </c>
      <c r="G105" s="34">
        <v>363840.43400000001</v>
      </c>
      <c r="H105" s="34">
        <v>18.771000000000001</v>
      </c>
      <c r="I105" s="33" t="s">
        <v>85</v>
      </c>
      <c r="J105" s="33" t="s">
        <v>90</v>
      </c>
      <c r="K105" s="33">
        <v>19.3</v>
      </c>
      <c r="L105" s="33">
        <v>1008.3</v>
      </c>
      <c r="M105" s="33">
        <v>94</v>
      </c>
      <c r="N105" s="33"/>
      <c r="O105" s="93">
        <f>IFERROR(IF(Readings[[#This Row],[Obs. X]]="","-",Readings[[#This Row],[Obs. X]]-_xlfn.XLOOKUP(Readings[[#This Row],[Sensor ID]],Table_Baseline[Sensor ID],Table_Baseline[Easting '[m']],"-")),"-")</f>
        <v>-9.9999999656574801E-4</v>
      </c>
      <c r="P105" s="93">
        <f>IFERROR(IF(Readings[[#This Row],[Obs. Y]]="","-",Readings[[#This Row],[Obs. Y]]-_xlfn.XLOOKUP(Readings[[#This Row],[Sensor ID]],Table_Baseline[Sensor ID],Table_Baseline[Northing '[m']],"-")),"-")</f>
        <v>1.0000000474974513E-3</v>
      </c>
      <c r="Q105" s="93">
        <f>IFERROR(IF(Readings[[#This Row],[Obs. Z]]="","-",Readings[[#This Row],[Obs. Z]]-_xlfn.XLOOKUP(Readings[[#This Row],[Sensor ID]],Table_Baseline[Sensor ID],Table_Baseline[Level '[m']],"-")),"-")</f>
        <v>-9.9999999999766942E-5</v>
      </c>
      <c r="R105" s="93">
        <f>IFERROR(IF(Readings[[#This Row],[Reference Angle]]="-","-",(Readings[[#This Row],[Diff E]]*COS(RADIANS(Readings[[#This Row],[Reference Angle]]))-Readings[[#This Row],[Diff N]]*SIN(RADIANS(Readings[[#This Row],[Reference Angle]])))),"-")</f>
        <v>-9.9999999656574801E-4</v>
      </c>
      <c r="S105" s="93">
        <f>IFERROR(IF(Readings[[#This Row],[Reference Angle]]="-","-",(Readings[[#This Row],[Diff E]]*SIN(RADIANS(Readings[[#This Row],[Reference Angle]]))+Readings[[#This Row],[Diff N]]*COS(RADIANS(Readings[[#This Row],[Reference Angle]])))),"-")</f>
        <v>1.0000000474974513E-3</v>
      </c>
      <c r="T105" s="94">
        <f>IFERROR(VLOOKUP(Readings[[#This Row],[Sensor ID]],Table_Baseline[],COLUMNS(Table_Baseline[[#Headers],[Sensor ID]:[Reference Angle '[Deg']]]),FALSE),"-")</f>
        <v>0</v>
      </c>
      <c r="U105" s="95" t="str">
        <f>Readings[[#This Row],[Sensor ID]]&amp;"-"&amp;Readings[[#This Row],[Epoch]]</f>
        <v>250-RL-OP-11012-45750.28125</v>
      </c>
      <c r="V105" s="99">
        <f ca="1">IF(Readings[[#This Row],[Epoch]]=OFFSET(Readings[[#This Row],[Epoch]],-1,0),0,1)</f>
        <v>0</v>
      </c>
    </row>
    <row r="106" spans="4:22" x14ac:dyDescent="0.2">
      <c r="D106" s="32">
        <v>45750.28125</v>
      </c>
      <c r="E106" s="33" t="s">
        <v>179</v>
      </c>
      <c r="F106" s="34">
        <v>60046.249000000003</v>
      </c>
      <c r="G106" s="34">
        <v>363841.22600000002</v>
      </c>
      <c r="H106" s="34">
        <v>18.77</v>
      </c>
      <c r="I106" s="33" t="s">
        <v>85</v>
      </c>
      <c r="J106" s="33" t="s">
        <v>90</v>
      </c>
      <c r="K106" s="33">
        <v>19.3</v>
      </c>
      <c r="L106" s="33">
        <v>1008.3</v>
      </c>
      <c r="M106" s="33">
        <v>94</v>
      </c>
      <c r="N106" s="33"/>
      <c r="O106" s="93">
        <f>IFERROR(IF(Readings[[#This Row],[Obs. X]]="","-",Readings[[#This Row],[Obs. X]]-_xlfn.XLOOKUP(Readings[[#This Row],[Sensor ID]],Table_Baseline[Sensor ID],Table_Baseline[Easting '[m']],"-")),"-")</f>
        <v>-9.9999999656574801E-4</v>
      </c>
      <c r="P106" s="93">
        <f>IFERROR(IF(Readings[[#This Row],[Obs. Y]]="","-",Readings[[#This Row],[Obs. Y]]-_xlfn.XLOOKUP(Readings[[#This Row],[Sensor ID]],Table_Baseline[Sensor ID],Table_Baseline[Northing '[m']],"-")),"-")</f>
        <v>0</v>
      </c>
      <c r="Q106" s="93">
        <f>IFERROR(IF(Readings[[#This Row],[Obs. Z]]="","-",Readings[[#This Row],[Obs. Z]]-_xlfn.XLOOKUP(Readings[[#This Row],[Sensor ID]],Table_Baseline[Sensor ID],Table_Baseline[Level '[m']],"-")),"-")</f>
        <v>1.9999999999953388E-4</v>
      </c>
      <c r="R106" s="93">
        <f>IFERROR(IF(Readings[[#This Row],[Reference Angle]]="-","-",(Readings[[#This Row],[Diff E]]*COS(RADIANS(Readings[[#This Row],[Reference Angle]]))-Readings[[#This Row],[Diff N]]*SIN(RADIANS(Readings[[#This Row],[Reference Angle]])))),"-")</f>
        <v>-9.9999999656574801E-4</v>
      </c>
      <c r="S106" s="93">
        <f>IFERROR(IF(Readings[[#This Row],[Reference Angle]]="-","-",(Readings[[#This Row],[Diff E]]*SIN(RADIANS(Readings[[#This Row],[Reference Angle]]))+Readings[[#This Row],[Diff N]]*COS(RADIANS(Readings[[#This Row],[Reference Angle]])))),"-")</f>
        <v>0</v>
      </c>
      <c r="T106" s="94">
        <f>IFERROR(VLOOKUP(Readings[[#This Row],[Sensor ID]],Table_Baseline[],COLUMNS(Table_Baseline[[#Headers],[Sensor ID]:[Reference Angle '[Deg']]]),FALSE),"-")</f>
        <v>0</v>
      </c>
      <c r="U106" s="95" t="str">
        <f>Readings[[#This Row],[Sensor ID]]&amp;"-"&amp;Readings[[#This Row],[Epoch]]</f>
        <v>250-RL-OP-11010-45750.28125</v>
      </c>
      <c r="V106" s="99">
        <f ca="1">IF(Readings[[#This Row],[Epoch]]=OFFSET(Readings[[#This Row],[Epoch]],-1,0),0,1)</f>
        <v>0</v>
      </c>
    </row>
    <row r="107" spans="4:22" x14ac:dyDescent="0.2">
      <c r="D107" s="32">
        <v>45750.28125</v>
      </c>
      <c r="E107" s="33" t="s">
        <v>177</v>
      </c>
      <c r="F107" s="34">
        <v>60043.440999999999</v>
      </c>
      <c r="G107" s="34">
        <v>363842.04000000004</v>
      </c>
      <c r="H107" s="34">
        <v>18.768999999999998</v>
      </c>
      <c r="I107" s="33" t="s">
        <v>85</v>
      </c>
      <c r="J107" s="33" t="s">
        <v>90</v>
      </c>
      <c r="K107" s="33">
        <v>19.3</v>
      </c>
      <c r="L107" s="33">
        <v>1008.3</v>
      </c>
      <c r="M107" s="33">
        <v>94</v>
      </c>
      <c r="N107" s="33"/>
      <c r="O107" s="93">
        <f>IFERROR(IF(Readings[[#This Row],[Obs. X]]="","-",Readings[[#This Row],[Obs. X]]-_xlfn.XLOOKUP(Readings[[#This Row],[Sensor ID]],Table_Baseline[Sensor ID],Table_Baseline[Easting '[m']],"-")),"-")</f>
        <v>0</v>
      </c>
      <c r="P107" s="93">
        <f>IFERROR(IF(Readings[[#This Row],[Obs. Y]]="","-",Readings[[#This Row],[Obs. Y]]-_xlfn.XLOOKUP(Readings[[#This Row],[Sensor ID]],Table_Baseline[Sensor ID],Table_Baseline[Northing '[m']],"-")),"-")</f>
        <v>0</v>
      </c>
      <c r="Q107" s="93">
        <f>IFERROR(IF(Readings[[#This Row],[Obs. Z]]="","-",Readings[[#This Row],[Obs. Z]]-_xlfn.XLOOKUP(Readings[[#This Row],[Sensor ID]],Table_Baseline[Sensor ID],Table_Baseline[Level '[m']],"-")),"-")</f>
        <v>6.9999999999836859E-4</v>
      </c>
      <c r="R107" s="93">
        <f>IFERROR(IF(Readings[[#This Row],[Reference Angle]]="-","-",(Readings[[#This Row],[Diff E]]*COS(RADIANS(Readings[[#This Row],[Reference Angle]]))-Readings[[#This Row],[Diff N]]*SIN(RADIANS(Readings[[#This Row],[Reference Angle]])))),"-")</f>
        <v>0</v>
      </c>
      <c r="S107" s="93">
        <f>IFERROR(IF(Readings[[#This Row],[Reference Angle]]="-","-",(Readings[[#This Row],[Diff E]]*SIN(RADIANS(Readings[[#This Row],[Reference Angle]]))+Readings[[#This Row],[Diff N]]*COS(RADIANS(Readings[[#This Row],[Reference Angle]])))),"-")</f>
        <v>0</v>
      </c>
      <c r="T107" s="94">
        <f>IFERROR(VLOOKUP(Readings[[#This Row],[Sensor ID]],Table_Baseline[],COLUMNS(Table_Baseline[[#Headers],[Sensor ID]:[Reference Angle '[Deg']]]),FALSE),"-")</f>
        <v>0</v>
      </c>
      <c r="U107" s="95" t="str">
        <f>Readings[[#This Row],[Sensor ID]]&amp;"-"&amp;Readings[[#This Row],[Epoch]]</f>
        <v>250-RL-OP-11008-45750.28125</v>
      </c>
      <c r="V107" s="99">
        <f ca="1">IF(Readings[[#This Row],[Epoch]]=OFFSET(Readings[[#This Row],[Epoch]],-1,0),0,1)</f>
        <v>0</v>
      </c>
    </row>
    <row r="108" spans="4:22" x14ac:dyDescent="0.2">
      <c r="D108" s="32">
        <v>45750.28125</v>
      </c>
      <c r="E108" s="33" t="s">
        <v>175</v>
      </c>
      <c r="F108" s="34">
        <v>60040.606</v>
      </c>
      <c r="G108" s="34">
        <v>363842.86100000003</v>
      </c>
      <c r="H108" s="34">
        <v>18.771999999999998</v>
      </c>
      <c r="I108" s="33" t="s">
        <v>85</v>
      </c>
      <c r="J108" s="33" t="s">
        <v>90</v>
      </c>
      <c r="K108" s="33">
        <v>19.3</v>
      </c>
      <c r="L108" s="33">
        <v>1008.3</v>
      </c>
      <c r="M108" s="33">
        <v>94</v>
      </c>
      <c r="N108" s="33"/>
      <c r="O108" s="93">
        <f>IFERROR(IF(Readings[[#This Row],[Obs. X]]="","-",Readings[[#This Row],[Obs. X]]-_xlfn.XLOOKUP(Readings[[#This Row],[Sensor ID]],Table_Baseline[Sensor ID],Table_Baseline[Easting '[m']],"-")),"-")</f>
        <v>-1.0000000038417056E-3</v>
      </c>
      <c r="P108" s="93">
        <f>IFERROR(IF(Readings[[#This Row],[Obs. Y]]="","-",Readings[[#This Row],[Obs. Y]]-_xlfn.XLOOKUP(Readings[[#This Row],[Sensor ID]],Table_Baseline[Sensor ID],Table_Baseline[Northing '[m']],"-")),"-")</f>
        <v>0</v>
      </c>
      <c r="Q108" s="93">
        <f>IFERROR(IF(Readings[[#This Row],[Obs. Z]]="","-",Readings[[#This Row],[Obs. Z]]-_xlfn.XLOOKUP(Readings[[#This Row],[Sensor ID]],Table_Baseline[Sensor ID],Table_Baseline[Level '[m']],"-")),"-")</f>
        <v>0</v>
      </c>
      <c r="R108" s="93">
        <f>IFERROR(IF(Readings[[#This Row],[Reference Angle]]="-","-",(Readings[[#This Row],[Diff E]]*COS(RADIANS(Readings[[#This Row],[Reference Angle]]))-Readings[[#This Row],[Diff N]]*SIN(RADIANS(Readings[[#This Row],[Reference Angle]])))),"-")</f>
        <v>-1.0000000038417056E-3</v>
      </c>
      <c r="S108" s="93">
        <f>IFERROR(IF(Readings[[#This Row],[Reference Angle]]="-","-",(Readings[[#This Row],[Diff E]]*SIN(RADIANS(Readings[[#This Row],[Reference Angle]]))+Readings[[#This Row],[Diff N]]*COS(RADIANS(Readings[[#This Row],[Reference Angle]])))),"-")</f>
        <v>0</v>
      </c>
      <c r="T108" s="94">
        <f>IFERROR(VLOOKUP(Readings[[#This Row],[Sensor ID]],Table_Baseline[],COLUMNS(Table_Baseline[[#Headers],[Sensor ID]:[Reference Angle '[Deg']]]),FALSE),"-")</f>
        <v>0</v>
      </c>
      <c r="U108" s="95" t="str">
        <f>Readings[[#This Row],[Sensor ID]]&amp;"-"&amp;Readings[[#This Row],[Epoch]]</f>
        <v>250-RL-OP-11006-45750.28125</v>
      </c>
      <c r="V108" s="99">
        <f ca="1">IF(Readings[[#This Row],[Epoch]]=OFFSET(Readings[[#This Row],[Epoch]],-1,0),0,1)</f>
        <v>0</v>
      </c>
    </row>
    <row r="109" spans="4:22" x14ac:dyDescent="0.2">
      <c r="D109" s="32">
        <v>45750.28125</v>
      </c>
      <c r="E109" s="33" t="s">
        <v>173</v>
      </c>
      <c r="F109" s="34">
        <v>60037.803999999996</v>
      </c>
      <c r="G109" s="34">
        <v>363843.65700000001</v>
      </c>
      <c r="H109" s="34">
        <v>18.779</v>
      </c>
      <c r="I109" s="33" t="s">
        <v>85</v>
      </c>
      <c r="J109" s="33" t="s">
        <v>90</v>
      </c>
      <c r="K109" s="33">
        <v>19.3</v>
      </c>
      <c r="L109" s="33">
        <v>1008.3</v>
      </c>
      <c r="M109" s="33">
        <v>94</v>
      </c>
      <c r="N109" s="33"/>
      <c r="O109" s="93">
        <f>IFERROR(IF(Readings[[#This Row],[Obs. X]]="","-",Readings[[#This Row],[Obs. X]]-_xlfn.XLOOKUP(Readings[[#This Row],[Sensor ID]],Table_Baseline[Sensor ID],Table_Baseline[Easting '[m']],"-")),"-")</f>
        <v>-1.0000000038417056E-3</v>
      </c>
      <c r="P109" s="93">
        <f>IFERROR(IF(Readings[[#This Row],[Obs. Y]]="","-",Readings[[#This Row],[Obs. Y]]-_xlfn.XLOOKUP(Readings[[#This Row],[Sensor ID]],Table_Baseline[Sensor ID],Table_Baseline[Northing '[m']],"-")),"-")</f>
        <v>0</v>
      </c>
      <c r="Q109" s="93">
        <f>IFERROR(IF(Readings[[#This Row],[Obs. Z]]="","-",Readings[[#This Row],[Obs. Z]]-_xlfn.XLOOKUP(Readings[[#This Row],[Sensor ID]],Table_Baseline[Sensor ID],Table_Baseline[Level '[m']],"-")),"-")</f>
        <v>4.9999999999883471E-4</v>
      </c>
      <c r="R109" s="93">
        <f>IFERROR(IF(Readings[[#This Row],[Reference Angle]]="-","-",(Readings[[#This Row],[Diff E]]*COS(RADIANS(Readings[[#This Row],[Reference Angle]]))-Readings[[#This Row],[Diff N]]*SIN(RADIANS(Readings[[#This Row],[Reference Angle]])))),"-")</f>
        <v>-1.0000000038417056E-3</v>
      </c>
      <c r="S109" s="93">
        <f>IFERROR(IF(Readings[[#This Row],[Reference Angle]]="-","-",(Readings[[#This Row],[Diff E]]*SIN(RADIANS(Readings[[#This Row],[Reference Angle]]))+Readings[[#This Row],[Diff N]]*COS(RADIANS(Readings[[#This Row],[Reference Angle]])))),"-")</f>
        <v>0</v>
      </c>
      <c r="T109" s="94">
        <f>IFERROR(VLOOKUP(Readings[[#This Row],[Sensor ID]],Table_Baseline[],COLUMNS(Table_Baseline[[#Headers],[Sensor ID]:[Reference Angle '[Deg']]]),FALSE),"-")</f>
        <v>0</v>
      </c>
      <c r="U109" s="95" t="str">
        <f>Readings[[#This Row],[Sensor ID]]&amp;"-"&amp;Readings[[#This Row],[Epoch]]</f>
        <v>250-RL-OP-11004-45750.28125</v>
      </c>
      <c r="V109" s="99">
        <f ca="1">IF(Readings[[#This Row],[Epoch]]=OFFSET(Readings[[#This Row],[Epoch]],-1,0),0,1)</f>
        <v>0</v>
      </c>
    </row>
    <row r="110" spans="4:22" x14ac:dyDescent="0.2">
      <c r="D110" s="32">
        <v>45750.28125</v>
      </c>
      <c r="E110" s="33" t="s">
        <v>172</v>
      </c>
      <c r="F110" s="34">
        <v>60035.339</v>
      </c>
      <c r="G110" s="34">
        <v>363845.73800000001</v>
      </c>
      <c r="H110" s="34">
        <v>18.782</v>
      </c>
      <c r="I110" s="33" t="s">
        <v>85</v>
      </c>
      <c r="J110" s="33" t="s">
        <v>90</v>
      </c>
      <c r="K110" s="33">
        <v>19.3</v>
      </c>
      <c r="L110" s="33">
        <v>1008.3</v>
      </c>
      <c r="M110" s="33">
        <v>94</v>
      </c>
      <c r="N110" s="33"/>
      <c r="O110" s="93">
        <f>IFERROR(IF(Readings[[#This Row],[Obs. X]]="","-",Readings[[#This Row],[Obs. X]]-_xlfn.XLOOKUP(Readings[[#This Row],[Sensor ID]],Table_Baseline[Sensor ID],Table_Baseline[Easting '[m']],"-")),"-")</f>
        <v>-9.9999999656574801E-4</v>
      </c>
      <c r="P110" s="93">
        <f>IFERROR(IF(Readings[[#This Row],[Obs. Y]]="","-",Readings[[#This Row],[Obs. Y]]-_xlfn.XLOOKUP(Readings[[#This Row],[Sensor ID]],Table_Baseline[Sensor ID],Table_Baseline[Northing '[m']],"-")),"-")</f>
        <v>-9.9999998928979039E-4</v>
      </c>
      <c r="Q110" s="93">
        <f>IFERROR(IF(Readings[[#This Row],[Obs. Z]]="","-",Readings[[#This Row],[Obs. Z]]-_xlfn.XLOOKUP(Readings[[#This Row],[Sensor ID]],Table_Baseline[Sensor ID],Table_Baseline[Level '[m']],"-")),"-")</f>
        <v>0</v>
      </c>
      <c r="R110" s="93">
        <f>IFERROR(IF(Readings[[#This Row],[Reference Angle]]="-","-",(Readings[[#This Row],[Diff E]]*COS(RADIANS(Readings[[#This Row],[Reference Angle]]))-Readings[[#This Row],[Diff N]]*SIN(RADIANS(Readings[[#This Row],[Reference Angle]])))),"-")</f>
        <v>-9.9999999656574801E-4</v>
      </c>
      <c r="S110" s="93">
        <f>IFERROR(IF(Readings[[#This Row],[Reference Angle]]="-","-",(Readings[[#This Row],[Diff E]]*SIN(RADIANS(Readings[[#This Row],[Reference Angle]]))+Readings[[#This Row],[Diff N]]*COS(RADIANS(Readings[[#This Row],[Reference Angle]])))),"-")</f>
        <v>-9.9999998928979039E-4</v>
      </c>
      <c r="T110" s="94">
        <f>IFERROR(VLOOKUP(Readings[[#This Row],[Sensor ID]],Table_Baseline[],COLUMNS(Table_Baseline[[#Headers],[Sensor ID]:[Reference Angle '[Deg']]]),FALSE),"-")</f>
        <v>0</v>
      </c>
      <c r="U110" s="95" t="str">
        <f>Readings[[#This Row],[Sensor ID]]&amp;"-"&amp;Readings[[#This Row],[Epoch]]</f>
        <v>250-RL-OP-11001-45750.28125</v>
      </c>
      <c r="V110" s="99">
        <f ca="1">IF(Readings[[#This Row],[Epoch]]=OFFSET(Readings[[#This Row],[Epoch]],-1,0),0,1)</f>
        <v>0</v>
      </c>
    </row>
    <row r="111" spans="4:22" x14ac:dyDescent="0.2">
      <c r="D111" s="32">
        <v>45750.28125</v>
      </c>
      <c r="E111" s="33" t="s">
        <v>171</v>
      </c>
      <c r="F111" s="34">
        <v>60034.959000000003</v>
      </c>
      <c r="G111" s="34">
        <v>363844.47100000002</v>
      </c>
      <c r="H111" s="34">
        <v>18.779</v>
      </c>
      <c r="I111" s="33" t="s">
        <v>85</v>
      </c>
      <c r="J111" s="33" t="s">
        <v>90</v>
      </c>
      <c r="K111" s="33">
        <v>19.3</v>
      </c>
      <c r="L111" s="33">
        <v>1008.3</v>
      </c>
      <c r="M111" s="33">
        <v>94</v>
      </c>
      <c r="N111" s="33"/>
      <c r="O111" s="93">
        <f>IFERROR(IF(Readings[[#This Row],[Obs. X]]="","-",Readings[[#This Row],[Obs. X]]-_xlfn.XLOOKUP(Readings[[#This Row],[Sensor ID]],Table_Baseline[Sensor ID],Table_Baseline[Easting '[m']],"-")),"-")</f>
        <v>0</v>
      </c>
      <c r="P111" s="93">
        <f>IFERROR(IF(Readings[[#This Row],[Obs. Y]]="","-",Readings[[#This Row],[Obs. Y]]-_xlfn.XLOOKUP(Readings[[#This Row],[Sensor ID]],Table_Baseline[Sensor ID],Table_Baseline[Northing '[m']],"-")),"-")</f>
        <v>0</v>
      </c>
      <c r="Q111" s="93">
        <f>IFERROR(IF(Readings[[#This Row],[Obs. Z]]="","-",Readings[[#This Row],[Obs. Z]]-_xlfn.XLOOKUP(Readings[[#This Row],[Sensor ID]],Table_Baseline[Sensor ID],Table_Baseline[Level '[m']],"-")),"-")</f>
        <v>9.0000000000145519E-4</v>
      </c>
      <c r="R111" s="93">
        <f>IFERROR(IF(Readings[[#This Row],[Reference Angle]]="-","-",(Readings[[#This Row],[Diff E]]*COS(RADIANS(Readings[[#This Row],[Reference Angle]]))-Readings[[#This Row],[Diff N]]*SIN(RADIANS(Readings[[#This Row],[Reference Angle]])))),"-")</f>
        <v>0</v>
      </c>
      <c r="S111" s="93">
        <f>IFERROR(IF(Readings[[#This Row],[Reference Angle]]="-","-",(Readings[[#This Row],[Diff E]]*SIN(RADIANS(Readings[[#This Row],[Reference Angle]]))+Readings[[#This Row],[Diff N]]*COS(RADIANS(Readings[[#This Row],[Reference Angle]])))),"-")</f>
        <v>0</v>
      </c>
      <c r="T111" s="94">
        <f>IFERROR(VLOOKUP(Readings[[#This Row],[Sensor ID]],Table_Baseline[],COLUMNS(Table_Baseline[[#Headers],[Sensor ID]:[Reference Angle '[Deg']]]),FALSE),"-")</f>
        <v>0</v>
      </c>
      <c r="U111" s="95" t="str">
        <f>Readings[[#This Row],[Sensor ID]]&amp;"-"&amp;Readings[[#This Row],[Epoch]]</f>
        <v>250-RL-OP-11002-45750.28125</v>
      </c>
      <c r="V111" s="99">
        <f ca="1">IF(Readings[[#This Row],[Epoch]]=OFFSET(Readings[[#This Row],[Epoch]],-1,0),0,1)</f>
        <v>0</v>
      </c>
    </row>
    <row r="112" spans="4:22" x14ac:dyDescent="0.2">
      <c r="D112" s="32">
        <v>45750.28125</v>
      </c>
      <c r="E112" s="33" t="s">
        <v>170</v>
      </c>
      <c r="F112" s="34">
        <v>60060.065000000002</v>
      </c>
      <c r="G112" s="34">
        <v>363836.02299999999</v>
      </c>
      <c r="H112" s="34">
        <v>19.356999999999999</v>
      </c>
      <c r="I112" s="33" t="s">
        <v>85</v>
      </c>
      <c r="J112" s="33" t="s">
        <v>90</v>
      </c>
      <c r="K112" s="33">
        <v>19.3</v>
      </c>
      <c r="L112" s="33">
        <v>1008.3</v>
      </c>
      <c r="M112" s="33">
        <v>94</v>
      </c>
      <c r="N112" s="33"/>
      <c r="O112" s="93" t="str">
        <f>IFERROR(IF(Readings[[#This Row],[Obs. X]]="","-",Readings[[#This Row],[Obs. X]]-_xlfn.XLOOKUP(Readings[[#This Row],[Sensor ID]],Table_Baseline[Sensor ID],Table_Baseline[Easting '[m']],"-")),"-")</f>
        <v>-</v>
      </c>
      <c r="P112" s="93" t="str">
        <f>IFERROR(IF(Readings[[#This Row],[Obs. Y]]="","-",Readings[[#This Row],[Obs. Y]]-_xlfn.XLOOKUP(Readings[[#This Row],[Sensor ID]],Table_Baseline[Sensor ID],Table_Baseline[Northing '[m']],"-")),"-")</f>
        <v>-</v>
      </c>
      <c r="Q112" s="93" t="str">
        <f>IFERROR(IF(Readings[[#This Row],[Obs. Z]]="","-",Readings[[#This Row],[Obs. Z]]-_xlfn.XLOOKUP(Readings[[#This Row],[Sensor ID]],Table_Baseline[Sensor ID],Table_Baseline[Level '[m']],"-")),"-")</f>
        <v>-</v>
      </c>
      <c r="R112" s="93" t="str">
        <f>IFERROR(IF(Readings[[#This Row],[Reference Angle]]="-","-",(Readings[[#This Row],[Diff E]]*COS(RADIANS(Readings[[#This Row],[Reference Angle]]))-Readings[[#This Row],[Diff N]]*SIN(RADIANS(Readings[[#This Row],[Reference Angle]])))),"-")</f>
        <v>-</v>
      </c>
      <c r="S112" s="93" t="str">
        <f>IFERROR(IF(Readings[[#This Row],[Reference Angle]]="-","-",(Readings[[#This Row],[Diff E]]*SIN(RADIANS(Readings[[#This Row],[Reference Angle]]))+Readings[[#This Row],[Diff N]]*COS(RADIANS(Readings[[#This Row],[Reference Angle]])))),"-")</f>
        <v>-</v>
      </c>
      <c r="T112" s="94" t="str">
        <f>IFERROR(VLOOKUP(Readings[[#This Row],[Sensor ID]],Table_Baseline[],COLUMNS(Table_Baseline[[#Headers],[Sensor ID]:[Reference Angle '[Deg']]]),FALSE),"-")</f>
        <v>-</v>
      </c>
      <c r="U112" s="95" t="str">
        <f>Readings[[#This Row],[Sensor ID]]&amp;"-"&amp;Readings[[#This Row],[Epoch]]</f>
        <v>250-ST-OP-505-45750.28125</v>
      </c>
      <c r="V112" s="99">
        <f ca="1">IF(Readings[[#This Row],[Epoch]]=OFFSET(Readings[[#This Row],[Epoch]],-1,0),0,1)</f>
        <v>0</v>
      </c>
    </row>
    <row r="113" spans="4:22" x14ac:dyDescent="0.2">
      <c r="D113" s="32">
        <v>45750.28125</v>
      </c>
      <c r="E113" s="33" t="s">
        <v>166</v>
      </c>
      <c r="F113" s="34">
        <v>60040.286</v>
      </c>
      <c r="G113" s="34">
        <v>363841.73</v>
      </c>
      <c r="H113" s="34">
        <v>19.321999999999999</v>
      </c>
      <c r="I113" s="33" t="s">
        <v>85</v>
      </c>
      <c r="J113" s="33" t="s">
        <v>90</v>
      </c>
      <c r="K113" s="33">
        <v>19.3</v>
      </c>
      <c r="L113" s="33">
        <v>1008.3</v>
      </c>
      <c r="M113" s="33">
        <v>94</v>
      </c>
      <c r="N113" s="33"/>
      <c r="O113" s="93" t="str">
        <f>IFERROR(IF(Readings[[#This Row],[Obs. X]]="","-",Readings[[#This Row],[Obs. X]]-_xlfn.XLOOKUP(Readings[[#This Row],[Sensor ID]],Table_Baseline[Sensor ID],Table_Baseline[Easting '[m']],"-")),"-")</f>
        <v>-</v>
      </c>
      <c r="P113" s="93" t="str">
        <f>IFERROR(IF(Readings[[#This Row],[Obs. Y]]="","-",Readings[[#This Row],[Obs. Y]]-_xlfn.XLOOKUP(Readings[[#This Row],[Sensor ID]],Table_Baseline[Sensor ID],Table_Baseline[Northing '[m']],"-")),"-")</f>
        <v>-</v>
      </c>
      <c r="Q113" s="93" t="str">
        <f>IFERROR(IF(Readings[[#This Row],[Obs. Z]]="","-",Readings[[#This Row],[Obs. Z]]-_xlfn.XLOOKUP(Readings[[#This Row],[Sensor ID]],Table_Baseline[Sensor ID],Table_Baseline[Level '[m']],"-")),"-")</f>
        <v>-</v>
      </c>
      <c r="R113" s="93" t="str">
        <f>IFERROR(IF(Readings[[#This Row],[Reference Angle]]="-","-",(Readings[[#This Row],[Diff E]]*COS(RADIANS(Readings[[#This Row],[Reference Angle]]))-Readings[[#This Row],[Diff N]]*SIN(RADIANS(Readings[[#This Row],[Reference Angle]])))),"-")</f>
        <v>-</v>
      </c>
      <c r="S113" s="93" t="str">
        <f>IFERROR(IF(Readings[[#This Row],[Reference Angle]]="-","-",(Readings[[#This Row],[Diff E]]*SIN(RADIANS(Readings[[#This Row],[Reference Angle]]))+Readings[[#This Row],[Diff N]]*COS(RADIANS(Readings[[#This Row],[Reference Angle]])))),"-")</f>
        <v>-</v>
      </c>
      <c r="T113" s="94" t="str">
        <f>IFERROR(VLOOKUP(Readings[[#This Row],[Sensor ID]],Table_Baseline[],COLUMNS(Table_Baseline[[#Headers],[Sensor ID]:[Reference Angle '[Deg']]]),FALSE),"-")</f>
        <v>-</v>
      </c>
      <c r="U113" s="95" t="str">
        <f>Readings[[#This Row],[Sensor ID]]&amp;"-"&amp;Readings[[#This Row],[Epoch]]</f>
        <v>250-ST-OP-501-45750.28125</v>
      </c>
      <c r="V113" s="99">
        <f ca="1">IF(Readings[[#This Row],[Epoch]]=OFFSET(Readings[[#This Row],[Epoch]],-1,0),0,1)</f>
        <v>0</v>
      </c>
    </row>
    <row r="114" spans="4:22" x14ac:dyDescent="0.2">
      <c r="D114" s="32">
        <v>45750.28125</v>
      </c>
      <c r="E114" s="33" t="s">
        <v>165</v>
      </c>
      <c r="F114" s="34">
        <v>60034.538999999997</v>
      </c>
      <c r="G114" s="34">
        <v>363843.38199999998</v>
      </c>
      <c r="H114" s="34">
        <v>19.332000000000001</v>
      </c>
      <c r="I114" s="33" t="s">
        <v>85</v>
      </c>
      <c r="J114" s="33" t="s">
        <v>90</v>
      </c>
      <c r="K114" s="33">
        <v>19.3</v>
      </c>
      <c r="L114" s="33">
        <v>1008.3</v>
      </c>
      <c r="M114" s="33">
        <v>94</v>
      </c>
      <c r="N114" s="33"/>
      <c r="O114" s="93" t="str">
        <f>IFERROR(IF(Readings[[#This Row],[Obs. X]]="","-",Readings[[#This Row],[Obs. X]]-_xlfn.XLOOKUP(Readings[[#This Row],[Sensor ID]],Table_Baseline[Sensor ID],Table_Baseline[Easting '[m']],"-")),"-")</f>
        <v>-</v>
      </c>
      <c r="P114" s="93" t="str">
        <f>IFERROR(IF(Readings[[#This Row],[Obs. Y]]="","-",Readings[[#This Row],[Obs. Y]]-_xlfn.XLOOKUP(Readings[[#This Row],[Sensor ID]],Table_Baseline[Sensor ID],Table_Baseline[Northing '[m']],"-")),"-")</f>
        <v>-</v>
      </c>
      <c r="Q114" s="93" t="str">
        <f>IFERROR(IF(Readings[[#This Row],[Obs. Z]]="","-",Readings[[#This Row],[Obs. Z]]-_xlfn.XLOOKUP(Readings[[#This Row],[Sensor ID]],Table_Baseline[Sensor ID],Table_Baseline[Level '[m']],"-")),"-")</f>
        <v>-</v>
      </c>
      <c r="R114" s="93" t="str">
        <f>IFERROR(IF(Readings[[#This Row],[Reference Angle]]="-","-",(Readings[[#This Row],[Diff E]]*COS(RADIANS(Readings[[#This Row],[Reference Angle]]))-Readings[[#This Row],[Diff N]]*SIN(RADIANS(Readings[[#This Row],[Reference Angle]])))),"-")</f>
        <v>-</v>
      </c>
      <c r="S114" s="93" t="str">
        <f>IFERROR(IF(Readings[[#This Row],[Reference Angle]]="-","-",(Readings[[#This Row],[Diff E]]*SIN(RADIANS(Readings[[#This Row],[Reference Angle]]))+Readings[[#This Row],[Diff N]]*COS(RADIANS(Readings[[#This Row],[Reference Angle]])))),"-")</f>
        <v>-</v>
      </c>
      <c r="T114" s="94" t="str">
        <f>IFERROR(VLOOKUP(Readings[[#This Row],[Sensor ID]],Table_Baseline[],COLUMNS(Table_Baseline[[#Headers],[Sensor ID]:[Reference Angle '[Deg']]]),FALSE),"-")</f>
        <v>-</v>
      </c>
      <c r="U114" s="95" t="str">
        <f>Readings[[#This Row],[Sensor ID]]&amp;"-"&amp;Readings[[#This Row],[Epoch]]</f>
        <v>250-ST-OP-500-45750.28125</v>
      </c>
      <c r="V114" s="99">
        <f ca="1">IF(Readings[[#This Row],[Epoch]]=OFFSET(Readings[[#This Row],[Epoch]],-1,0),0,1)</f>
        <v>0</v>
      </c>
    </row>
    <row r="115" spans="4:22" x14ac:dyDescent="0.2">
      <c r="D115" s="32">
        <v>45750.28125</v>
      </c>
      <c r="E115" s="33" t="s">
        <v>169</v>
      </c>
      <c r="F115" s="34">
        <v>60053.608999999997</v>
      </c>
      <c r="G115" s="34">
        <v>363837.88199999998</v>
      </c>
      <c r="H115" s="34">
        <v>19.356999999999999</v>
      </c>
      <c r="I115" s="33" t="s">
        <v>85</v>
      </c>
      <c r="J115" s="33" t="s">
        <v>90</v>
      </c>
      <c r="K115" s="33">
        <v>19.3</v>
      </c>
      <c r="L115" s="33">
        <v>1008.3</v>
      </c>
      <c r="M115" s="33">
        <v>94</v>
      </c>
      <c r="N115" s="33"/>
      <c r="O115" s="93" t="str">
        <f>IFERROR(IF(Readings[[#This Row],[Obs. X]]="","-",Readings[[#This Row],[Obs. X]]-_xlfn.XLOOKUP(Readings[[#This Row],[Sensor ID]],Table_Baseline[Sensor ID],Table_Baseline[Easting '[m']],"-")),"-")</f>
        <v>-</v>
      </c>
      <c r="P115" s="93" t="str">
        <f>IFERROR(IF(Readings[[#This Row],[Obs. Y]]="","-",Readings[[#This Row],[Obs. Y]]-_xlfn.XLOOKUP(Readings[[#This Row],[Sensor ID]],Table_Baseline[Sensor ID],Table_Baseline[Northing '[m']],"-")),"-")</f>
        <v>-</v>
      </c>
      <c r="Q115" s="93" t="str">
        <f>IFERROR(IF(Readings[[#This Row],[Obs. Z]]="","-",Readings[[#This Row],[Obs. Z]]-_xlfn.XLOOKUP(Readings[[#This Row],[Sensor ID]],Table_Baseline[Sensor ID],Table_Baseline[Level '[m']],"-")),"-")</f>
        <v>-</v>
      </c>
      <c r="R115" s="93" t="str">
        <f>IFERROR(IF(Readings[[#This Row],[Reference Angle]]="-","-",(Readings[[#This Row],[Diff E]]*COS(RADIANS(Readings[[#This Row],[Reference Angle]]))-Readings[[#This Row],[Diff N]]*SIN(RADIANS(Readings[[#This Row],[Reference Angle]])))),"-")</f>
        <v>-</v>
      </c>
      <c r="S115" s="93" t="str">
        <f>IFERROR(IF(Readings[[#This Row],[Reference Angle]]="-","-",(Readings[[#This Row],[Diff E]]*SIN(RADIANS(Readings[[#This Row],[Reference Angle]]))+Readings[[#This Row],[Diff N]]*COS(RADIANS(Readings[[#This Row],[Reference Angle]])))),"-")</f>
        <v>-</v>
      </c>
      <c r="T115" s="94" t="str">
        <f>IFERROR(VLOOKUP(Readings[[#This Row],[Sensor ID]],Table_Baseline[],COLUMNS(Table_Baseline[[#Headers],[Sensor ID]:[Reference Angle '[Deg']]]),FALSE),"-")</f>
        <v>-</v>
      </c>
      <c r="U115" s="95" t="str">
        <f>Readings[[#This Row],[Sensor ID]]&amp;"-"&amp;Readings[[#This Row],[Epoch]]</f>
        <v>250-ST-OP-504-45750.28125</v>
      </c>
      <c r="V115" s="99">
        <f ca="1">IF(Readings[[#This Row],[Epoch]]=OFFSET(Readings[[#This Row],[Epoch]],-1,0),0,1)</f>
        <v>0</v>
      </c>
    </row>
    <row r="116" spans="4:22" x14ac:dyDescent="0.2">
      <c r="D116" s="32">
        <v>45750.28125</v>
      </c>
      <c r="E116" s="33" t="s">
        <v>168</v>
      </c>
      <c r="F116" s="34">
        <v>60049.767</v>
      </c>
      <c r="G116" s="34">
        <v>363838.99300000002</v>
      </c>
      <c r="H116" s="34">
        <v>19.344999999999999</v>
      </c>
      <c r="I116" s="33" t="s">
        <v>85</v>
      </c>
      <c r="J116" s="33" t="s">
        <v>90</v>
      </c>
      <c r="K116" s="33">
        <v>19.3</v>
      </c>
      <c r="L116" s="33">
        <v>1008.3</v>
      </c>
      <c r="M116" s="33">
        <v>94</v>
      </c>
      <c r="N116" s="33"/>
      <c r="O116" s="93" t="str">
        <f>IFERROR(IF(Readings[[#This Row],[Obs. X]]="","-",Readings[[#This Row],[Obs. X]]-_xlfn.XLOOKUP(Readings[[#This Row],[Sensor ID]],Table_Baseline[Sensor ID],Table_Baseline[Easting '[m']],"-")),"-")</f>
        <v>-</v>
      </c>
      <c r="P116" s="93" t="str">
        <f>IFERROR(IF(Readings[[#This Row],[Obs. Y]]="","-",Readings[[#This Row],[Obs. Y]]-_xlfn.XLOOKUP(Readings[[#This Row],[Sensor ID]],Table_Baseline[Sensor ID],Table_Baseline[Northing '[m']],"-")),"-")</f>
        <v>-</v>
      </c>
      <c r="Q116" s="93" t="str">
        <f>IFERROR(IF(Readings[[#This Row],[Obs. Z]]="","-",Readings[[#This Row],[Obs. Z]]-_xlfn.XLOOKUP(Readings[[#This Row],[Sensor ID]],Table_Baseline[Sensor ID],Table_Baseline[Level '[m']],"-")),"-")</f>
        <v>-</v>
      </c>
      <c r="R116" s="93" t="str">
        <f>IFERROR(IF(Readings[[#This Row],[Reference Angle]]="-","-",(Readings[[#This Row],[Diff E]]*COS(RADIANS(Readings[[#This Row],[Reference Angle]]))-Readings[[#This Row],[Diff N]]*SIN(RADIANS(Readings[[#This Row],[Reference Angle]])))),"-")</f>
        <v>-</v>
      </c>
      <c r="S116" s="93" t="str">
        <f>IFERROR(IF(Readings[[#This Row],[Reference Angle]]="-","-",(Readings[[#This Row],[Diff E]]*SIN(RADIANS(Readings[[#This Row],[Reference Angle]]))+Readings[[#This Row],[Diff N]]*COS(RADIANS(Readings[[#This Row],[Reference Angle]])))),"-")</f>
        <v>-</v>
      </c>
      <c r="T116" s="94" t="str">
        <f>IFERROR(VLOOKUP(Readings[[#This Row],[Sensor ID]],Table_Baseline[],COLUMNS(Table_Baseline[[#Headers],[Sensor ID]:[Reference Angle '[Deg']]]),FALSE),"-")</f>
        <v>-</v>
      </c>
      <c r="U116" s="95" t="str">
        <f>Readings[[#This Row],[Sensor ID]]&amp;"-"&amp;Readings[[#This Row],[Epoch]]</f>
        <v>250-ST-OP-503-45750.28125</v>
      </c>
      <c r="V116" s="99">
        <f ca="1">IF(Readings[[#This Row],[Epoch]]=OFFSET(Readings[[#This Row],[Epoch]],-1,0),0,1)</f>
        <v>0</v>
      </c>
    </row>
    <row r="117" spans="4:22" x14ac:dyDescent="0.2">
      <c r="D117" s="32">
        <v>45750.28125</v>
      </c>
      <c r="E117" s="33" t="s">
        <v>167</v>
      </c>
      <c r="F117" s="34">
        <v>60045.921000000002</v>
      </c>
      <c r="G117" s="34">
        <v>363840.1</v>
      </c>
      <c r="H117" s="34">
        <v>19.334</v>
      </c>
      <c r="I117" s="33" t="s">
        <v>85</v>
      </c>
      <c r="J117" s="33" t="s">
        <v>90</v>
      </c>
      <c r="K117" s="33">
        <v>19.3</v>
      </c>
      <c r="L117" s="33">
        <v>1008.3</v>
      </c>
      <c r="M117" s="33">
        <v>94</v>
      </c>
      <c r="N117" s="33"/>
      <c r="O117" s="93" t="str">
        <f>IFERROR(IF(Readings[[#This Row],[Obs. X]]="","-",Readings[[#This Row],[Obs. X]]-_xlfn.XLOOKUP(Readings[[#This Row],[Sensor ID]],Table_Baseline[Sensor ID],Table_Baseline[Easting '[m']],"-")),"-")</f>
        <v>-</v>
      </c>
      <c r="P117" s="93" t="str">
        <f>IFERROR(IF(Readings[[#This Row],[Obs. Y]]="","-",Readings[[#This Row],[Obs. Y]]-_xlfn.XLOOKUP(Readings[[#This Row],[Sensor ID]],Table_Baseline[Sensor ID],Table_Baseline[Northing '[m']],"-")),"-")</f>
        <v>-</v>
      </c>
      <c r="Q117" s="93" t="str">
        <f>IFERROR(IF(Readings[[#This Row],[Obs. Z]]="","-",Readings[[#This Row],[Obs. Z]]-_xlfn.XLOOKUP(Readings[[#This Row],[Sensor ID]],Table_Baseline[Sensor ID],Table_Baseline[Level '[m']],"-")),"-")</f>
        <v>-</v>
      </c>
      <c r="R117" s="93" t="str">
        <f>IFERROR(IF(Readings[[#This Row],[Reference Angle]]="-","-",(Readings[[#This Row],[Diff E]]*COS(RADIANS(Readings[[#This Row],[Reference Angle]]))-Readings[[#This Row],[Diff N]]*SIN(RADIANS(Readings[[#This Row],[Reference Angle]])))),"-")</f>
        <v>-</v>
      </c>
      <c r="S117" s="93" t="str">
        <f>IFERROR(IF(Readings[[#This Row],[Reference Angle]]="-","-",(Readings[[#This Row],[Diff E]]*SIN(RADIANS(Readings[[#This Row],[Reference Angle]]))+Readings[[#This Row],[Diff N]]*COS(RADIANS(Readings[[#This Row],[Reference Angle]])))),"-")</f>
        <v>-</v>
      </c>
      <c r="T117" s="94" t="str">
        <f>IFERROR(VLOOKUP(Readings[[#This Row],[Sensor ID]],Table_Baseline[],COLUMNS(Table_Baseline[[#Headers],[Sensor ID]:[Reference Angle '[Deg']]]),FALSE),"-")</f>
        <v>-</v>
      </c>
      <c r="U117" s="95" t="str">
        <f>Readings[[#This Row],[Sensor ID]]&amp;"-"&amp;Readings[[#This Row],[Epoch]]</f>
        <v>250-ST-OP-502-45750.28125</v>
      </c>
      <c r="V117" s="99">
        <f ca="1">IF(Readings[[#This Row],[Epoch]]=OFFSET(Readings[[#This Row],[Epoch]],-1,0),0,1)</f>
        <v>0</v>
      </c>
    </row>
    <row r="118" spans="4:22" x14ac:dyDescent="0.2">
      <c r="D118" s="32">
        <v>45775.28125</v>
      </c>
      <c r="E118" s="33" t="s">
        <v>171</v>
      </c>
      <c r="F118" s="34">
        <v>60034.959000000003</v>
      </c>
      <c r="G118" s="34">
        <v>363844.47100000002</v>
      </c>
      <c r="H118" s="34">
        <v>18.779</v>
      </c>
      <c r="I118" s="33" t="s">
        <v>86</v>
      </c>
      <c r="J118" s="33" t="s">
        <v>90</v>
      </c>
      <c r="K118" s="33">
        <v>23</v>
      </c>
      <c r="L118" s="33">
        <v>1012</v>
      </c>
      <c r="M118" s="33">
        <v>61</v>
      </c>
      <c r="N118" s="33"/>
      <c r="O118" s="93">
        <f>IFERROR(IF(Readings[[#This Row],[Obs. X]]="","-",Readings[[#This Row],[Obs. X]]-_xlfn.XLOOKUP(Readings[[#This Row],[Sensor ID]],Table_Baseline[Sensor ID],Table_Baseline[Easting '[m']],"-")),"-")</f>
        <v>0</v>
      </c>
      <c r="P118" s="93">
        <f>IFERROR(IF(Readings[[#This Row],[Obs. Y]]="","-",Readings[[#This Row],[Obs. Y]]-_xlfn.XLOOKUP(Readings[[#This Row],[Sensor ID]],Table_Baseline[Sensor ID],Table_Baseline[Northing '[m']],"-")),"-")</f>
        <v>0</v>
      </c>
      <c r="Q118" s="93">
        <f>IFERROR(IF(Readings[[#This Row],[Obs. Z]]="","-",Readings[[#This Row],[Obs. Z]]-_xlfn.XLOOKUP(Readings[[#This Row],[Sensor ID]],Table_Baseline[Sensor ID],Table_Baseline[Level '[m']],"-")),"-")</f>
        <v>9.0000000000145519E-4</v>
      </c>
      <c r="R118" s="93">
        <f>IFERROR(IF(Readings[[#This Row],[Reference Angle]]="-","-",(Readings[[#This Row],[Diff E]]*COS(RADIANS(Readings[[#This Row],[Reference Angle]]))-Readings[[#This Row],[Diff N]]*SIN(RADIANS(Readings[[#This Row],[Reference Angle]])))),"-")</f>
        <v>0</v>
      </c>
      <c r="S118" s="93">
        <f>IFERROR(IF(Readings[[#This Row],[Reference Angle]]="-","-",(Readings[[#This Row],[Diff E]]*SIN(RADIANS(Readings[[#This Row],[Reference Angle]]))+Readings[[#This Row],[Diff N]]*COS(RADIANS(Readings[[#This Row],[Reference Angle]])))),"-")</f>
        <v>0</v>
      </c>
      <c r="T118" s="94">
        <f>IFERROR(VLOOKUP(Readings[[#This Row],[Sensor ID]],Table_Baseline[],COLUMNS(Table_Baseline[[#Headers],[Sensor ID]:[Reference Angle '[Deg']]]),FALSE),"-")</f>
        <v>0</v>
      </c>
      <c r="U118" s="95" t="str">
        <f>Readings[[#This Row],[Sensor ID]]&amp;"-"&amp;Readings[[#This Row],[Epoch]]</f>
        <v>250-RL-OP-11002-45775.28125</v>
      </c>
      <c r="V118" s="99">
        <f ca="1">IF(Readings[[#This Row],[Epoch]]=OFFSET(Readings[[#This Row],[Epoch]],-1,0),0,1)</f>
        <v>1</v>
      </c>
    </row>
    <row r="119" spans="4:22" x14ac:dyDescent="0.2">
      <c r="D119" s="32">
        <v>45775.28125</v>
      </c>
      <c r="E119" s="33" t="s">
        <v>172</v>
      </c>
      <c r="F119" s="34">
        <v>60035.34</v>
      </c>
      <c r="G119" s="34">
        <v>363845.739</v>
      </c>
      <c r="H119" s="34">
        <v>18.783000000000001</v>
      </c>
      <c r="I119" s="33" t="s">
        <v>86</v>
      </c>
      <c r="J119" s="33" t="s">
        <v>90</v>
      </c>
      <c r="K119" s="33">
        <v>23</v>
      </c>
      <c r="L119" s="33">
        <v>1012</v>
      </c>
      <c r="M119" s="33">
        <v>61</v>
      </c>
      <c r="N119" s="33"/>
      <c r="O119" s="93">
        <f>IFERROR(IF(Readings[[#This Row],[Obs. X]]="","-",Readings[[#This Row],[Obs. X]]-_xlfn.XLOOKUP(Readings[[#This Row],[Sensor ID]],Table_Baseline[Sensor ID],Table_Baseline[Easting '[m']],"-")),"-")</f>
        <v>0</v>
      </c>
      <c r="P119" s="93">
        <f>IFERROR(IF(Readings[[#This Row],[Obs. Y]]="","-",Readings[[#This Row],[Obs. Y]]-_xlfn.XLOOKUP(Readings[[#This Row],[Sensor ID]],Table_Baseline[Sensor ID],Table_Baseline[Northing '[m']],"-")),"-")</f>
        <v>0</v>
      </c>
      <c r="Q119" s="93">
        <f>IFERROR(IF(Readings[[#This Row],[Obs. Z]]="","-",Readings[[#This Row],[Obs. Z]]-_xlfn.XLOOKUP(Readings[[#This Row],[Sensor ID]],Table_Baseline[Sensor ID],Table_Baseline[Level '[m']],"-")),"-")</f>
        <v>1.0000000000012221E-3</v>
      </c>
      <c r="R119" s="93">
        <f>IFERROR(IF(Readings[[#This Row],[Reference Angle]]="-","-",(Readings[[#This Row],[Diff E]]*COS(RADIANS(Readings[[#This Row],[Reference Angle]]))-Readings[[#This Row],[Diff N]]*SIN(RADIANS(Readings[[#This Row],[Reference Angle]])))),"-")</f>
        <v>0</v>
      </c>
      <c r="S119" s="93">
        <f>IFERROR(IF(Readings[[#This Row],[Reference Angle]]="-","-",(Readings[[#This Row],[Diff E]]*SIN(RADIANS(Readings[[#This Row],[Reference Angle]]))+Readings[[#This Row],[Diff N]]*COS(RADIANS(Readings[[#This Row],[Reference Angle]])))),"-")</f>
        <v>0</v>
      </c>
      <c r="T119" s="94">
        <f>IFERROR(VLOOKUP(Readings[[#This Row],[Sensor ID]],Table_Baseline[],COLUMNS(Table_Baseline[[#Headers],[Sensor ID]:[Reference Angle '[Deg']]]),FALSE),"-")</f>
        <v>0</v>
      </c>
      <c r="U119" s="95" t="str">
        <f>Readings[[#This Row],[Sensor ID]]&amp;"-"&amp;Readings[[#This Row],[Epoch]]</f>
        <v>250-RL-OP-11001-45775.28125</v>
      </c>
      <c r="V119" s="99">
        <f ca="1">IF(Readings[[#This Row],[Epoch]]=OFFSET(Readings[[#This Row],[Epoch]],-1,0),0,1)</f>
        <v>0</v>
      </c>
    </row>
    <row r="120" spans="4:22" x14ac:dyDescent="0.2">
      <c r="D120" s="32">
        <v>45775.28125</v>
      </c>
      <c r="E120" s="33" t="s">
        <v>173</v>
      </c>
      <c r="F120" s="34">
        <v>60037.805</v>
      </c>
      <c r="G120" s="34">
        <v>363843.658</v>
      </c>
      <c r="H120" s="34">
        <v>18.779</v>
      </c>
      <c r="I120" s="33" t="s">
        <v>86</v>
      </c>
      <c r="J120" s="33" t="s">
        <v>90</v>
      </c>
      <c r="K120" s="33">
        <v>23</v>
      </c>
      <c r="L120" s="33">
        <v>1012</v>
      </c>
      <c r="M120" s="33">
        <v>61</v>
      </c>
      <c r="N120" s="33"/>
      <c r="O120" s="93">
        <f>IFERROR(IF(Readings[[#This Row],[Obs. X]]="","-",Readings[[#This Row],[Obs. X]]-_xlfn.XLOOKUP(Readings[[#This Row],[Sensor ID]],Table_Baseline[Sensor ID],Table_Baseline[Easting '[m']],"-")),"-")</f>
        <v>0</v>
      </c>
      <c r="P120" s="93">
        <f>IFERROR(IF(Readings[[#This Row],[Obs. Y]]="","-",Readings[[#This Row],[Obs. Y]]-_xlfn.XLOOKUP(Readings[[#This Row],[Sensor ID]],Table_Baseline[Sensor ID],Table_Baseline[Northing '[m']],"-")),"-")</f>
        <v>9.9999998928979039E-4</v>
      </c>
      <c r="Q120" s="93">
        <f>IFERROR(IF(Readings[[#This Row],[Obs. Z]]="","-",Readings[[#This Row],[Obs. Z]]-_xlfn.XLOOKUP(Readings[[#This Row],[Sensor ID]],Table_Baseline[Sensor ID],Table_Baseline[Level '[m']],"-")),"-")</f>
        <v>4.9999999999883471E-4</v>
      </c>
      <c r="R120" s="93">
        <f>IFERROR(IF(Readings[[#This Row],[Reference Angle]]="-","-",(Readings[[#This Row],[Diff E]]*COS(RADIANS(Readings[[#This Row],[Reference Angle]]))-Readings[[#This Row],[Diff N]]*SIN(RADIANS(Readings[[#This Row],[Reference Angle]])))),"-")</f>
        <v>0</v>
      </c>
      <c r="S120" s="93">
        <f>IFERROR(IF(Readings[[#This Row],[Reference Angle]]="-","-",(Readings[[#This Row],[Diff E]]*SIN(RADIANS(Readings[[#This Row],[Reference Angle]]))+Readings[[#This Row],[Diff N]]*COS(RADIANS(Readings[[#This Row],[Reference Angle]])))),"-")</f>
        <v>9.9999998928979039E-4</v>
      </c>
      <c r="T120" s="94">
        <f>IFERROR(VLOOKUP(Readings[[#This Row],[Sensor ID]],Table_Baseline[],COLUMNS(Table_Baseline[[#Headers],[Sensor ID]:[Reference Angle '[Deg']]]),FALSE),"-")</f>
        <v>0</v>
      </c>
      <c r="U120" s="95" t="str">
        <f>Readings[[#This Row],[Sensor ID]]&amp;"-"&amp;Readings[[#This Row],[Epoch]]</f>
        <v>250-RL-OP-11004-45775.28125</v>
      </c>
      <c r="V120" s="99">
        <f ca="1">IF(Readings[[#This Row],[Epoch]]=OFFSET(Readings[[#This Row],[Epoch]],-1,0),0,1)</f>
        <v>0</v>
      </c>
    </row>
    <row r="121" spans="4:22" x14ac:dyDescent="0.2">
      <c r="D121" s="32">
        <v>45775.28125</v>
      </c>
      <c r="E121" s="33" t="s">
        <v>174</v>
      </c>
      <c r="F121" s="34">
        <v>60038.116999999998</v>
      </c>
      <c r="G121" s="34">
        <v>363844.946</v>
      </c>
      <c r="H121" s="34">
        <v>18.779</v>
      </c>
      <c r="I121" s="33" t="s">
        <v>86</v>
      </c>
      <c r="J121" s="33" t="s">
        <v>90</v>
      </c>
      <c r="K121" s="33">
        <v>23</v>
      </c>
      <c r="L121" s="33">
        <v>1012</v>
      </c>
      <c r="M121" s="33">
        <v>61</v>
      </c>
      <c r="N121" s="33"/>
      <c r="O121" s="93">
        <f>IFERROR(IF(Readings[[#This Row],[Obs. X]]="","-",Readings[[#This Row],[Obs. X]]-_xlfn.XLOOKUP(Readings[[#This Row],[Sensor ID]],Table_Baseline[Sensor ID],Table_Baseline[Easting '[m']],"-")),"-")</f>
        <v>-1.0000000038417056E-3</v>
      </c>
      <c r="P121" s="93">
        <f>IFERROR(IF(Readings[[#This Row],[Obs. Y]]="","-",Readings[[#This Row],[Obs. Y]]-_xlfn.XLOOKUP(Readings[[#This Row],[Sensor ID]],Table_Baseline[Sensor ID],Table_Baseline[Northing '[m']],"-")),"-")</f>
        <v>9.9999998928979039E-4</v>
      </c>
      <c r="Q121" s="93">
        <f>IFERROR(IF(Readings[[#This Row],[Obs. Z]]="","-",Readings[[#This Row],[Obs. Z]]-_xlfn.XLOOKUP(Readings[[#This Row],[Sensor ID]],Table_Baseline[Sensor ID],Table_Baseline[Level '[m']],"-")),"-")</f>
        <v>1.9999999999953388E-4</v>
      </c>
      <c r="R121" s="93">
        <f>IFERROR(IF(Readings[[#This Row],[Reference Angle]]="-","-",(Readings[[#This Row],[Diff E]]*COS(RADIANS(Readings[[#This Row],[Reference Angle]]))-Readings[[#This Row],[Diff N]]*SIN(RADIANS(Readings[[#This Row],[Reference Angle]])))),"-")</f>
        <v>-1.0000000038417056E-3</v>
      </c>
      <c r="S121" s="93">
        <f>IFERROR(IF(Readings[[#This Row],[Reference Angle]]="-","-",(Readings[[#This Row],[Diff E]]*SIN(RADIANS(Readings[[#This Row],[Reference Angle]]))+Readings[[#This Row],[Diff N]]*COS(RADIANS(Readings[[#This Row],[Reference Angle]])))),"-")</f>
        <v>9.9999998928979039E-4</v>
      </c>
      <c r="T121" s="94">
        <f>IFERROR(VLOOKUP(Readings[[#This Row],[Sensor ID]],Table_Baseline[],COLUMNS(Table_Baseline[[#Headers],[Sensor ID]:[Reference Angle '[Deg']]]),FALSE),"-")</f>
        <v>0</v>
      </c>
      <c r="U121" s="95" t="str">
        <f>Readings[[#This Row],[Sensor ID]]&amp;"-"&amp;Readings[[#This Row],[Epoch]]</f>
        <v>250-RL-OP-11003-45775.28125</v>
      </c>
      <c r="V121" s="99">
        <f ca="1">IF(Readings[[#This Row],[Epoch]]=OFFSET(Readings[[#This Row],[Epoch]],-1,0),0,1)</f>
        <v>0</v>
      </c>
    </row>
    <row r="122" spans="4:22" x14ac:dyDescent="0.2">
      <c r="D122" s="32">
        <v>45775.28125</v>
      </c>
      <c r="E122" s="33" t="s">
        <v>175</v>
      </c>
      <c r="F122" s="34">
        <v>60040.606</v>
      </c>
      <c r="G122" s="34">
        <v>363842.86199999996</v>
      </c>
      <c r="H122" s="34">
        <v>18.773</v>
      </c>
      <c r="I122" s="33" t="s">
        <v>86</v>
      </c>
      <c r="J122" s="33" t="s">
        <v>90</v>
      </c>
      <c r="K122" s="33">
        <v>23</v>
      </c>
      <c r="L122" s="33">
        <v>1012</v>
      </c>
      <c r="M122" s="33">
        <v>61</v>
      </c>
      <c r="N122" s="33"/>
      <c r="O122" s="93">
        <f>IFERROR(IF(Readings[[#This Row],[Obs. X]]="","-",Readings[[#This Row],[Obs. X]]-_xlfn.XLOOKUP(Readings[[#This Row],[Sensor ID]],Table_Baseline[Sensor ID],Table_Baseline[Easting '[m']],"-")),"-")</f>
        <v>-1.0000000038417056E-3</v>
      </c>
      <c r="P122" s="93">
        <f>IFERROR(IF(Readings[[#This Row],[Obs. Y]]="","-",Readings[[#This Row],[Obs. Y]]-_xlfn.XLOOKUP(Readings[[#This Row],[Sensor ID]],Table_Baseline[Sensor ID],Table_Baseline[Northing '[m']],"-")),"-")</f>
        <v>9.9999993108212948E-4</v>
      </c>
      <c r="Q122" s="93">
        <f>IFERROR(IF(Readings[[#This Row],[Obs. Z]]="","-",Readings[[#This Row],[Obs. Z]]-_xlfn.XLOOKUP(Readings[[#This Row],[Sensor ID]],Table_Baseline[Sensor ID],Table_Baseline[Level '[m']],"-")),"-")</f>
        <v>1.0000000000012221E-3</v>
      </c>
      <c r="R122" s="93">
        <f>IFERROR(IF(Readings[[#This Row],[Reference Angle]]="-","-",(Readings[[#This Row],[Diff E]]*COS(RADIANS(Readings[[#This Row],[Reference Angle]]))-Readings[[#This Row],[Diff N]]*SIN(RADIANS(Readings[[#This Row],[Reference Angle]])))),"-")</f>
        <v>-1.0000000038417056E-3</v>
      </c>
      <c r="S122" s="93">
        <f>IFERROR(IF(Readings[[#This Row],[Reference Angle]]="-","-",(Readings[[#This Row],[Diff E]]*SIN(RADIANS(Readings[[#This Row],[Reference Angle]]))+Readings[[#This Row],[Diff N]]*COS(RADIANS(Readings[[#This Row],[Reference Angle]])))),"-")</f>
        <v>9.9999993108212948E-4</v>
      </c>
      <c r="T122" s="94">
        <f>IFERROR(VLOOKUP(Readings[[#This Row],[Sensor ID]],Table_Baseline[],COLUMNS(Table_Baseline[[#Headers],[Sensor ID]:[Reference Angle '[Deg']]]),FALSE),"-")</f>
        <v>0</v>
      </c>
      <c r="U122" s="95" t="str">
        <f>Readings[[#This Row],[Sensor ID]]&amp;"-"&amp;Readings[[#This Row],[Epoch]]</f>
        <v>250-RL-OP-11006-45775.28125</v>
      </c>
      <c r="V122" s="99">
        <f ca="1">IF(Readings[[#This Row],[Epoch]]=OFFSET(Readings[[#This Row],[Epoch]],-1,0),0,1)</f>
        <v>0</v>
      </c>
    </row>
    <row r="123" spans="4:22" x14ac:dyDescent="0.2">
      <c r="D123" s="32">
        <v>45775.28125</v>
      </c>
      <c r="E123" s="151" t="s">
        <v>176</v>
      </c>
      <c r="F123" s="152">
        <v>60040.968999999997</v>
      </c>
      <c r="G123" s="152">
        <v>363844.11800000002</v>
      </c>
      <c r="H123" s="152">
        <v>18.78</v>
      </c>
      <c r="I123" s="33" t="s">
        <v>86</v>
      </c>
      <c r="J123" s="33" t="s">
        <v>90</v>
      </c>
      <c r="K123" s="33">
        <v>23</v>
      </c>
      <c r="L123" s="33">
        <v>1012</v>
      </c>
      <c r="M123" s="33">
        <v>61</v>
      </c>
      <c r="N123" s="151"/>
      <c r="O123" s="96">
        <f>IFERROR(IF(Readings[[#This Row],[Obs. X]]="","-",Readings[[#This Row],[Obs. X]]-_xlfn.XLOOKUP(Readings[[#This Row],[Sensor ID]],Table_Baseline[Sensor ID],Table_Baseline[Easting '[m']],"-")),"-")</f>
        <v>0</v>
      </c>
      <c r="P123" s="96">
        <f>IFERROR(IF(Readings[[#This Row],[Obs. Y]]="","-",Readings[[#This Row],[Obs. Y]]-_xlfn.XLOOKUP(Readings[[#This Row],[Sensor ID]],Table_Baseline[Sensor ID],Table_Baseline[Northing '[m']],"-")),"-")</f>
        <v>0</v>
      </c>
      <c r="Q123" s="96">
        <f>IFERROR(IF(Readings[[#This Row],[Obs. Z]]="","-",Readings[[#This Row],[Obs. Z]]-_xlfn.XLOOKUP(Readings[[#This Row],[Sensor ID]],Table_Baseline[Sensor ID],Table_Baseline[Level '[m']],"-")),"-")</f>
        <v>1.0000000000012221E-3</v>
      </c>
      <c r="R123" s="96">
        <f>IFERROR(IF(Readings[[#This Row],[Reference Angle]]="-","-",(Readings[[#This Row],[Diff E]]*COS(RADIANS(Readings[[#This Row],[Reference Angle]]))-Readings[[#This Row],[Diff N]]*SIN(RADIANS(Readings[[#This Row],[Reference Angle]])))),"-")</f>
        <v>0</v>
      </c>
      <c r="S123" s="96">
        <f>IFERROR(IF(Readings[[#This Row],[Reference Angle]]="-","-",(Readings[[#This Row],[Diff E]]*SIN(RADIANS(Readings[[#This Row],[Reference Angle]]))+Readings[[#This Row],[Diff N]]*COS(RADIANS(Readings[[#This Row],[Reference Angle]])))),"-")</f>
        <v>0</v>
      </c>
      <c r="T123" s="97">
        <f>IFERROR(VLOOKUP(Readings[[#This Row],[Sensor ID]],Table_Baseline[],COLUMNS(Table_Baseline[[#Headers],[Sensor ID]:[Reference Angle '[Deg']]]),FALSE),"-")</f>
        <v>0</v>
      </c>
      <c r="U123" s="98" t="str">
        <f>Readings[[#This Row],[Sensor ID]]&amp;"-"&amp;Readings[[#This Row],[Epoch]]</f>
        <v>250-RL-OP-11005-45775.28125</v>
      </c>
      <c r="V123" s="100">
        <f ca="1">IF(Readings[[#This Row],[Epoch]]=OFFSET(Readings[[#This Row],[Epoch]],-1,0),0,1)</f>
        <v>0</v>
      </c>
    </row>
    <row r="124" spans="4:22" x14ac:dyDescent="0.2">
      <c r="D124" s="32">
        <v>45775.28125</v>
      </c>
      <c r="E124" s="33" t="s">
        <v>177</v>
      </c>
      <c r="F124" s="34">
        <v>60043.440999999999</v>
      </c>
      <c r="G124" s="34">
        <v>363842.04099999997</v>
      </c>
      <c r="H124" s="34">
        <v>18.77</v>
      </c>
      <c r="I124" s="33" t="s">
        <v>86</v>
      </c>
      <c r="J124" s="33" t="s">
        <v>90</v>
      </c>
      <c r="K124" s="33">
        <v>23</v>
      </c>
      <c r="L124" s="33">
        <v>1012</v>
      </c>
      <c r="M124" s="33">
        <v>61</v>
      </c>
      <c r="N124" s="33"/>
      <c r="O124" s="93">
        <f>IFERROR(IF(Readings[[#This Row],[Obs. X]]="","-",Readings[[#This Row],[Obs. X]]-_xlfn.XLOOKUP(Readings[[#This Row],[Sensor ID]],Table_Baseline[Sensor ID],Table_Baseline[Easting '[m']],"-")),"-")</f>
        <v>0</v>
      </c>
      <c r="P124" s="93">
        <f>IFERROR(IF(Readings[[#This Row],[Obs. Y]]="","-",Readings[[#This Row],[Obs. Y]]-_xlfn.XLOOKUP(Readings[[#This Row],[Sensor ID]],Table_Baseline[Sensor ID],Table_Baseline[Northing '[m']],"-")),"-")</f>
        <v>9.9999993108212948E-4</v>
      </c>
      <c r="Q124" s="93">
        <f>IFERROR(IF(Readings[[#This Row],[Obs. Z]]="","-",Readings[[#This Row],[Obs. Z]]-_xlfn.XLOOKUP(Readings[[#This Row],[Sensor ID]],Table_Baseline[Sensor ID],Table_Baseline[Level '[m']],"-")),"-")</f>
        <v>1.6999999999995907E-3</v>
      </c>
      <c r="R124" s="93">
        <f>IFERROR(IF(Readings[[#This Row],[Reference Angle]]="-","-",(Readings[[#This Row],[Diff E]]*COS(RADIANS(Readings[[#This Row],[Reference Angle]]))-Readings[[#This Row],[Diff N]]*SIN(RADIANS(Readings[[#This Row],[Reference Angle]])))),"-")</f>
        <v>0</v>
      </c>
      <c r="S124" s="93">
        <f>IFERROR(IF(Readings[[#This Row],[Reference Angle]]="-","-",(Readings[[#This Row],[Diff E]]*SIN(RADIANS(Readings[[#This Row],[Reference Angle]]))+Readings[[#This Row],[Diff N]]*COS(RADIANS(Readings[[#This Row],[Reference Angle]])))),"-")</f>
        <v>9.9999993108212948E-4</v>
      </c>
      <c r="T124" s="94">
        <f>IFERROR(VLOOKUP(Readings[[#This Row],[Sensor ID]],Table_Baseline[],COLUMNS(Table_Baseline[[#Headers],[Sensor ID]:[Reference Angle '[Deg']]]),FALSE),"-")</f>
        <v>0</v>
      </c>
      <c r="U124" s="95" t="str">
        <f>Readings[[#This Row],[Sensor ID]]&amp;"-"&amp;Readings[[#This Row],[Epoch]]</f>
        <v>250-RL-OP-11008-45775.28125</v>
      </c>
      <c r="V124" s="99">
        <f ca="1">IF(Readings[[#This Row],[Epoch]]=OFFSET(Readings[[#This Row],[Epoch]],-1,0),0,1)</f>
        <v>0</v>
      </c>
    </row>
    <row r="125" spans="4:22" x14ac:dyDescent="0.2">
      <c r="D125" s="32">
        <v>45775.28125</v>
      </c>
      <c r="E125" s="33" t="s">
        <v>178</v>
      </c>
      <c r="F125" s="34">
        <v>60043.758000000002</v>
      </c>
      <c r="G125" s="34">
        <v>363843.315</v>
      </c>
      <c r="H125" s="34">
        <v>18.774999999999999</v>
      </c>
      <c r="I125" s="33" t="s">
        <v>86</v>
      </c>
      <c r="J125" s="33" t="s">
        <v>90</v>
      </c>
      <c r="K125" s="33">
        <v>23</v>
      </c>
      <c r="L125" s="33">
        <v>1012</v>
      </c>
      <c r="M125" s="33">
        <v>61</v>
      </c>
      <c r="N125" s="33"/>
      <c r="O125" s="93">
        <f>IFERROR(IF(Readings[[#This Row],[Obs. X]]="","-",Readings[[#This Row],[Obs. X]]-_xlfn.XLOOKUP(Readings[[#This Row],[Sensor ID]],Table_Baseline[Sensor ID],Table_Baseline[Easting '[m']],"-")),"-")</f>
        <v>-9.9999999656574801E-4</v>
      </c>
      <c r="P125" s="93">
        <f>IFERROR(IF(Readings[[#This Row],[Obs. Y]]="","-",Readings[[#This Row],[Obs. Y]]-_xlfn.XLOOKUP(Readings[[#This Row],[Sensor ID]],Table_Baseline[Sensor ID],Table_Baseline[Northing '[m']],"-")),"-")</f>
        <v>9.9999998928979039E-4</v>
      </c>
      <c r="Q125" s="93">
        <f>IFERROR(IF(Readings[[#This Row],[Obs. Z]]="","-",Readings[[#This Row],[Obs. Z]]-_xlfn.XLOOKUP(Readings[[#This Row],[Sensor ID]],Table_Baseline[Sensor ID],Table_Baseline[Level '[m']],"-")),"-")</f>
        <v>8.9999999999790248E-4</v>
      </c>
      <c r="R125" s="93">
        <f>IFERROR(IF(Readings[[#This Row],[Reference Angle]]="-","-",(Readings[[#This Row],[Diff E]]*COS(RADIANS(Readings[[#This Row],[Reference Angle]]))-Readings[[#This Row],[Diff N]]*SIN(RADIANS(Readings[[#This Row],[Reference Angle]])))),"-")</f>
        <v>-9.9999999656574801E-4</v>
      </c>
      <c r="S125" s="93">
        <f>IFERROR(IF(Readings[[#This Row],[Reference Angle]]="-","-",(Readings[[#This Row],[Diff E]]*SIN(RADIANS(Readings[[#This Row],[Reference Angle]]))+Readings[[#This Row],[Diff N]]*COS(RADIANS(Readings[[#This Row],[Reference Angle]])))),"-")</f>
        <v>9.9999998928979039E-4</v>
      </c>
      <c r="T125" s="94">
        <f>IFERROR(VLOOKUP(Readings[[#This Row],[Sensor ID]],Table_Baseline[],COLUMNS(Table_Baseline[[#Headers],[Sensor ID]:[Reference Angle '[Deg']]]),FALSE),"-")</f>
        <v>0</v>
      </c>
      <c r="U125" s="95" t="str">
        <f>Readings[[#This Row],[Sensor ID]]&amp;"-"&amp;Readings[[#This Row],[Epoch]]</f>
        <v>250-RL-OP-11007-45775.28125</v>
      </c>
      <c r="V125" s="99">
        <f ca="1">IF(Readings[[#This Row],[Epoch]]=OFFSET(Readings[[#This Row],[Epoch]],-1,0),0,1)</f>
        <v>0</v>
      </c>
    </row>
    <row r="126" spans="4:22" x14ac:dyDescent="0.2">
      <c r="D126" s="32">
        <v>45775.28125</v>
      </c>
      <c r="E126" s="33" t="s">
        <v>179</v>
      </c>
      <c r="F126" s="34">
        <v>60046.249000000003</v>
      </c>
      <c r="G126" s="34">
        <v>363841.22700000001</v>
      </c>
      <c r="H126" s="34">
        <v>18.771000000000001</v>
      </c>
      <c r="I126" s="33" t="s">
        <v>86</v>
      </c>
      <c r="J126" s="33" t="s">
        <v>90</v>
      </c>
      <c r="K126" s="33">
        <v>23</v>
      </c>
      <c r="L126" s="33">
        <v>1012</v>
      </c>
      <c r="M126" s="33">
        <v>61</v>
      </c>
      <c r="N126" s="33"/>
      <c r="O126" s="93">
        <f>IFERROR(IF(Readings[[#This Row],[Obs. X]]="","-",Readings[[#This Row],[Obs. X]]-_xlfn.XLOOKUP(Readings[[#This Row],[Sensor ID]],Table_Baseline[Sensor ID],Table_Baseline[Easting '[m']],"-")),"-")</f>
        <v>-9.9999999656574801E-4</v>
      </c>
      <c r="P126" s="93">
        <f>IFERROR(IF(Readings[[#This Row],[Obs. Y]]="","-",Readings[[#This Row],[Obs. Y]]-_xlfn.XLOOKUP(Readings[[#This Row],[Sensor ID]],Table_Baseline[Sensor ID],Table_Baseline[Northing '[m']],"-")),"-")</f>
        <v>9.9999998928979039E-4</v>
      </c>
      <c r="Q126" s="93">
        <f>IFERROR(IF(Readings[[#This Row],[Obs. Z]]="","-",Readings[[#This Row],[Obs. Z]]-_xlfn.XLOOKUP(Readings[[#This Row],[Sensor ID]],Table_Baseline[Sensor ID],Table_Baseline[Level '[m']],"-")),"-")</f>
        <v>1.200000000000756E-3</v>
      </c>
      <c r="R126" s="93">
        <f>IFERROR(IF(Readings[[#This Row],[Reference Angle]]="-","-",(Readings[[#This Row],[Diff E]]*COS(RADIANS(Readings[[#This Row],[Reference Angle]]))-Readings[[#This Row],[Diff N]]*SIN(RADIANS(Readings[[#This Row],[Reference Angle]])))),"-")</f>
        <v>-9.9999999656574801E-4</v>
      </c>
      <c r="S126" s="93">
        <f>IFERROR(IF(Readings[[#This Row],[Reference Angle]]="-","-",(Readings[[#This Row],[Diff E]]*SIN(RADIANS(Readings[[#This Row],[Reference Angle]]))+Readings[[#This Row],[Diff N]]*COS(RADIANS(Readings[[#This Row],[Reference Angle]])))),"-")</f>
        <v>9.9999998928979039E-4</v>
      </c>
      <c r="T126" s="94">
        <f>IFERROR(VLOOKUP(Readings[[#This Row],[Sensor ID]],Table_Baseline[],COLUMNS(Table_Baseline[[#Headers],[Sensor ID]:[Reference Angle '[Deg']]]),FALSE),"-")</f>
        <v>0</v>
      </c>
      <c r="U126" s="95" t="str">
        <f>Readings[[#This Row],[Sensor ID]]&amp;"-"&amp;Readings[[#This Row],[Epoch]]</f>
        <v>250-RL-OP-11010-45775.28125</v>
      </c>
      <c r="V126" s="99">
        <f ca="1">IF(Readings[[#This Row],[Epoch]]=OFFSET(Readings[[#This Row],[Epoch]],-1,0),0,1)</f>
        <v>0</v>
      </c>
    </row>
    <row r="127" spans="4:22" x14ac:dyDescent="0.2">
      <c r="D127" s="32">
        <v>45775.28125</v>
      </c>
      <c r="E127" s="33" t="s">
        <v>180</v>
      </c>
      <c r="F127" s="34">
        <v>60046.633000000002</v>
      </c>
      <c r="G127" s="34">
        <v>363842.48499999999</v>
      </c>
      <c r="H127" s="34">
        <v>18.777999999999999</v>
      </c>
      <c r="I127" s="33" t="s">
        <v>86</v>
      </c>
      <c r="J127" s="33" t="s">
        <v>90</v>
      </c>
      <c r="K127" s="33">
        <v>23</v>
      </c>
      <c r="L127" s="33">
        <v>1012</v>
      </c>
      <c r="M127" s="33">
        <v>61</v>
      </c>
      <c r="N127" s="33"/>
      <c r="O127" s="93">
        <f>IFERROR(IF(Readings[[#This Row],[Obs. X]]="","-",Readings[[#This Row],[Obs. X]]-_xlfn.XLOOKUP(Readings[[#This Row],[Sensor ID]],Table_Baseline[Sensor ID],Table_Baseline[Easting '[m']],"-")),"-")</f>
        <v>0</v>
      </c>
      <c r="P127" s="93">
        <f>IFERROR(IF(Readings[[#This Row],[Obs. Y]]="","-",Readings[[#This Row],[Obs. Y]]-_xlfn.XLOOKUP(Readings[[#This Row],[Sensor ID]],Table_Baseline[Sensor ID],Table_Baseline[Northing '[m']],"-")),"-")</f>
        <v>0</v>
      </c>
      <c r="Q127" s="93">
        <f>IFERROR(IF(Readings[[#This Row],[Obs. Z]]="","-",Readings[[#This Row],[Obs. Z]]-_xlfn.XLOOKUP(Readings[[#This Row],[Sensor ID]],Table_Baseline[Sensor ID],Table_Baseline[Level '[m']],"-")),"-")</f>
        <v>3.9999999999906777E-4</v>
      </c>
      <c r="R127" s="93">
        <f>IFERROR(IF(Readings[[#This Row],[Reference Angle]]="-","-",(Readings[[#This Row],[Diff E]]*COS(RADIANS(Readings[[#This Row],[Reference Angle]]))-Readings[[#This Row],[Diff N]]*SIN(RADIANS(Readings[[#This Row],[Reference Angle]])))),"-")</f>
        <v>0</v>
      </c>
      <c r="S127" s="93">
        <f>IFERROR(IF(Readings[[#This Row],[Reference Angle]]="-","-",(Readings[[#This Row],[Diff E]]*SIN(RADIANS(Readings[[#This Row],[Reference Angle]]))+Readings[[#This Row],[Diff N]]*COS(RADIANS(Readings[[#This Row],[Reference Angle]])))),"-")</f>
        <v>0</v>
      </c>
      <c r="T127" s="94">
        <f>IFERROR(VLOOKUP(Readings[[#This Row],[Sensor ID]],Table_Baseline[],COLUMNS(Table_Baseline[[#Headers],[Sensor ID]:[Reference Angle '[Deg']]]),FALSE),"-")</f>
        <v>0</v>
      </c>
      <c r="U127" s="95" t="str">
        <f>Readings[[#This Row],[Sensor ID]]&amp;"-"&amp;Readings[[#This Row],[Epoch]]</f>
        <v>250-RL-OP-11009-45775.28125</v>
      </c>
      <c r="V127" s="99">
        <f ca="1">IF(Readings[[#This Row],[Epoch]]=OFFSET(Readings[[#This Row],[Epoch]],-1,0),0,1)</f>
        <v>0</v>
      </c>
    </row>
    <row r="128" spans="4:22" x14ac:dyDescent="0.2">
      <c r="D128" s="32">
        <v>45775.28125</v>
      </c>
      <c r="E128" s="33" t="s">
        <v>181</v>
      </c>
      <c r="F128" s="34">
        <v>60049.04</v>
      </c>
      <c r="G128" s="34">
        <v>363840.435</v>
      </c>
      <c r="H128" s="34">
        <v>18.771999999999998</v>
      </c>
      <c r="I128" s="33" t="s">
        <v>86</v>
      </c>
      <c r="J128" s="33" t="s">
        <v>90</v>
      </c>
      <c r="K128" s="33">
        <v>23</v>
      </c>
      <c r="L128" s="33">
        <v>1012</v>
      </c>
      <c r="M128" s="33">
        <v>61</v>
      </c>
      <c r="N128" s="33"/>
      <c r="O128" s="93">
        <f>IFERROR(IF(Readings[[#This Row],[Obs. X]]="","-",Readings[[#This Row],[Obs. X]]-_xlfn.XLOOKUP(Readings[[#This Row],[Sensor ID]],Table_Baseline[Sensor ID],Table_Baseline[Easting '[m']],"-")),"-")</f>
        <v>-9.9999999656574801E-4</v>
      </c>
      <c r="P128" s="93">
        <f>IFERROR(IF(Readings[[#This Row],[Obs. Y]]="","-",Readings[[#This Row],[Obs. Y]]-_xlfn.XLOOKUP(Readings[[#This Row],[Sensor ID]],Table_Baseline[Sensor ID],Table_Baseline[Northing '[m']],"-")),"-")</f>
        <v>2.0000000367872417E-3</v>
      </c>
      <c r="Q128" s="93">
        <f>IFERROR(IF(Readings[[#This Row],[Obs. Z]]="","-",Readings[[#This Row],[Obs. Z]]-_xlfn.XLOOKUP(Readings[[#This Row],[Sensor ID]],Table_Baseline[Sensor ID],Table_Baseline[Level '[m']],"-")),"-")</f>
        <v>8.9999999999790248E-4</v>
      </c>
      <c r="R128" s="93">
        <f>IFERROR(IF(Readings[[#This Row],[Reference Angle]]="-","-",(Readings[[#This Row],[Diff E]]*COS(RADIANS(Readings[[#This Row],[Reference Angle]]))-Readings[[#This Row],[Diff N]]*SIN(RADIANS(Readings[[#This Row],[Reference Angle]])))),"-")</f>
        <v>-9.9999999656574801E-4</v>
      </c>
      <c r="S128" s="93">
        <f>IFERROR(IF(Readings[[#This Row],[Reference Angle]]="-","-",(Readings[[#This Row],[Diff E]]*SIN(RADIANS(Readings[[#This Row],[Reference Angle]]))+Readings[[#This Row],[Diff N]]*COS(RADIANS(Readings[[#This Row],[Reference Angle]])))),"-")</f>
        <v>2.0000000367872417E-3</v>
      </c>
      <c r="T128" s="94">
        <f>IFERROR(VLOOKUP(Readings[[#This Row],[Sensor ID]],Table_Baseline[],COLUMNS(Table_Baseline[[#Headers],[Sensor ID]:[Reference Angle '[Deg']]]),FALSE),"-")</f>
        <v>0</v>
      </c>
      <c r="U128" s="95" t="str">
        <f>Readings[[#This Row],[Sensor ID]]&amp;"-"&amp;Readings[[#This Row],[Epoch]]</f>
        <v>250-RL-OP-11012-45775.28125</v>
      </c>
      <c r="V128" s="99">
        <f ca="1">IF(Readings[[#This Row],[Epoch]]=OFFSET(Readings[[#This Row],[Epoch]],-1,0),0,1)</f>
        <v>0</v>
      </c>
    </row>
    <row r="129" spans="4:22" x14ac:dyDescent="0.2">
      <c r="D129" s="32">
        <v>45775.28125</v>
      </c>
      <c r="E129" s="33" t="s">
        <v>182</v>
      </c>
      <c r="F129" s="34">
        <v>60049.398000000001</v>
      </c>
      <c r="G129" s="34">
        <v>363841.69799999997</v>
      </c>
      <c r="H129" s="34">
        <v>18.779</v>
      </c>
      <c r="I129" s="33" t="s">
        <v>86</v>
      </c>
      <c r="J129" s="33" t="s">
        <v>90</v>
      </c>
      <c r="K129" s="33">
        <v>23</v>
      </c>
      <c r="L129" s="33">
        <v>1012</v>
      </c>
      <c r="M129" s="33">
        <v>61</v>
      </c>
      <c r="N129" s="33"/>
      <c r="O129" s="93">
        <f>IFERROR(IF(Readings[[#This Row],[Obs. X]]="","-",Readings[[#This Row],[Obs. X]]-_xlfn.XLOOKUP(Readings[[#This Row],[Sensor ID]],Table_Baseline[Sensor ID],Table_Baseline[Easting '[m']],"-")),"-")</f>
        <v>-9.9999999656574801E-4</v>
      </c>
      <c r="P129" s="93">
        <f>IFERROR(IF(Readings[[#This Row],[Obs. Y]]="","-",Readings[[#This Row],[Obs. Y]]-_xlfn.XLOOKUP(Readings[[#This Row],[Sensor ID]],Table_Baseline[Sensor ID],Table_Baseline[Northing '[m']],"-")),"-")</f>
        <v>0</v>
      </c>
      <c r="Q129" s="93">
        <f>IFERROR(IF(Readings[[#This Row],[Obs. Z]]="","-",Readings[[#This Row],[Obs. Z]]-_xlfn.XLOOKUP(Readings[[#This Row],[Sensor ID]],Table_Baseline[Sensor ID],Table_Baseline[Level '[m']],"-")),"-")</f>
        <v>1.0000000000012221E-3</v>
      </c>
      <c r="R129" s="93">
        <f>IFERROR(IF(Readings[[#This Row],[Reference Angle]]="-","-",(Readings[[#This Row],[Diff E]]*COS(RADIANS(Readings[[#This Row],[Reference Angle]]))-Readings[[#This Row],[Diff N]]*SIN(RADIANS(Readings[[#This Row],[Reference Angle]])))),"-")</f>
        <v>-9.9999999656574801E-4</v>
      </c>
      <c r="S129" s="93">
        <f>IFERROR(IF(Readings[[#This Row],[Reference Angle]]="-","-",(Readings[[#This Row],[Diff E]]*SIN(RADIANS(Readings[[#This Row],[Reference Angle]]))+Readings[[#This Row],[Diff N]]*COS(RADIANS(Readings[[#This Row],[Reference Angle]])))),"-")</f>
        <v>0</v>
      </c>
      <c r="T129" s="94">
        <f>IFERROR(VLOOKUP(Readings[[#This Row],[Sensor ID]],Table_Baseline[],COLUMNS(Table_Baseline[[#Headers],[Sensor ID]:[Reference Angle '[Deg']]]),FALSE),"-")</f>
        <v>0</v>
      </c>
      <c r="U129" s="95" t="str">
        <f>Readings[[#This Row],[Sensor ID]]&amp;"-"&amp;Readings[[#This Row],[Epoch]]</f>
        <v>250-RL-OP-11011-45775.28125</v>
      </c>
      <c r="V129" s="99">
        <f ca="1">IF(Readings[[#This Row],[Epoch]]=OFFSET(Readings[[#This Row],[Epoch]],-1,0),0,1)</f>
        <v>0</v>
      </c>
    </row>
    <row r="130" spans="4:22" x14ac:dyDescent="0.2">
      <c r="D130" s="32">
        <v>45775.28125</v>
      </c>
      <c r="E130" s="33" t="s">
        <v>183</v>
      </c>
      <c r="F130" s="34">
        <v>60051.989000000001</v>
      </c>
      <c r="G130" s="34">
        <v>363839.60399999999</v>
      </c>
      <c r="H130" s="34">
        <v>18.771000000000001</v>
      </c>
      <c r="I130" s="33" t="s">
        <v>86</v>
      </c>
      <c r="J130" s="33" t="s">
        <v>90</v>
      </c>
      <c r="K130" s="33">
        <v>23</v>
      </c>
      <c r="L130" s="33">
        <v>1012</v>
      </c>
      <c r="M130" s="33">
        <v>61</v>
      </c>
      <c r="N130" s="33"/>
      <c r="O130" s="93">
        <f>IFERROR(IF(Readings[[#This Row],[Obs. X]]="","-",Readings[[#This Row],[Obs. X]]-_xlfn.XLOOKUP(Readings[[#This Row],[Sensor ID]],Table_Baseline[Sensor ID],Table_Baseline[Easting '[m']],"-")),"-")</f>
        <v>0</v>
      </c>
      <c r="P130" s="93">
        <f>IFERROR(IF(Readings[[#This Row],[Obs. Y]]="","-",Readings[[#This Row],[Obs. Y]]-_xlfn.XLOOKUP(Readings[[#This Row],[Sensor ID]],Table_Baseline[Sensor ID],Table_Baseline[Northing '[m']],"-")),"-")</f>
        <v>9.9999998928979039E-4</v>
      </c>
      <c r="Q130" s="93">
        <f>IFERROR(IF(Readings[[#This Row],[Obs. Z]]="","-",Readings[[#This Row],[Obs. Z]]-_xlfn.XLOOKUP(Readings[[#This Row],[Sensor ID]],Table_Baseline[Sensor ID],Table_Baseline[Level '[m']],"-")),"-")</f>
        <v>9.0000000000145519E-4</v>
      </c>
      <c r="R130" s="93">
        <f>IFERROR(IF(Readings[[#This Row],[Reference Angle]]="-","-",(Readings[[#This Row],[Diff E]]*COS(RADIANS(Readings[[#This Row],[Reference Angle]]))-Readings[[#This Row],[Diff N]]*SIN(RADIANS(Readings[[#This Row],[Reference Angle]])))),"-")</f>
        <v>0</v>
      </c>
      <c r="S130" s="93">
        <f>IFERROR(IF(Readings[[#This Row],[Reference Angle]]="-","-",(Readings[[#This Row],[Diff E]]*SIN(RADIANS(Readings[[#This Row],[Reference Angle]]))+Readings[[#This Row],[Diff N]]*COS(RADIANS(Readings[[#This Row],[Reference Angle]])))),"-")</f>
        <v>9.9999998928979039E-4</v>
      </c>
      <c r="T130" s="94">
        <f>IFERROR(VLOOKUP(Readings[[#This Row],[Sensor ID]],Table_Baseline[],COLUMNS(Table_Baseline[[#Headers],[Sensor ID]:[Reference Angle '[Deg']]]),FALSE),"-")</f>
        <v>0</v>
      </c>
      <c r="U130" s="95" t="str">
        <f>Readings[[#This Row],[Sensor ID]]&amp;"-"&amp;Readings[[#This Row],[Epoch]]</f>
        <v>250-RL-OP-11014-45775.28125</v>
      </c>
      <c r="V130" s="99">
        <f ca="1">IF(Readings[[#This Row],[Epoch]]=OFFSET(Readings[[#This Row],[Epoch]],-1,0),0,1)</f>
        <v>0</v>
      </c>
    </row>
    <row r="131" spans="4:22" x14ac:dyDescent="0.2">
      <c r="D131" s="32">
        <v>45775.28125</v>
      </c>
      <c r="E131" s="33" t="s">
        <v>184</v>
      </c>
      <c r="F131" s="34">
        <v>60052.292999999998</v>
      </c>
      <c r="G131" s="34">
        <v>363840.886</v>
      </c>
      <c r="H131" s="34">
        <v>18.779</v>
      </c>
      <c r="I131" s="33" t="s">
        <v>86</v>
      </c>
      <c r="J131" s="33" t="s">
        <v>90</v>
      </c>
      <c r="K131" s="33">
        <v>23</v>
      </c>
      <c r="L131" s="33">
        <v>1012</v>
      </c>
      <c r="M131" s="33">
        <v>61</v>
      </c>
      <c r="N131" s="33"/>
      <c r="O131" s="93">
        <f>IFERROR(IF(Readings[[#This Row],[Obs. X]]="","-",Readings[[#This Row],[Obs. X]]-_xlfn.XLOOKUP(Readings[[#This Row],[Sensor ID]],Table_Baseline[Sensor ID],Table_Baseline[Easting '[m']],"-")),"-")</f>
        <v>0</v>
      </c>
      <c r="P131" s="93">
        <f>IFERROR(IF(Readings[[#This Row],[Obs. Y]]="","-",Readings[[#This Row],[Obs. Y]]-_xlfn.XLOOKUP(Readings[[#This Row],[Sensor ID]],Table_Baseline[Sensor ID],Table_Baseline[Northing '[m']],"-")),"-")</f>
        <v>9.9999998928979039E-4</v>
      </c>
      <c r="Q131" s="93">
        <f>IFERROR(IF(Readings[[#This Row],[Obs. Z]]="","-",Readings[[#This Row],[Obs. Z]]-_xlfn.XLOOKUP(Readings[[#This Row],[Sensor ID]],Table_Baseline[Sensor ID],Table_Baseline[Level '[m']],"-")),"-")</f>
        <v>0</v>
      </c>
      <c r="R131" s="93">
        <f>IFERROR(IF(Readings[[#This Row],[Reference Angle]]="-","-",(Readings[[#This Row],[Diff E]]*COS(RADIANS(Readings[[#This Row],[Reference Angle]]))-Readings[[#This Row],[Diff N]]*SIN(RADIANS(Readings[[#This Row],[Reference Angle]])))),"-")</f>
        <v>0</v>
      </c>
      <c r="S131" s="93">
        <f>IFERROR(IF(Readings[[#This Row],[Reference Angle]]="-","-",(Readings[[#This Row],[Diff E]]*SIN(RADIANS(Readings[[#This Row],[Reference Angle]]))+Readings[[#This Row],[Diff N]]*COS(RADIANS(Readings[[#This Row],[Reference Angle]])))),"-")</f>
        <v>9.9999998928979039E-4</v>
      </c>
      <c r="T131" s="94">
        <f>IFERROR(VLOOKUP(Readings[[#This Row],[Sensor ID]],Table_Baseline[],COLUMNS(Table_Baseline[[#Headers],[Sensor ID]:[Reference Angle '[Deg']]]),FALSE),"-")</f>
        <v>0</v>
      </c>
      <c r="U131" s="95" t="str">
        <f>Readings[[#This Row],[Sensor ID]]&amp;"-"&amp;Readings[[#This Row],[Epoch]]</f>
        <v>250-RL-OP-11013-45775.28125</v>
      </c>
      <c r="V131" s="99">
        <f ca="1">IF(Readings[[#This Row],[Epoch]]=OFFSET(Readings[[#This Row],[Epoch]],-1,0),0,1)</f>
        <v>0</v>
      </c>
    </row>
    <row r="132" spans="4:22" x14ac:dyDescent="0.2">
      <c r="D132" s="32">
        <v>45775.28125</v>
      </c>
      <c r="E132" s="33" t="s">
        <v>185</v>
      </c>
      <c r="F132" s="34">
        <v>60054.885000000002</v>
      </c>
      <c r="G132" s="34">
        <v>363838.80599999998</v>
      </c>
      <c r="H132" s="34">
        <v>18.774000000000001</v>
      </c>
      <c r="I132" s="33" t="s">
        <v>86</v>
      </c>
      <c r="J132" s="33" t="s">
        <v>90</v>
      </c>
      <c r="K132" s="33">
        <v>23</v>
      </c>
      <c r="L132" s="33">
        <v>1012</v>
      </c>
      <c r="M132" s="33">
        <v>61</v>
      </c>
      <c r="N132" s="33"/>
      <c r="O132" s="93">
        <f>IFERROR(IF(Readings[[#This Row],[Obs. X]]="","-",Readings[[#This Row],[Obs. X]]-_xlfn.XLOOKUP(Readings[[#This Row],[Sensor ID]],Table_Baseline[Sensor ID],Table_Baseline[Easting '[m']],"-")),"-")</f>
        <v>-9.9999999656574801E-4</v>
      </c>
      <c r="P132" s="93">
        <f>IFERROR(IF(Readings[[#This Row],[Obs. Y]]="","-",Readings[[#This Row],[Obs. Y]]-_xlfn.XLOOKUP(Readings[[#This Row],[Sensor ID]],Table_Baseline[Sensor ID],Table_Baseline[Northing '[m']],"-")),"-")</f>
        <v>9.9999998928979039E-4</v>
      </c>
      <c r="Q132" s="93">
        <f>IFERROR(IF(Readings[[#This Row],[Obs. Z]]="","-",Readings[[#This Row],[Obs. Z]]-_xlfn.XLOOKUP(Readings[[#This Row],[Sensor ID]],Table_Baseline[Sensor ID],Table_Baseline[Level '[m']],"-")),"-")</f>
        <v>9.0000000000145519E-4</v>
      </c>
      <c r="R132" s="93">
        <f>IFERROR(IF(Readings[[#This Row],[Reference Angle]]="-","-",(Readings[[#This Row],[Diff E]]*COS(RADIANS(Readings[[#This Row],[Reference Angle]]))-Readings[[#This Row],[Diff N]]*SIN(RADIANS(Readings[[#This Row],[Reference Angle]])))),"-")</f>
        <v>-9.9999999656574801E-4</v>
      </c>
      <c r="S132" s="93">
        <f>IFERROR(IF(Readings[[#This Row],[Reference Angle]]="-","-",(Readings[[#This Row],[Diff E]]*SIN(RADIANS(Readings[[#This Row],[Reference Angle]]))+Readings[[#This Row],[Diff N]]*COS(RADIANS(Readings[[#This Row],[Reference Angle]])))),"-")</f>
        <v>9.9999998928979039E-4</v>
      </c>
      <c r="T132" s="94">
        <f>IFERROR(VLOOKUP(Readings[[#This Row],[Sensor ID]],Table_Baseline[],COLUMNS(Table_Baseline[[#Headers],[Sensor ID]:[Reference Angle '[Deg']]]),FALSE),"-")</f>
        <v>0</v>
      </c>
      <c r="U132" s="95" t="str">
        <f>Readings[[#This Row],[Sensor ID]]&amp;"-"&amp;Readings[[#This Row],[Epoch]]</f>
        <v>250-RL-OP-11016-45775.28125</v>
      </c>
      <c r="V132" s="99">
        <f ca="1">IF(Readings[[#This Row],[Epoch]]=OFFSET(Readings[[#This Row],[Epoch]],-1,0),0,1)</f>
        <v>0</v>
      </c>
    </row>
    <row r="133" spans="4:22" x14ac:dyDescent="0.2">
      <c r="D133" s="32">
        <v>45775.28125</v>
      </c>
      <c r="E133" s="33" t="s">
        <v>186</v>
      </c>
      <c r="F133" s="34">
        <v>60055.196000000004</v>
      </c>
      <c r="G133" s="34">
        <v>363840.09600000002</v>
      </c>
      <c r="H133" s="34">
        <v>18.780999999999999</v>
      </c>
      <c r="I133" s="33" t="s">
        <v>86</v>
      </c>
      <c r="J133" s="33" t="s">
        <v>90</v>
      </c>
      <c r="K133" s="33">
        <v>23</v>
      </c>
      <c r="L133" s="33">
        <v>1012</v>
      </c>
      <c r="M133" s="33">
        <v>61</v>
      </c>
      <c r="N133" s="33"/>
      <c r="O133" s="93">
        <f>IFERROR(IF(Readings[[#This Row],[Obs. X]]="","-",Readings[[#This Row],[Obs. X]]-_xlfn.XLOOKUP(Readings[[#This Row],[Sensor ID]],Table_Baseline[Sensor ID],Table_Baseline[Easting '[m']],"-")),"-")</f>
        <v>0</v>
      </c>
      <c r="P133" s="93">
        <f>IFERROR(IF(Readings[[#This Row],[Obs. Y]]="","-",Readings[[#This Row],[Obs. Y]]-_xlfn.XLOOKUP(Readings[[#This Row],[Sensor ID]],Table_Baseline[Sensor ID],Table_Baseline[Northing '[m']],"-")),"-")</f>
        <v>1.0000000474974513E-3</v>
      </c>
      <c r="Q133" s="93">
        <f>IFERROR(IF(Readings[[#This Row],[Obs. Z]]="","-",Readings[[#This Row],[Obs. Z]]-_xlfn.XLOOKUP(Readings[[#This Row],[Sensor ID]],Table_Baseline[Sensor ID],Table_Baseline[Level '[m']],"-")),"-")</f>
        <v>9.9999999999766942E-5</v>
      </c>
      <c r="R133" s="93">
        <f>IFERROR(IF(Readings[[#This Row],[Reference Angle]]="-","-",(Readings[[#This Row],[Diff E]]*COS(RADIANS(Readings[[#This Row],[Reference Angle]]))-Readings[[#This Row],[Diff N]]*SIN(RADIANS(Readings[[#This Row],[Reference Angle]])))),"-")</f>
        <v>0</v>
      </c>
      <c r="S133" s="93">
        <f>IFERROR(IF(Readings[[#This Row],[Reference Angle]]="-","-",(Readings[[#This Row],[Diff E]]*SIN(RADIANS(Readings[[#This Row],[Reference Angle]]))+Readings[[#This Row],[Diff N]]*COS(RADIANS(Readings[[#This Row],[Reference Angle]])))),"-")</f>
        <v>1.0000000474974513E-3</v>
      </c>
      <c r="T133" s="94">
        <f>IFERROR(VLOOKUP(Readings[[#This Row],[Sensor ID]],Table_Baseline[],COLUMNS(Table_Baseline[[#Headers],[Sensor ID]:[Reference Angle '[Deg']]]),FALSE),"-")</f>
        <v>0</v>
      </c>
      <c r="U133" s="95" t="str">
        <f>Readings[[#This Row],[Sensor ID]]&amp;"-"&amp;Readings[[#This Row],[Epoch]]</f>
        <v>250-RL-OP-11015-45775.28125</v>
      </c>
      <c r="V133" s="99">
        <f ca="1">IF(Readings[[#This Row],[Epoch]]=OFFSET(Readings[[#This Row],[Epoch]],-1,0),0,1)</f>
        <v>0</v>
      </c>
    </row>
    <row r="134" spans="4:22" x14ac:dyDescent="0.2">
      <c r="D134" s="32">
        <v>45775.28125</v>
      </c>
      <c r="E134" s="33" t="s">
        <v>187</v>
      </c>
      <c r="F134" s="34">
        <v>60057.578000000001</v>
      </c>
      <c r="G134" s="34">
        <v>363838.1</v>
      </c>
      <c r="H134" s="34">
        <v>18.776</v>
      </c>
      <c r="I134" s="33" t="s">
        <v>86</v>
      </c>
      <c r="J134" s="33" t="s">
        <v>90</v>
      </c>
      <c r="K134" s="33">
        <v>23</v>
      </c>
      <c r="L134" s="33">
        <v>1012</v>
      </c>
      <c r="M134" s="33">
        <v>61</v>
      </c>
      <c r="N134" s="33"/>
      <c r="O134" s="93">
        <f>IFERROR(IF(Readings[[#This Row],[Obs. X]]="","-",Readings[[#This Row],[Obs. X]]-_xlfn.XLOOKUP(Readings[[#This Row],[Sensor ID]],Table_Baseline[Sensor ID],Table_Baseline[Easting '[m']],"-")),"-")</f>
        <v>-9.9999999656574801E-4</v>
      </c>
      <c r="P134" s="93">
        <f>IFERROR(IF(Readings[[#This Row],[Obs. Y]]="","-",Readings[[#This Row],[Obs. Y]]-_xlfn.XLOOKUP(Readings[[#This Row],[Sensor ID]],Table_Baseline[Sensor ID],Table_Baseline[Northing '[m']],"-")),"-")</f>
        <v>1.9999999785795808E-3</v>
      </c>
      <c r="Q134" s="93">
        <f>IFERROR(IF(Readings[[#This Row],[Obs. Z]]="","-",Readings[[#This Row],[Obs. Z]]-_xlfn.XLOOKUP(Readings[[#This Row],[Sensor ID]],Table_Baseline[Sensor ID],Table_Baseline[Level '[m']],"-")),"-")</f>
        <v>0</v>
      </c>
      <c r="R134" s="93">
        <f>IFERROR(IF(Readings[[#This Row],[Reference Angle]]="-","-",(Readings[[#This Row],[Diff E]]*COS(RADIANS(Readings[[#This Row],[Reference Angle]]))-Readings[[#This Row],[Diff N]]*SIN(RADIANS(Readings[[#This Row],[Reference Angle]])))),"-")</f>
        <v>-9.9999999656574801E-4</v>
      </c>
      <c r="S134" s="93">
        <f>IFERROR(IF(Readings[[#This Row],[Reference Angle]]="-","-",(Readings[[#This Row],[Diff E]]*SIN(RADIANS(Readings[[#This Row],[Reference Angle]]))+Readings[[#This Row],[Diff N]]*COS(RADIANS(Readings[[#This Row],[Reference Angle]])))),"-")</f>
        <v>1.9999999785795808E-3</v>
      </c>
      <c r="T134" s="94">
        <f>IFERROR(VLOOKUP(Readings[[#This Row],[Sensor ID]],Table_Baseline[],COLUMNS(Table_Baseline[[#Headers],[Sensor ID]:[Reference Angle '[Deg']]]),FALSE),"-")</f>
        <v>0</v>
      </c>
      <c r="U134" s="95" t="str">
        <f>Readings[[#This Row],[Sensor ID]]&amp;"-"&amp;Readings[[#This Row],[Epoch]]</f>
        <v>250-RL-OP-11018-45775.28125</v>
      </c>
      <c r="V134" s="99">
        <f ca="1">IF(Readings[[#This Row],[Epoch]]=OFFSET(Readings[[#This Row],[Epoch]],-1,0),0,1)</f>
        <v>0</v>
      </c>
    </row>
    <row r="135" spans="4:22" x14ac:dyDescent="0.2">
      <c r="D135" s="32">
        <v>45775.28125</v>
      </c>
      <c r="E135" s="33" t="s">
        <v>188</v>
      </c>
      <c r="F135" s="34">
        <v>60057.951999999997</v>
      </c>
      <c r="G135" s="34">
        <v>363839.364</v>
      </c>
      <c r="H135" s="34">
        <v>18.786000000000001</v>
      </c>
      <c r="I135" s="33" t="s">
        <v>86</v>
      </c>
      <c r="J135" s="33" t="s">
        <v>90</v>
      </c>
      <c r="K135" s="33">
        <v>23</v>
      </c>
      <c r="L135" s="33">
        <v>1012</v>
      </c>
      <c r="M135" s="33">
        <v>61</v>
      </c>
      <c r="N135" s="33"/>
      <c r="O135" s="93">
        <f>IFERROR(IF(Readings[[#This Row],[Obs. X]]="","-",Readings[[#This Row],[Obs. X]]-_xlfn.XLOOKUP(Readings[[#This Row],[Sensor ID]],Table_Baseline[Sensor ID],Table_Baseline[Easting '[m']],"-")),"-")</f>
        <v>0</v>
      </c>
      <c r="P135" s="93">
        <f>IFERROR(IF(Readings[[#This Row],[Obs. Y]]="","-",Readings[[#This Row],[Obs. Y]]-_xlfn.XLOOKUP(Readings[[#This Row],[Sensor ID]],Table_Baseline[Sensor ID],Table_Baseline[Northing '[m']],"-")),"-")</f>
        <v>2.0000000367872417E-3</v>
      </c>
      <c r="Q135" s="93">
        <f>IFERROR(IF(Readings[[#This Row],[Obs. Z]]="","-",Readings[[#This Row],[Obs. Z]]-_xlfn.XLOOKUP(Readings[[#This Row],[Sensor ID]],Table_Baseline[Sensor ID],Table_Baseline[Level '[m']],"-")),"-")</f>
        <v>0</v>
      </c>
      <c r="R135" s="93">
        <f>IFERROR(IF(Readings[[#This Row],[Reference Angle]]="-","-",(Readings[[#This Row],[Diff E]]*COS(RADIANS(Readings[[#This Row],[Reference Angle]]))-Readings[[#This Row],[Diff N]]*SIN(RADIANS(Readings[[#This Row],[Reference Angle]])))),"-")</f>
        <v>0</v>
      </c>
      <c r="S135" s="93">
        <f>IFERROR(IF(Readings[[#This Row],[Reference Angle]]="-","-",(Readings[[#This Row],[Diff E]]*SIN(RADIANS(Readings[[#This Row],[Reference Angle]]))+Readings[[#This Row],[Diff N]]*COS(RADIANS(Readings[[#This Row],[Reference Angle]])))),"-")</f>
        <v>2.0000000367872417E-3</v>
      </c>
      <c r="T135" s="94">
        <f>IFERROR(VLOOKUP(Readings[[#This Row],[Sensor ID]],Table_Baseline[],COLUMNS(Table_Baseline[[#Headers],[Sensor ID]:[Reference Angle '[Deg']]]),FALSE),"-")</f>
        <v>0</v>
      </c>
      <c r="U135" s="95" t="str">
        <f>Readings[[#This Row],[Sensor ID]]&amp;"-"&amp;Readings[[#This Row],[Epoch]]</f>
        <v>250-RL-OP-11017-45775.28125</v>
      </c>
      <c r="V135" s="99">
        <f ca="1">IF(Readings[[#This Row],[Epoch]]=OFFSET(Readings[[#This Row],[Epoch]],-1,0),0,1)</f>
        <v>0</v>
      </c>
    </row>
    <row r="136" spans="4:22" x14ac:dyDescent="0.2">
      <c r="D136" s="32">
        <v>45775.28125</v>
      </c>
      <c r="E136" s="33" t="s">
        <v>189</v>
      </c>
      <c r="F136" s="34">
        <v>60060.639000000003</v>
      </c>
      <c r="G136" s="34">
        <v>363837.32400000002</v>
      </c>
      <c r="H136" s="34">
        <v>18.783999999999999</v>
      </c>
      <c r="I136" s="33" t="s">
        <v>86</v>
      </c>
      <c r="J136" s="33" t="s">
        <v>90</v>
      </c>
      <c r="K136" s="33">
        <v>23</v>
      </c>
      <c r="L136" s="33">
        <v>1012</v>
      </c>
      <c r="M136" s="33">
        <v>61</v>
      </c>
      <c r="N136" s="33"/>
      <c r="O136" s="93">
        <f>IFERROR(IF(Readings[[#This Row],[Obs. X]]="","-",Readings[[#This Row],[Obs. X]]-_xlfn.XLOOKUP(Readings[[#This Row],[Sensor ID]],Table_Baseline[Sensor ID],Table_Baseline[Easting '[m']],"-")),"-")</f>
        <v>-9.9999999656574801E-4</v>
      </c>
      <c r="P136" s="93">
        <f>IFERROR(IF(Readings[[#This Row],[Obs. Y]]="","-",Readings[[#This Row],[Obs. Y]]-_xlfn.XLOOKUP(Readings[[#This Row],[Sensor ID]],Table_Baseline[Sensor ID],Table_Baseline[Northing '[m']],"-")),"-")</f>
        <v>2.0000000367872417E-3</v>
      </c>
      <c r="Q136" s="93">
        <f>IFERROR(IF(Readings[[#This Row],[Obs. Z]]="","-",Readings[[#This Row],[Obs. Z]]-_xlfn.XLOOKUP(Readings[[#This Row],[Sensor ID]],Table_Baseline[Sensor ID],Table_Baseline[Level '[m']],"-")),"-")</f>
        <v>3.9999999999906777E-4</v>
      </c>
      <c r="R136" s="93">
        <f>IFERROR(IF(Readings[[#This Row],[Reference Angle]]="-","-",(Readings[[#This Row],[Diff E]]*COS(RADIANS(Readings[[#This Row],[Reference Angle]]))-Readings[[#This Row],[Diff N]]*SIN(RADIANS(Readings[[#This Row],[Reference Angle]])))),"-")</f>
        <v>-9.9999999656574801E-4</v>
      </c>
      <c r="S136" s="93">
        <f>IFERROR(IF(Readings[[#This Row],[Reference Angle]]="-","-",(Readings[[#This Row],[Diff E]]*SIN(RADIANS(Readings[[#This Row],[Reference Angle]]))+Readings[[#This Row],[Diff N]]*COS(RADIANS(Readings[[#This Row],[Reference Angle]])))),"-")</f>
        <v>2.0000000367872417E-3</v>
      </c>
      <c r="T136" s="94">
        <f>IFERROR(VLOOKUP(Readings[[#This Row],[Sensor ID]],Table_Baseline[],COLUMNS(Table_Baseline[[#Headers],[Sensor ID]:[Reference Angle '[Deg']]]),FALSE),"-")</f>
        <v>0</v>
      </c>
      <c r="U136" s="95" t="str">
        <f>Readings[[#This Row],[Sensor ID]]&amp;"-"&amp;Readings[[#This Row],[Epoch]]</f>
        <v>250-RL-OP-11020-45775.28125</v>
      </c>
      <c r="V136" s="99">
        <f ca="1">IF(Readings[[#This Row],[Epoch]]=OFFSET(Readings[[#This Row],[Epoch]],-1,0),0,1)</f>
        <v>0</v>
      </c>
    </row>
    <row r="137" spans="4:22" x14ac:dyDescent="0.2">
      <c r="D137" s="32">
        <v>45775.28125</v>
      </c>
      <c r="E137" s="33" t="s">
        <v>190</v>
      </c>
      <c r="F137" s="34">
        <v>60060.962</v>
      </c>
      <c r="G137" s="34">
        <v>363838.60200000001</v>
      </c>
      <c r="H137" s="34">
        <v>18.795000000000002</v>
      </c>
      <c r="I137" s="33" t="s">
        <v>86</v>
      </c>
      <c r="J137" s="33" t="s">
        <v>90</v>
      </c>
      <c r="K137" s="33">
        <v>23</v>
      </c>
      <c r="L137" s="33">
        <v>1012</v>
      </c>
      <c r="M137" s="33">
        <v>61</v>
      </c>
      <c r="N137" s="33"/>
      <c r="O137" s="93">
        <f>IFERROR(IF(Readings[[#This Row],[Obs. X]]="","-",Readings[[#This Row],[Obs. X]]-_xlfn.XLOOKUP(Readings[[#This Row],[Sensor ID]],Table_Baseline[Sensor ID],Table_Baseline[Easting '[m']],"-")),"-")</f>
        <v>-1.0000000038417056E-3</v>
      </c>
      <c r="P137" s="93">
        <f>IFERROR(IF(Readings[[#This Row],[Obs. Y]]="","-",Readings[[#This Row],[Obs. Y]]-_xlfn.XLOOKUP(Readings[[#This Row],[Sensor ID]],Table_Baseline[Sensor ID],Table_Baseline[Northing '[m']],"-")),"-")</f>
        <v>9.9999998928979039E-4</v>
      </c>
      <c r="Q137" s="93">
        <f>IFERROR(IF(Readings[[#This Row],[Obs. Z]]="","-",Readings[[#This Row],[Obs. Z]]-_xlfn.XLOOKUP(Readings[[#This Row],[Sensor ID]],Table_Baseline[Sensor ID],Table_Baseline[Level '[m']],"-")),"-")</f>
        <v>4.0000000000262048E-4</v>
      </c>
      <c r="R137" s="93">
        <f>IFERROR(IF(Readings[[#This Row],[Reference Angle]]="-","-",(Readings[[#This Row],[Diff E]]*COS(RADIANS(Readings[[#This Row],[Reference Angle]]))-Readings[[#This Row],[Diff N]]*SIN(RADIANS(Readings[[#This Row],[Reference Angle]])))),"-")</f>
        <v>-1.0000000038417056E-3</v>
      </c>
      <c r="S137" s="93">
        <f>IFERROR(IF(Readings[[#This Row],[Reference Angle]]="-","-",(Readings[[#This Row],[Diff E]]*SIN(RADIANS(Readings[[#This Row],[Reference Angle]]))+Readings[[#This Row],[Diff N]]*COS(RADIANS(Readings[[#This Row],[Reference Angle]])))),"-")</f>
        <v>9.9999998928979039E-4</v>
      </c>
      <c r="T137" s="94">
        <f>IFERROR(VLOOKUP(Readings[[#This Row],[Sensor ID]],Table_Baseline[],COLUMNS(Table_Baseline[[#Headers],[Sensor ID]:[Reference Angle '[Deg']]]),FALSE),"-")</f>
        <v>0</v>
      </c>
      <c r="U137" s="95" t="str">
        <f>Readings[[#This Row],[Sensor ID]]&amp;"-"&amp;Readings[[#This Row],[Epoch]]</f>
        <v>250-RL-OP-11019-45775.28125</v>
      </c>
      <c r="V137" s="99">
        <f ca="1">IF(Readings[[#This Row],[Epoch]]=OFFSET(Readings[[#This Row],[Epoch]],-1,0),0,1)</f>
        <v>0</v>
      </c>
    </row>
    <row r="138" spans="4:22" x14ac:dyDescent="0.2">
      <c r="D138" s="32">
        <v>45775.28125</v>
      </c>
      <c r="E138" s="33" t="s">
        <v>191</v>
      </c>
      <c r="F138" s="34">
        <v>60063.421000000002</v>
      </c>
      <c r="G138" s="34">
        <v>363836.63800000004</v>
      </c>
      <c r="H138" s="34">
        <v>18.795000000000002</v>
      </c>
      <c r="I138" s="33" t="s">
        <v>86</v>
      </c>
      <c r="J138" s="33" t="s">
        <v>90</v>
      </c>
      <c r="K138" s="33">
        <v>23</v>
      </c>
      <c r="L138" s="33">
        <v>1012</v>
      </c>
      <c r="M138" s="33">
        <v>61</v>
      </c>
      <c r="N138" s="33"/>
      <c r="O138" s="93">
        <f>IFERROR(IF(Readings[[#This Row],[Obs. X]]="","-",Readings[[#This Row],[Obs. X]]-_xlfn.XLOOKUP(Readings[[#This Row],[Sensor ID]],Table_Baseline[Sensor ID],Table_Baseline[Easting '[m']],"-")),"-")</f>
        <v>-9.9999999656574801E-4</v>
      </c>
      <c r="P138" s="93">
        <f>IFERROR(IF(Readings[[#This Row],[Obs. Y]]="","-",Readings[[#This Row],[Obs. Y]]-_xlfn.XLOOKUP(Readings[[#This Row],[Sensor ID]],Table_Baseline[Sensor ID],Table_Baseline[Northing '[m']],"-")),"-")</f>
        <v>2.0000000367872417E-3</v>
      </c>
      <c r="Q138" s="93">
        <f>IFERROR(IF(Readings[[#This Row],[Obs. Z]]="","-",Readings[[#This Row],[Obs. Z]]-_xlfn.XLOOKUP(Readings[[#This Row],[Sensor ID]],Table_Baseline[Sensor ID],Table_Baseline[Level '[m']],"-")),"-")</f>
        <v>1.0000000000331966E-4</v>
      </c>
      <c r="R138" s="93">
        <f>IFERROR(IF(Readings[[#This Row],[Reference Angle]]="-","-",(Readings[[#This Row],[Diff E]]*COS(RADIANS(Readings[[#This Row],[Reference Angle]]))-Readings[[#This Row],[Diff N]]*SIN(RADIANS(Readings[[#This Row],[Reference Angle]])))),"-")</f>
        <v>-9.9999999656574801E-4</v>
      </c>
      <c r="S138" s="93">
        <f>IFERROR(IF(Readings[[#This Row],[Reference Angle]]="-","-",(Readings[[#This Row],[Diff E]]*SIN(RADIANS(Readings[[#This Row],[Reference Angle]]))+Readings[[#This Row],[Diff N]]*COS(RADIANS(Readings[[#This Row],[Reference Angle]])))),"-")</f>
        <v>2.0000000367872417E-3</v>
      </c>
      <c r="T138" s="94">
        <f>IFERROR(VLOOKUP(Readings[[#This Row],[Sensor ID]],Table_Baseline[],COLUMNS(Table_Baseline[[#Headers],[Sensor ID]:[Reference Angle '[Deg']]]),FALSE),"-")</f>
        <v>0</v>
      </c>
      <c r="U138" s="95" t="str">
        <f>Readings[[#This Row],[Sensor ID]]&amp;"-"&amp;Readings[[#This Row],[Epoch]]</f>
        <v>250-RL-OP-11022-45775.28125</v>
      </c>
      <c r="V138" s="99">
        <f ca="1">IF(Readings[[#This Row],[Epoch]]=OFFSET(Readings[[#This Row],[Epoch]],-1,0),0,1)</f>
        <v>0</v>
      </c>
    </row>
    <row r="139" spans="4:22" x14ac:dyDescent="0.2">
      <c r="D139" s="32">
        <v>45775.28125</v>
      </c>
      <c r="E139" s="33" t="s">
        <v>192</v>
      </c>
      <c r="F139" s="34">
        <v>60063.75</v>
      </c>
      <c r="G139" s="34">
        <v>363837.91899999999</v>
      </c>
      <c r="H139" s="34">
        <v>18.809000000000001</v>
      </c>
      <c r="I139" s="33" t="s">
        <v>86</v>
      </c>
      <c r="J139" s="33" t="s">
        <v>90</v>
      </c>
      <c r="K139" s="33">
        <v>23</v>
      </c>
      <c r="L139" s="33">
        <v>1012</v>
      </c>
      <c r="M139" s="33">
        <v>61</v>
      </c>
      <c r="N139" s="33"/>
      <c r="O139" s="93">
        <f>IFERROR(IF(Readings[[#This Row],[Obs. X]]="","-",Readings[[#This Row],[Obs. X]]-_xlfn.XLOOKUP(Readings[[#This Row],[Sensor ID]],Table_Baseline[Sensor ID],Table_Baseline[Easting '[m']],"-")),"-")</f>
        <v>-9.9999999656574801E-4</v>
      </c>
      <c r="P139" s="93">
        <f>IFERROR(IF(Readings[[#This Row],[Obs. Y]]="","-",Readings[[#This Row],[Obs. Y]]-_xlfn.XLOOKUP(Readings[[#This Row],[Sensor ID]],Table_Baseline[Sensor ID],Table_Baseline[Northing '[m']],"-")),"-")</f>
        <v>9.9999998928979039E-4</v>
      </c>
      <c r="Q139" s="93">
        <f>IFERROR(IF(Readings[[#This Row],[Obs. Z]]="","-",Readings[[#This Row],[Obs. Z]]-_xlfn.XLOOKUP(Readings[[#This Row],[Sensor ID]],Table_Baseline[Sensor ID],Table_Baseline[Level '[m']],"-")),"-")</f>
        <v>0</v>
      </c>
      <c r="R139" s="93">
        <f>IFERROR(IF(Readings[[#This Row],[Reference Angle]]="-","-",(Readings[[#This Row],[Diff E]]*COS(RADIANS(Readings[[#This Row],[Reference Angle]]))-Readings[[#This Row],[Diff N]]*SIN(RADIANS(Readings[[#This Row],[Reference Angle]])))),"-")</f>
        <v>-9.9999999656574801E-4</v>
      </c>
      <c r="S139" s="93">
        <f>IFERROR(IF(Readings[[#This Row],[Reference Angle]]="-","-",(Readings[[#This Row],[Diff E]]*SIN(RADIANS(Readings[[#This Row],[Reference Angle]]))+Readings[[#This Row],[Diff N]]*COS(RADIANS(Readings[[#This Row],[Reference Angle]])))),"-")</f>
        <v>9.9999998928979039E-4</v>
      </c>
      <c r="T139" s="94">
        <f>IFERROR(VLOOKUP(Readings[[#This Row],[Sensor ID]],Table_Baseline[],COLUMNS(Table_Baseline[[#Headers],[Sensor ID]:[Reference Angle '[Deg']]]),FALSE),"-")</f>
        <v>0</v>
      </c>
      <c r="U139" s="95" t="str">
        <f>Readings[[#This Row],[Sensor ID]]&amp;"-"&amp;Readings[[#This Row],[Epoch]]</f>
        <v>250-RL-OP-11021-45775.28125</v>
      </c>
      <c r="V139" s="99">
        <f ca="1">IF(Readings[[#This Row],[Epoch]]=OFFSET(Readings[[#This Row],[Epoch]],-1,0),0,1)</f>
        <v>0</v>
      </c>
    </row>
    <row r="140" spans="4:22" x14ac:dyDescent="0.2">
      <c r="D140" s="32">
        <v>45775.28125</v>
      </c>
      <c r="E140" s="33" t="s">
        <v>165</v>
      </c>
      <c r="F140" s="34">
        <v>60034.538999999997</v>
      </c>
      <c r="G140" s="34">
        <v>363843.38300000003</v>
      </c>
      <c r="H140" s="34">
        <v>19.332000000000001</v>
      </c>
      <c r="I140" s="33" t="s">
        <v>86</v>
      </c>
      <c r="J140" s="33" t="s">
        <v>90</v>
      </c>
      <c r="K140" s="33">
        <v>23</v>
      </c>
      <c r="L140" s="33">
        <v>1012</v>
      </c>
      <c r="M140" s="33">
        <v>61</v>
      </c>
      <c r="N140" s="33"/>
      <c r="O140" s="93" t="str">
        <f>IFERROR(IF(Readings[[#This Row],[Obs. X]]="","-",Readings[[#This Row],[Obs. X]]-_xlfn.XLOOKUP(Readings[[#This Row],[Sensor ID]],Table_Baseline[Sensor ID],Table_Baseline[Easting '[m']],"-")),"-")</f>
        <v>-</v>
      </c>
      <c r="P140" s="93" t="str">
        <f>IFERROR(IF(Readings[[#This Row],[Obs. Y]]="","-",Readings[[#This Row],[Obs. Y]]-_xlfn.XLOOKUP(Readings[[#This Row],[Sensor ID]],Table_Baseline[Sensor ID],Table_Baseline[Northing '[m']],"-")),"-")</f>
        <v>-</v>
      </c>
      <c r="Q140" s="93" t="str">
        <f>IFERROR(IF(Readings[[#This Row],[Obs. Z]]="","-",Readings[[#This Row],[Obs. Z]]-_xlfn.XLOOKUP(Readings[[#This Row],[Sensor ID]],Table_Baseline[Sensor ID],Table_Baseline[Level '[m']],"-")),"-")</f>
        <v>-</v>
      </c>
      <c r="R140" s="93" t="str">
        <f>IFERROR(IF(Readings[[#This Row],[Reference Angle]]="-","-",(Readings[[#This Row],[Diff E]]*COS(RADIANS(Readings[[#This Row],[Reference Angle]]))-Readings[[#This Row],[Diff N]]*SIN(RADIANS(Readings[[#This Row],[Reference Angle]])))),"-")</f>
        <v>-</v>
      </c>
      <c r="S140" s="93" t="str">
        <f>IFERROR(IF(Readings[[#This Row],[Reference Angle]]="-","-",(Readings[[#This Row],[Diff E]]*SIN(RADIANS(Readings[[#This Row],[Reference Angle]]))+Readings[[#This Row],[Diff N]]*COS(RADIANS(Readings[[#This Row],[Reference Angle]])))),"-")</f>
        <v>-</v>
      </c>
      <c r="T140" s="94" t="str">
        <f>IFERROR(VLOOKUP(Readings[[#This Row],[Sensor ID]],Table_Baseline[],COLUMNS(Table_Baseline[[#Headers],[Sensor ID]:[Reference Angle '[Deg']]]),FALSE),"-")</f>
        <v>-</v>
      </c>
      <c r="U140" s="95" t="str">
        <f>Readings[[#This Row],[Sensor ID]]&amp;"-"&amp;Readings[[#This Row],[Epoch]]</f>
        <v>250-ST-OP-500-45775.28125</v>
      </c>
      <c r="V140" s="99">
        <f ca="1">IF(Readings[[#This Row],[Epoch]]=OFFSET(Readings[[#This Row],[Epoch]],-1,0),0,1)</f>
        <v>0</v>
      </c>
    </row>
    <row r="141" spans="4:22" x14ac:dyDescent="0.2">
      <c r="D141" s="32">
        <v>45775.28125</v>
      </c>
      <c r="E141" s="33" t="s">
        <v>166</v>
      </c>
      <c r="F141" s="34">
        <v>60040.286999999997</v>
      </c>
      <c r="G141" s="34">
        <v>363841.73100000003</v>
      </c>
      <c r="H141" s="34">
        <v>19.321999999999999</v>
      </c>
      <c r="I141" s="33" t="s">
        <v>86</v>
      </c>
      <c r="J141" s="33" t="s">
        <v>90</v>
      </c>
      <c r="K141" s="33">
        <v>23</v>
      </c>
      <c r="L141" s="33">
        <v>1012</v>
      </c>
      <c r="M141" s="33">
        <v>61</v>
      </c>
      <c r="N141" s="33"/>
      <c r="O141" s="93" t="str">
        <f>IFERROR(IF(Readings[[#This Row],[Obs. X]]="","-",Readings[[#This Row],[Obs. X]]-_xlfn.XLOOKUP(Readings[[#This Row],[Sensor ID]],Table_Baseline[Sensor ID],Table_Baseline[Easting '[m']],"-")),"-")</f>
        <v>-</v>
      </c>
      <c r="P141" s="93" t="str">
        <f>IFERROR(IF(Readings[[#This Row],[Obs. Y]]="","-",Readings[[#This Row],[Obs. Y]]-_xlfn.XLOOKUP(Readings[[#This Row],[Sensor ID]],Table_Baseline[Sensor ID],Table_Baseline[Northing '[m']],"-")),"-")</f>
        <v>-</v>
      </c>
      <c r="Q141" s="93" t="str">
        <f>IFERROR(IF(Readings[[#This Row],[Obs. Z]]="","-",Readings[[#This Row],[Obs. Z]]-_xlfn.XLOOKUP(Readings[[#This Row],[Sensor ID]],Table_Baseline[Sensor ID],Table_Baseline[Level '[m']],"-")),"-")</f>
        <v>-</v>
      </c>
      <c r="R141" s="93" t="str">
        <f>IFERROR(IF(Readings[[#This Row],[Reference Angle]]="-","-",(Readings[[#This Row],[Diff E]]*COS(RADIANS(Readings[[#This Row],[Reference Angle]]))-Readings[[#This Row],[Diff N]]*SIN(RADIANS(Readings[[#This Row],[Reference Angle]])))),"-")</f>
        <v>-</v>
      </c>
      <c r="S141" s="93" t="str">
        <f>IFERROR(IF(Readings[[#This Row],[Reference Angle]]="-","-",(Readings[[#This Row],[Diff E]]*SIN(RADIANS(Readings[[#This Row],[Reference Angle]]))+Readings[[#This Row],[Diff N]]*COS(RADIANS(Readings[[#This Row],[Reference Angle]])))),"-")</f>
        <v>-</v>
      </c>
      <c r="T141" s="94" t="str">
        <f>IFERROR(VLOOKUP(Readings[[#This Row],[Sensor ID]],Table_Baseline[],COLUMNS(Table_Baseline[[#Headers],[Sensor ID]:[Reference Angle '[Deg']]]),FALSE),"-")</f>
        <v>-</v>
      </c>
      <c r="U141" s="95" t="str">
        <f>Readings[[#This Row],[Sensor ID]]&amp;"-"&amp;Readings[[#This Row],[Epoch]]</f>
        <v>250-ST-OP-501-45775.28125</v>
      </c>
      <c r="V141" s="99">
        <f ca="1">IF(Readings[[#This Row],[Epoch]]=OFFSET(Readings[[#This Row],[Epoch]],-1,0),0,1)</f>
        <v>0</v>
      </c>
    </row>
    <row r="142" spans="4:22" x14ac:dyDescent="0.2">
      <c r="D142" s="32">
        <v>45775.28125</v>
      </c>
      <c r="E142" s="33" t="s">
        <v>167</v>
      </c>
      <c r="F142" s="34">
        <v>60045.921000000002</v>
      </c>
      <c r="G142" s="34">
        <v>363840.1</v>
      </c>
      <c r="H142" s="34">
        <v>19.335000000000001</v>
      </c>
      <c r="I142" s="33" t="s">
        <v>86</v>
      </c>
      <c r="J142" s="33" t="s">
        <v>90</v>
      </c>
      <c r="K142" s="33">
        <v>23</v>
      </c>
      <c r="L142" s="33">
        <v>1012</v>
      </c>
      <c r="M142" s="33">
        <v>61</v>
      </c>
      <c r="N142" s="33"/>
      <c r="O142" s="93" t="str">
        <f>IFERROR(IF(Readings[[#This Row],[Obs. X]]="","-",Readings[[#This Row],[Obs. X]]-_xlfn.XLOOKUP(Readings[[#This Row],[Sensor ID]],Table_Baseline[Sensor ID],Table_Baseline[Easting '[m']],"-")),"-")</f>
        <v>-</v>
      </c>
      <c r="P142" s="93" t="str">
        <f>IFERROR(IF(Readings[[#This Row],[Obs. Y]]="","-",Readings[[#This Row],[Obs. Y]]-_xlfn.XLOOKUP(Readings[[#This Row],[Sensor ID]],Table_Baseline[Sensor ID],Table_Baseline[Northing '[m']],"-")),"-")</f>
        <v>-</v>
      </c>
      <c r="Q142" s="93" t="str">
        <f>IFERROR(IF(Readings[[#This Row],[Obs. Z]]="","-",Readings[[#This Row],[Obs. Z]]-_xlfn.XLOOKUP(Readings[[#This Row],[Sensor ID]],Table_Baseline[Sensor ID],Table_Baseline[Level '[m']],"-")),"-")</f>
        <v>-</v>
      </c>
      <c r="R142" s="93" t="str">
        <f>IFERROR(IF(Readings[[#This Row],[Reference Angle]]="-","-",(Readings[[#This Row],[Diff E]]*COS(RADIANS(Readings[[#This Row],[Reference Angle]]))-Readings[[#This Row],[Diff N]]*SIN(RADIANS(Readings[[#This Row],[Reference Angle]])))),"-")</f>
        <v>-</v>
      </c>
      <c r="S142" s="93" t="str">
        <f>IFERROR(IF(Readings[[#This Row],[Reference Angle]]="-","-",(Readings[[#This Row],[Diff E]]*SIN(RADIANS(Readings[[#This Row],[Reference Angle]]))+Readings[[#This Row],[Diff N]]*COS(RADIANS(Readings[[#This Row],[Reference Angle]])))),"-")</f>
        <v>-</v>
      </c>
      <c r="T142" s="94" t="str">
        <f>IFERROR(VLOOKUP(Readings[[#This Row],[Sensor ID]],Table_Baseline[],COLUMNS(Table_Baseline[[#Headers],[Sensor ID]:[Reference Angle '[Deg']]]),FALSE),"-")</f>
        <v>-</v>
      </c>
      <c r="U142" s="95" t="str">
        <f>Readings[[#This Row],[Sensor ID]]&amp;"-"&amp;Readings[[#This Row],[Epoch]]</f>
        <v>250-ST-OP-502-45775.28125</v>
      </c>
      <c r="V142" s="99">
        <f ca="1">IF(Readings[[#This Row],[Epoch]]=OFFSET(Readings[[#This Row],[Epoch]],-1,0),0,1)</f>
        <v>0</v>
      </c>
    </row>
    <row r="143" spans="4:22" x14ac:dyDescent="0.2">
      <c r="D143" s="32">
        <v>45775.28125</v>
      </c>
      <c r="E143" s="33" t="s">
        <v>168</v>
      </c>
      <c r="F143" s="34">
        <v>60049.767999999996</v>
      </c>
      <c r="G143" s="34">
        <v>363838.99400000001</v>
      </c>
      <c r="H143" s="34">
        <v>19.346</v>
      </c>
      <c r="I143" s="33" t="s">
        <v>86</v>
      </c>
      <c r="J143" s="33" t="s">
        <v>90</v>
      </c>
      <c r="K143" s="33">
        <v>23</v>
      </c>
      <c r="L143" s="33">
        <v>1012</v>
      </c>
      <c r="M143" s="33">
        <v>61</v>
      </c>
      <c r="N143" s="33"/>
      <c r="O143" s="93" t="str">
        <f>IFERROR(IF(Readings[[#This Row],[Obs. X]]="","-",Readings[[#This Row],[Obs. X]]-_xlfn.XLOOKUP(Readings[[#This Row],[Sensor ID]],Table_Baseline[Sensor ID],Table_Baseline[Easting '[m']],"-")),"-")</f>
        <v>-</v>
      </c>
      <c r="P143" s="93" t="str">
        <f>IFERROR(IF(Readings[[#This Row],[Obs. Y]]="","-",Readings[[#This Row],[Obs. Y]]-_xlfn.XLOOKUP(Readings[[#This Row],[Sensor ID]],Table_Baseline[Sensor ID],Table_Baseline[Northing '[m']],"-")),"-")</f>
        <v>-</v>
      </c>
      <c r="Q143" s="93" t="str">
        <f>IFERROR(IF(Readings[[#This Row],[Obs. Z]]="","-",Readings[[#This Row],[Obs. Z]]-_xlfn.XLOOKUP(Readings[[#This Row],[Sensor ID]],Table_Baseline[Sensor ID],Table_Baseline[Level '[m']],"-")),"-")</f>
        <v>-</v>
      </c>
      <c r="R143" s="93" t="str">
        <f>IFERROR(IF(Readings[[#This Row],[Reference Angle]]="-","-",(Readings[[#This Row],[Diff E]]*COS(RADIANS(Readings[[#This Row],[Reference Angle]]))-Readings[[#This Row],[Diff N]]*SIN(RADIANS(Readings[[#This Row],[Reference Angle]])))),"-")</f>
        <v>-</v>
      </c>
      <c r="S143" s="93" t="str">
        <f>IFERROR(IF(Readings[[#This Row],[Reference Angle]]="-","-",(Readings[[#This Row],[Diff E]]*SIN(RADIANS(Readings[[#This Row],[Reference Angle]]))+Readings[[#This Row],[Diff N]]*COS(RADIANS(Readings[[#This Row],[Reference Angle]])))),"-")</f>
        <v>-</v>
      </c>
      <c r="T143" s="94" t="str">
        <f>IFERROR(VLOOKUP(Readings[[#This Row],[Sensor ID]],Table_Baseline[],COLUMNS(Table_Baseline[[#Headers],[Sensor ID]:[Reference Angle '[Deg']]]),FALSE),"-")</f>
        <v>-</v>
      </c>
      <c r="U143" s="95" t="str">
        <f>Readings[[#This Row],[Sensor ID]]&amp;"-"&amp;Readings[[#This Row],[Epoch]]</f>
        <v>250-ST-OP-503-45775.28125</v>
      </c>
      <c r="V143" s="99">
        <f ca="1">IF(Readings[[#This Row],[Epoch]]=OFFSET(Readings[[#This Row],[Epoch]],-1,0),0,1)</f>
        <v>0</v>
      </c>
    </row>
    <row r="144" spans="4:22" x14ac:dyDescent="0.2">
      <c r="D144" s="32">
        <v>45775.28125</v>
      </c>
      <c r="E144" s="33" t="s">
        <v>169</v>
      </c>
      <c r="F144" s="34">
        <v>60053.608999999997</v>
      </c>
      <c r="G144" s="34">
        <v>363837.88199999998</v>
      </c>
      <c r="H144" s="34">
        <v>19.356999999999999</v>
      </c>
      <c r="I144" s="33" t="s">
        <v>86</v>
      </c>
      <c r="J144" s="33" t="s">
        <v>90</v>
      </c>
      <c r="K144" s="33">
        <v>23</v>
      </c>
      <c r="L144" s="33">
        <v>1012</v>
      </c>
      <c r="M144" s="33">
        <v>61</v>
      </c>
      <c r="N144" s="33"/>
      <c r="O144" s="93" t="str">
        <f>IFERROR(IF(Readings[[#This Row],[Obs. X]]="","-",Readings[[#This Row],[Obs. X]]-_xlfn.XLOOKUP(Readings[[#This Row],[Sensor ID]],Table_Baseline[Sensor ID],Table_Baseline[Easting '[m']],"-")),"-")</f>
        <v>-</v>
      </c>
      <c r="P144" s="93" t="str">
        <f>IFERROR(IF(Readings[[#This Row],[Obs. Y]]="","-",Readings[[#This Row],[Obs. Y]]-_xlfn.XLOOKUP(Readings[[#This Row],[Sensor ID]],Table_Baseline[Sensor ID],Table_Baseline[Northing '[m']],"-")),"-")</f>
        <v>-</v>
      </c>
      <c r="Q144" s="93" t="str">
        <f>IFERROR(IF(Readings[[#This Row],[Obs. Z]]="","-",Readings[[#This Row],[Obs. Z]]-_xlfn.XLOOKUP(Readings[[#This Row],[Sensor ID]],Table_Baseline[Sensor ID],Table_Baseline[Level '[m']],"-")),"-")</f>
        <v>-</v>
      </c>
      <c r="R144" s="93" t="str">
        <f>IFERROR(IF(Readings[[#This Row],[Reference Angle]]="-","-",(Readings[[#This Row],[Diff E]]*COS(RADIANS(Readings[[#This Row],[Reference Angle]]))-Readings[[#This Row],[Diff N]]*SIN(RADIANS(Readings[[#This Row],[Reference Angle]])))),"-")</f>
        <v>-</v>
      </c>
      <c r="S144" s="93" t="str">
        <f>IFERROR(IF(Readings[[#This Row],[Reference Angle]]="-","-",(Readings[[#This Row],[Diff E]]*SIN(RADIANS(Readings[[#This Row],[Reference Angle]]))+Readings[[#This Row],[Diff N]]*COS(RADIANS(Readings[[#This Row],[Reference Angle]])))),"-")</f>
        <v>-</v>
      </c>
      <c r="T144" s="94" t="str">
        <f>IFERROR(VLOOKUP(Readings[[#This Row],[Sensor ID]],Table_Baseline[],COLUMNS(Table_Baseline[[#Headers],[Sensor ID]:[Reference Angle '[Deg']]]),FALSE),"-")</f>
        <v>-</v>
      </c>
      <c r="U144" s="95" t="str">
        <f>Readings[[#This Row],[Sensor ID]]&amp;"-"&amp;Readings[[#This Row],[Epoch]]</f>
        <v>250-ST-OP-504-45775.28125</v>
      </c>
      <c r="V144" s="99">
        <f ca="1">IF(Readings[[#This Row],[Epoch]]=OFFSET(Readings[[#This Row],[Epoch]],-1,0),0,1)</f>
        <v>0</v>
      </c>
    </row>
    <row r="145" spans="4:22" x14ac:dyDescent="0.2">
      <c r="D145" s="32">
        <v>45775.28125</v>
      </c>
      <c r="E145" s="33" t="s">
        <v>170</v>
      </c>
      <c r="F145" s="34">
        <v>60060.065000000002</v>
      </c>
      <c r="G145" s="34">
        <v>363836.02399999998</v>
      </c>
      <c r="H145" s="34">
        <v>19.356999999999999</v>
      </c>
      <c r="I145" s="33" t="s">
        <v>86</v>
      </c>
      <c r="J145" s="33" t="s">
        <v>90</v>
      </c>
      <c r="K145" s="33">
        <v>23</v>
      </c>
      <c r="L145" s="33">
        <v>1012</v>
      </c>
      <c r="M145" s="33">
        <v>61</v>
      </c>
      <c r="N145" s="33"/>
      <c r="O145" s="93" t="str">
        <f>IFERROR(IF(Readings[[#This Row],[Obs. X]]="","-",Readings[[#This Row],[Obs. X]]-_xlfn.XLOOKUP(Readings[[#This Row],[Sensor ID]],Table_Baseline[Sensor ID],Table_Baseline[Easting '[m']],"-")),"-")</f>
        <v>-</v>
      </c>
      <c r="P145" s="93" t="str">
        <f>IFERROR(IF(Readings[[#This Row],[Obs. Y]]="","-",Readings[[#This Row],[Obs. Y]]-_xlfn.XLOOKUP(Readings[[#This Row],[Sensor ID]],Table_Baseline[Sensor ID],Table_Baseline[Northing '[m']],"-")),"-")</f>
        <v>-</v>
      </c>
      <c r="Q145" s="93" t="str">
        <f>IFERROR(IF(Readings[[#This Row],[Obs. Z]]="","-",Readings[[#This Row],[Obs. Z]]-_xlfn.XLOOKUP(Readings[[#This Row],[Sensor ID]],Table_Baseline[Sensor ID],Table_Baseline[Level '[m']],"-")),"-")</f>
        <v>-</v>
      </c>
      <c r="R145" s="93" t="str">
        <f>IFERROR(IF(Readings[[#This Row],[Reference Angle]]="-","-",(Readings[[#This Row],[Diff E]]*COS(RADIANS(Readings[[#This Row],[Reference Angle]]))-Readings[[#This Row],[Diff N]]*SIN(RADIANS(Readings[[#This Row],[Reference Angle]])))),"-")</f>
        <v>-</v>
      </c>
      <c r="S145" s="93" t="str">
        <f>IFERROR(IF(Readings[[#This Row],[Reference Angle]]="-","-",(Readings[[#This Row],[Diff E]]*SIN(RADIANS(Readings[[#This Row],[Reference Angle]]))+Readings[[#This Row],[Diff N]]*COS(RADIANS(Readings[[#This Row],[Reference Angle]])))),"-")</f>
        <v>-</v>
      </c>
      <c r="T145" s="94" t="str">
        <f>IFERROR(VLOOKUP(Readings[[#This Row],[Sensor ID]],Table_Baseline[],COLUMNS(Table_Baseline[[#Headers],[Sensor ID]:[Reference Angle '[Deg']]]),FALSE),"-")</f>
        <v>-</v>
      </c>
      <c r="U145" s="95" t="str">
        <f>Readings[[#This Row],[Sensor ID]]&amp;"-"&amp;Readings[[#This Row],[Epoch]]</f>
        <v>250-ST-OP-505-45775.28125</v>
      </c>
      <c r="V145" s="99">
        <f ca="1">IF(Readings[[#This Row],[Epoch]]=OFFSET(Readings[[#This Row],[Epoch]],-1,0),0,1)</f>
        <v>0</v>
      </c>
    </row>
    <row r="146" spans="4:22" x14ac:dyDescent="0.2">
      <c r="D146" s="32">
        <v>45776.284722222219</v>
      </c>
      <c r="E146" s="33" t="s">
        <v>165</v>
      </c>
      <c r="F146" s="34">
        <v>60034.538999999997</v>
      </c>
      <c r="G146" s="34">
        <v>363843.38199999998</v>
      </c>
      <c r="H146" s="34">
        <v>19.329999999999998</v>
      </c>
      <c r="I146" s="33" t="s">
        <v>86</v>
      </c>
      <c r="J146" s="33" t="s">
        <v>90</v>
      </c>
      <c r="K146" s="33">
        <v>23</v>
      </c>
      <c r="L146" s="33">
        <v>1012</v>
      </c>
      <c r="M146" s="33">
        <v>61</v>
      </c>
      <c r="N146" s="33"/>
      <c r="O146" s="93" t="str">
        <f>IFERROR(IF(Readings[[#This Row],[Obs. X]]="","-",Readings[[#This Row],[Obs. X]]-_xlfn.XLOOKUP(Readings[[#This Row],[Sensor ID]],Table_Baseline[Sensor ID],Table_Baseline[Easting '[m']],"-")),"-")</f>
        <v>-</v>
      </c>
      <c r="P146" s="93" t="str">
        <f>IFERROR(IF(Readings[[#This Row],[Obs. Y]]="","-",Readings[[#This Row],[Obs. Y]]-_xlfn.XLOOKUP(Readings[[#This Row],[Sensor ID]],Table_Baseline[Sensor ID],Table_Baseline[Northing '[m']],"-")),"-")</f>
        <v>-</v>
      </c>
      <c r="Q146" s="93" t="str">
        <f>IFERROR(IF(Readings[[#This Row],[Obs. Z]]="","-",Readings[[#This Row],[Obs. Z]]-_xlfn.XLOOKUP(Readings[[#This Row],[Sensor ID]],Table_Baseline[Sensor ID],Table_Baseline[Level '[m']],"-")),"-")</f>
        <v>-</v>
      </c>
      <c r="R146" s="93" t="str">
        <f>IFERROR(IF(Readings[[#This Row],[Reference Angle]]="-","-",(Readings[[#This Row],[Diff E]]*COS(RADIANS(Readings[[#This Row],[Reference Angle]]))-Readings[[#This Row],[Diff N]]*SIN(RADIANS(Readings[[#This Row],[Reference Angle]])))),"-")</f>
        <v>-</v>
      </c>
      <c r="S146" s="93" t="str">
        <f>IFERROR(IF(Readings[[#This Row],[Reference Angle]]="-","-",(Readings[[#This Row],[Diff E]]*SIN(RADIANS(Readings[[#This Row],[Reference Angle]]))+Readings[[#This Row],[Diff N]]*COS(RADIANS(Readings[[#This Row],[Reference Angle]])))),"-")</f>
        <v>-</v>
      </c>
      <c r="T146" s="94" t="str">
        <f>IFERROR(VLOOKUP(Readings[[#This Row],[Sensor ID]],Table_Baseline[],COLUMNS(Table_Baseline[[#Headers],[Sensor ID]:[Reference Angle '[Deg']]]),FALSE),"-")</f>
        <v>-</v>
      </c>
      <c r="U146" s="95" t="str">
        <f>Readings[[#This Row],[Sensor ID]]&amp;"-"&amp;Readings[[#This Row],[Epoch]]</f>
        <v>250-ST-OP-500-45776.2847222222</v>
      </c>
      <c r="V146" s="99">
        <f ca="1">IF(Readings[[#This Row],[Epoch]]=OFFSET(Readings[[#This Row],[Epoch]],-1,0),0,1)</f>
        <v>1</v>
      </c>
    </row>
    <row r="147" spans="4:22" x14ac:dyDescent="0.2">
      <c r="D147" s="32">
        <v>45776.284722222219</v>
      </c>
      <c r="E147" s="33" t="s">
        <v>166</v>
      </c>
      <c r="F147" s="34">
        <v>60040.286</v>
      </c>
      <c r="G147" s="34">
        <v>363841.73</v>
      </c>
      <c r="H147" s="34">
        <v>19.321000000000002</v>
      </c>
      <c r="I147" s="33" t="s">
        <v>86</v>
      </c>
      <c r="J147" s="33" t="s">
        <v>90</v>
      </c>
      <c r="K147" s="33">
        <v>23</v>
      </c>
      <c r="L147" s="33">
        <v>1012</v>
      </c>
      <c r="M147" s="33">
        <v>61</v>
      </c>
      <c r="N147" s="33"/>
      <c r="O147" s="93" t="str">
        <f>IFERROR(IF(Readings[[#This Row],[Obs. X]]="","-",Readings[[#This Row],[Obs. X]]-_xlfn.XLOOKUP(Readings[[#This Row],[Sensor ID]],Table_Baseline[Sensor ID],Table_Baseline[Easting '[m']],"-")),"-")</f>
        <v>-</v>
      </c>
      <c r="P147" s="93" t="str">
        <f>IFERROR(IF(Readings[[#This Row],[Obs. Y]]="","-",Readings[[#This Row],[Obs. Y]]-_xlfn.XLOOKUP(Readings[[#This Row],[Sensor ID]],Table_Baseline[Sensor ID],Table_Baseline[Northing '[m']],"-")),"-")</f>
        <v>-</v>
      </c>
      <c r="Q147" s="93" t="str">
        <f>IFERROR(IF(Readings[[#This Row],[Obs. Z]]="","-",Readings[[#This Row],[Obs. Z]]-_xlfn.XLOOKUP(Readings[[#This Row],[Sensor ID]],Table_Baseline[Sensor ID],Table_Baseline[Level '[m']],"-")),"-")</f>
        <v>-</v>
      </c>
      <c r="R147" s="93" t="str">
        <f>IFERROR(IF(Readings[[#This Row],[Reference Angle]]="-","-",(Readings[[#This Row],[Diff E]]*COS(RADIANS(Readings[[#This Row],[Reference Angle]]))-Readings[[#This Row],[Diff N]]*SIN(RADIANS(Readings[[#This Row],[Reference Angle]])))),"-")</f>
        <v>-</v>
      </c>
      <c r="S147" s="93" t="str">
        <f>IFERROR(IF(Readings[[#This Row],[Reference Angle]]="-","-",(Readings[[#This Row],[Diff E]]*SIN(RADIANS(Readings[[#This Row],[Reference Angle]]))+Readings[[#This Row],[Diff N]]*COS(RADIANS(Readings[[#This Row],[Reference Angle]])))),"-")</f>
        <v>-</v>
      </c>
      <c r="T147" s="94" t="str">
        <f>IFERROR(VLOOKUP(Readings[[#This Row],[Sensor ID]],Table_Baseline[],COLUMNS(Table_Baseline[[#Headers],[Sensor ID]:[Reference Angle '[Deg']]]),FALSE),"-")</f>
        <v>-</v>
      </c>
      <c r="U147" s="95" t="str">
        <f>Readings[[#This Row],[Sensor ID]]&amp;"-"&amp;Readings[[#This Row],[Epoch]]</f>
        <v>250-ST-OP-501-45776.2847222222</v>
      </c>
      <c r="V147" s="99">
        <f ca="1">IF(Readings[[#This Row],[Epoch]]=OFFSET(Readings[[#This Row],[Epoch]],-1,0),0,1)</f>
        <v>0</v>
      </c>
    </row>
    <row r="148" spans="4:22" x14ac:dyDescent="0.2">
      <c r="D148" s="32">
        <v>45776.284722222219</v>
      </c>
      <c r="E148" s="33" t="s">
        <v>167</v>
      </c>
      <c r="F148" s="34">
        <v>60045.921000000002</v>
      </c>
      <c r="G148" s="34">
        <v>363840.1</v>
      </c>
      <c r="H148" s="34">
        <v>19.332999999999998</v>
      </c>
      <c r="I148" s="33" t="s">
        <v>86</v>
      </c>
      <c r="J148" s="33" t="s">
        <v>90</v>
      </c>
      <c r="K148" s="33">
        <v>23</v>
      </c>
      <c r="L148" s="33">
        <v>1012</v>
      </c>
      <c r="M148" s="33">
        <v>61</v>
      </c>
      <c r="N148" s="33"/>
      <c r="O148" s="93" t="str">
        <f>IFERROR(IF(Readings[[#This Row],[Obs. X]]="","-",Readings[[#This Row],[Obs. X]]-_xlfn.XLOOKUP(Readings[[#This Row],[Sensor ID]],Table_Baseline[Sensor ID],Table_Baseline[Easting '[m']],"-")),"-")</f>
        <v>-</v>
      </c>
      <c r="P148" s="93" t="str">
        <f>IFERROR(IF(Readings[[#This Row],[Obs. Y]]="","-",Readings[[#This Row],[Obs. Y]]-_xlfn.XLOOKUP(Readings[[#This Row],[Sensor ID]],Table_Baseline[Sensor ID],Table_Baseline[Northing '[m']],"-")),"-")</f>
        <v>-</v>
      </c>
      <c r="Q148" s="93" t="str">
        <f>IFERROR(IF(Readings[[#This Row],[Obs. Z]]="","-",Readings[[#This Row],[Obs. Z]]-_xlfn.XLOOKUP(Readings[[#This Row],[Sensor ID]],Table_Baseline[Sensor ID],Table_Baseline[Level '[m']],"-")),"-")</f>
        <v>-</v>
      </c>
      <c r="R148" s="93" t="str">
        <f>IFERROR(IF(Readings[[#This Row],[Reference Angle]]="-","-",(Readings[[#This Row],[Diff E]]*COS(RADIANS(Readings[[#This Row],[Reference Angle]]))-Readings[[#This Row],[Diff N]]*SIN(RADIANS(Readings[[#This Row],[Reference Angle]])))),"-")</f>
        <v>-</v>
      </c>
      <c r="S148" s="93" t="str">
        <f>IFERROR(IF(Readings[[#This Row],[Reference Angle]]="-","-",(Readings[[#This Row],[Diff E]]*SIN(RADIANS(Readings[[#This Row],[Reference Angle]]))+Readings[[#This Row],[Diff N]]*COS(RADIANS(Readings[[#This Row],[Reference Angle]])))),"-")</f>
        <v>-</v>
      </c>
      <c r="T148" s="94" t="str">
        <f>IFERROR(VLOOKUP(Readings[[#This Row],[Sensor ID]],Table_Baseline[],COLUMNS(Table_Baseline[[#Headers],[Sensor ID]:[Reference Angle '[Deg']]]),FALSE),"-")</f>
        <v>-</v>
      </c>
      <c r="U148" s="95" t="str">
        <f>Readings[[#This Row],[Sensor ID]]&amp;"-"&amp;Readings[[#This Row],[Epoch]]</f>
        <v>250-ST-OP-502-45776.2847222222</v>
      </c>
      <c r="V148" s="99">
        <f ca="1">IF(Readings[[#This Row],[Epoch]]=OFFSET(Readings[[#This Row],[Epoch]],-1,0),0,1)</f>
        <v>0</v>
      </c>
    </row>
    <row r="149" spans="4:22" x14ac:dyDescent="0.2">
      <c r="D149" s="32">
        <v>45776.284722222219</v>
      </c>
      <c r="E149" s="33" t="s">
        <v>168</v>
      </c>
      <c r="F149" s="34">
        <v>60049.767</v>
      </c>
      <c r="G149" s="34">
        <v>363838.99300000002</v>
      </c>
      <c r="H149" s="34">
        <v>19.344000000000001</v>
      </c>
      <c r="I149" s="33" t="s">
        <v>86</v>
      </c>
      <c r="J149" s="33" t="s">
        <v>90</v>
      </c>
      <c r="K149" s="33">
        <v>23</v>
      </c>
      <c r="L149" s="33">
        <v>1012</v>
      </c>
      <c r="M149" s="33">
        <v>61</v>
      </c>
      <c r="N149" s="33"/>
      <c r="O149" s="93" t="str">
        <f>IFERROR(IF(Readings[[#This Row],[Obs. X]]="","-",Readings[[#This Row],[Obs. X]]-_xlfn.XLOOKUP(Readings[[#This Row],[Sensor ID]],Table_Baseline[Sensor ID],Table_Baseline[Easting '[m']],"-")),"-")</f>
        <v>-</v>
      </c>
      <c r="P149" s="93" t="str">
        <f>IFERROR(IF(Readings[[#This Row],[Obs. Y]]="","-",Readings[[#This Row],[Obs. Y]]-_xlfn.XLOOKUP(Readings[[#This Row],[Sensor ID]],Table_Baseline[Sensor ID],Table_Baseline[Northing '[m']],"-")),"-")</f>
        <v>-</v>
      </c>
      <c r="Q149" s="93" t="str">
        <f>IFERROR(IF(Readings[[#This Row],[Obs. Z]]="","-",Readings[[#This Row],[Obs. Z]]-_xlfn.XLOOKUP(Readings[[#This Row],[Sensor ID]],Table_Baseline[Sensor ID],Table_Baseline[Level '[m']],"-")),"-")</f>
        <v>-</v>
      </c>
      <c r="R149" s="93" t="str">
        <f>IFERROR(IF(Readings[[#This Row],[Reference Angle]]="-","-",(Readings[[#This Row],[Diff E]]*COS(RADIANS(Readings[[#This Row],[Reference Angle]]))-Readings[[#This Row],[Diff N]]*SIN(RADIANS(Readings[[#This Row],[Reference Angle]])))),"-")</f>
        <v>-</v>
      </c>
      <c r="S149" s="93" t="str">
        <f>IFERROR(IF(Readings[[#This Row],[Reference Angle]]="-","-",(Readings[[#This Row],[Diff E]]*SIN(RADIANS(Readings[[#This Row],[Reference Angle]]))+Readings[[#This Row],[Diff N]]*COS(RADIANS(Readings[[#This Row],[Reference Angle]])))),"-")</f>
        <v>-</v>
      </c>
      <c r="T149" s="94" t="str">
        <f>IFERROR(VLOOKUP(Readings[[#This Row],[Sensor ID]],Table_Baseline[],COLUMNS(Table_Baseline[[#Headers],[Sensor ID]:[Reference Angle '[Deg']]]),FALSE),"-")</f>
        <v>-</v>
      </c>
      <c r="U149" s="95" t="str">
        <f>Readings[[#This Row],[Sensor ID]]&amp;"-"&amp;Readings[[#This Row],[Epoch]]</f>
        <v>250-ST-OP-503-45776.2847222222</v>
      </c>
      <c r="V149" s="99">
        <f ca="1">IF(Readings[[#This Row],[Epoch]]=OFFSET(Readings[[#This Row],[Epoch]],-1,0),0,1)</f>
        <v>0</v>
      </c>
    </row>
    <row r="150" spans="4:22" x14ac:dyDescent="0.2">
      <c r="D150" s="32">
        <v>45776.284722222219</v>
      </c>
      <c r="E150" s="33" t="s">
        <v>169</v>
      </c>
      <c r="F150" s="34">
        <v>60053.608</v>
      </c>
      <c r="G150" s="34">
        <v>363837.88199999998</v>
      </c>
      <c r="H150" s="34">
        <v>19.356000000000002</v>
      </c>
      <c r="I150" s="33" t="s">
        <v>86</v>
      </c>
      <c r="J150" s="33" t="s">
        <v>90</v>
      </c>
      <c r="K150" s="33">
        <v>23</v>
      </c>
      <c r="L150" s="33">
        <v>1012</v>
      </c>
      <c r="M150" s="33">
        <v>61</v>
      </c>
      <c r="N150" s="33"/>
      <c r="O150" s="93" t="str">
        <f>IFERROR(IF(Readings[[#This Row],[Obs. X]]="","-",Readings[[#This Row],[Obs. X]]-_xlfn.XLOOKUP(Readings[[#This Row],[Sensor ID]],Table_Baseline[Sensor ID],Table_Baseline[Easting '[m']],"-")),"-")</f>
        <v>-</v>
      </c>
      <c r="P150" s="93" t="str">
        <f>IFERROR(IF(Readings[[#This Row],[Obs. Y]]="","-",Readings[[#This Row],[Obs. Y]]-_xlfn.XLOOKUP(Readings[[#This Row],[Sensor ID]],Table_Baseline[Sensor ID],Table_Baseline[Northing '[m']],"-")),"-")</f>
        <v>-</v>
      </c>
      <c r="Q150" s="93" t="str">
        <f>IFERROR(IF(Readings[[#This Row],[Obs. Z]]="","-",Readings[[#This Row],[Obs. Z]]-_xlfn.XLOOKUP(Readings[[#This Row],[Sensor ID]],Table_Baseline[Sensor ID],Table_Baseline[Level '[m']],"-")),"-")</f>
        <v>-</v>
      </c>
      <c r="R150" s="93" t="str">
        <f>IFERROR(IF(Readings[[#This Row],[Reference Angle]]="-","-",(Readings[[#This Row],[Diff E]]*COS(RADIANS(Readings[[#This Row],[Reference Angle]]))-Readings[[#This Row],[Diff N]]*SIN(RADIANS(Readings[[#This Row],[Reference Angle]])))),"-")</f>
        <v>-</v>
      </c>
      <c r="S150" s="93" t="str">
        <f>IFERROR(IF(Readings[[#This Row],[Reference Angle]]="-","-",(Readings[[#This Row],[Diff E]]*SIN(RADIANS(Readings[[#This Row],[Reference Angle]]))+Readings[[#This Row],[Diff N]]*COS(RADIANS(Readings[[#This Row],[Reference Angle]])))),"-")</f>
        <v>-</v>
      </c>
      <c r="T150" s="94" t="str">
        <f>IFERROR(VLOOKUP(Readings[[#This Row],[Sensor ID]],Table_Baseline[],COLUMNS(Table_Baseline[[#Headers],[Sensor ID]:[Reference Angle '[Deg']]]),FALSE),"-")</f>
        <v>-</v>
      </c>
      <c r="U150" s="95" t="str">
        <f>Readings[[#This Row],[Sensor ID]]&amp;"-"&amp;Readings[[#This Row],[Epoch]]</f>
        <v>250-ST-OP-504-45776.2847222222</v>
      </c>
      <c r="V150" s="99">
        <f ca="1">IF(Readings[[#This Row],[Epoch]]=OFFSET(Readings[[#This Row],[Epoch]],-1,0),0,1)</f>
        <v>0</v>
      </c>
    </row>
    <row r="151" spans="4:22" x14ac:dyDescent="0.2">
      <c r="D151" s="32">
        <v>45776.284722222219</v>
      </c>
      <c r="E151" s="151" t="s">
        <v>170</v>
      </c>
      <c r="F151" s="152">
        <v>60060.065000000002</v>
      </c>
      <c r="G151" s="152">
        <v>363836.02299999999</v>
      </c>
      <c r="H151" s="152">
        <v>19.356999999999999</v>
      </c>
      <c r="I151" s="33" t="s">
        <v>86</v>
      </c>
      <c r="J151" s="33" t="s">
        <v>90</v>
      </c>
      <c r="K151" s="33">
        <v>23</v>
      </c>
      <c r="L151" s="33">
        <v>1012</v>
      </c>
      <c r="M151" s="33">
        <v>61</v>
      </c>
      <c r="N151" s="151"/>
      <c r="O151" s="96" t="str">
        <f>IFERROR(IF(Readings[[#This Row],[Obs. X]]="","-",Readings[[#This Row],[Obs. X]]-_xlfn.XLOOKUP(Readings[[#This Row],[Sensor ID]],Table_Baseline[Sensor ID],Table_Baseline[Easting '[m']],"-")),"-")</f>
        <v>-</v>
      </c>
      <c r="P151" s="96" t="str">
        <f>IFERROR(IF(Readings[[#This Row],[Obs. Y]]="","-",Readings[[#This Row],[Obs. Y]]-_xlfn.XLOOKUP(Readings[[#This Row],[Sensor ID]],Table_Baseline[Sensor ID],Table_Baseline[Northing '[m']],"-")),"-")</f>
        <v>-</v>
      </c>
      <c r="Q151" s="96" t="str">
        <f>IFERROR(IF(Readings[[#This Row],[Obs. Z]]="","-",Readings[[#This Row],[Obs. Z]]-_xlfn.XLOOKUP(Readings[[#This Row],[Sensor ID]],Table_Baseline[Sensor ID],Table_Baseline[Level '[m']],"-")),"-")</f>
        <v>-</v>
      </c>
      <c r="R151" s="96" t="str">
        <f>IFERROR(IF(Readings[[#This Row],[Reference Angle]]="-","-",(Readings[[#This Row],[Diff E]]*COS(RADIANS(Readings[[#This Row],[Reference Angle]]))-Readings[[#This Row],[Diff N]]*SIN(RADIANS(Readings[[#This Row],[Reference Angle]])))),"-")</f>
        <v>-</v>
      </c>
      <c r="S151" s="96" t="str">
        <f>IFERROR(IF(Readings[[#This Row],[Reference Angle]]="-","-",(Readings[[#This Row],[Diff E]]*SIN(RADIANS(Readings[[#This Row],[Reference Angle]]))+Readings[[#This Row],[Diff N]]*COS(RADIANS(Readings[[#This Row],[Reference Angle]])))),"-")</f>
        <v>-</v>
      </c>
      <c r="T151" s="97" t="str">
        <f>IFERROR(VLOOKUP(Readings[[#This Row],[Sensor ID]],Table_Baseline[],COLUMNS(Table_Baseline[[#Headers],[Sensor ID]:[Reference Angle '[Deg']]]),FALSE),"-")</f>
        <v>-</v>
      </c>
      <c r="U151" s="98" t="str">
        <f>Readings[[#This Row],[Sensor ID]]&amp;"-"&amp;Readings[[#This Row],[Epoch]]</f>
        <v>250-ST-OP-505-45776.2847222222</v>
      </c>
      <c r="V151" s="100">
        <f ca="1">IF(Readings[[#This Row],[Epoch]]=OFFSET(Readings[[#This Row],[Epoch]],-1,0),0,1)</f>
        <v>0</v>
      </c>
    </row>
    <row r="152" spans="4:22" x14ac:dyDescent="0.2">
      <c r="D152" s="32">
        <v>45776.284722222219</v>
      </c>
      <c r="E152" s="33" t="s">
        <v>171</v>
      </c>
      <c r="F152" s="34">
        <v>60034.957999999999</v>
      </c>
      <c r="G152" s="34">
        <v>363844.47100000002</v>
      </c>
      <c r="H152" s="34">
        <v>18.777000000000001</v>
      </c>
      <c r="I152" s="33" t="s">
        <v>86</v>
      </c>
      <c r="J152" s="33" t="s">
        <v>90</v>
      </c>
      <c r="K152" s="33">
        <v>23</v>
      </c>
      <c r="L152" s="33">
        <v>1012</v>
      </c>
      <c r="M152" s="33">
        <v>61</v>
      </c>
      <c r="N152" s="33"/>
      <c r="O152" s="93">
        <f>IFERROR(IF(Readings[[#This Row],[Obs. X]]="","-",Readings[[#This Row],[Obs. X]]-_xlfn.XLOOKUP(Readings[[#This Row],[Sensor ID]],Table_Baseline[Sensor ID],Table_Baseline[Easting '[m']],"-")),"-")</f>
        <v>-1.0000000038417056E-3</v>
      </c>
      <c r="P152" s="93">
        <f>IFERROR(IF(Readings[[#This Row],[Obs. Y]]="","-",Readings[[#This Row],[Obs. Y]]-_xlfn.XLOOKUP(Readings[[#This Row],[Sensor ID]],Table_Baseline[Sensor ID],Table_Baseline[Northing '[m']],"-")),"-")</f>
        <v>0</v>
      </c>
      <c r="Q152" s="93">
        <f>IFERROR(IF(Readings[[#This Row],[Obs. Z]]="","-",Readings[[#This Row],[Obs. Z]]-_xlfn.XLOOKUP(Readings[[#This Row],[Sensor ID]],Table_Baseline[Sensor ID],Table_Baseline[Level '[m']],"-")),"-")</f>
        <v>-1.0999999999974364E-3</v>
      </c>
      <c r="R152" s="93">
        <f>IFERROR(IF(Readings[[#This Row],[Reference Angle]]="-","-",(Readings[[#This Row],[Diff E]]*COS(RADIANS(Readings[[#This Row],[Reference Angle]]))-Readings[[#This Row],[Diff N]]*SIN(RADIANS(Readings[[#This Row],[Reference Angle]])))),"-")</f>
        <v>-1.0000000038417056E-3</v>
      </c>
      <c r="S152" s="93">
        <f>IFERROR(IF(Readings[[#This Row],[Reference Angle]]="-","-",(Readings[[#This Row],[Diff E]]*SIN(RADIANS(Readings[[#This Row],[Reference Angle]]))+Readings[[#This Row],[Diff N]]*COS(RADIANS(Readings[[#This Row],[Reference Angle]])))),"-")</f>
        <v>0</v>
      </c>
      <c r="T152" s="94">
        <f>IFERROR(VLOOKUP(Readings[[#This Row],[Sensor ID]],Table_Baseline[],COLUMNS(Table_Baseline[[#Headers],[Sensor ID]:[Reference Angle '[Deg']]]),FALSE),"-")</f>
        <v>0</v>
      </c>
      <c r="U152" s="95" t="str">
        <f>Readings[[#This Row],[Sensor ID]]&amp;"-"&amp;Readings[[#This Row],[Epoch]]</f>
        <v>250-RL-OP-11002-45776.2847222222</v>
      </c>
      <c r="V152" s="99">
        <f ca="1">IF(Readings[[#This Row],[Epoch]]=OFFSET(Readings[[#This Row],[Epoch]],-1,0),0,1)</f>
        <v>0</v>
      </c>
    </row>
    <row r="153" spans="4:22" x14ac:dyDescent="0.2">
      <c r="D153" s="32">
        <v>45776.284722222219</v>
      </c>
      <c r="E153" s="33" t="s">
        <v>172</v>
      </c>
      <c r="F153" s="34">
        <v>60035.339</v>
      </c>
      <c r="G153" s="34">
        <v>363845.73800000001</v>
      </c>
      <c r="H153" s="34">
        <v>18.780999999999999</v>
      </c>
      <c r="I153" s="33" t="s">
        <v>86</v>
      </c>
      <c r="J153" s="33" t="s">
        <v>90</v>
      </c>
      <c r="K153" s="33">
        <v>23</v>
      </c>
      <c r="L153" s="33">
        <v>1012</v>
      </c>
      <c r="M153" s="33">
        <v>61</v>
      </c>
      <c r="N153" s="33"/>
      <c r="O153" s="93">
        <f>IFERROR(IF(Readings[[#This Row],[Obs. X]]="","-",Readings[[#This Row],[Obs. X]]-_xlfn.XLOOKUP(Readings[[#This Row],[Sensor ID]],Table_Baseline[Sensor ID],Table_Baseline[Easting '[m']],"-")),"-")</f>
        <v>-9.9999999656574801E-4</v>
      </c>
      <c r="P153" s="93">
        <f>IFERROR(IF(Readings[[#This Row],[Obs. Y]]="","-",Readings[[#This Row],[Obs. Y]]-_xlfn.XLOOKUP(Readings[[#This Row],[Sensor ID]],Table_Baseline[Sensor ID],Table_Baseline[Northing '[m']],"-")),"-")</f>
        <v>-9.9999998928979039E-4</v>
      </c>
      <c r="Q153" s="93">
        <f>IFERROR(IF(Readings[[#This Row],[Obs. Z]]="","-",Readings[[#This Row],[Obs. Z]]-_xlfn.XLOOKUP(Readings[[#This Row],[Sensor ID]],Table_Baseline[Sensor ID],Table_Baseline[Level '[m']],"-")),"-")</f>
        <v>-1.0000000000012221E-3</v>
      </c>
      <c r="R153" s="93">
        <f>IFERROR(IF(Readings[[#This Row],[Reference Angle]]="-","-",(Readings[[#This Row],[Diff E]]*COS(RADIANS(Readings[[#This Row],[Reference Angle]]))-Readings[[#This Row],[Diff N]]*SIN(RADIANS(Readings[[#This Row],[Reference Angle]])))),"-")</f>
        <v>-9.9999999656574801E-4</v>
      </c>
      <c r="S153" s="93">
        <f>IFERROR(IF(Readings[[#This Row],[Reference Angle]]="-","-",(Readings[[#This Row],[Diff E]]*SIN(RADIANS(Readings[[#This Row],[Reference Angle]]))+Readings[[#This Row],[Diff N]]*COS(RADIANS(Readings[[#This Row],[Reference Angle]])))),"-")</f>
        <v>-9.9999998928979039E-4</v>
      </c>
      <c r="T153" s="94">
        <f>IFERROR(VLOOKUP(Readings[[#This Row],[Sensor ID]],Table_Baseline[],COLUMNS(Table_Baseline[[#Headers],[Sensor ID]:[Reference Angle '[Deg']]]),FALSE),"-")</f>
        <v>0</v>
      </c>
      <c r="U153" s="95" t="str">
        <f>Readings[[#This Row],[Sensor ID]]&amp;"-"&amp;Readings[[#This Row],[Epoch]]</f>
        <v>250-RL-OP-11001-45776.2847222222</v>
      </c>
      <c r="V153" s="99">
        <f ca="1">IF(Readings[[#This Row],[Epoch]]=OFFSET(Readings[[#This Row],[Epoch]],-1,0),0,1)</f>
        <v>0</v>
      </c>
    </row>
    <row r="154" spans="4:22" x14ac:dyDescent="0.2">
      <c r="D154" s="32">
        <v>45776.284722222219</v>
      </c>
      <c r="E154" s="33" t="s">
        <v>173</v>
      </c>
      <c r="F154" s="34">
        <v>60037.803999999996</v>
      </c>
      <c r="G154" s="34">
        <v>363843.65700000001</v>
      </c>
      <c r="H154" s="34">
        <v>18.777000000000001</v>
      </c>
      <c r="I154" s="33" t="s">
        <v>86</v>
      </c>
      <c r="J154" s="33" t="s">
        <v>90</v>
      </c>
      <c r="K154" s="33">
        <v>23</v>
      </c>
      <c r="L154" s="33">
        <v>1012</v>
      </c>
      <c r="M154" s="33">
        <v>61</v>
      </c>
      <c r="N154" s="33"/>
      <c r="O154" s="93">
        <f>IFERROR(IF(Readings[[#This Row],[Obs. X]]="","-",Readings[[#This Row],[Obs. X]]-_xlfn.XLOOKUP(Readings[[#This Row],[Sensor ID]],Table_Baseline[Sensor ID],Table_Baseline[Easting '[m']],"-")),"-")</f>
        <v>-1.0000000038417056E-3</v>
      </c>
      <c r="P154" s="93">
        <f>IFERROR(IF(Readings[[#This Row],[Obs. Y]]="","-",Readings[[#This Row],[Obs. Y]]-_xlfn.XLOOKUP(Readings[[#This Row],[Sensor ID]],Table_Baseline[Sensor ID],Table_Baseline[Northing '[m']],"-")),"-")</f>
        <v>0</v>
      </c>
      <c r="Q154" s="93">
        <f>IFERROR(IF(Readings[[#This Row],[Obs. Z]]="","-",Readings[[#This Row],[Obs. Z]]-_xlfn.XLOOKUP(Readings[[#This Row],[Sensor ID]],Table_Baseline[Sensor ID],Table_Baseline[Level '[m']],"-")),"-")</f>
        <v>-1.5000000000000568E-3</v>
      </c>
      <c r="R154" s="93">
        <f>IFERROR(IF(Readings[[#This Row],[Reference Angle]]="-","-",(Readings[[#This Row],[Diff E]]*COS(RADIANS(Readings[[#This Row],[Reference Angle]]))-Readings[[#This Row],[Diff N]]*SIN(RADIANS(Readings[[#This Row],[Reference Angle]])))),"-")</f>
        <v>-1.0000000038417056E-3</v>
      </c>
      <c r="S154" s="93">
        <f>IFERROR(IF(Readings[[#This Row],[Reference Angle]]="-","-",(Readings[[#This Row],[Diff E]]*SIN(RADIANS(Readings[[#This Row],[Reference Angle]]))+Readings[[#This Row],[Diff N]]*COS(RADIANS(Readings[[#This Row],[Reference Angle]])))),"-")</f>
        <v>0</v>
      </c>
      <c r="T154" s="94">
        <f>IFERROR(VLOOKUP(Readings[[#This Row],[Sensor ID]],Table_Baseline[],COLUMNS(Table_Baseline[[#Headers],[Sensor ID]:[Reference Angle '[Deg']]]),FALSE),"-")</f>
        <v>0</v>
      </c>
      <c r="U154" s="95" t="str">
        <f>Readings[[#This Row],[Sensor ID]]&amp;"-"&amp;Readings[[#This Row],[Epoch]]</f>
        <v>250-RL-OP-11004-45776.2847222222</v>
      </c>
      <c r="V154" s="99">
        <f ca="1">IF(Readings[[#This Row],[Epoch]]=OFFSET(Readings[[#This Row],[Epoch]],-1,0),0,1)</f>
        <v>0</v>
      </c>
    </row>
    <row r="155" spans="4:22" x14ac:dyDescent="0.2">
      <c r="D155" s="32">
        <v>45776.284722222219</v>
      </c>
      <c r="E155" s="33" t="s">
        <v>174</v>
      </c>
      <c r="F155" s="34">
        <v>60038.116999999998</v>
      </c>
      <c r="G155" s="34">
        <v>363844.94500000001</v>
      </c>
      <c r="H155" s="34">
        <v>18.777000000000001</v>
      </c>
      <c r="I155" s="33" t="s">
        <v>86</v>
      </c>
      <c r="J155" s="33" t="s">
        <v>90</v>
      </c>
      <c r="K155" s="33">
        <v>23</v>
      </c>
      <c r="L155" s="33">
        <v>1012</v>
      </c>
      <c r="M155" s="33">
        <v>61</v>
      </c>
      <c r="N155" s="33"/>
      <c r="O155" s="93">
        <f>IFERROR(IF(Readings[[#This Row],[Obs. X]]="","-",Readings[[#This Row],[Obs. X]]-_xlfn.XLOOKUP(Readings[[#This Row],[Sensor ID]],Table_Baseline[Sensor ID],Table_Baseline[Easting '[m']],"-")),"-")</f>
        <v>-1.0000000038417056E-3</v>
      </c>
      <c r="P155" s="93">
        <f>IFERROR(IF(Readings[[#This Row],[Obs. Y]]="","-",Readings[[#This Row],[Obs. Y]]-_xlfn.XLOOKUP(Readings[[#This Row],[Sensor ID]],Table_Baseline[Sensor ID],Table_Baseline[Northing '[m']],"-")),"-")</f>
        <v>0</v>
      </c>
      <c r="Q155" s="93">
        <f>IFERROR(IF(Readings[[#This Row],[Obs. Z]]="","-",Readings[[#This Row],[Obs. Z]]-_xlfn.XLOOKUP(Readings[[#This Row],[Sensor ID]],Table_Baseline[Sensor ID],Table_Baseline[Level '[m']],"-")),"-")</f>
        <v>-1.7999999999993577E-3</v>
      </c>
      <c r="R155" s="93">
        <f>IFERROR(IF(Readings[[#This Row],[Reference Angle]]="-","-",(Readings[[#This Row],[Diff E]]*COS(RADIANS(Readings[[#This Row],[Reference Angle]]))-Readings[[#This Row],[Diff N]]*SIN(RADIANS(Readings[[#This Row],[Reference Angle]])))),"-")</f>
        <v>-1.0000000038417056E-3</v>
      </c>
      <c r="S155" s="93">
        <f>IFERROR(IF(Readings[[#This Row],[Reference Angle]]="-","-",(Readings[[#This Row],[Diff E]]*SIN(RADIANS(Readings[[#This Row],[Reference Angle]]))+Readings[[#This Row],[Diff N]]*COS(RADIANS(Readings[[#This Row],[Reference Angle]])))),"-")</f>
        <v>0</v>
      </c>
      <c r="T155" s="94">
        <f>IFERROR(VLOOKUP(Readings[[#This Row],[Sensor ID]],Table_Baseline[],COLUMNS(Table_Baseline[[#Headers],[Sensor ID]:[Reference Angle '[Deg']]]),FALSE),"-")</f>
        <v>0</v>
      </c>
      <c r="U155" s="95" t="str">
        <f>Readings[[#This Row],[Sensor ID]]&amp;"-"&amp;Readings[[#This Row],[Epoch]]</f>
        <v>250-RL-OP-11003-45776.2847222222</v>
      </c>
      <c r="V155" s="99">
        <f ca="1">IF(Readings[[#This Row],[Epoch]]=OFFSET(Readings[[#This Row],[Epoch]],-1,0),0,1)</f>
        <v>0</v>
      </c>
    </row>
    <row r="156" spans="4:22" x14ac:dyDescent="0.2">
      <c r="D156" s="32">
        <v>45776.284722222219</v>
      </c>
      <c r="E156" s="33" t="s">
        <v>175</v>
      </c>
      <c r="F156" s="34">
        <v>60040.606</v>
      </c>
      <c r="G156" s="34">
        <v>363842.86100000003</v>
      </c>
      <c r="H156" s="34">
        <v>18.771000000000001</v>
      </c>
      <c r="I156" s="33" t="s">
        <v>86</v>
      </c>
      <c r="J156" s="33" t="s">
        <v>90</v>
      </c>
      <c r="K156" s="33">
        <v>23</v>
      </c>
      <c r="L156" s="33">
        <v>1012</v>
      </c>
      <c r="M156" s="33">
        <v>61</v>
      </c>
      <c r="N156" s="33"/>
      <c r="O156" s="93">
        <f>IFERROR(IF(Readings[[#This Row],[Obs. X]]="","-",Readings[[#This Row],[Obs. X]]-_xlfn.XLOOKUP(Readings[[#This Row],[Sensor ID]],Table_Baseline[Sensor ID],Table_Baseline[Easting '[m']],"-")),"-")</f>
        <v>-1.0000000038417056E-3</v>
      </c>
      <c r="P156" s="93">
        <f>IFERROR(IF(Readings[[#This Row],[Obs. Y]]="","-",Readings[[#This Row],[Obs. Y]]-_xlfn.XLOOKUP(Readings[[#This Row],[Sensor ID]],Table_Baseline[Sensor ID],Table_Baseline[Northing '[m']],"-")),"-")</f>
        <v>0</v>
      </c>
      <c r="Q156" s="93">
        <f>IFERROR(IF(Readings[[#This Row],[Obs. Z]]="","-",Readings[[#This Row],[Obs. Z]]-_xlfn.XLOOKUP(Readings[[#This Row],[Sensor ID]],Table_Baseline[Sensor ID],Table_Baseline[Level '[m']],"-")),"-")</f>
        <v>-9.9999999999766942E-4</v>
      </c>
      <c r="R156" s="93">
        <f>IFERROR(IF(Readings[[#This Row],[Reference Angle]]="-","-",(Readings[[#This Row],[Diff E]]*COS(RADIANS(Readings[[#This Row],[Reference Angle]]))-Readings[[#This Row],[Diff N]]*SIN(RADIANS(Readings[[#This Row],[Reference Angle]])))),"-")</f>
        <v>-1.0000000038417056E-3</v>
      </c>
      <c r="S156" s="93">
        <f>IFERROR(IF(Readings[[#This Row],[Reference Angle]]="-","-",(Readings[[#This Row],[Diff E]]*SIN(RADIANS(Readings[[#This Row],[Reference Angle]]))+Readings[[#This Row],[Diff N]]*COS(RADIANS(Readings[[#This Row],[Reference Angle]])))),"-")</f>
        <v>0</v>
      </c>
      <c r="T156" s="94">
        <f>IFERROR(VLOOKUP(Readings[[#This Row],[Sensor ID]],Table_Baseline[],COLUMNS(Table_Baseline[[#Headers],[Sensor ID]:[Reference Angle '[Deg']]]),FALSE),"-")</f>
        <v>0</v>
      </c>
      <c r="U156" s="95" t="str">
        <f>Readings[[#This Row],[Sensor ID]]&amp;"-"&amp;Readings[[#This Row],[Epoch]]</f>
        <v>250-RL-OP-11006-45776.2847222222</v>
      </c>
      <c r="V156" s="99">
        <f ca="1">IF(Readings[[#This Row],[Epoch]]=OFFSET(Readings[[#This Row],[Epoch]],-1,0),0,1)</f>
        <v>0</v>
      </c>
    </row>
    <row r="157" spans="4:22" x14ac:dyDescent="0.2">
      <c r="D157" s="32">
        <v>45776.284722222219</v>
      </c>
      <c r="E157" s="33" t="s">
        <v>176</v>
      </c>
      <c r="F157" s="34">
        <v>60040.968000000001</v>
      </c>
      <c r="G157" s="34">
        <v>363844.11800000002</v>
      </c>
      <c r="H157" s="34">
        <v>18.777999999999999</v>
      </c>
      <c r="I157" s="33" t="s">
        <v>86</v>
      </c>
      <c r="J157" s="33" t="s">
        <v>90</v>
      </c>
      <c r="K157" s="33">
        <v>23</v>
      </c>
      <c r="L157" s="33">
        <v>1012</v>
      </c>
      <c r="M157" s="33">
        <v>61</v>
      </c>
      <c r="N157" s="33"/>
      <c r="O157" s="93">
        <f>IFERROR(IF(Readings[[#This Row],[Obs. X]]="","-",Readings[[#This Row],[Obs. X]]-_xlfn.XLOOKUP(Readings[[#This Row],[Sensor ID]],Table_Baseline[Sensor ID],Table_Baseline[Easting '[m']],"-")),"-")</f>
        <v>-9.9999999656574801E-4</v>
      </c>
      <c r="P157" s="93">
        <f>IFERROR(IF(Readings[[#This Row],[Obs. Y]]="","-",Readings[[#This Row],[Obs. Y]]-_xlfn.XLOOKUP(Readings[[#This Row],[Sensor ID]],Table_Baseline[Sensor ID],Table_Baseline[Northing '[m']],"-")),"-")</f>
        <v>0</v>
      </c>
      <c r="Q157" s="93">
        <f>IFERROR(IF(Readings[[#This Row],[Obs. Z]]="","-",Readings[[#This Row],[Obs. Z]]-_xlfn.XLOOKUP(Readings[[#This Row],[Sensor ID]],Table_Baseline[Sensor ID],Table_Baseline[Level '[m']],"-")),"-")</f>
        <v>-1.0000000000012221E-3</v>
      </c>
      <c r="R157" s="93">
        <f>IFERROR(IF(Readings[[#This Row],[Reference Angle]]="-","-",(Readings[[#This Row],[Diff E]]*COS(RADIANS(Readings[[#This Row],[Reference Angle]]))-Readings[[#This Row],[Diff N]]*SIN(RADIANS(Readings[[#This Row],[Reference Angle]])))),"-")</f>
        <v>-9.9999999656574801E-4</v>
      </c>
      <c r="S157" s="93">
        <f>IFERROR(IF(Readings[[#This Row],[Reference Angle]]="-","-",(Readings[[#This Row],[Diff E]]*SIN(RADIANS(Readings[[#This Row],[Reference Angle]]))+Readings[[#This Row],[Diff N]]*COS(RADIANS(Readings[[#This Row],[Reference Angle]])))),"-")</f>
        <v>0</v>
      </c>
      <c r="T157" s="94">
        <f>IFERROR(VLOOKUP(Readings[[#This Row],[Sensor ID]],Table_Baseline[],COLUMNS(Table_Baseline[[#Headers],[Sensor ID]:[Reference Angle '[Deg']]]),FALSE),"-")</f>
        <v>0</v>
      </c>
      <c r="U157" s="95" t="str">
        <f>Readings[[#This Row],[Sensor ID]]&amp;"-"&amp;Readings[[#This Row],[Epoch]]</f>
        <v>250-RL-OP-11005-45776.2847222222</v>
      </c>
      <c r="V157" s="99">
        <f ca="1">IF(Readings[[#This Row],[Epoch]]=OFFSET(Readings[[#This Row],[Epoch]],-1,0),0,1)</f>
        <v>0</v>
      </c>
    </row>
    <row r="158" spans="4:22" x14ac:dyDescent="0.2">
      <c r="D158" s="32">
        <v>45776.284722222219</v>
      </c>
      <c r="E158" s="33" t="s">
        <v>177</v>
      </c>
      <c r="F158" s="34">
        <v>60043.44</v>
      </c>
      <c r="G158" s="34">
        <v>363842.04099999997</v>
      </c>
      <c r="H158" s="34">
        <v>18.768000000000001</v>
      </c>
      <c r="I158" s="33" t="s">
        <v>86</v>
      </c>
      <c r="J158" s="33" t="s">
        <v>90</v>
      </c>
      <c r="K158" s="33">
        <v>23</v>
      </c>
      <c r="L158" s="33">
        <v>1012</v>
      </c>
      <c r="M158" s="33">
        <v>61</v>
      </c>
      <c r="N158" s="33"/>
      <c r="O158" s="93">
        <f>IFERROR(IF(Readings[[#This Row],[Obs. X]]="","-",Readings[[#This Row],[Obs. X]]-_xlfn.XLOOKUP(Readings[[#This Row],[Sensor ID]],Table_Baseline[Sensor ID],Table_Baseline[Easting '[m']],"-")),"-")</f>
        <v>-9.9999999656574801E-4</v>
      </c>
      <c r="P158" s="93">
        <f>IFERROR(IF(Readings[[#This Row],[Obs. Y]]="","-",Readings[[#This Row],[Obs. Y]]-_xlfn.XLOOKUP(Readings[[#This Row],[Sensor ID]],Table_Baseline[Sensor ID],Table_Baseline[Northing '[m']],"-")),"-")</f>
        <v>9.9999993108212948E-4</v>
      </c>
      <c r="Q158" s="93">
        <f>IFERROR(IF(Readings[[#This Row],[Obs. Z]]="","-",Readings[[#This Row],[Obs. Z]]-_xlfn.XLOOKUP(Readings[[#This Row],[Sensor ID]],Table_Baseline[Sensor ID],Table_Baseline[Level '[m']],"-")),"-")</f>
        <v>-2.9999999999930083E-4</v>
      </c>
      <c r="R158" s="93">
        <f>IFERROR(IF(Readings[[#This Row],[Reference Angle]]="-","-",(Readings[[#This Row],[Diff E]]*COS(RADIANS(Readings[[#This Row],[Reference Angle]]))-Readings[[#This Row],[Diff N]]*SIN(RADIANS(Readings[[#This Row],[Reference Angle]])))),"-")</f>
        <v>-9.9999999656574801E-4</v>
      </c>
      <c r="S158" s="93">
        <f>IFERROR(IF(Readings[[#This Row],[Reference Angle]]="-","-",(Readings[[#This Row],[Diff E]]*SIN(RADIANS(Readings[[#This Row],[Reference Angle]]))+Readings[[#This Row],[Diff N]]*COS(RADIANS(Readings[[#This Row],[Reference Angle]])))),"-")</f>
        <v>9.9999993108212948E-4</v>
      </c>
      <c r="T158" s="94">
        <f>IFERROR(VLOOKUP(Readings[[#This Row],[Sensor ID]],Table_Baseline[],COLUMNS(Table_Baseline[[#Headers],[Sensor ID]:[Reference Angle '[Deg']]]),FALSE),"-")</f>
        <v>0</v>
      </c>
      <c r="U158" s="95" t="str">
        <f>Readings[[#This Row],[Sensor ID]]&amp;"-"&amp;Readings[[#This Row],[Epoch]]</f>
        <v>250-RL-OP-11008-45776.2847222222</v>
      </c>
      <c r="V158" s="99">
        <f ca="1">IF(Readings[[#This Row],[Epoch]]=OFFSET(Readings[[#This Row],[Epoch]],-1,0),0,1)</f>
        <v>0</v>
      </c>
    </row>
    <row r="159" spans="4:22" x14ac:dyDescent="0.2">
      <c r="D159" s="32">
        <v>45776.284722222219</v>
      </c>
      <c r="E159" s="33" t="s">
        <v>178</v>
      </c>
      <c r="F159" s="34">
        <v>60043.758000000002</v>
      </c>
      <c r="G159" s="34">
        <v>363843.315</v>
      </c>
      <c r="H159" s="34">
        <v>18.773</v>
      </c>
      <c r="I159" s="33" t="s">
        <v>86</v>
      </c>
      <c r="J159" s="33" t="s">
        <v>90</v>
      </c>
      <c r="K159" s="33">
        <v>23</v>
      </c>
      <c r="L159" s="33">
        <v>1012</v>
      </c>
      <c r="M159" s="33">
        <v>61</v>
      </c>
      <c r="N159" s="33"/>
      <c r="O159" s="93">
        <f>IFERROR(IF(Readings[[#This Row],[Obs. X]]="","-",Readings[[#This Row],[Obs. X]]-_xlfn.XLOOKUP(Readings[[#This Row],[Sensor ID]],Table_Baseline[Sensor ID],Table_Baseline[Easting '[m']],"-")),"-")</f>
        <v>-9.9999999656574801E-4</v>
      </c>
      <c r="P159" s="93">
        <f>IFERROR(IF(Readings[[#This Row],[Obs. Y]]="","-",Readings[[#This Row],[Obs. Y]]-_xlfn.XLOOKUP(Readings[[#This Row],[Sensor ID]],Table_Baseline[Sensor ID],Table_Baseline[Northing '[m']],"-")),"-")</f>
        <v>9.9999998928979039E-4</v>
      </c>
      <c r="Q159" s="93">
        <f>IFERROR(IF(Readings[[#This Row],[Obs. Z]]="","-",Readings[[#This Row],[Obs. Z]]-_xlfn.XLOOKUP(Readings[[#This Row],[Sensor ID]],Table_Baseline[Sensor ID],Table_Baseline[Level '[m']],"-")),"-")</f>
        <v>-1.1000000000009891E-3</v>
      </c>
      <c r="R159" s="93">
        <f>IFERROR(IF(Readings[[#This Row],[Reference Angle]]="-","-",(Readings[[#This Row],[Diff E]]*COS(RADIANS(Readings[[#This Row],[Reference Angle]]))-Readings[[#This Row],[Diff N]]*SIN(RADIANS(Readings[[#This Row],[Reference Angle]])))),"-")</f>
        <v>-9.9999999656574801E-4</v>
      </c>
      <c r="S159" s="93">
        <f>IFERROR(IF(Readings[[#This Row],[Reference Angle]]="-","-",(Readings[[#This Row],[Diff E]]*SIN(RADIANS(Readings[[#This Row],[Reference Angle]]))+Readings[[#This Row],[Diff N]]*COS(RADIANS(Readings[[#This Row],[Reference Angle]])))),"-")</f>
        <v>9.9999998928979039E-4</v>
      </c>
      <c r="T159" s="94">
        <f>IFERROR(VLOOKUP(Readings[[#This Row],[Sensor ID]],Table_Baseline[],COLUMNS(Table_Baseline[[#Headers],[Sensor ID]:[Reference Angle '[Deg']]]),FALSE),"-")</f>
        <v>0</v>
      </c>
      <c r="U159" s="95" t="str">
        <f>Readings[[#This Row],[Sensor ID]]&amp;"-"&amp;Readings[[#This Row],[Epoch]]</f>
        <v>250-RL-OP-11007-45776.2847222222</v>
      </c>
      <c r="V159" s="99">
        <f ca="1">IF(Readings[[#This Row],[Epoch]]=OFFSET(Readings[[#This Row],[Epoch]],-1,0),0,1)</f>
        <v>0</v>
      </c>
    </row>
    <row r="160" spans="4:22" x14ac:dyDescent="0.2">
      <c r="D160" s="32">
        <v>45776.284722222219</v>
      </c>
      <c r="E160" s="33" t="s">
        <v>179</v>
      </c>
      <c r="F160" s="34">
        <v>60046.249000000003</v>
      </c>
      <c r="G160" s="34">
        <v>363841.22600000002</v>
      </c>
      <c r="H160" s="34">
        <v>18.768999999999998</v>
      </c>
      <c r="I160" s="33" t="s">
        <v>86</v>
      </c>
      <c r="J160" s="33" t="s">
        <v>90</v>
      </c>
      <c r="K160" s="33">
        <v>23</v>
      </c>
      <c r="L160" s="33">
        <v>1012</v>
      </c>
      <c r="M160" s="33">
        <v>61</v>
      </c>
      <c r="N160" s="33"/>
      <c r="O160" s="93">
        <f>IFERROR(IF(Readings[[#This Row],[Obs. X]]="","-",Readings[[#This Row],[Obs. X]]-_xlfn.XLOOKUP(Readings[[#This Row],[Sensor ID]],Table_Baseline[Sensor ID],Table_Baseline[Easting '[m']],"-")),"-")</f>
        <v>-9.9999999656574801E-4</v>
      </c>
      <c r="P160" s="93">
        <f>IFERROR(IF(Readings[[#This Row],[Obs. Y]]="","-",Readings[[#This Row],[Obs. Y]]-_xlfn.XLOOKUP(Readings[[#This Row],[Sensor ID]],Table_Baseline[Sensor ID],Table_Baseline[Northing '[m']],"-")),"-")</f>
        <v>0</v>
      </c>
      <c r="Q160" s="93">
        <f>IFERROR(IF(Readings[[#This Row],[Obs. Z]]="","-",Readings[[#This Row],[Obs. Z]]-_xlfn.XLOOKUP(Readings[[#This Row],[Sensor ID]],Table_Baseline[Sensor ID],Table_Baseline[Level '[m']],"-")),"-")</f>
        <v>-8.0000000000168825E-4</v>
      </c>
      <c r="R160" s="93">
        <f>IFERROR(IF(Readings[[#This Row],[Reference Angle]]="-","-",(Readings[[#This Row],[Diff E]]*COS(RADIANS(Readings[[#This Row],[Reference Angle]]))-Readings[[#This Row],[Diff N]]*SIN(RADIANS(Readings[[#This Row],[Reference Angle]])))),"-")</f>
        <v>-9.9999999656574801E-4</v>
      </c>
      <c r="S160" s="93">
        <f>IFERROR(IF(Readings[[#This Row],[Reference Angle]]="-","-",(Readings[[#This Row],[Diff E]]*SIN(RADIANS(Readings[[#This Row],[Reference Angle]]))+Readings[[#This Row],[Diff N]]*COS(RADIANS(Readings[[#This Row],[Reference Angle]])))),"-")</f>
        <v>0</v>
      </c>
      <c r="T160" s="94">
        <f>IFERROR(VLOOKUP(Readings[[#This Row],[Sensor ID]],Table_Baseline[],COLUMNS(Table_Baseline[[#Headers],[Sensor ID]:[Reference Angle '[Deg']]]),FALSE),"-")</f>
        <v>0</v>
      </c>
      <c r="U160" s="95" t="str">
        <f>Readings[[#This Row],[Sensor ID]]&amp;"-"&amp;Readings[[#This Row],[Epoch]]</f>
        <v>250-RL-OP-11010-45776.2847222222</v>
      </c>
      <c r="V160" s="99">
        <f ca="1">IF(Readings[[#This Row],[Epoch]]=OFFSET(Readings[[#This Row],[Epoch]],-1,0),0,1)</f>
        <v>0</v>
      </c>
    </row>
    <row r="161" spans="4:22" x14ac:dyDescent="0.2">
      <c r="D161" s="32">
        <v>45776.284722222219</v>
      </c>
      <c r="E161" s="33" t="s">
        <v>180</v>
      </c>
      <c r="F161" s="34">
        <v>60046.633000000002</v>
      </c>
      <c r="G161" s="34">
        <v>363842.48499999999</v>
      </c>
      <c r="H161" s="34">
        <v>18.777000000000001</v>
      </c>
      <c r="I161" s="33" t="s">
        <v>86</v>
      </c>
      <c r="J161" s="33" t="s">
        <v>90</v>
      </c>
      <c r="K161" s="33">
        <v>23</v>
      </c>
      <c r="L161" s="33">
        <v>1012</v>
      </c>
      <c r="M161" s="33">
        <v>61</v>
      </c>
      <c r="N161" s="33"/>
      <c r="O161" s="93">
        <f>IFERROR(IF(Readings[[#This Row],[Obs. X]]="","-",Readings[[#This Row],[Obs. X]]-_xlfn.XLOOKUP(Readings[[#This Row],[Sensor ID]],Table_Baseline[Sensor ID],Table_Baseline[Easting '[m']],"-")),"-")</f>
        <v>0</v>
      </c>
      <c r="P161" s="93">
        <f>IFERROR(IF(Readings[[#This Row],[Obs. Y]]="","-",Readings[[#This Row],[Obs. Y]]-_xlfn.XLOOKUP(Readings[[#This Row],[Sensor ID]],Table_Baseline[Sensor ID],Table_Baseline[Northing '[m']],"-")),"-")</f>
        <v>0</v>
      </c>
      <c r="Q161" s="93">
        <f>IFERROR(IF(Readings[[#This Row],[Obs. Z]]="","-",Readings[[#This Row],[Obs. Z]]-_xlfn.XLOOKUP(Readings[[#This Row],[Sensor ID]],Table_Baseline[Sensor ID],Table_Baseline[Level '[m']],"-")),"-")</f>
        <v>-5.9999999999860165E-4</v>
      </c>
      <c r="R161" s="93">
        <f>IFERROR(IF(Readings[[#This Row],[Reference Angle]]="-","-",(Readings[[#This Row],[Diff E]]*COS(RADIANS(Readings[[#This Row],[Reference Angle]]))-Readings[[#This Row],[Diff N]]*SIN(RADIANS(Readings[[#This Row],[Reference Angle]])))),"-")</f>
        <v>0</v>
      </c>
      <c r="S161" s="93">
        <f>IFERROR(IF(Readings[[#This Row],[Reference Angle]]="-","-",(Readings[[#This Row],[Diff E]]*SIN(RADIANS(Readings[[#This Row],[Reference Angle]]))+Readings[[#This Row],[Diff N]]*COS(RADIANS(Readings[[#This Row],[Reference Angle]])))),"-")</f>
        <v>0</v>
      </c>
      <c r="T161" s="94">
        <f>IFERROR(VLOOKUP(Readings[[#This Row],[Sensor ID]],Table_Baseline[],COLUMNS(Table_Baseline[[#Headers],[Sensor ID]:[Reference Angle '[Deg']]]),FALSE),"-")</f>
        <v>0</v>
      </c>
      <c r="U161" s="95" t="str">
        <f>Readings[[#This Row],[Sensor ID]]&amp;"-"&amp;Readings[[#This Row],[Epoch]]</f>
        <v>250-RL-OP-11009-45776.2847222222</v>
      </c>
      <c r="V161" s="99">
        <f ca="1">IF(Readings[[#This Row],[Epoch]]=OFFSET(Readings[[#This Row],[Epoch]],-1,0),0,1)</f>
        <v>0</v>
      </c>
    </row>
    <row r="162" spans="4:22" x14ac:dyDescent="0.2">
      <c r="D162" s="32">
        <v>45776.284722222219</v>
      </c>
      <c r="E162" s="33" t="s">
        <v>181</v>
      </c>
      <c r="F162" s="34">
        <v>60049.04</v>
      </c>
      <c r="G162" s="34">
        <v>363840.43400000001</v>
      </c>
      <c r="H162" s="34">
        <v>18.77</v>
      </c>
      <c r="I162" s="33" t="s">
        <v>86</v>
      </c>
      <c r="J162" s="33" t="s">
        <v>90</v>
      </c>
      <c r="K162" s="33">
        <v>23</v>
      </c>
      <c r="L162" s="33">
        <v>1012</v>
      </c>
      <c r="M162" s="33">
        <v>61</v>
      </c>
      <c r="N162" s="33"/>
      <c r="O162" s="93">
        <f>IFERROR(IF(Readings[[#This Row],[Obs. X]]="","-",Readings[[#This Row],[Obs. X]]-_xlfn.XLOOKUP(Readings[[#This Row],[Sensor ID]],Table_Baseline[Sensor ID],Table_Baseline[Easting '[m']],"-")),"-")</f>
        <v>-9.9999999656574801E-4</v>
      </c>
      <c r="P162" s="93">
        <f>IFERROR(IF(Readings[[#This Row],[Obs. Y]]="","-",Readings[[#This Row],[Obs. Y]]-_xlfn.XLOOKUP(Readings[[#This Row],[Sensor ID]],Table_Baseline[Sensor ID],Table_Baseline[Northing '[m']],"-")),"-")</f>
        <v>1.0000000474974513E-3</v>
      </c>
      <c r="Q162" s="93">
        <f>IFERROR(IF(Readings[[#This Row],[Obs. Z]]="","-",Readings[[#This Row],[Obs. Z]]-_xlfn.XLOOKUP(Readings[[#This Row],[Sensor ID]],Table_Baseline[Sensor ID],Table_Baseline[Level '[m']],"-")),"-")</f>
        <v>-1.1000000000009891E-3</v>
      </c>
      <c r="R162" s="93">
        <f>IFERROR(IF(Readings[[#This Row],[Reference Angle]]="-","-",(Readings[[#This Row],[Diff E]]*COS(RADIANS(Readings[[#This Row],[Reference Angle]]))-Readings[[#This Row],[Diff N]]*SIN(RADIANS(Readings[[#This Row],[Reference Angle]])))),"-")</f>
        <v>-9.9999999656574801E-4</v>
      </c>
      <c r="S162" s="93">
        <f>IFERROR(IF(Readings[[#This Row],[Reference Angle]]="-","-",(Readings[[#This Row],[Diff E]]*SIN(RADIANS(Readings[[#This Row],[Reference Angle]]))+Readings[[#This Row],[Diff N]]*COS(RADIANS(Readings[[#This Row],[Reference Angle]])))),"-")</f>
        <v>1.0000000474974513E-3</v>
      </c>
      <c r="T162" s="94">
        <f>IFERROR(VLOOKUP(Readings[[#This Row],[Sensor ID]],Table_Baseline[],COLUMNS(Table_Baseline[[#Headers],[Sensor ID]:[Reference Angle '[Deg']]]),FALSE),"-")</f>
        <v>0</v>
      </c>
      <c r="U162" s="95" t="str">
        <f>Readings[[#This Row],[Sensor ID]]&amp;"-"&amp;Readings[[#This Row],[Epoch]]</f>
        <v>250-RL-OP-11012-45776.2847222222</v>
      </c>
      <c r="V162" s="99">
        <f ca="1">IF(Readings[[#This Row],[Epoch]]=OFFSET(Readings[[#This Row],[Epoch]],-1,0),0,1)</f>
        <v>0</v>
      </c>
    </row>
    <row r="163" spans="4:22" x14ac:dyDescent="0.2">
      <c r="D163" s="32">
        <v>45776.284722222219</v>
      </c>
      <c r="E163" s="33" t="s">
        <v>182</v>
      </c>
      <c r="F163" s="34">
        <v>60049.398000000001</v>
      </c>
      <c r="G163" s="34">
        <v>363841.69799999997</v>
      </c>
      <c r="H163" s="34">
        <v>18.777000000000001</v>
      </c>
      <c r="I163" s="33" t="s">
        <v>86</v>
      </c>
      <c r="J163" s="33" t="s">
        <v>90</v>
      </c>
      <c r="K163" s="33">
        <v>23</v>
      </c>
      <c r="L163" s="33">
        <v>1012</v>
      </c>
      <c r="M163" s="33">
        <v>61</v>
      </c>
      <c r="N163" s="33"/>
      <c r="O163" s="93">
        <f>IFERROR(IF(Readings[[#This Row],[Obs. X]]="","-",Readings[[#This Row],[Obs. X]]-_xlfn.XLOOKUP(Readings[[#This Row],[Sensor ID]],Table_Baseline[Sensor ID],Table_Baseline[Easting '[m']],"-")),"-")</f>
        <v>-9.9999999656574801E-4</v>
      </c>
      <c r="P163" s="93">
        <f>IFERROR(IF(Readings[[#This Row],[Obs. Y]]="","-",Readings[[#This Row],[Obs. Y]]-_xlfn.XLOOKUP(Readings[[#This Row],[Sensor ID]],Table_Baseline[Sensor ID],Table_Baseline[Northing '[m']],"-")),"-")</f>
        <v>0</v>
      </c>
      <c r="Q163" s="93">
        <f>IFERROR(IF(Readings[[#This Row],[Obs. Z]]="","-",Readings[[#This Row],[Obs. Z]]-_xlfn.XLOOKUP(Readings[[#This Row],[Sensor ID]],Table_Baseline[Sensor ID],Table_Baseline[Level '[m']],"-")),"-")</f>
        <v>-9.9999999999766942E-4</v>
      </c>
      <c r="R163" s="93">
        <f>IFERROR(IF(Readings[[#This Row],[Reference Angle]]="-","-",(Readings[[#This Row],[Diff E]]*COS(RADIANS(Readings[[#This Row],[Reference Angle]]))-Readings[[#This Row],[Diff N]]*SIN(RADIANS(Readings[[#This Row],[Reference Angle]])))),"-")</f>
        <v>-9.9999999656574801E-4</v>
      </c>
      <c r="S163" s="93">
        <f>IFERROR(IF(Readings[[#This Row],[Reference Angle]]="-","-",(Readings[[#This Row],[Diff E]]*SIN(RADIANS(Readings[[#This Row],[Reference Angle]]))+Readings[[#This Row],[Diff N]]*COS(RADIANS(Readings[[#This Row],[Reference Angle]])))),"-")</f>
        <v>0</v>
      </c>
      <c r="T163" s="94">
        <f>IFERROR(VLOOKUP(Readings[[#This Row],[Sensor ID]],Table_Baseline[],COLUMNS(Table_Baseline[[#Headers],[Sensor ID]:[Reference Angle '[Deg']]]),FALSE),"-")</f>
        <v>0</v>
      </c>
      <c r="U163" s="95" t="str">
        <f>Readings[[#This Row],[Sensor ID]]&amp;"-"&amp;Readings[[#This Row],[Epoch]]</f>
        <v>250-RL-OP-11011-45776.2847222222</v>
      </c>
      <c r="V163" s="99">
        <f ca="1">IF(Readings[[#This Row],[Epoch]]=OFFSET(Readings[[#This Row],[Epoch]],-1,0),0,1)</f>
        <v>0</v>
      </c>
    </row>
    <row r="164" spans="4:22" x14ac:dyDescent="0.2">
      <c r="D164" s="32">
        <v>45776.284722222219</v>
      </c>
      <c r="E164" s="33" t="s">
        <v>183</v>
      </c>
      <c r="F164" s="34">
        <v>60051.987999999998</v>
      </c>
      <c r="G164" s="34">
        <v>363839.60399999999</v>
      </c>
      <c r="H164" s="34">
        <v>18.768999999999998</v>
      </c>
      <c r="I164" s="33" t="s">
        <v>86</v>
      </c>
      <c r="J164" s="33" t="s">
        <v>90</v>
      </c>
      <c r="K164" s="33">
        <v>23</v>
      </c>
      <c r="L164" s="33">
        <v>1012</v>
      </c>
      <c r="M164" s="33">
        <v>61</v>
      </c>
      <c r="N164" s="33"/>
      <c r="O164" s="93">
        <f>IFERROR(IF(Readings[[#This Row],[Obs. X]]="","-",Readings[[#This Row],[Obs. X]]-_xlfn.XLOOKUP(Readings[[#This Row],[Sensor ID]],Table_Baseline[Sensor ID],Table_Baseline[Easting '[m']],"-")),"-")</f>
        <v>-1.0000000038417056E-3</v>
      </c>
      <c r="P164" s="93">
        <f>IFERROR(IF(Readings[[#This Row],[Obs. Y]]="","-",Readings[[#This Row],[Obs. Y]]-_xlfn.XLOOKUP(Readings[[#This Row],[Sensor ID]],Table_Baseline[Sensor ID],Table_Baseline[Northing '[m']],"-")),"-")</f>
        <v>9.9999998928979039E-4</v>
      </c>
      <c r="Q164" s="93">
        <f>IFERROR(IF(Readings[[#This Row],[Obs. Z]]="","-",Readings[[#This Row],[Obs. Z]]-_xlfn.XLOOKUP(Readings[[#This Row],[Sensor ID]],Table_Baseline[Sensor ID],Table_Baseline[Level '[m']],"-")),"-")</f>
        <v>-1.1000000000009891E-3</v>
      </c>
      <c r="R164" s="93">
        <f>IFERROR(IF(Readings[[#This Row],[Reference Angle]]="-","-",(Readings[[#This Row],[Diff E]]*COS(RADIANS(Readings[[#This Row],[Reference Angle]]))-Readings[[#This Row],[Diff N]]*SIN(RADIANS(Readings[[#This Row],[Reference Angle]])))),"-")</f>
        <v>-1.0000000038417056E-3</v>
      </c>
      <c r="S164" s="93">
        <f>IFERROR(IF(Readings[[#This Row],[Reference Angle]]="-","-",(Readings[[#This Row],[Diff E]]*SIN(RADIANS(Readings[[#This Row],[Reference Angle]]))+Readings[[#This Row],[Diff N]]*COS(RADIANS(Readings[[#This Row],[Reference Angle]])))),"-")</f>
        <v>9.9999998928979039E-4</v>
      </c>
      <c r="T164" s="94">
        <f>IFERROR(VLOOKUP(Readings[[#This Row],[Sensor ID]],Table_Baseline[],COLUMNS(Table_Baseline[[#Headers],[Sensor ID]:[Reference Angle '[Deg']]]),FALSE),"-")</f>
        <v>0</v>
      </c>
      <c r="U164" s="95" t="str">
        <f>Readings[[#This Row],[Sensor ID]]&amp;"-"&amp;Readings[[#This Row],[Epoch]]</f>
        <v>250-RL-OP-11014-45776.2847222222</v>
      </c>
      <c r="V164" s="99">
        <f ca="1">IF(Readings[[#This Row],[Epoch]]=OFFSET(Readings[[#This Row],[Epoch]],-1,0),0,1)</f>
        <v>0</v>
      </c>
    </row>
    <row r="165" spans="4:22" x14ac:dyDescent="0.2">
      <c r="D165" s="32">
        <v>45776.284722222219</v>
      </c>
      <c r="E165" s="33" t="s">
        <v>184</v>
      </c>
      <c r="F165" s="34">
        <v>60052.292000000001</v>
      </c>
      <c r="G165" s="34">
        <v>363840.88500000001</v>
      </c>
      <c r="H165" s="34">
        <v>18.777999999999999</v>
      </c>
      <c r="I165" s="33" t="s">
        <v>86</v>
      </c>
      <c r="J165" s="33" t="s">
        <v>90</v>
      </c>
      <c r="K165" s="33">
        <v>23</v>
      </c>
      <c r="L165" s="33">
        <v>1012</v>
      </c>
      <c r="M165" s="33">
        <v>61</v>
      </c>
      <c r="N165" s="33"/>
      <c r="O165" s="93">
        <f>IFERROR(IF(Readings[[#This Row],[Obs. X]]="","-",Readings[[#This Row],[Obs. X]]-_xlfn.XLOOKUP(Readings[[#This Row],[Sensor ID]],Table_Baseline[Sensor ID],Table_Baseline[Easting '[m']],"-")),"-")</f>
        <v>-9.9999999656574801E-4</v>
      </c>
      <c r="P165" s="93">
        <f>IFERROR(IF(Readings[[#This Row],[Obs. Y]]="","-",Readings[[#This Row],[Obs. Y]]-_xlfn.XLOOKUP(Readings[[#This Row],[Sensor ID]],Table_Baseline[Sensor ID],Table_Baseline[Northing '[m']],"-")),"-")</f>
        <v>0</v>
      </c>
      <c r="Q165" s="93">
        <f>IFERROR(IF(Readings[[#This Row],[Obs. Z]]="","-",Readings[[#This Row],[Obs. Z]]-_xlfn.XLOOKUP(Readings[[#This Row],[Sensor ID]],Table_Baseline[Sensor ID],Table_Baseline[Level '[m']],"-")),"-")</f>
        <v>-1.0000000000012221E-3</v>
      </c>
      <c r="R165" s="93">
        <f>IFERROR(IF(Readings[[#This Row],[Reference Angle]]="-","-",(Readings[[#This Row],[Diff E]]*COS(RADIANS(Readings[[#This Row],[Reference Angle]]))-Readings[[#This Row],[Diff N]]*SIN(RADIANS(Readings[[#This Row],[Reference Angle]])))),"-")</f>
        <v>-9.9999999656574801E-4</v>
      </c>
      <c r="S165" s="93">
        <f>IFERROR(IF(Readings[[#This Row],[Reference Angle]]="-","-",(Readings[[#This Row],[Diff E]]*SIN(RADIANS(Readings[[#This Row],[Reference Angle]]))+Readings[[#This Row],[Diff N]]*COS(RADIANS(Readings[[#This Row],[Reference Angle]])))),"-")</f>
        <v>0</v>
      </c>
      <c r="T165" s="94">
        <f>IFERROR(VLOOKUP(Readings[[#This Row],[Sensor ID]],Table_Baseline[],COLUMNS(Table_Baseline[[#Headers],[Sensor ID]:[Reference Angle '[Deg']]]),FALSE),"-")</f>
        <v>0</v>
      </c>
      <c r="U165" s="95" t="str">
        <f>Readings[[#This Row],[Sensor ID]]&amp;"-"&amp;Readings[[#This Row],[Epoch]]</f>
        <v>250-RL-OP-11013-45776.2847222222</v>
      </c>
      <c r="V165" s="99">
        <f ca="1">IF(Readings[[#This Row],[Epoch]]=OFFSET(Readings[[#This Row],[Epoch]],-1,0),0,1)</f>
        <v>0</v>
      </c>
    </row>
    <row r="166" spans="4:22" x14ac:dyDescent="0.2">
      <c r="D166" s="32">
        <v>45776.284722222219</v>
      </c>
      <c r="E166" s="33" t="s">
        <v>185</v>
      </c>
      <c r="F166" s="34">
        <v>60054.883999999998</v>
      </c>
      <c r="G166" s="34">
        <v>363838.80599999998</v>
      </c>
      <c r="H166" s="34">
        <v>18.773</v>
      </c>
      <c r="I166" s="33" t="s">
        <v>86</v>
      </c>
      <c r="J166" s="33" t="s">
        <v>90</v>
      </c>
      <c r="K166" s="33">
        <v>23</v>
      </c>
      <c r="L166" s="33">
        <v>1012</v>
      </c>
      <c r="M166" s="33">
        <v>61</v>
      </c>
      <c r="N166" s="33"/>
      <c r="O166" s="93">
        <f>IFERROR(IF(Readings[[#This Row],[Obs. X]]="","-",Readings[[#This Row],[Obs. X]]-_xlfn.XLOOKUP(Readings[[#This Row],[Sensor ID]],Table_Baseline[Sensor ID],Table_Baseline[Easting '[m']],"-")),"-")</f>
        <v>-2.0000000004074536E-3</v>
      </c>
      <c r="P166" s="93">
        <f>IFERROR(IF(Readings[[#This Row],[Obs. Y]]="","-",Readings[[#This Row],[Obs. Y]]-_xlfn.XLOOKUP(Readings[[#This Row],[Sensor ID]],Table_Baseline[Sensor ID],Table_Baseline[Northing '[m']],"-")),"-")</f>
        <v>9.9999998928979039E-4</v>
      </c>
      <c r="Q166" s="93">
        <f>IFERROR(IF(Readings[[#This Row],[Obs. Z]]="","-",Readings[[#This Row],[Obs. Z]]-_xlfn.XLOOKUP(Readings[[#This Row],[Sensor ID]],Table_Baseline[Sensor ID],Table_Baseline[Level '[m']],"-")),"-")</f>
        <v>-9.9999999999766942E-5</v>
      </c>
      <c r="R166" s="93">
        <f>IFERROR(IF(Readings[[#This Row],[Reference Angle]]="-","-",(Readings[[#This Row],[Diff E]]*COS(RADIANS(Readings[[#This Row],[Reference Angle]]))-Readings[[#This Row],[Diff N]]*SIN(RADIANS(Readings[[#This Row],[Reference Angle]])))),"-")</f>
        <v>-2.0000000004074536E-3</v>
      </c>
      <c r="S166" s="93">
        <f>IFERROR(IF(Readings[[#This Row],[Reference Angle]]="-","-",(Readings[[#This Row],[Diff E]]*SIN(RADIANS(Readings[[#This Row],[Reference Angle]]))+Readings[[#This Row],[Diff N]]*COS(RADIANS(Readings[[#This Row],[Reference Angle]])))),"-")</f>
        <v>9.9999998928979039E-4</v>
      </c>
      <c r="T166" s="94">
        <f>IFERROR(VLOOKUP(Readings[[#This Row],[Sensor ID]],Table_Baseline[],COLUMNS(Table_Baseline[[#Headers],[Sensor ID]:[Reference Angle '[Deg']]]),FALSE),"-")</f>
        <v>0</v>
      </c>
      <c r="U166" s="95" t="str">
        <f>Readings[[#This Row],[Sensor ID]]&amp;"-"&amp;Readings[[#This Row],[Epoch]]</f>
        <v>250-RL-OP-11016-45776.2847222222</v>
      </c>
      <c r="V166" s="99">
        <f ca="1">IF(Readings[[#This Row],[Epoch]]=OFFSET(Readings[[#This Row],[Epoch]],-1,0),0,1)</f>
        <v>0</v>
      </c>
    </row>
    <row r="167" spans="4:22" x14ac:dyDescent="0.2">
      <c r="D167" s="32">
        <v>45776.284722222219</v>
      </c>
      <c r="E167" s="33" t="s">
        <v>186</v>
      </c>
      <c r="F167" s="34">
        <v>60055.195</v>
      </c>
      <c r="G167" s="34">
        <v>363840.09499999997</v>
      </c>
      <c r="H167" s="34">
        <v>18.78</v>
      </c>
      <c r="I167" s="33" t="s">
        <v>86</v>
      </c>
      <c r="J167" s="33" t="s">
        <v>90</v>
      </c>
      <c r="K167" s="33">
        <v>23</v>
      </c>
      <c r="L167" s="33">
        <v>1012</v>
      </c>
      <c r="M167" s="33">
        <v>61</v>
      </c>
      <c r="N167" s="33"/>
      <c r="O167" s="93">
        <f>IFERROR(IF(Readings[[#This Row],[Obs. X]]="","-",Readings[[#This Row],[Obs. X]]-_xlfn.XLOOKUP(Readings[[#This Row],[Sensor ID]],Table_Baseline[Sensor ID],Table_Baseline[Easting '[m']],"-")),"-")</f>
        <v>-1.0000000038417056E-3</v>
      </c>
      <c r="P167" s="93">
        <f>IFERROR(IF(Readings[[#This Row],[Obs. Y]]="","-",Readings[[#This Row],[Obs. Y]]-_xlfn.XLOOKUP(Readings[[#This Row],[Sensor ID]],Table_Baseline[Sensor ID],Table_Baseline[Northing '[m']],"-")),"-")</f>
        <v>0</v>
      </c>
      <c r="Q167" s="93">
        <f>IFERROR(IF(Readings[[#This Row],[Obs. Z]]="","-",Readings[[#This Row],[Obs. Z]]-_xlfn.XLOOKUP(Readings[[#This Row],[Sensor ID]],Table_Baseline[Sensor ID],Table_Baseline[Level '[m']],"-")),"-")</f>
        <v>-8.9999999999790248E-4</v>
      </c>
      <c r="R167" s="93">
        <f>IFERROR(IF(Readings[[#This Row],[Reference Angle]]="-","-",(Readings[[#This Row],[Diff E]]*COS(RADIANS(Readings[[#This Row],[Reference Angle]]))-Readings[[#This Row],[Diff N]]*SIN(RADIANS(Readings[[#This Row],[Reference Angle]])))),"-")</f>
        <v>-1.0000000038417056E-3</v>
      </c>
      <c r="S167" s="93">
        <f>IFERROR(IF(Readings[[#This Row],[Reference Angle]]="-","-",(Readings[[#This Row],[Diff E]]*SIN(RADIANS(Readings[[#This Row],[Reference Angle]]))+Readings[[#This Row],[Diff N]]*COS(RADIANS(Readings[[#This Row],[Reference Angle]])))),"-")</f>
        <v>0</v>
      </c>
      <c r="T167" s="94">
        <f>IFERROR(VLOOKUP(Readings[[#This Row],[Sensor ID]],Table_Baseline[],COLUMNS(Table_Baseline[[#Headers],[Sensor ID]:[Reference Angle '[Deg']]]),FALSE),"-")</f>
        <v>0</v>
      </c>
      <c r="U167" s="95" t="str">
        <f>Readings[[#This Row],[Sensor ID]]&amp;"-"&amp;Readings[[#This Row],[Epoch]]</f>
        <v>250-RL-OP-11015-45776.2847222222</v>
      </c>
      <c r="V167" s="99">
        <f ca="1">IF(Readings[[#This Row],[Epoch]]=OFFSET(Readings[[#This Row],[Epoch]],-1,0),0,1)</f>
        <v>0</v>
      </c>
    </row>
    <row r="168" spans="4:22" x14ac:dyDescent="0.2">
      <c r="D168" s="32">
        <v>45776.284722222219</v>
      </c>
      <c r="E168" s="33" t="s">
        <v>187</v>
      </c>
      <c r="F168" s="34">
        <v>60057.578000000001</v>
      </c>
      <c r="G168" s="34">
        <v>363838.09899999999</v>
      </c>
      <c r="H168" s="34">
        <v>18.774999999999999</v>
      </c>
      <c r="I168" s="33" t="s">
        <v>86</v>
      </c>
      <c r="J168" s="33" t="s">
        <v>90</v>
      </c>
      <c r="K168" s="33">
        <v>23</v>
      </c>
      <c r="L168" s="33">
        <v>1012</v>
      </c>
      <c r="M168" s="33">
        <v>61</v>
      </c>
      <c r="N168" s="33"/>
      <c r="O168" s="93">
        <f>IFERROR(IF(Readings[[#This Row],[Obs. X]]="","-",Readings[[#This Row],[Obs. X]]-_xlfn.XLOOKUP(Readings[[#This Row],[Sensor ID]],Table_Baseline[Sensor ID],Table_Baseline[Easting '[m']],"-")),"-")</f>
        <v>-9.9999999656574801E-4</v>
      </c>
      <c r="P168" s="93">
        <f>IFERROR(IF(Readings[[#This Row],[Obs. Y]]="","-",Readings[[#This Row],[Obs. Y]]-_xlfn.XLOOKUP(Readings[[#This Row],[Sensor ID]],Table_Baseline[Sensor ID],Table_Baseline[Northing '[m']],"-")),"-")</f>
        <v>9.9999998928979039E-4</v>
      </c>
      <c r="Q168" s="93">
        <f>IFERROR(IF(Readings[[#This Row],[Obs. Z]]="","-",Readings[[#This Row],[Obs. Z]]-_xlfn.XLOOKUP(Readings[[#This Row],[Sensor ID]],Table_Baseline[Sensor ID],Table_Baseline[Level '[m']],"-")),"-")</f>
        <v>-1.0000000000012221E-3</v>
      </c>
      <c r="R168" s="93">
        <f>IFERROR(IF(Readings[[#This Row],[Reference Angle]]="-","-",(Readings[[#This Row],[Diff E]]*COS(RADIANS(Readings[[#This Row],[Reference Angle]]))-Readings[[#This Row],[Diff N]]*SIN(RADIANS(Readings[[#This Row],[Reference Angle]])))),"-")</f>
        <v>-9.9999999656574801E-4</v>
      </c>
      <c r="S168" s="93">
        <f>IFERROR(IF(Readings[[#This Row],[Reference Angle]]="-","-",(Readings[[#This Row],[Diff E]]*SIN(RADIANS(Readings[[#This Row],[Reference Angle]]))+Readings[[#This Row],[Diff N]]*COS(RADIANS(Readings[[#This Row],[Reference Angle]])))),"-")</f>
        <v>9.9999998928979039E-4</v>
      </c>
      <c r="T168" s="94">
        <f>IFERROR(VLOOKUP(Readings[[#This Row],[Sensor ID]],Table_Baseline[],COLUMNS(Table_Baseline[[#Headers],[Sensor ID]:[Reference Angle '[Deg']]]),FALSE),"-")</f>
        <v>0</v>
      </c>
      <c r="U168" s="95" t="str">
        <f>Readings[[#This Row],[Sensor ID]]&amp;"-"&amp;Readings[[#This Row],[Epoch]]</f>
        <v>250-RL-OP-11018-45776.2847222222</v>
      </c>
      <c r="V168" s="99">
        <f ca="1">IF(Readings[[#This Row],[Epoch]]=OFFSET(Readings[[#This Row],[Epoch]],-1,0),0,1)</f>
        <v>0</v>
      </c>
    </row>
    <row r="169" spans="4:22" x14ac:dyDescent="0.2">
      <c r="D169" s="32">
        <v>45776.284722222219</v>
      </c>
      <c r="E169" s="33" t="s">
        <v>188</v>
      </c>
      <c r="F169" s="34">
        <v>60057.951999999997</v>
      </c>
      <c r="G169" s="34">
        <v>363839.36300000001</v>
      </c>
      <c r="H169" s="34">
        <v>18.785</v>
      </c>
      <c r="I169" s="33" t="s">
        <v>86</v>
      </c>
      <c r="J169" s="33" t="s">
        <v>90</v>
      </c>
      <c r="K169" s="33">
        <v>23</v>
      </c>
      <c r="L169" s="33">
        <v>1012</v>
      </c>
      <c r="M169" s="33">
        <v>61</v>
      </c>
      <c r="N169" s="33"/>
      <c r="O169" s="93">
        <f>IFERROR(IF(Readings[[#This Row],[Obs. X]]="","-",Readings[[#This Row],[Obs. X]]-_xlfn.XLOOKUP(Readings[[#This Row],[Sensor ID]],Table_Baseline[Sensor ID],Table_Baseline[Easting '[m']],"-")),"-")</f>
        <v>0</v>
      </c>
      <c r="P169" s="93">
        <f>IFERROR(IF(Readings[[#This Row],[Obs. Y]]="","-",Readings[[#This Row],[Obs. Y]]-_xlfn.XLOOKUP(Readings[[#This Row],[Sensor ID]],Table_Baseline[Sensor ID],Table_Baseline[Northing '[m']],"-")),"-")</f>
        <v>1.0000000474974513E-3</v>
      </c>
      <c r="Q169" s="93">
        <f>IFERROR(IF(Readings[[#This Row],[Obs. Z]]="","-",Readings[[#This Row],[Obs. Z]]-_xlfn.XLOOKUP(Readings[[#This Row],[Sensor ID]],Table_Baseline[Sensor ID],Table_Baseline[Level '[m']],"-")),"-")</f>
        <v>-1.0000000000012221E-3</v>
      </c>
      <c r="R169" s="93">
        <f>IFERROR(IF(Readings[[#This Row],[Reference Angle]]="-","-",(Readings[[#This Row],[Diff E]]*COS(RADIANS(Readings[[#This Row],[Reference Angle]]))-Readings[[#This Row],[Diff N]]*SIN(RADIANS(Readings[[#This Row],[Reference Angle]])))),"-")</f>
        <v>0</v>
      </c>
      <c r="S169" s="93">
        <f>IFERROR(IF(Readings[[#This Row],[Reference Angle]]="-","-",(Readings[[#This Row],[Diff E]]*SIN(RADIANS(Readings[[#This Row],[Reference Angle]]))+Readings[[#This Row],[Diff N]]*COS(RADIANS(Readings[[#This Row],[Reference Angle]])))),"-")</f>
        <v>1.0000000474974513E-3</v>
      </c>
      <c r="T169" s="94">
        <f>IFERROR(VLOOKUP(Readings[[#This Row],[Sensor ID]],Table_Baseline[],COLUMNS(Table_Baseline[[#Headers],[Sensor ID]:[Reference Angle '[Deg']]]),FALSE),"-")</f>
        <v>0</v>
      </c>
      <c r="U169" s="95" t="str">
        <f>Readings[[#This Row],[Sensor ID]]&amp;"-"&amp;Readings[[#This Row],[Epoch]]</f>
        <v>250-RL-OP-11017-45776.2847222222</v>
      </c>
      <c r="V169" s="99">
        <f ca="1">IF(Readings[[#This Row],[Epoch]]=OFFSET(Readings[[#This Row],[Epoch]],-1,0),0,1)</f>
        <v>0</v>
      </c>
    </row>
    <row r="170" spans="4:22" x14ac:dyDescent="0.2">
      <c r="D170" s="32">
        <v>45776.284722222219</v>
      </c>
      <c r="E170" s="33" t="s">
        <v>189</v>
      </c>
      <c r="F170" s="34">
        <v>60060.639000000003</v>
      </c>
      <c r="G170" s="34">
        <v>363837.32299999997</v>
      </c>
      <c r="H170" s="34">
        <v>18.783000000000001</v>
      </c>
      <c r="I170" s="33" t="s">
        <v>86</v>
      </c>
      <c r="J170" s="33" t="s">
        <v>90</v>
      </c>
      <c r="K170" s="33">
        <v>23</v>
      </c>
      <c r="L170" s="33">
        <v>1012</v>
      </c>
      <c r="M170" s="33">
        <v>61</v>
      </c>
      <c r="N170" s="33"/>
      <c r="O170" s="93">
        <f>IFERROR(IF(Readings[[#This Row],[Obs. X]]="","-",Readings[[#This Row],[Obs. X]]-_xlfn.XLOOKUP(Readings[[#This Row],[Sensor ID]],Table_Baseline[Sensor ID],Table_Baseline[Easting '[m']],"-")),"-")</f>
        <v>-9.9999999656574801E-4</v>
      </c>
      <c r="P170" s="93">
        <f>IFERROR(IF(Readings[[#This Row],[Obs. Y]]="","-",Readings[[#This Row],[Obs. Y]]-_xlfn.XLOOKUP(Readings[[#This Row],[Sensor ID]],Table_Baseline[Sensor ID],Table_Baseline[Northing '[m']],"-")),"-")</f>
        <v>9.9999998928979039E-4</v>
      </c>
      <c r="Q170" s="93">
        <f>IFERROR(IF(Readings[[#This Row],[Obs. Z]]="","-",Readings[[#This Row],[Obs. Z]]-_xlfn.XLOOKUP(Readings[[#This Row],[Sensor ID]],Table_Baseline[Sensor ID],Table_Baseline[Level '[m']],"-")),"-")</f>
        <v>-5.9999999999860165E-4</v>
      </c>
      <c r="R170" s="93">
        <f>IFERROR(IF(Readings[[#This Row],[Reference Angle]]="-","-",(Readings[[#This Row],[Diff E]]*COS(RADIANS(Readings[[#This Row],[Reference Angle]]))-Readings[[#This Row],[Diff N]]*SIN(RADIANS(Readings[[#This Row],[Reference Angle]])))),"-")</f>
        <v>-9.9999999656574801E-4</v>
      </c>
      <c r="S170" s="93">
        <f>IFERROR(IF(Readings[[#This Row],[Reference Angle]]="-","-",(Readings[[#This Row],[Diff E]]*SIN(RADIANS(Readings[[#This Row],[Reference Angle]]))+Readings[[#This Row],[Diff N]]*COS(RADIANS(Readings[[#This Row],[Reference Angle]])))),"-")</f>
        <v>9.9999998928979039E-4</v>
      </c>
      <c r="T170" s="94">
        <f>IFERROR(VLOOKUP(Readings[[#This Row],[Sensor ID]],Table_Baseline[],COLUMNS(Table_Baseline[[#Headers],[Sensor ID]:[Reference Angle '[Deg']]]),FALSE),"-")</f>
        <v>0</v>
      </c>
      <c r="U170" s="95" t="str">
        <f>Readings[[#This Row],[Sensor ID]]&amp;"-"&amp;Readings[[#This Row],[Epoch]]</f>
        <v>250-RL-OP-11020-45776.2847222222</v>
      </c>
      <c r="V170" s="99">
        <f ca="1">IF(Readings[[#This Row],[Epoch]]=OFFSET(Readings[[#This Row],[Epoch]],-1,0),0,1)</f>
        <v>0</v>
      </c>
    </row>
    <row r="171" spans="4:22" x14ac:dyDescent="0.2">
      <c r="D171" s="32">
        <v>45776.284722222219</v>
      </c>
      <c r="E171" s="33" t="s">
        <v>190</v>
      </c>
      <c r="F171" s="34">
        <v>60060.962</v>
      </c>
      <c r="G171" s="34">
        <v>363838.60100000002</v>
      </c>
      <c r="H171" s="34">
        <v>18.794</v>
      </c>
      <c r="I171" s="33" t="s">
        <v>86</v>
      </c>
      <c r="J171" s="33" t="s">
        <v>90</v>
      </c>
      <c r="K171" s="33">
        <v>23</v>
      </c>
      <c r="L171" s="33">
        <v>1012</v>
      </c>
      <c r="M171" s="33">
        <v>61</v>
      </c>
      <c r="N171" s="33"/>
      <c r="O171" s="93">
        <f>IFERROR(IF(Readings[[#This Row],[Obs. X]]="","-",Readings[[#This Row],[Obs. X]]-_xlfn.XLOOKUP(Readings[[#This Row],[Sensor ID]],Table_Baseline[Sensor ID],Table_Baseline[Easting '[m']],"-")),"-")</f>
        <v>-1.0000000038417056E-3</v>
      </c>
      <c r="P171" s="93">
        <f>IFERROR(IF(Readings[[#This Row],[Obs. Y]]="","-",Readings[[#This Row],[Obs. Y]]-_xlfn.XLOOKUP(Readings[[#This Row],[Sensor ID]],Table_Baseline[Sensor ID],Table_Baseline[Northing '[m']],"-")),"-")</f>
        <v>0</v>
      </c>
      <c r="Q171" s="93">
        <f>IFERROR(IF(Readings[[#This Row],[Obs. Z]]="","-",Readings[[#This Row],[Obs. Z]]-_xlfn.XLOOKUP(Readings[[#This Row],[Sensor ID]],Table_Baseline[Sensor ID],Table_Baseline[Level '[m']],"-")),"-")</f>
        <v>-5.9999999999860165E-4</v>
      </c>
      <c r="R171" s="93">
        <f>IFERROR(IF(Readings[[#This Row],[Reference Angle]]="-","-",(Readings[[#This Row],[Diff E]]*COS(RADIANS(Readings[[#This Row],[Reference Angle]]))-Readings[[#This Row],[Diff N]]*SIN(RADIANS(Readings[[#This Row],[Reference Angle]])))),"-")</f>
        <v>-1.0000000038417056E-3</v>
      </c>
      <c r="S171" s="93">
        <f>IFERROR(IF(Readings[[#This Row],[Reference Angle]]="-","-",(Readings[[#This Row],[Diff E]]*SIN(RADIANS(Readings[[#This Row],[Reference Angle]]))+Readings[[#This Row],[Diff N]]*COS(RADIANS(Readings[[#This Row],[Reference Angle]])))),"-")</f>
        <v>0</v>
      </c>
      <c r="T171" s="94">
        <f>IFERROR(VLOOKUP(Readings[[#This Row],[Sensor ID]],Table_Baseline[],COLUMNS(Table_Baseline[[#Headers],[Sensor ID]:[Reference Angle '[Deg']]]),FALSE),"-")</f>
        <v>0</v>
      </c>
      <c r="U171" s="95" t="str">
        <f>Readings[[#This Row],[Sensor ID]]&amp;"-"&amp;Readings[[#This Row],[Epoch]]</f>
        <v>250-RL-OP-11019-45776.2847222222</v>
      </c>
      <c r="V171" s="99">
        <f ca="1">IF(Readings[[#This Row],[Epoch]]=OFFSET(Readings[[#This Row],[Epoch]],-1,0),0,1)</f>
        <v>0</v>
      </c>
    </row>
    <row r="172" spans="4:22" x14ac:dyDescent="0.2">
      <c r="D172" s="32">
        <v>45776.284722222219</v>
      </c>
      <c r="E172" s="33" t="s">
        <v>191</v>
      </c>
      <c r="F172" s="34">
        <v>60063.42</v>
      </c>
      <c r="G172" s="34">
        <v>363836.63699999999</v>
      </c>
      <c r="H172" s="34">
        <v>18.794</v>
      </c>
      <c r="I172" s="33" t="s">
        <v>86</v>
      </c>
      <c r="J172" s="33" t="s">
        <v>90</v>
      </c>
      <c r="K172" s="33">
        <v>23</v>
      </c>
      <c r="L172" s="33">
        <v>1012</v>
      </c>
      <c r="M172" s="33">
        <v>61</v>
      </c>
      <c r="N172" s="33"/>
      <c r="O172" s="93">
        <f>IFERROR(IF(Readings[[#This Row],[Obs. X]]="","-",Readings[[#This Row],[Obs. X]]-_xlfn.XLOOKUP(Readings[[#This Row],[Sensor ID]],Table_Baseline[Sensor ID],Table_Baseline[Easting '[m']],"-")),"-")</f>
        <v>-2.0000000004074536E-3</v>
      </c>
      <c r="P172" s="93">
        <f>IFERROR(IF(Readings[[#This Row],[Obs. Y]]="","-",Readings[[#This Row],[Obs. Y]]-_xlfn.XLOOKUP(Readings[[#This Row],[Sensor ID]],Table_Baseline[Sensor ID],Table_Baseline[Northing '[m']],"-")),"-")</f>
        <v>9.9999998928979039E-4</v>
      </c>
      <c r="Q172" s="93">
        <f>IFERROR(IF(Readings[[#This Row],[Obs. Z]]="","-",Readings[[#This Row],[Obs. Z]]-_xlfn.XLOOKUP(Readings[[#This Row],[Sensor ID]],Table_Baseline[Sensor ID],Table_Baseline[Level '[m']],"-")),"-")</f>
        <v>-8.9999999999790248E-4</v>
      </c>
      <c r="R172" s="93">
        <f>IFERROR(IF(Readings[[#This Row],[Reference Angle]]="-","-",(Readings[[#This Row],[Diff E]]*COS(RADIANS(Readings[[#This Row],[Reference Angle]]))-Readings[[#This Row],[Diff N]]*SIN(RADIANS(Readings[[#This Row],[Reference Angle]])))),"-")</f>
        <v>-2.0000000004074536E-3</v>
      </c>
      <c r="S172" s="93">
        <f>IFERROR(IF(Readings[[#This Row],[Reference Angle]]="-","-",(Readings[[#This Row],[Diff E]]*SIN(RADIANS(Readings[[#This Row],[Reference Angle]]))+Readings[[#This Row],[Diff N]]*COS(RADIANS(Readings[[#This Row],[Reference Angle]])))),"-")</f>
        <v>9.9999998928979039E-4</v>
      </c>
      <c r="T172" s="94">
        <f>IFERROR(VLOOKUP(Readings[[#This Row],[Sensor ID]],Table_Baseline[],COLUMNS(Table_Baseline[[#Headers],[Sensor ID]:[Reference Angle '[Deg']]]),FALSE),"-")</f>
        <v>0</v>
      </c>
      <c r="U172" s="95" t="str">
        <f>Readings[[#This Row],[Sensor ID]]&amp;"-"&amp;Readings[[#This Row],[Epoch]]</f>
        <v>250-RL-OP-11022-45776.2847222222</v>
      </c>
      <c r="V172" s="99">
        <f ca="1">IF(Readings[[#This Row],[Epoch]]=OFFSET(Readings[[#This Row],[Epoch]],-1,0),0,1)</f>
        <v>0</v>
      </c>
    </row>
    <row r="173" spans="4:22" x14ac:dyDescent="0.2">
      <c r="D173" s="32">
        <v>45776.284722222219</v>
      </c>
      <c r="E173" s="151" t="s">
        <v>192</v>
      </c>
      <c r="F173" s="152">
        <v>60063.75</v>
      </c>
      <c r="G173" s="152">
        <v>363837.91800000001</v>
      </c>
      <c r="H173" s="152">
        <v>18.808</v>
      </c>
      <c r="I173" s="33" t="s">
        <v>86</v>
      </c>
      <c r="J173" s="33" t="s">
        <v>90</v>
      </c>
      <c r="K173" s="33">
        <v>23</v>
      </c>
      <c r="L173" s="33">
        <v>1012</v>
      </c>
      <c r="M173" s="33">
        <v>61</v>
      </c>
      <c r="N173" s="151"/>
      <c r="O173" s="96">
        <f>IFERROR(IF(Readings[[#This Row],[Obs. X]]="","-",Readings[[#This Row],[Obs. X]]-_xlfn.XLOOKUP(Readings[[#This Row],[Sensor ID]],Table_Baseline[Sensor ID],Table_Baseline[Easting '[m']],"-")),"-")</f>
        <v>-9.9999999656574801E-4</v>
      </c>
      <c r="P173" s="96">
        <f>IFERROR(IF(Readings[[#This Row],[Obs. Y]]="","-",Readings[[#This Row],[Obs. Y]]-_xlfn.XLOOKUP(Readings[[#This Row],[Sensor ID]],Table_Baseline[Sensor ID],Table_Baseline[Northing '[m']],"-")),"-")</f>
        <v>0</v>
      </c>
      <c r="Q173" s="96">
        <f>IFERROR(IF(Readings[[#This Row],[Obs. Z]]="","-",Readings[[#This Row],[Obs. Z]]-_xlfn.XLOOKUP(Readings[[#This Row],[Sensor ID]],Table_Baseline[Sensor ID],Table_Baseline[Level '[m']],"-")),"-")</f>
        <v>-1.0000000000012221E-3</v>
      </c>
      <c r="R173" s="96">
        <f>IFERROR(IF(Readings[[#This Row],[Reference Angle]]="-","-",(Readings[[#This Row],[Diff E]]*COS(RADIANS(Readings[[#This Row],[Reference Angle]]))-Readings[[#This Row],[Diff N]]*SIN(RADIANS(Readings[[#This Row],[Reference Angle]])))),"-")</f>
        <v>-9.9999999656574801E-4</v>
      </c>
      <c r="S173" s="96">
        <f>IFERROR(IF(Readings[[#This Row],[Reference Angle]]="-","-",(Readings[[#This Row],[Diff E]]*SIN(RADIANS(Readings[[#This Row],[Reference Angle]]))+Readings[[#This Row],[Diff N]]*COS(RADIANS(Readings[[#This Row],[Reference Angle]])))),"-")</f>
        <v>0</v>
      </c>
      <c r="T173" s="97">
        <f>IFERROR(VLOOKUP(Readings[[#This Row],[Sensor ID]],Table_Baseline[],COLUMNS(Table_Baseline[[#Headers],[Sensor ID]:[Reference Angle '[Deg']]]),FALSE),"-")</f>
        <v>0</v>
      </c>
      <c r="U173" s="98" t="str">
        <f>Readings[[#This Row],[Sensor ID]]&amp;"-"&amp;Readings[[#This Row],[Epoch]]</f>
        <v>250-RL-OP-11021-45776.2847222222</v>
      </c>
      <c r="V173" s="100">
        <f ca="1">IF(Readings[[#This Row],[Epoch]]=OFFSET(Readings[[#This Row],[Epoch]],-1,0),0,1)</f>
        <v>0</v>
      </c>
    </row>
    <row r="174" spans="4:22" x14ac:dyDescent="0.2">
      <c r="D174" s="32">
        <v>45777.298611111109</v>
      </c>
      <c r="E174" s="33" t="s">
        <v>165</v>
      </c>
      <c r="F174" s="34">
        <v>60034.538999999997</v>
      </c>
      <c r="G174" s="34">
        <v>363843.38199999998</v>
      </c>
      <c r="H174" s="34">
        <v>19.331</v>
      </c>
      <c r="I174" s="33" t="s">
        <v>86</v>
      </c>
      <c r="J174" s="33" t="s">
        <v>90</v>
      </c>
      <c r="K174" s="33">
        <v>23</v>
      </c>
      <c r="L174" s="33">
        <v>1012</v>
      </c>
      <c r="M174" s="33">
        <v>50</v>
      </c>
      <c r="N174" s="33"/>
      <c r="O174" s="93" t="str">
        <f>IFERROR(IF(Readings[[#This Row],[Obs. X]]="","-",Readings[[#This Row],[Obs. X]]-_xlfn.XLOOKUP(Readings[[#This Row],[Sensor ID]],Table_Baseline[Sensor ID],Table_Baseline[Easting '[m']],"-")),"-")</f>
        <v>-</v>
      </c>
      <c r="P174" s="93" t="str">
        <f>IFERROR(IF(Readings[[#This Row],[Obs. Y]]="","-",Readings[[#This Row],[Obs. Y]]-_xlfn.XLOOKUP(Readings[[#This Row],[Sensor ID]],Table_Baseline[Sensor ID],Table_Baseline[Northing '[m']],"-")),"-")</f>
        <v>-</v>
      </c>
      <c r="Q174" s="93" t="str">
        <f>IFERROR(IF(Readings[[#This Row],[Obs. Z]]="","-",Readings[[#This Row],[Obs. Z]]-_xlfn.XLOOKUP(Readings[[#This Row],[Sensor ID]],Table_Baseline[Sensor ID],Table_Baseline[Level '[m']],"-")),"-")</f>
        <v>-</v>
      </c>
      <c r="R174" s="93" t="str">
        <f>IFERROR(IF(Readings[[#This Row],[Reference Angle]]="-","-",(Readings[[#This Row],[Diff E]]*COS(RADIANS(Readings[[#This Row],[Reference Angle]]))-Readings[[#This Row],[Diff N]]*SIN(RADIANS(Readings[[#This Row],[Reference Angle]])))),"-")</f>
        <v>-</v>
      </c>
      <c r="S174" s="93" t="str">
        <f>IFERROR(IF(Readings[[#This Row],[Reference Angle]]="-","-",(Readings[[#This Row],[Diff E]]*SIN(RADIANS(Readings[[#This Row],[Reference Angle]]))+Readings[[#This Row],[Diff N]]*COS(RADIANS(Readings[[#This Row],[Reference Angle]])))),"-")</f>
        <v>-</v>
      </c>
      <c r="T174" s="94" t="str">
        <f>IFERROR(VLOOKUP(Readings[[#This Row],[Sensor ID]],Table_Baseline[],COLUMNS(Table_Baseline[[#Headers],[Sensor ID]:[Reference Angle '[Deg']]]),FALSE),"-")</f>
        <v>-</v>
      </c>
      <c r="U174" s="95" t="str">
        <f>Readings[[#This Row],[Sensor ID]]&amp;"-"&amp;Readings[[#This Row],[Epoch]]</f>
        <v>250-ST-OP-500-45777.2986111111</v>
      </c>
      <c r="V174" s="99">
        <f ca="1">IF(Readings[[#This Row],[Epoch]]=OFFSET(Readings[[#This Row],[Epoch]],-1,0),0,1)</f>
        <v>1</v>
      </c>
    </row>
    <row r="175" spans="4:22" x14ac:dyDescent="0.2">
      <c r="D175" s="32">
        <v>45777.298611111109</v>
      </c>
      <c r="E175" s="33" t="s">
        <v>166</v>
      </c>
      <c r="F175" s="34">
        <v>60040.286</v>
      </c>
      <c r="G175" s="34">
        <v>363841.73</v>
      </c>
      <c r="H175" s="34">
        <v>19.321000000000002</v>
      </c>
      <c r="I175" s="33" t="s">
        <v>86</v>
      </c>
      <c r="J175" s="33" t="s">
        <v>90</v>
      </c>
      <c r="K175" s="33">
        <v>23</v>
      </c>
      <c r="L175" s="33">
        <v>1012</v>
      </c>
      <c r="M175" s="33">
        <v>50</v>
      </c>
      <c r="N175" s="33"/>
      <c r="O175" s="93" t="str">
        <f>IFERROR(IF(Readings[[#This Row],[Obs. X]]="","-",Readings[[#This Row],[Obs. X]]-_xlfn.XLOOKUP(Readings[[#This Row],[Sensor ID]],Table_Baseline[Sensor ID],Table_Baseline[Easting '[m']],"-")),"-")</f>
        <v>-</v>
      </c>
      <c r="P175" s="93" t="str">
        <f>IFERROR(IF(Readings[[#This Row],[Obs. Y]]="","-",Readings[[#This Row],[Obs. Y]]-_xlfn.XLOOKUP(Readings[[#This Row],[Sensor ID]],Table_Baseline[Sensor ID],Table_Baseline[Northing '[m']],"-")),"-")</f>
        <v>-</v>
      </c>
      <c r="Q175" s="93" t="str">
        <f>IFERROR(IF(Readings[[#This Row],[Obs. Z]]="","-",Readings[[#This Row],[Obs. Z]]-_xlfn.XLOOKUP(Readings[[#This Row],[Sensor ID]],Table_Baseline[Sensor ID],Table_Baseline[Level '[m']],"-")),"-")</f>
        <v>-</v>
      </c>
      <c r="R175" s="93" t="str">
        <f>IFERROR(IF(Readings[[#This Row],[Reference Angle]]="-","-",(Readings[[#This Row],[Diff E]]*COS(RADIANS(Readings[[#This Row],[Reference Angle]]))-Readings[[#This Row],[Diff N]]*SIN(RADIANS(Readings[[#This Row],[Reference Angle]])))),"-")</f>
        <v>-</v>
      </c>
      <c r="S175" s="93" t="str">
        <f>IFERROR(IF(Readings[[#This Row],[Reference Angle]]="-","-",(Readings[[#This Row],[Diff E]]*SIN(RADIANS(Readings[[#This Row],[Reference Angle]]))+Readings[[#This Row],[Diff N]]*COS(RADIANS(Readings[[#This Row],[Reference Angle]])))),"-")</f>
        <v>-</v>
      </c>
      <c r="T175" s="94" t="str">
        <f>IFERROR(VLOOKUP(Readings[[#This Row],[Sensor ID]],Table_Baseline[],COLUMNS(Table_Baseline[[#Headers],[Sensor ID]:[Reference Angle '[Deg']]]),FALSE),"-")</f>
        <v>-</v>
      </c>
      <c r="U175" s="95" t="str">
        <f>Readings[[#This Row],[Sensor ID]]&amp;"-"&amp;Readings[[#This Row],[Epoch]]</f>
        <v>250-ST-OP-501-45777.2986111111</v>
      </c>
      <c r="V175" s="99">
        <f ca="1">IF(Readings[[#This Row],[Epoch]]=OFFSET(Readings[[#This Row],[Epoch]],-1,0),0,1)</f>
        <v>0</v>
      </c>
    </row>
    <row r="176" spans="4:22" x14ac:dyDescent="0.2">
      <c r="D176" s="32">
        <v>45777.298611111109</v>
      </c>
      <c r="E176" s="33" t="s">
        <v>167</v>
      </c>
      <c r="F176" s="34">
        <v>60045.921000000002</v>
      </c>
      <c r="G176" s="34">
        <v>363840.1</v>
      </c>
      <c r="H176" s="34">
        <v>19.334</v>
      </c>
      <c r="I176" s="33" t="s">
        <v>86</v>
      </c>
      <c r="J176" s="33" t="s">
        <v>90</v>
      </c>
      <c r="K176" s="33">
        <v>23</v>
      </c>
      <c r="L176" s="33">
        <v>1012</v>
      </c>
      <c r="M176" s="33">
        <v>50</v>
      </c>
      <c r="N176" s="33"/>
      <c r="O176" s="93" t="str">
        <f>IFERROR(IF(Readings[[#This Row],[Obs. X]]="","-",Readings[[#This Row],[Obs. X]]-_xlfn.XLOOKUP(Readings[[#This Row],[Sensor ID]],Table_Baseline[Sensor ID],Table_Baseline[Easting '[m']],"-")),"-")</f>
        <v>-</v>
      </c>
      <c r="P176" s="93" t="str">
        <f>IFERROR(IF(Readings[[#This Row],[Obs. Y]]="","-",Readings[[#This Row],[Obs. Y]]-_xlfn.XLOOKUP(Readings[[#This Row],[Sensor ID]],Table_Baseline[Sensor ID],Table_Baseline[Northing '[m']],"-")),"-")</f>
        <v>-</v>
      </c>
      <c r="Q176" s="93" t="str">
        <f>IFERROR(IF(Readings[[#This Row],[Obs. Z]]="","-",Readings[[#This Row],[Obs. Z]]-_xlfn.XLOOKUP(Readings[[#This Row],[Sensor ID]],Table_Baseline[Sensor ID],Table_Baseline[Level '[m']],"-")),"-")</f>
        <v>-</v>
      </c>
      <c r="R176" s="93" t="str">
        <f>IFERROR(IF(Readings[[#This Row],[Reference Angle]]="-","-",(Readings[[#This Row],[Diff E]]*COS(RADIANS(Readings[[#This Row],[Reference Angle]]))-Readings[[#This Row],[Diff N]]*SIN(RADIANS(Readings[[#This Row],[Reference Angle]])))),"-")</f>
        <v>-</v>
      </c>
      <c r="S176" s="93" t="str">
        <f>IFERROR(IF(Readings[[#This Row],[Reference Angle]]="-","-",(Readings[[#This Row],[Diff E]]*SIN(RADIANS(Readings[[#This Row],[Reference Angle]]))+Readings[[#This Row],[Diff N]]*COS(RADIANS(Readings[[#This Row],[Reference Angle]])))),"-")</f>
        <v>-</v>
      </c>
      <c r="T176" s="94" t="str">
        <f>IFERROR(VLOOKUP(Readings[[#This Row],[Sensor ID]],Table_Baseline[],COLUMNS(Table_Baseline[[#Headers],[Sensor ID]:[Reference Angle '[Deg']]]),FALSE),"-")</f>
        <v>-</v>
      </c>
      <c r="U176" s="95" t="str">
        <f>Readings[[#This Row],[Sensor ID]]&amp;"-"&amp;Readings[[#This Row],[Epoch]]</f>
        <v>250-ST-OP-502-45777.2986111111</v>
      </c>
      <c r="V176" s="99">
        <f ca="1">IF(Readings[[#This Row],[Epoch]]=OFFSET(Readings[[#This Row],[Epoch]],-1,0),0,1)</f>
        <v>0</v>
      </c>
    </row>
    <row r="177" spans="4:22" x14ac:dyDescent="0.2">
      <c r="D177" s="32">
        <v>45777.298611111109</v>
      </c>
      <c r="E177" s="33" t="s">
        <v>168</v>
      </c>
      <c r="F177" s="34">
        <v>60049.767</v>
      </c>
      <c r="G177" s="34">
        <v>363838.99400000001</v>
      </c>
      <c r="H177" s="34">
        <v>19.344999999999999</v>
      </c>
      <c r="I177" s="33" t="s">
        <v>86</v>
      </c>
      <c r="J177" s="33" t="s">
        <v>90</v>
      </c>
      <c r="K177" s="33">
        <v>23</v>
      </c>
      <c r="L177" s="33">
        <v>1012</v>
      </c>
      <c r="M177" s="33">
        <v>50</v>
      </c>
      <c r="N177" s="33"/>
      <c r="O177" s="93" t="str">
        <f>IFERROR(IF(Readings[[#This Row],[Obs. X]]="","-",Readings[[#This Row],[Obs. X]]-_xlfn.XLOOKUP(Readings[[#This Row],[Sensor ID]],Table_Baseline[Sensor ID],Table_Baseline[Easting '[m']],"-")),"-")</f>
        <v>-</v>
      </c>
      <c r="P177" s="93" t="str">
        <f>IFERROR(IF(Readings[[#This Row],[Obs. Y]]="","-",Readings[[#This Row],[Obs. Y]]-_xlfn.XLOOKUP(Readings[[#This Row],[Sensor ID]],Table_Baseline[Sensor ID],Table_Baseline[Northing '[m']],"-")),"-")</f>
        <v>-</v>
      </c>
      <c r="Q177" s="93" t="str">
        <f>IFERROR(IF(Readings[[#This Row],[Obs. Z]]="","-",Readings[[#This Row],[Obs. Z]]-_xlfn.XLOOKUP(Readings[[#This Row],[Sensor ID]],Table_Baseline[Sensor ID],Table_Baseline[Level '[m']],"-")),"-")</f>
        <v>-</v>
      </c>
      <c r="R177" s="93" t="str">
        <f>IFERROR(IF(Readings[[#This Row],[Reference Angle]]="-","-",(Readings[[#This Row],[Diff E]]*COS(RADIANS(Readings[[#This Row],[Reference Angle]]))-Readings[[#This Row],[Diff N]]*SIN(RADIANS(Readings[[#This Row],[Reference Angle]])))),"-")</f>
        <v>-</v>
      </c>
      <c r="S177" s="93" t="str">
        <f>IFERROR(IF(Readings[[#This Row],[Reference Angle]]="-","-",(Readings[[#This Row],[Diff E]]*SIN(RADIANS(Readings[[#This Row],[Reference Angle]]))+Readings[[#This Row],[Diff N]]*COS(RADIANS(Readings[[#This Row],[Reference Angle]])))),"-")</f>
        <v>-</v>
      </c>
      <c r="T177" s="94" t="str">
        <f>IFERROR(VLOOKUP(Readings[[#This Row],[Sensor ID]],Table_Baseline[],COLUMNS(Table_Baseline[[#Headers],[Sensor ID]:[Reference Angle '[Deg']]]),FALSE),"-")</f>
        <v>-</v>
      </c>
      <c r="U177" s="95" t="str">
        <f>Readings[[#This Row],[Sensor ID]]&amp;"-"&amp;Readings[[#This Row],[Epoch]]</f>
        <v>250-ST-OP-503-45777.2986111111</v>
      </c>
      <c r="V177" s="99">
        <f ca="1">IF(Readings[[#This Row],[Epoch]]=OFFSET(Readings[[#This Row],[Epoch]],-1,0),0,1)</f>
        <v>0</v>
      </c>
    </row>
    <row r="178" spans="4:22" x14ac:dyDescent="0.2">
      <c r="D178" s="32">
        <v>45777.298611111109</v>
      </c>
      <c r="E178" s="33" t="s">
        <v>169</v>
      </c>
      <c r="F178" s="34">
        <v>60053.608</v>
      </c>
      <c r="G178" s="34">
        <v>363837.88199999998</v>
      </c>
      <c r="H178" s="34">
        <v>19.356999999999999</v>
      </c>
      <c r="I178" s="33" t="s">
        <v>86</v>
      </c>
      <c r="J178" s="33" t="s">
        <v>90</v>
      </c>
      <c r="K178" s="33">
        <v>23</v>
      </c>
      <c r="L178" s="33">
        <v>1012</v>
      </c>
      <c r="M178" s="33">
        <v>50</v>
      </c>
      <c r="N178" s="33"/>
      <c r="O178" s="93" t="str">
        <f>IFERROR(IF(Readings[[#This Row],[Obs. X]]="","-",Readings[[#This Row],[Obs. X]]-_xlfn.XLOOKUP(Readings[[#This Row],[Sensor ID]],Table_Baseline[Sensor ID],Table_Baseline[Easting '[m']],"-")),"-")</f>
        <v>-</v>
      </c>
      <c r="P178" s="93" t="str">
        <f>IFERROR(IF(Readings[[#This Row],[Obs. Y]]="","-",Readings[[#This Row],[Obs. Y]]-_xlfn.XLOOKUP(Readings[[#This Row],[Sensor ID]],Table_Baseline[Sensor ID],Table_Baseline[Northing '[m']],"-")),"-")</f>
        <v>-</v>
      </c>
      <c r="Q178" s="93" t="str">
        <f>IFERROR(IF(Readings[[#This Row],[Obs. Z]]="","-",Readings[[#This Row],[Obs. Z]]-_xlfn.XLOOKUP(Readings[[#This Row],[Sensor ID]],Table_Baseline[Sensor ID],Table_Baseline[Level '[m']],"-")),"-")</f>
        <v>-</v>
      </c>
      <c r="R178" s="93" t="str">
        <f>IFERROR(IF(Readings[[#This Row],[Reference Angle]]="-","-",(Readings[[#This Row],[Diff E]]*COS(RADIANS(Readings[[#This Row],[Reference Angle]]))-Readings[[#This Row],[Diff N]]*SIN(RADIANS(Readings[[#This Row],[Reference Angle]])))),"-")</f>
        <v>-</v>
      </c>
      <c r="S178" s="93" t="str">
        <f>IFERROR(IF(Readings[[#This Row],[Reference Angle]]="-","-",(Readings[[#This Row],[Diff E]]*SIN(RADIANS(Readings[[#This Row],[Reference Angle]]))+Readings[[#This Row],[Diff N]]*COS(RADIANS(Readings[[#This Row],[Reference Angle]])))),"-")</f>
        <v>-</v>
      </c>
      <c r="T178" s="94" t="str">
        <f>IFERROR(VLOOKUP(Readings[[#This Row],[Sensor ID]],Table_Baseline[],COLUMNS(Table_Baseline[[#Headers],[Sensor ID]:[Reference Angle '[Deg']]]),FALSE),"-")</f>
        <v>-</v>
      </c>
      <c r="U178" s="95" t="str">
        <f>Readings[[#This Row],[Sensor ID]]&amp;"-"&amp;Readings[[#This Row],[Epoch]]</f>
        <v>250-ST-OP-504-45777.2986111111</v>
      </c>
      <c r="V178" s="99">
        <f ca="1">IF(Readings[[#This Row],[Epoch]]=OFFSET(Readings[[#This Row],[Epoch]],-1,0),0,1)</f>
        <v>0</v>
      </c>
    </row>
    <row r="179" spans="4:22" x14ac:dyDescent="0.2">
      <c r="D179" s="32">
        <v>45777.298611111109</v>
      </c>
      <c r="E179" s="33" t="s">
        <v>170</v>
      </c>
      <c r="F179" s="34">
        <v>60060.065000000002</v>
      </c>
      <c r="G179" s="34">
        <v>363836.02299999999</v>
      </c>
      <c r="H179" s="34">
        <v>19.356999999999999</v>
      </c>
      <c r="I179" s="33" t="s">
        <v>86</v>
      </c>
      <c r="J179" s="33" t="s">
        <v>90</v>
      </c>
      <c r="K179" s="33">
        <v>23</v>
      </c>
      <c r="L179" s="33">
        <v>1012</v>
      </c>
      <c r="M179" s="33">
        <v>50</v>
      </c>
      <c r="N179" s="33"/>
      <c r="O179" s="93" t="str">
        <f>IFERROR(IF(Readings[[#This Row],[Obs. X]]="","-",Readings[[#This Row],[Obs. X]]-_xlfn.XLOOKUP(Readings[[#This Row],[Sensor ID]],Table_Baseline[Sensor ID],Table_Baseline[Easting '[m']],"-")),"-")</f>
        <v>-</v>
      </c>
      <c r="P179" s="93" t="str">
        <f>IFERROR(IF(Readings[[#This Row],[Obs. Y]]="","-",Readings[[#This Row],[Obs. Y]]-_xlfn.XLOOKUP(Readings[[#This Row],[Sensor ID]],Table_Baseline[Sensor ID],Table_Baseline[Northing '[m']],"-")),"-")</f>
        <v>-</v>
      </c>
      <c r="Q179" s="93" t="str">
        <f>IFERROR(IF(Readings[[#This Row],[Obs. Z]]="","-",Readings[[#This Row],[Obs. Z]]-_xlfn.XLOOKUP(Readings[[#This Row],[Sensor ID]],Table_Baseline[Sensor ID],Table_Baseline[Level '[m']],"-")),"-")</f>
        <v>-</v>
      </c>
      <c r="R179" s="93" t="str">
        <f>IFERROR(IF(Readings[[#This Row],[Reference Angle]]="-","-",(Readings[[#This Row],[Diff E]]*COS(RADIANS(Readings[[#This Row],[Reference Angle]]))-Readings[[#This Row],[Diff N]]*SIN(RADIANS(Readings[[#This Row],[Reference Angle]])))),"-")</f>
        <v>-</v>
      </c>
      <c r="S179" s="93" t="str">
        <f>IFERROR(IF(Readings[[#This Row],[Reference Angle]]="-","-",(Readings[[#This Row],[Diff E]]*SIN(RADIANS(Readings[[#This Row],[Reference Angle]]))+Readings[[#This Row],[Diff N]]*COS(RADIANS(Readings[[#This Row],[Reference Angle]])))),"-")</f>
        <v>-</v>
      </c>
      <c r="T179" s="94" t="str">
        <f>IFERROR(VLOOKUP(Readings[[#This Row],[Sensor ID]],Table_Baseline[],COLUMNS(Table_Baseline[[#Headers],[Sensor ID]:[Reference Angle '[Deg']]]),FALSE),"-")</f>
        <v>-</v>
      </c>
      <c r="U179" s="95" t="str">
        <f>Readings[[#This Row],[Sensor ID]]&amp;"-"&amp;Readings[[#This Row],[Epoch]]</f>
        <v>250-ST-OP-505-45777.2986111111</v>
      </c>
      <c r="V179" s="99">
        <f ca="1">IF(Readings[[#This Row],[Epoch]]=OFFSET(Readings[[#This Row],[Epoch]],-1,0),0,1)</f>
        <v>0</v>
      </c>
    </row>
    <row r="180" spans="4:22" x14ac:dyDescent="0.2">
      <c r="D180" s="32">
        <v>45777.298611111109</v>
      </c>
      <c r="E180" s="33" t="s">
        <v>171</v>
      </c>
      <c r="F180" s="34">
        <v>60034.959000000003</v>
      </c>
      <c r="G180" s="34">
        <v>363844.47100000002</v>
      </c>
      <c r="H180" s="34">
        <v>18.777000000000001</v>
      </c>
      <c r="I180" s="33" t="s">
        <v>86</v>
      </c>
      <c r="J180" s="33" t="s">
        <v>90</v>
      </c>
      <c r="K180" s="33">
        <v>23</v>
      </c>
      <c r="L180" s="33">
        <v>1012</v>
      </c>
      <c r="M180" s="33">
        <v>50</v>
      </c>
      <c r="N180" s="33"/>
      <c r="O180" s="93">
        <f>IFERROR(IF(Readings[[#This Row],[Obs. X]]="","-",Readings[[#This Row],[Obs. X]]-_xlfn.XLOOKUP(Readings[[#This Row],[Sensor ID]],Table_Baseline[Sensor ID],Table_Baseline[Easting '[m']],"-")),"-")</f>
        <v>0</v>
      </c>
      <c r="P180" s="93">
        <f>IFERROR(IF(Readings[[#This Row],[Obs. Y]]="","-",Readings[[#This Row],[Obs. Y]]-_xlfn.XLOOKUP(Readings[[#This Row],[Sensor ID]],Table_Baseline[Sensor ID],Table_Baseline[Northing '[m']],"-")),"-")</f>
        <v>0</v>
      </c>
      <c r="Q180" s="93">
        <f>IFERROR(IF(Readings[[#This Row],[Obs. Z]]="","-",Readings[[#This Row],[Obs. Z]]-_xlfn.XLOOKUP(Readings[[#This Row],[Sensor ID]],Table_Baseline[Sensor ID],Table_Baseline[Level '[m']],"-")),"-")</f>
        <v>-1.0999999999974364E-3</v>
      </c>
      <c r="R180" s="93">
        <f>IFERROR(IF(Readings[[#This Row],[Reference Angle]]="-","-",(Readings[[#This Row],[Diff E]]*COS(RADIANS(Readings[[#This Row],[Reference Angle]]))-Readings[[#This Row],[Diff N]]*SIN(RADIANS(Readings[[#This Row],[Reference Angle]])))),"-")</f>
        <v>0</v>
      </c>
      <c r="S180" s="93">
        <f>IFERROR(IF(Readings[[#This Row],[Reference Angle]]="-","-",(Readings[[#This Row],[Diff E]]*SIN(RADIANS(Readings[[#This Row],[Reference Angle]]))+Readings[[#This Row],[Diff N]]*COS(RADIANS(Readings[[#This Row],[Reference Angle]])))),"-")</f>
        <v>0</v>
      </c>
      <c r="T180" s="94">
        <f>IFERROR(VLOOKUP(Readings[[#This Row],[Sensor ID]],Table_Baseline[],COLUMNS(Table_Baseline[[#Headers],[Sensor ID]:[Reference Angle '[Deg']]]),FALSE),"-")</f>
        <v>0</v>
      </c>
      <c r="U180" s="95" t="str">
        <f>Readings[[#This Row],[Sensor ID]]&amp;"-"&amp;Readings[[#This Row],[Epoch]]</f>
        <v>250-RL-OP-11002-45777.2986111111</v>
      </c>
      <c r="V180" s="99">
        <f ca="1">IF(Readings[[#This Row],[Epoch]]=OFFSET(Readings[[#This Row],[Epoch]],-1,0),0,1)</f>
        <v>0</v>
      </c>
    </row>
    <row r="181" spans="4:22" x14ac:dyDescent="0.2">
      <c r="D181" s="32">
        <v>45777.298611111109</v>
      </c>
      <c r="E181" s="33" t="s">
        <v>172</v>
      </c>
      <c r="F181" s="34">
        <v>60035.339</v>
      </c>
      <c r="G181" s="34">
        <v>363845.739</v>
      </c>
      <c r="H181" s="34">
        <v>18.780999999999999</v>
      </c>
      <c r="I181" s="33" t="s">
        <v>86</v>
      </c>
      <c r="J181" s="33" t="s">
        <v>90</v>
      </c>
      <c r="K181" s="33">
        <v>23</v>
      </c>
      <c r="L181" s="33">
        <v>1012</v>
      </c>
      <c r="M181" s="33">
        <v>50</v>
      </c>
      <c r="N181" s="33"/>
      <c r="O181" s="93">
        <f>IFERROR(IF(Readings[[#This Row],[Obs. X]]="","-",Readings[[#This Row],[Obs. X]]-_xlfn.XLOOKUP(Readings[[#This Row],[Sensor ID]],Table_Baseline[Sensor ID],Table_Baseline[Easting '[m']],"-")),"-")</f>
        <v>-9.9999999656574801E-4</v>
      </c>
      <c r="P181" s="93">
        <f>IFERROR(IF(Readings[[#This Row],[Obs. Y]]="","-",Readings[[#This Row],[Obs. Y]]-_xlfn.XLOOKUP(Readings[[#This Row],[Sensor ID]],Table_Baseline[Sensor ID],Table_Baseline[Northing '[m']],"-")),"-")</f>
        <v>0</v>
      </c>
      <c r="Q181" s="93">
        <f>IFERROR(IF(Readings[[#This Row],[Obs. Z]]="","-",Readings[[#This Row],[Obs. Z]]-_xlfn.XLOOKUP(Readings[[#This Row],[Sensor ID]],Table_Baseline[Sensor ID],Table_Baseline[Level '[m']],"-")),"-")</f>
        <v>-1.0000000000012221E-3</v>
      </c>
      <c r="R181" s="93">
        <f>IFERROR(IF(Readings[[#This Row],[Reference Angle]]="-","-",(Readings[[#This Row],[Diff E]]*COS(RADIANS(Readings[[#This Row],[Reference Angle]]))-Readings[[#This Row],[Diff N]]*SIN(RADIANS(Readings[[#This Row],[Reference Angle]])))),"-")</f>
        <v>-9.9999999656574801E-4</v>
      </c>
      <c r="S181" s="93">
        <f>IFERROR(IF(Readings[[#This Row],[Reference Angle]]="-","-",(Readings[[#This Row],[Diff E]]*SIN(RADIANS(Readings[[#This Row],[Reference Angle]]))+Readings[[#This Row],[Diff N]]*COS(RADIANS(Readings[[#This Row],[Reference Angle]])))),"-")</f>
        <v>0</v>
      </c>
      <c r="T181" s="94">
        <f>IFERROR(VLOOKUP(Readings[[#This Row],[Sensor ID]],Table_Baseline[],COLUMNS(Table_Baseline[[#Headers],[Sensor ID]:[Reference Angle '[Deg']]]),FALSE),"-")</f>
        <v>0</v>
      </c>
      <c r="U181" s="95" t="str">
        <f>Readings[[#This Row],[Sensor ID]]&amp;"-"&amp;Readings[[#This Row],[Epoch]]</f>
        <v>250-RL-OP-11001-45777.2986111111</v>
      </c>
      <c r="V181" s="99">
        <f ca="1">IF(Readings[[#This Row],[Epoch]]=OFFSET(Readings[[#This Row],[Epoch]],-1,0),0,1)</f>
        <v>0</v>
      </c>
    </row>
    <row r="182" spans="4:22" x14ac:dyDescent="0.2">
      <c r="D182" s="32">
        <v>45777.298611111109</v>
      </c>
      <c r="E182" s="33" t="s">
        <v>173</v>
      </c>
      <c r="F182" s="34">
        <v>60037.803999999996</v>
      </c>
      <c r="G182" s="34">
        <v>363843.658</v>
      </c>
      <c r="H182" s="34">
        <v>18.777999999999999</v>
      </c>
      <c r="I182" s="33" t="s">
        <v>86</v>
      </c>
      <c r="J182" s="33" t="s">
        <v>90</v>
      </c>
      <c r="K182" s="33">
        <v>23</v>
      </c>
      <c r="L182" s="33">
        <v>1012</v>
      </c>
      <c r="M182" s="33">
        <v>50</v>
      </c>
      <c r="N182" s="33"/>
      <c r="O182" s="93">
        <f>IFERROR(IF(Readings[[#This Row],[Obs. X]]="","-",Readings[[#This Row],[Obs. X]]-_xlfn.XLOOKUP(Readings[[#This Row],[Sensor ID]],Table_Baseline[Sensor ID],Table_Baseline[Easting '[m']],"-")),"-")</f>
        <v>-1.0000000038417056E-3</v>
      </c>
      <c r="P182" s="93">
        <f>IFERROR(IF(Readings[[#This Row],[Obs. Y]]="","-",Readings[[#This Row],[Obs. Y]]-_xlfn.XLOOKUP(Readings[[#This Row],[Sensor ID]],Table_Baseline[Sensor ID],Table_Baseline[Northing '[m']],"-")),"-")</f>
        <v>9.9999998928979039E-4</v>
      </c>
      <c r="Q182" s="93">
        <f>IFERROR(IF(Readings[[#This Row],[Obs. Z]]="","-",Readings[[#This Row],[Obs. Z]]-_xlfn.XLOOKUP(Readings[[#This Row],[Sensor ID]],Table_Baseline[Sensor ID],Table_Baseline[Level '[m']],"-")),"-")</f>
        <v>-5.0000000000238742E-4</v>
      </c>
      <c r="R182" s="93">
        <f>IFERROR(IF(Readings[[#This Row],[Reference Angle]]="-","-",(Readings[[#This Row],[Diff E]]*COS(RADIANS(Readings[[#This Row],[Reference Angle]]))-Readings[[#This Row],[Diff N]]*SIN(RADIANS(Readings[[#This Row],[Reference Angle]])))),"-")</f>
        <v>-1.0000000038417056E-3</v>
      </c>
      <c r="S182" s="93">
        <f>IFERROR(IF(Readings[[#This Row],[Reference Angle]]="-","-",(Readings[[#This Row],[Diff E]]*SIN(RADIANS(Readings[[#This Row],[Reference Angle]]))+Readings[[#This Row],[Diff N]]*COS(RADIANS(Readings[[#This Row],[Reference Angle]])))),"-")</f>
        <v>9.9999998928979039E-4</v>
      </c>
      <c r="T182" s="94">
        <f>IFERROR(VLOOKUP(Readings[[#This Row],[Sensor ID]],Table_Baseline[],COLUMNS(Table_Baseline[[#Headers],[Sensor ID]:[Reference Angle '[Deg']]]),FALSE),"-")</f>
        <v>0</v>
      </c>
      <c r="U182" s="95" t="str">
        <f>Readings[[#This Row],[Sensor ID]]&amp;"-"&amp;Readings[[#This Row],[Epoch]]</f>
        <v>250-RL-OP-11004-45777.2986111111</v>
      </c>
      <c r="V182" s="99">
        <f ca="1">IF(Readings[[#This Row],[Epoch]]=OFFSET(Readings[[#This Row],[Epoch]],-1,0),0,1)</f>
        <v>0</v>
      </c>
    </row>
    <row r="183" spans="4:22" x14ac:dyDescent="0.2">
      <c r="D183" s="32">
        <v>45777.298611111109</v>
      </c>
      <c r="E183" s="33" t="s">
        <v>174</v>
      </c>
      <c r="F183" s="34">
        <v>60038.116999999998</v>
      </c>
      <c r="G183" s="34">
        <v>363844.94500000001</v>
      </c>
      <c r="H183" s="34">
        <v>18.777999999999999</v>
      </c>
      <c r="I183" s="33" t="s">
        <v>86</v>
      </c>
      <c r="J183" s="33" t="s">
        <v>90</v>
      </c>
      <c r="K183" s="33">
        <v>23</v>
      </c>
      <c r="L183" s="33">
        <v>1012</v>
      </c>
      <c r="M183" s="33">
        <v>50</v>
      </c>
      <c r="N183" s="33"/>
      <c r="O183" s="93">
        <f>IFERROR(IF(Readings[[#This Row],[Obs. X]]="","-",Readings[[#This Row],[Obs. X]]-_xlfn.XLOOKUP(Readings[[#This Row],[Sensor ID]],Table_Baseline[Sensor ID],Table_Baseline[Easting '[m']],"-")),"-")</f>
        <v>-1.0000000038417056E-3</v>
      </c>
      <c r="P183" s="93">
        <f>IFERROR(IF(Readings[[#This Row],[Obs. Y]]="","-",Readings[[#This Row],[Obs. Y]]-_xlfn.XLOOKUP(Readings[[#This Row],[Sensor ID]],Table_Baseline[Sensor ID],Table_Baseline[Northing '[m']],"-")),"-")</f>
        <v>0</v>
      </c>
      <c r="Q183" s="93">
        <f>IFERROR(IF(Readings[[#This Row],[Obs. Z]]="","-",Readings[[#This Row],[Obs. Z]]-_xlfn.XLOOKUP(Readings[[#This Row],[Sensor ID]],Table_Baseline[Sensor ID],Table_Baseline[Level '[m']],"-")),"-")</f>
        <v>-8.0000000000168825E-4</v>
      </c>
      <c r="R183" s="93">
        <f>IFERROR(IF(Readings[[#This Row],[Reference Angle]]="-","-",(Readings[[#This Row],[Diff E]]*COS(RADIANS(Readings[[#This Row],[Reference Angle]]))-Readings[[#This Row],[Diff N]]*SIN(RADIANS(Readings[[#This Row],[Reference Angle]])))),"-")</f>
        <v>-1.0000000038417056E-3</v>
      </c>
      <c r="S183" s="93">
        <f>IFERROR(IF(Readings[[#This Row],[Reference Angle]]="-","-",(Readings[[#This Row],[Diff E]]*SIN(RADIANS(Readings[[#This Row],[Reference Angle]]))+Readings[[#This Row],[Diff N]]*COS(RADIANS(Readings[[#This Row],[Reference Angle]])))),"-")</f>
        <v>0</v>
      </c>
      <c r="T183" s="94">
        <f>IFERROR(VLOOKUP(Readings[[#This Row],[Sensor ID]],Table_Baseline[],COLUMNS(Table_Baseline[[#Headers],[Sensor ID]:[Reference Angle '[Deg']]]),FALSE),"-")</f>
        <v>0</v>
      </c>
      <c r="U183" s="95" t="str">
        <f>Readings[[#This Row],[Sensor ID]]&amp;"-"&amp;Readings[[#This Row],[Epoch]]</f>
        <v>250-RL-OP-11003-45777.2986111111</v>
      </c>
      <c r="V183" s="99">
        <f ca="1">IF(Readings[[#This Row],[Epoch]]=OFFSET(Readings[[#This Row],[Epoch]],-1,0),0,1)</f>
        <v>0</v>
      </c>
    </row>
    <row r="184" spans="4:22" x14ac:dyDescent="0.2">
      <c r="D184" s="32">
        <v>45777.298611111109</v>
      </c>
      <c r="E184" s="33" t="s">
        <v>175</v>
      </c>
      <c r="F184" s="34">
        <v>60040.606</v>
      </c>
      <c r="G184" s="34">
        <v>363842.86199999996</v>
      </c>
      <c r="H184" s="34">
        <v>18.771000000000001</v>
      </c>
      <c r="I184" s="33" t="s">
        <v>86</v>
      </c>
      <c r="J184" s="33" t="s">
        <v>90</v>
      </c>
      <c r="K184" s="33">
        <v>23</v>
      </c>
      <c r="L184" s="33">
        <v>1012</v>
      </c>
      <c r="M184" s="33">
        <v>50</v>
      </c>
      <c r="N184" s="33"/>
      <c r="O184" s="93">
        <f>IFERROR(IF(Readings[[#This Row],[Obs. X]]="","-",Readings[[#This Row],[Obs. X]]-_xlfn.XLOOKUP(Readings[[#This Row],[Sensor ID]],Table_Baseline[Sensor ID],Table_Baseline[Easting '[m']],"-")),"-")</f>
        <v>-1.0000000038417056E-3</v>
      </c>
      <c r="P184" s="93">
        <f>IFERROR(IF(Readings[[#This Row],[Obs. Y]]="","-",Readings[[#This Row],[Obs. Y]]-_xlfn.XLOOKUP(Readings[[#This Row],[Sensor ID]],Table_Baseline[Sensor ID],Table_Baseline[Northing '[m']],"-")),"-")</f>
        <v>9.9999993108212948E-4</v>
      </c>
      <c r="Q184" s="93">
        <f>IFERROR(IF(Readings[[#This Row],[Obs. Z]]="","-",Readings[[#This Row],[Obs. Z]]-_xlfn.XLOOKUP(Readings[[#This Row],[Sensor ID]],Table_Baseline[Sensor ID],Table_Baseline[Level '[m']],"-")),"-")</f>
        <v>-9.9999999999766942E-4</v>
      </c>
      <c r="R184" s="93">
        <f>IFERROR(IF(Readings[[#This Row],[Reference Angle]]="-","-",(Readings[[#This Row],[Diff E]]*COS(RADIANS(Readings[[#This Row],[Reference Angle]]))-Readings[[#This Row],[Diff N]]*SIN(RADIANS(Readings[[#This Row],[Reference Angle]])))),"-")</f>
        <v>-1.0000000038417056E-3</v>
      </c>
      <c r="S184" s="93">
        <f>IFERROR(IF(Readings[[#This Row],[Reference Angle]]="-","-",(Readings[[#This Row],[Diff E]]*SIN(RADIANS(Readings[[#This Row],[Reference Angle]]))+Readings[[#This Row],[Diff N]]*COS(RADIANS(Readings[[#This Row],[Reference Angle]])))),"-")</f>
        <v>9.9999993108212948E-4</v>
      </c>
      <c r="T184" s="94">
        <f>IFERROR(VLOOKUP(Readings[[#This Row],[Sensor ID]],Table_Baseline[],COLUMNS(Table_Baseline[[#Headers],[Sensor ID]:[Reference Angle '[Deg']]]),FALSE),"-")</f>
        <v>0</v>
      </c>
      <c r="U184" s="95" t="str">
        <f>Readings[[#This Row],[Sensor ID]]&amp;"-"&amp;Readings[[#This Row],[Epoch]]</f>
        <v>250-RL-OP-11006-45777.2986111111</v>
      </c>
      <c r="V184" s="99">
        <f ca="1">IF(Readings[[#This Row],[Epoch]]=OFFSET(Readings[[#This Row],[Epoch]],-1,0),0,1)</f>
        <v>0</v>
      </c>
    </row>
    <row r="185" spans="4:22" x14ac:dyDescent="0.2">
      <c r="D185" s="32">
        <v>45777.298611111109</v>
      </c>
      <c r="E185" s="33" t="s">
        <v>176</v>
      </c>
      <c r="F185" s="34">
        <v>60040.968000000001</v>
      </c>
      <c r="G185" s="34">
        <v>363844.11800000002</v>
      </c>
      <c r="H185" s="34">
        <v>18.777999999999999</v>
      </c>
      <c r="I185" s="33" t="s">
        <v>86</v>
      </c>
      <c r="J185" s="33" t="s">
        <v>90</v>
      </c>
      <c r="K185" s="33">
        <v>23</v>
      </c>
      <c r="L185" s="33">
        <v>1012</v>
      </c>
      <c r="M185" s="33">
        <v>50</v>
      </c>
      <c r="N185" s="33"/>
      <c r="O185" s="93">
        <f>IFERROR(IF(Readings[[#This Row],[Obs. X]]="","-",Readings[[#This Row],[Obs. X]]-_xlfn.XLOOKUP(Readings[[#This Row],[Sensor ID]],Table_Baseline[Sensor ID],Table_Baseline[Easting '[m']],"-")),"-")</f>
        <v>-9.9999999656574801E-4</v>
      </c>
      <c r="P185" s="93">
        <f>IFERROR(IF(Readings[[#This Row],[Obs. Y]]="","-",Readings[[#This Row],[Obs. Y]]-_xlfn.XLOOKUP(Readings[[#This Row],[Sensor ID]],Table_Baseline[Sensor ID],Table_Baseline[Northing '[m']],"-")),"-")</f>
        <v>0</v>
      </c>
      <c r="Q185" s="93">
        <f>IFERROR(IF(Readings[[#This Row],[Obs. Z]]="","-",Readings[[#This Row],[Obs. Z]]-_xlfn.XLOOKUP(Readings[[#This Row],[Sensor ID]],Table_Baseline[Sensor ID],Table_Baseline[Level '[m']],"-")),"-")</f>
        <v>-1.0000000000012221E-3</v>
      </c>
      <c r="R185" s="93">
        <f>IFERROR(IF(Readings[[#This Row],[Reference Angle]]="-","-",(Readings[[#This Row],[Diff E]]*COS(RADIANS(Readings[[#This Row],[Reference Angle]]))-Readings[[#This Row],[Diff N]]*SIN(RADIANS(Readings[[#This Row],[Reference Angle]])))),"-")</f>
        <v>-9.9999999656574801E-4</v>
      </c>
      <c r="S185" s="93">
        <f>IFERROR(IF(Readings[[#This Row],[Reference Angle]]="-","-",(Readings[[#This Row],[Diff E]]*SIN(RADIANS(Readings[[#This Row],[Reference Angle]]))+Readings[[#This Row],[Diff N]]*COS(RADIANS(Readings[[#This Row],[Reference Angle]])))),"-")</f>
        <v>0</v>
      </c>
      <c r="T185" s="94">
        <f>IFERROR(VLOOKUP(Readings[[#This Row],[Sensor ID]],Table_Baseline[],COLUMNS(Table_Baseline[[#Headers],[Sensor ID]:[Reference Angle '[Deg']]]),FALSE),"-")</f>
        <v>0</v>
      </c>
      <c r="U185" s="95" t="str">
        <f>Readings[[#This Row],[Sensor ID]]&amp;"-"&amp;Readings[[#This Row],[Epoch]]</f>
        <v>250-RL-OP-11005-45777.2986111111</v>
      </c>
      <c r="V185" s="99">
        <f ca="1">IF(Readings[[#This Row],[Epoch]]=OFFSET(Readings[[#This Row],[Epoch]],-1,0),0,1)</f>
        <v>0</v>
      </c>
    </row>
    <row r="186" spans="4:22" x14ac:dyDescent="0.2">
      <c r="D186" s="32">
        <v>45777.298611111109</v>
      </c>
      <c r="E186" s="33" t="s">
        <v>177</v>
      </c>
      <c r="F186" s="34">
        <v>60043.44</v>
      </c>
      <c r="G186" s="34">
        <v>363842.04099999997</v>
      </c>
      <c r="H186" s="34">
        <v>18.768000000000001</v>
      </c>
      <c r="I186" s="33" t="s">
        <v>86</v>
      </c>
      <c r="J186" s="33" t="s">
        <v>90</v>
      </c>
      <c r="K186" s="33">
        <v>23</v>
      </c>
      <c r="L186" s="33">
        <v>1012</v>
      </c>
      <c r="M186" s="33">
        <v>50</v>
      </c>
      <c r="N186" s="33"/>
      <c r="O186" s="93">
        <f>IFERROR(IF(Readings[[#This Row],[Obs. X]]="","-",Readings[[#This Row],[Obs. X]]-_xlfn.XLOOKUP(Readings[[#This Row],[Sensor ID]],Table_Baseline[Sensor ID],Table_Baseline[Easting '[m']],"-")),"-")</f>
        <v>-9.9999999656574801E-4</v>
      </c>
      <c r="P186" s="93">
        <f>IFERROR(IF(Readings[[#This Row],[Obs. Y]]="","-",Readings[[#This Row],[Obs. Y]]-_xlfn.XLOOKUP(Readings[[#This Row],[Sensor ID]],Table_Baseline[Sensor ID],Table_Baseline[Northing '[m']],"-")),"-")</f>
        <v>9.9999993108212948E-4</v>
      </c>
      <c r="Q186" s="93">
        <f>IFERROR(IF(Readings[[#This Row],[Obs. Z]]="","-",Readings[[#This Row],[Obs. Z]]-_xlfn.XLOOKUP(Readings[[#This Row],[Sensor ID]],Table_Baseline[Sensor ID],Table_Baseline[Level '[m']],"-")),"-")</f>
        <v>-2.9999999999930083E-4</v>
      </c>
      <c r="R186" s="93">
        <f>IFERROR(IF(Readings[[#This Row],[Reference Angle]]="-","-",(Readings[[#This Row],[Diff E]]*COS(RADIANS(Readings[[#This Row],[Reference Angle]]))-Readings[[#This Row],[Diff N]]*SIN(RADIANS(Readings[[#This Row],[Reference Angle]])))),"-")</f>
        <v>-9.9999999656574801E-4</v>
      </c>
      <c r="S186" s="93">
        <f>IFERROR(IF(Readings[[#This Row],[Reference Angle]]="-","-",(Readings[[#This Row],[Diff E]]*SIN(RADIANS(Readings[[#This Row],[Reference Angle]]))+Readings[[#This Row],[Diff N]]*COS(RADIANS(Readings[[#This Row],[Reference Angle]])))),"-")</f>
        <v>9.9999993108212948E-4</v>
      </c>
      <c r="T186" s="94">
        <f>IFERROR(VLOOKUP(Readings[[#This Row],[Sensor ID]],Table_Baseline[],COLUMNS(Table_Baseline[[#Headers],[Sensor ID]:[Reference Angle '[Deg']]]),FALSE),"-")</f>
        <v>0</v>
      </c>
      <c r="U186" s="95" t="str">
        <f>Readings[[#This Row],[Sensor ID]]&amp;"-"&amp;Readings[[#This Row],[Epoch]]</f>
        <v>250-RL-OP-11008-45777.2986111111</v>
      </c>
      <c r="V186" s="99">
        <f ca="1">IF(Readings[[#This Row],[Epoch]]=OFFSET(Readings[[#This Row],[Epoch]],-1,0),0,1)</f>
        <v>0</v>
      </c>
    </row>
    <row r="187" spans="4:22" x14ac:dyDescent="0.2">
      <c r="D187" s="32">
        <v>45777.298611111109</v>
      </c>
      <c r="E187" s="33" t="s">
        <v>178</v>
      </c>
      <c r="F187" s="34">
        <v>60043.758000000002</v>
      </c>
      <c r="G187" s="34">
        <v>363843.315</v>
      </c>
      <c r="H187" s="34">
        <v>18.774000000000001</v>
      </c>
      <c r="I187" s="33" t="s">
        <v>86</v>
      </c>
      <c r="J187" s="33" t="s">
        <v>90</v>
      </c>
      <c r="K187" s="33">
        <v>23</v>
      </c>
      <c r="L187" s="33">
        <v>1012</v>
      </c>
      <c r="M187" s="33">
        <v>50</v>
      </c>
      <c r="N187" s="33"/>
      <c r="O187" s="93">
        <f>IFERROR(IF(Readings[[#This Row],[Obs. X]]="","-",Readings[[#This Row],[Obs. X]]-_xlfn.XLOOKUP(Readings[[#This Row],[Sensor ID]],Table_Baseline[Sensor ID],Table_Baseline[Easting '[m']],"-")),"-")</f>
        <v>-9.9999999656574801E-4</v>
      </c>
      <c r="P187" s="93">
        <f>IFERROR(IF(Readings[[#This Row],[Obs. Y]]="","-",Readings[[#This Row],[Obs. Y]]-_xlfn.XLOOKUP(Readings[[#This Row],[Sensor ID]],Table_Baseline[Sensor ID],Table_Baseline[Northing '[m']],"-")),"-")</f>
        <v>9.9999998928979039E-4</v>
      </c>
      <c r="Q187" s="93">
        <f>IFERROR(IF(Readings[[#This Row],[Obs. Z]]="","-",Readings[[#This Row],[Obs. Z]]-_xlfn.XLOOKUP(Readings[[#This Row],[Sensor ID]],Table_Baseline[Sensor ID],Table_Baseline[Level '[m']],"-")),"-")</f>
        <v>-9.9999999999766942E-5</v>
      </c>
      <c r="R187" s="93">
        <f>IFERROR(IF(Readings[[#This Row],[Reference Angle]]="-","-",(Readings[[#This Row],[Diff E]]*COS(RADIANS(Readings[[#This Row],[Reference Angle]]))-Readings[[#This Row],[Diff N]]*SIN(RADIANS(Readings[[#This Row],[Reference Angle]])))),"-")</f>
        <v>-9.9999999656574801E-4</v>
      </c>
      <c r="S187" s="93">
        <f>IFERROR(IF(Readings[[#This Row],[Reference Angle]]="-","-",(Readings[[#This Row],[Diff E]]*SIN(RADIANS(Readings[[#This Row],[Reference Angle]]))+Readings[[#This Row],[Diff N]]*COS(RADIANS(Readings[[#This Row],[Reference Angle]])))),"-")</f>
        <v>9.9999998928979039E-4</v>
      </c>
      <c r="T187" s="94">
        <f>IFERROR(VLOOKUP(Readings[[#This Row],[Sensor ID]],Table_Baseline[],COLUMNS(Table_Baseline[[#Headers],[Sensor ID]:[Reference Angle '[Deg']]]),FALSE),"-")</f>
        <v>0</v>
      </c>
      <c r="U187" s="95" t="str">
        <f>Readings[[#This Row],[Sensor ID]]&amp;"-"&amp;Readings[[#This Row],[Epoch]]</f>
        <v>250-RL-OP-11007-45777.2986111111</v>
      </c>
      <c r="V187" s="99">
        <f ca="1">IF(Readings[[#This Row],[Epoch]]=OFFSET(Readings[[#This Row],[Epoch]],-1,0),0,1)</f>
        <v>0</v>
      </c>
    </row>
    <row r="188" spans="4:22" x14ac:dyDescent="0.2">
      <c r="D188" s="32">
        <v>45777.298611111109</v>
      </c>
      <c r="E188" s="33" t="s">
        <v>179</v>
      </c>
      <c r="F188" s="34">
        <v>60046.249000000003</v>
      </c>
      <c r="G188" s="34">
        <v>363841.22600000002</v>
      </c>
      <c r="H188" s="34">
        <v>18.77</v>
      </c>
      <c r="I188" s="33" t="s">
        <v>86</v>
      </c>
      <c r="J188" s="33" t="s">
        <v>90</v>
      </c>
      <c r="K188" s="33">
        <v>23</v>
      </c>
      <c r="L188" s="33">
        <v>1012</v>
      </c>
      <c r="M188" s="33">
        <v>50</v>
      </c>
      <c r="N188" s="33"/>
      <c r="O188" s="93">
        <f>IFERROR(IF(Readings[[#This Row],[Obs. X]]="","-",Readings[[#This Row],[Obs. X]]-_xlfn.XLOOKUP(Readings[[#This Row],[Sensor ID]],Table_Baseline[Sensor ID],Table_Baseline[Easting '[m']],"-")),"-")</f>
        <v>-9.9999999656574801E-4</v>
      </c>
      <c r="P188" s="93">
        <f>IFERROR(IF(Readings[[#This Row],[Obs. Y]]="","-",Readings[[#This Row],[Obs. Y]]-_xlfn.XLOOKUP(Readings[[#This Row],[Sensor ID]],Table_Baseline[Sensor ID],Table_Baseline[Northing '[m']],"-")),"-")</f>
        <v>0</v>
      </c>
      <c r="Q188" s="93">
        <f>IFERROR(IF(Readings[[#This Row],[Obs. Z]]="","-",Readings[[#This Row],[Obs. Z]]-_xlfn.XLOOKUP(Readings[[#This Row],[Sensor ID]],Table_Baseline[Sensor ID],Table_Baseline[Level '[m']],"-")),"-")</f>
        <v>1.9999999999953388E-4</v>
      </c>
      <c r="R188" s="93">
        <f>IFERROR(IF(Readings[[#This Row],[Reference Angle]]="-","-",(Readings[[#This Row],[Diff E]]*COS(RADIANS(Readings[[#This Row],[Reference Angle]]))-Readings[[#This Row],[Diff N]]*SIN(RADIANS(Readings[[#This Row],[Reference Angle]])))),"-")</f>
        <v>-9.9999999656574801E-4</v>
      </c>
      <c r="S188" s="93">
        <f>IFERROR(IF(Readings[[#This Row],[Reference Angle]]="-","-",(Readings[[#This Row],[Diff E]]*SIN(RADIANS(Readings[[#This Row],[Reference Angle]]))+Readings[[#This Row],[Diff N]]*COS(RADIANS(Readings[[#This Row],[Reference Angle]])))),"-")</f>
        <v>0</v>
      </c>
      <c r="T188" s="94">
        <f>IFERROR(VLOOKUP(Readings[[#This Row],[Sensor ID]],Table_Baseline[],COLUMNS(Table_Baseline[[#Headers],[Sensor ID]:[Reference Angle '[Deg']]]),FALSE),"-")</f>
        <v>0</v>
      </c>
      <c r="U188" s="95" t="str">
        <f>Readings[[#This Row],[Sensor ID]]&amp;"-"&amp;Readings[[#This Row],[Epoch]]</f>
        <v>250-RL-OP-11010-45777.2986111111</v>
      </c>
      <c r="V188" s="99">
        <f ca="1">IF(Readings[[#This Row],[Epoch]]=OFFSET(Readings[[#This Row],[Epoch]],-1,0),0,1)</f>
        <v>0</v>
      </c>
    </row>
    <row r="189" spans="4:22" x14ac:dyDescent="0.2">
      <c r="D189" s="32">
        <v>45777.298611111109</v>
      </c>
      <c r="E189" s="33" t="s">
        <v>180</v>
      </c>
      <c r="F189" s="34">
        <v>60046.631999999998</v>
      </c>
      <c r="G189" s="34">
        <v>363842.48499999999</v>
      </c>
      <c r="H189" s="34">
        <v>18.777000000000001</v>
      </c>
      <c r="I189" s="33" t="s">
        <v>86</v>
      </c>
      <c r="J189" s="33" t="s">
        <v>90</v>
      </c>
      <c r="K189" s="33">
        <v>23</v>
      </c>
      <c r="L189" s="33">
        <v>1012</v>
      </c>
      <c r="M189" s="33">
        <v>50</v>
      </c>
      <c r="N189" s="33"/>
      <c r="O189" s="93">
        <f>IFERROR(IF(Readings[[#This Row],[Obs. X]]="","-",Readings[[#This Row],[Obs. X]]-_xlfn.XLOOKUP(Readings[[#This Row],[Sensor ID]],Table_Baseline[Sensor ID],Table_Baseline[Easting '[m']],"-")),"-")</f>
        <v>-1.0000000038417056E-3</v>
      </c>
      <c r="P189" s="93">
        <f>IFERROR(IF(Readings[[#This Row],[Obs. Y]]="","-",Readings[[#This Row],[Obs. Y]]-_xlfn.XLOOKUP(Readings[[#This Row],[Sensor ID]],Table_Baseline[Sensor ID],Table_Baseline[Northing '[m']],"-")),"-")</f>
        <v>0</v>
      </c>
      <c r="Q189" s="93">
        <f>IFERROR(IF(Readings[[#This Row],[Obs. Z]]="","-",Readings[[#This Row],[Obs. Z]]-_xlfn.XLOOKUP(Readings[[#This Row],[Sensor ID]],Table_Baseline[Sensor ID],Table_Baseline[Level '[m']],"-")),"-")</f>
        <v>-5.9999999999860165E-4</v>
      </c>
      <c r="R189" s="93">
        <f>IFERROR(IF(Readings[[#This Row],[Reference Angle]]="-","-",(Readings[[#This Row],[Diff E]]*COS(RADIANS(Readings[[#This Row],[Reference Angle]]))-Readings[[#This Row],[Diff N]]*SIN(RADIANS(Readings[[#This Row],[Reference Angle]])))),"-")</f>
        <v>-1.0000000038417056E-3</v>
      </c>
      <c r="S189" s="93">
        <f>IFERROR(IF(Readings[[#This Row],[Reference Angle]]="-","-",(Readings[[#This Row],[Diff E]]*SIN(RADIANS(Readings[[#This Row],[Reference Angle]]))+Readings[[#This Row],[Diff N]]*COS(RADIANS(Readings[[#This Row],[Reference Angle]])))),"-")</f>
        <v>0</v>
      </c>
      <c r="T189" s="94">
        <f>IFERROR(VLOOKUP(Readings[[#This Row],[Sensor ID]],Table_Baseline[],COLUMNS(Table_Baseline[[#Headers],[Sensor ID]:[Reference Angle '[Deg']]]),FALSE),"-")</f>
        <v>0</v>
      </c>
      <c r="U189" s="95" t="str">
        <f>Readings[[#This Row],[Sensor ID]]&amp;"-"&amp;Readings[[#This Row],[Epoch]]</f>
        <v>250-RL-OP-11009-45777.2986111111</v>
      </c>
      <c r="V189" s="99">
        <f ca="1">IF(Readings[[#This Row],[Epoch]]=OFFSET(Readings[[#This Row],[Epoch]],-1,0),0,1)</f>
        <v>0</v>
      </c>
    </row>
    <row r="190" spans="4:22" x14ac:dyDescent="0.2">
      <c r="D190" s="32">
        <v>45777.298611111109</v>
      </c>
      <c r="E190" s="33" t="s">
        <v>181</v>
      </c>
      <c r="F190" s="34">
        <v>60049.04</v>
      </c>
      <c r="G190" s="34">
        <v>363840.43400000001</v>
      </c>
      <c r="H190" s="34">
        <v>18.771000000000001</v>
      </c>
      <c r="I190" s="33" t="s">
        <v>86</v>
      </c>
      <c r="J190" s="33" t="s">
        <v>90</v>
      </c>
      <c r="K190" s="33">
        <v>23</v>
      </c>
      <c r="L190" s="33">
        <v>1012</v>
      </c>
      <c r="M190" s="33">
        <v>50</v>
      </c>
      <c r="N190" s="33"/>
      <c r="O190" s="93">
        <f>IFERROR(IF(Readings[[#This Row],[Obs. X]]="","-",Readings[[#This Row],[Obs. X]]-_xlfn.XLOOKUP(Readings[[#This Row],[Sensor ID]],Table_Baseline[Sensor ID],Table_Baseline[Easting '[m']],"-")),"-")</f>
        <v>-9.9999999656574801E-4</v>
      </c>
      <c r="P190" s="93">
        <f>IFERROR(IF(Readings[[#This Row],[Obs. Y]]="","-",Readings[[#This Row],[Obs. Y]]-_xlfn.XLOOKUP(Readings[[#This Row],[Sensor ID]],Table_Baseline[Sensor ID],Table_Baseline[Northing '[m']],"-")),"-")</f>
        <v>1.0000000474974513E-3</v>
      </c>
      <c r="Q190" s="93">
        <f>IFERROR(IF(Readings[[#This Row],[Obs. Z]]="","-",Readings[[#This Row],[Obs. Z]]-_xlfn.XLOOKUP(Readings[[#This Row],[Sensor ID]],Table_Baseline[Sensor ID],Table_Baseline[Level '[m']],"-")),"-")</f>
        <v>-9.9999999999766942E-5</v>
      </c>
      <c r="R190" s="93">
        <f>IFERROR(IF(Readings[[#This Row],[Reference Angle]]="-","-",(Readings[[#This Row],[Diff E]]*COS(RADIANS(Readings[[#This Row],[Reference Angle]]))-Readings[[#This Row],[Diff N]]*SIN(RADIANS(Readings[[#This Row],[Reference Angle]])))),"-")</f>
        <v>-9.9999999656574801E-4</v>
      </c>
      <c r="S190" s="93">
        <f>IFERROR(IF(Readings[[#This Row],[Reference Angle]]="-","-",(Readings[[#This Row],[Diff E]]*SIN(RADIANS(Readings[[#This Row],[Reference Angle]]))+Readings[[#This Row],[Diff N]]*COS(RADIANS(Readings[[#This Row],[Reference Angle]])))),"-")</f>
        <v>1.0000000474974513E-3</v>
      </c>
      <c r="T190" s="94">
        <f>IFERROR(VLOOKUP(Readings[[#This Row],[Sensor ID]],Table_Baseline[],COLUMNS(Table_Baseline[[#Headers],[Sensor ID]:[Reference Angle '[Deg']]]),FALSE),"-")</f>
        <v>0</v>
      </c>
      <c r="U190" s="95" t="str">
        <f>Readings[[#This Row],[Sensor ID]]&amp;"-"&amp;Readings[[#This Row],[Epoch]]</f>
        <v>250-RL-OP-11012-45777.2986111111</v>
      </c>
      <c r="V190" s="99">
        <f ca="1">IF(Readings[[#This Row],[Epoch]]=OFFSET(Readings[[#This Row],[Epoch]],-1,0),0,1)</f>
        <v>0</v>
      </c>
    </row>
    <row r="191" spans="4:22" x14ac:dyDescent="0.2">
      <c r="D191" s="32">
        <v>45777.298611111109</v>
      </c>
      <c r="E191" s="33" t="s">
        <v>182</v>
      </c>
      <c r="F191" s="34">
        <v>60049.398000000001</v>
      </c>
      <c r="G191" s="34">
        <v>363841.69799999997</v>
      </c>
      <c r="H191" s="34">
        <v>18.777999999999999</v>
      </c>
      <c r="I191" s="33" t="s">
        <v>86</v>
      </c>
      <c r="J191" s="33" t="s">
        <v>90</v>
      </c>
      <c r="K191" s="33">
        <v>23</v>
      </c>
      <c r="L191" s="33">
        <v>1012</v>
      </c>
      <c r="M191" s="33">
        <v>50</v>
      </c>
      <c r="N191" s="33"/>
      <c r="O191" s="93">
        <f>IFERROR(IF(Readings[[#This Row],[Obs. X]]="","-",Readings[[#This Row],[Obs. X]]-_xlfn.XLOOKUP(Readings[[#This Row],[Sensor ID]],Table_Baseline[Sensor ID],Table_Baseline[Easting '[m']],"-")),"-")</f>
        <v>-9.9999999656574801E-4</v>
      </c>
      <c r="P191" s="93">
        <f>IFERROR(IF(Readings[[#This Row],[Obs. Y]]="","-",Readings[[#This Row],[Obs. Y]]-_xlfn.XLOOKUP(Readings[[#This Row],[Sensor ID]],Table_Baseline[Sensor ID],Table_Baseline[Northing '[m']],"-")),"-")</f>
        <v>0</v>
      </c>
      <c r="Q191" s="93">
        <f>IFERROR(IF(Readings[[#This Row],[Obs. Z]]="","-",Readings[[#This Row],[Obs. Z]]-_xlfn.XLOOKUP(Readings[[#This Row],[Sensor ID]],Table_Baseline[Sensor ID],Table_Baseline[Level '[m']],"-")),"-")</f>
        <v>0</v>
      </c>
      <c r="R191" s="93">
        <f>IFERROR(IF(Readings[[#This Row],[Reference Angle]]="-","-",(Readings[[#This Row],[Diff E]]*COS(RADIANS(Readings[[#This Row],[Reference Angle]]))-Readings[[#This Row],[Diff N]]*SIN(RADIANS(Readings[[#This Row],[Reference Angle]])))),"-")</f>
        <v>-9.9999999656574801E-4</v>
      </c>
      <c r="S191" s="93">
        <f>IFERROR(IF(Readings[[#This Row],[Reference Angle]]="-","-",(Readings[[#This Row],[Diff E]]*SIN(RADIANS(Readings[[#This Row],[Reference Angle]]))+Readings[[#This Row],[Diff N]]*COS(RADIANS(Readings[[#This Row],[Reference Angle]])))),"-")</f>
        <v>0</v>
      </c>
      <c r="T191" s="94">
        <f>IFERROR(VLOOKUP(Readings[[#This Row],[Sensor ID]],Table_Baseline[],COLUMNS(Table_Baseline[[#Headers],[Sensor ID]:[Reference Angle '[Deg']]]),FALSE),"-")</f>
        <v>0</v>
      </c>
      <c r="U191" s="95" t="str">
        <f>Readings[[#This Row],[Sensor ID]]&amp;"-"&amp;Readings[[#This Row],[Epoch]]</f>
        <v>250-RL-OP-11011-45777.2986111111</v>
      </c>
      <c r="V191" s="99">
        <f ca="1">IF(Readings[[#This Row],[Epoch]]=OFFSET(Readings[[#This Row],[Epoch]],-1,0),0,1)</f>
        <v>0</v>
      </c>
    </row>
    <row r="192" spans="4:22" x14ac:dyDescent="0.2">
      <c r="D192" s="32">
        <v>45777.298611111109</v>
      </c>
      <c r="E192" s="33" t="s">
        <v>183</v>
      </c>
      <c r="F192" s="34">
        <v>60051.987999999998</v>
      </c>
      <c r="G192" s="34">
        <v>363839.60399999999</v>
      </c>
      <c r="H192" s="34">
        <v>18.77</v>
      </c>
      <c r="I192" s="33" t="s">
        <v>86</v>
      </c>
      <c r="J192" s="33" t="s">
        <v>90</v>
      </c>
      <c r="K192" s="33">
        <v>23</v>
      </c>
      <c r="L192" s="33">
        <v>1012</v>
      </c>
      <c r="M192" s="33">
        <v>50</v>
      </c>
      <c r="N192" s="33"/>
      <c r="O192" s="93">
        <f>IFERROR(IF(Readings[[#This Row],[Obs. X]]="","-",Readings[[#This Row],[Obs. X]]-_xlfn.XLOOKUP(Readings[[#This Row],[Sensor ID]],Table_Baseline[Sensor ID],Table_Baseline[Easting '[m']],"-")),"-")</f>
        <v>-1.0000000038417056E-3</v>
      </c>
      <c r="P192" s="93">
        <f>IFERROR(IF(Readings[[#This Row],[Obs. Y]]="","-",Readings[[#This Row],[Obs. Y]]-_xlfn.XLOOKUP(Readings[[#This Row],[Sensor ID]],Table_Baseline[Sensor ID],Table_Baseline[Northing '[m']],"-")),"-")</f>
        <v>9.9999998928979039E-4</v>
      </c>
      <c r="Q192" s="93">
        <f>IFERROR(IF(Readings[[#This Row],[Obs. Z]]="","-",Readings[[#This Row],[Obs. Z]]-_xlfn.XLOOKUP(Readings[[#This Row],[Sensor ID]],Table_Baseline[Sensor ID],Table_Baseline[Level '[m']],"-")),"-")</f>
        <v>-9.9999999999766942E-5</v>
      </c>
      <c r="R192" s="93">
        <f>IFERROR(IF(Readings[[#This Row],[Reference Angle]]="-","-",(Readings[[#This Row],[Diff E]]*COS(RADIANS(Readings[[#This Row],[Reference Angle]]))-Readings[[#This Row],[Diff N]]*SIN(RADIANS(Readings[[#This Row],[Reference Angle]])))),"-")</f>
        <v>-1.0000000038417056E-3</v>
      </c>
      <c r="S192" s="93">
        <f>IFERROR(IF(Readings[[#This Row],[Reference Angle]]="-","-",(Readings[[#This Row],[Diff E]]*SIN(RADIANS(Readings[[#This Row],[Reference Angle]]))+Readings[[#This Row],[Diff N]]*COS(RADIANS(Readings[[#This Row],[Reference Angle]])))),"-")</f>
        <v>9.9999998928979039E-4</v>
      </c>
      <c r="T192" s="94">
        <f>IFERROR(VLOOKUP(Readings[[#This Row],[Sensor ID]],Table_Baseline[],COLUMNS(Table_Baseline[[#Headers],[Sensor ID]:[Reference Angle '[Deg']]]),FALSE),"-")</f>
        <v>0</v>
      </c>
      <c r="U192" s="95" t="str">
        <f>Readings[[#This Row],[Sensor ID]]&amp;"-"&amp;Readings[[#This Row],[Epoch]]</f>
        <v>250-RL-OP-11014-45777.2986111111</v>
      </c>
      <c r="V192" s="99">
        <f ca="1">IF(Readings[[#This Row],[Epoch]]=OFFSET(Readings[[#This Row],[Epoch]],-1,0),0,1)</f>
        <v>0</v>
      </c>
    </row>
    <row r="193" spans="4:22" x14ac:dyDescent="0.2">
      <c r="D193" s="32">
        <v>45777.298611111109</v>
      </c>
      <c r="E193" s="33" t="s">
        <v>184</v>
      </c>
      <c r="F193" s="34">
        <v>60052.292000000001</v>
      </c>
      <c r="G193" s="34">
        <v>363840.88500000001</v>
      </c>
      <c r="H193" s="34">
        <v>18.779</v>
      </c>
      <c r="I193" s="33" t="s">
        <v>86</v>
      </c>
      <c r="J193" s="33" t="s">
        <v>90</v>
      </c>
      <c r="K193" s="33">
        <v>23</v>
      </c>
      <c r="L193" s="33">
        <v>1012</v>
      </c>
      <c r="M193" s="33">
        <v>50</v>
      </c>
      <c r="N193" s="33"/>
      <c r="O193" s="93">
        <f>IFERROR(IF(Readings[[#This Row],[Obs. X]]="","-",Readings[[#This Row],[Obs. X]]-_xlfn.XLOOKUP(Readings[[#This Row],[Sensor ID]],Table_Baseline[Sensor ID],Table_Baseline[Easting '[m']],"-")),"-")</f>
        <v>-9.9999999656574801E-4</v>
      </c>
      <c r="P193" s="93">
        <f>IFERROR(IF(Readings[[#This Row],[Obs. Y]]="","-",Readings[[#This Row],[Obs. Y]]-_xlfn.XLOOKUP(Readings[[#This Row],[Sensor ID]],Table_Baseline[Sensor ID],Table_Baseline[Northing '[m']],"-")),"-")</f>
        <v>0</v>
      </c>
      <c r="Q193" s="93">
        <f>IFERROR(IF(Readings[[#This Row],[Obs. Z]]="","-",Readings[[#This Row],[Obs. Z]]-_xlfn.XLOOKUP(Readings[[#This Row],[Sensor ID]],Table_Baseline[Sensor ID],Table_Baseline[Level '[m']],"-")),"-")</f>
        <v>0</v>
      </c>
      <c r="R193" s="93">
        <f>IFERROR(IF(Readings[[#This Row],[Reference Angle]]="-","-",(Readings[[#This Row],[Diff E]]*COS(RADIANS(Readings[[#This Row],[Reference Angle]]))-Readings[[#This Row],[Diff N]]*SIN(RADIANS(Readings[[#This Row],[Reference Angle]])))),"-")</f>
        <v>-9.9999999656574801E-4</v>
      </c>
      <c r="S193" s="93">
        <f>IFERROR(IF(Readings[[#This Row],[Reference Angle]]="-","-",(Readings[[#This Row],[Diff E]]*SIN(RADIANS(Readings[[#This Row],[Reference Angle]]))+Readings[[#This Row],[Diff N]]*COS(RADIANS(Readings[[#This Row],[Reference Angle]])))),"-")</f>
        <v>0</v>
      </c>
      <c r="T193" s="94">
        <f>IFERROR(VLOOKUP(Readings[[#This Row],[Sensor ID]],Table_Baseline[],COLUMNS(Table_Baseline[[#Headers],[Sensor ID]:[Reference Angle '[Deg']]]),FALSE),"-")</f>
        <v>0</v>
      </c>
      <c r="U193" s="95" t="str">
        <f>Readings[[#This Row],[Sensor ID]]&amp;"-"&amp;Readings[[#This Row],[Epoch]]</f>
        <v>250-RL-OP-11013-45777.2986111111</v>
      </c>
      <c r="V193" s="99">
        <f ca="1">IF(Readings[[#This Row],[Epoch]]=OFFSET(Readings[[#This Row],[Epoch]],-1,0),0,1)</f>
        <v>0</v>
      </c>
    </row>
    <row r="194" spans="4:22" x14ac:dyDescent="0.2">
      <c r="D194" s="32">
        <v>45777.298611111109</v>
      </c>
      <c r="E194" s="33" t="s">
        <v>185</v>
      </c>
      <c r="F194" s="34">
        <v>60054.883999999998</v>
      </c>
      <c r="G194" s="34">
        <v>363838.80599999998</v>
      </c>
      <c r="H194" s="34">
        <v>18.773</v>
      </c>
      <c r="I194" s="33" t="s">
        <v>86</v>
      </c>
      <c r="J194" s="33" t="s">
        <v>90</v>
      </c>
      <c r="K194" s="33">
        <v>23</v>
      </c>
      <c r="L194" s="33">
        <v>1012</v>
      </c>
      <c r="M194" s="33">
        <v>50</v>
      </c>
      <c r="N194" s="33"/>
      <c r="O194" s="93">
        <f>IFERROR(IF(Readings[[#This Row],[Obs. X]]="","-",Readings[[#This Row],[Obs. X]]-_xlfn.XLOOKUP(Readings[[#This Row],[Sensor ID]],Table_Baseline[Sensor ID],Table_Baseline[Easting '[m']],"-")),"-")</f>
        <v>-2.0000000004074536E-3</v>
      </c>
      <c r="P194" s="93">
        <f>IFERROR(IF(Readings[[#This Row],[Obs. Y]]="","-",Readings[[#This Row],[Obs. Y]]-_xlfn.XLOOKUP(Readings[[#This Row],[Sensor ID]],Table_Baseline[Sensor ID],Table_Baseline[Northing '[m']],"-")),"-")</f>
        <v>9.9999998928979039E-4</v>
      </c>
      <c r="Q194" s="93">
        <f>IFERROR(IF(Readings[[#This Row],[Obs. Z]]="","-",Readings[[#This Row],[Obs. Z]]-_xlfn.XLOOKUP(Readings[[#This Row],[Sensor ID]],Table_Baseline[Sensor ID],Table_Baseline[Level '[m']],"-")),"-")</f>
        <v>-9.9999999999766942E-5</v>
      </c>
      <c r="R194" s="93">
        <f>IFERROR(IF(Readings[[#This Row],[Reference Angle]]="-","-",(Readings[[#This Row],[Diff E]]*COS(RADIANS(Readings[[#This Row],[Reference Angle]]))-Readings[[#This Row],[Diff N]]*SIN(RADIANS(Readings[[#This Row],[Reference Angle]])))),"-")</f>
        <v>-2.0000000004074536E-3</v>
      </c>
      <c r="S194" s="93">
        <f>IFERROR(IF(Readings[[#This Row],[Reference Angle]]="-","-",(Readings[[#This Row],[Diff E]]*SIN(RADIANS(Readings[[#This Row],[Reference Angle]]))+Readings[[#This Row],[Diff N]]*COS(RADIANS(Readings[[#This Row],[Reference Angle]])))),"-")</f>
        <v>9.9999998928979039E-4</v>
      </c>
      <c r="T194" s="94">
        <f>IFERROR(VLOOKUP(Readings[[#This Row],[Sensor ID]],Table_Baseline[],COLUMNS(Table_Baseline[[#Headers],[Sensor ID]:[Reference Angle '[Deg']]]),FALSE),"-")</f>
        <v>0</v>
      </c>
      <c r="U194" s="95" t="str">
        <f>Readings[[#This Row],[Sensor ID]]&amp;"-"&amp;Readings[[#This Row],[Epoch]]</f>
        <v>250-RL-OP-11016-45777.2986111111</v>
      </c>
      <c r="V194" s="99">
        <f ca="1">IF(Readings[[#This Row],[Epoch]]=OFFSET(Readings[[#This Row],[Epoch]],-1,0),0,1)</f>
        <v>0</v>
      </c>
    </row>
    <row r="195" spans="4:22" x14ac:dyDescent="0.2">
      <c r="D195" s="32">
        <v>45777.298611111109</v>
      </c>
      <c r="E195" s="33" t="s">
        <v>186</v>
      </c>
      <c r="F195" s="34">
        <v>60055.196000000004</v>
      </c>
      <c r="G195" s="34">
        <v>363840.09499999997</v>
      </c>
      <c r="H195" s="34">
        <v>18.78</v>
      </c>
      <c r="I195" s="33" t="s">
        <v>86</v>
      </c>
      <c r="J195" s="33" t="s">
        <v>90</v>
      </c>
      <c r="K195" s="33">
        <v>23</v>
      </c>
      <c r="L195" s="33">
        <v>1012</v>
      </c>
      <c r="M195" s="33">
        <v>50</v>
      </c>
      <c r="N195" s="33"/>
      <c r="O195" s="93">
        <f>IFERROR(IF(Readings[[#This Row],[Obs. X]]="","-",Readings[[#This Row],[Obs. X]]-_xlfn.XLOOKUP(Readings[[#This Row],[Sensor ID]],Table_Baseline[Sensor ID],Table_Baseline[Easting '[m']],"-")),"-")</f>
        <v>0</v>
      </c>
      <c r="P195" s="93">
        <f>IFERROR(IF(Readings[[#This Row],[Obs. Y]]="","-",Readings[[#This Row],[Obs. Y]]-_xlfn.XLOOKUP(Readings[[#This Row],[Sensor ID]],Table_Baseline[Sensor ID],Table_Baseline[Northing '[m']],"-")),"-")</f>
        <v>0</v>
      </c>
      <c r="Q195" s="93">
        <f>IFERROR(IF(Readings[[#This Row],[Obs. Z]]="","-",Readings[[#This Row],[Obs. Z]]-_xlfn.XLOOKUP(Readings[[#This Row],[Sensor ID]],Table_Baseline[Sensor ID],Table_Baseline[Level '[m']],"-")),"-")</f>
        <v>-8.9999999999790248E-4</v>
      </c>
      <c r="R195" s="93">
        <f>IFERROR(IF(Readings[[#This Row],[Reference Angle]]="-","-",(Readings[[#This Row],[Diff E]]*COS(RADIANS(Readings[[#This Row],[Reference Angle]]))-Readings[[#This Row],[Diff N]]*SIN(RADIANS(Readings[[#This Row],[Reference Angle]])))),"-")</f>
        <v>0</v>
      </c>
      <c r="S195" s="93">
        <f>IFERROR(IF(Readings[[#This Row],[Reference Angle]]="-","-",(Readings[[#This Row],[Diff E]]*SIN(RADIANS(Readings[[#This Row],[Reference Angle]]))+Readings[[#This Row],[Diff N]]*COS(RADIANS(Readings[[#This Row],[Reference Angle]])))),"-")</f>
        <v>0</v>
      </c>
      <c r="T195" s="94">
        <f>IFERROR(VLOOKUP(Readings[[#This Row],[Sensor ID]],Table_Baseline[],COLUMNS(Table_Baseline[[#Headers],[Sensor ID]:[Reference Angle '[Deg']]]),FALSE),"-")</f>
        <v>0</v>
      </c>
      <c r="U195" s="95" t="str">
        <f>Readings[[#This Row],[Sensor ID]]&amp;"-"&amp;Readings[[#This Row],[Epoch]]</f>
        <v>250-RL-OP-11015-45777.2986111111</v>
      </c>
      <c r="V195" s="99">
        <f ca="1">IF(Readings[[#This Row],[Epoch]]=OFFSET(Readings[[#This Row],[Epoch]],-1,0),0,1)</f>
        <v>0</v>
      </c>
    </row>
    <row r="196" spans="4:22" x14ac:dyDescent="0.2">
      <c r="D196" s="32">
        <v>45777.298611111109</v>
      </c>
      <c r="E196" s="33" t="s">
        <v>187</v>
      </c>
      <c r="F196" s="34">
        <v>60057.578000000001</v>
      </c>
      <c r="G196" s="34">
        <v>363838.09899999999</v>
      </c>
      <c r="H196" s="34">
        <v>18.776</v>
      </c>
      <c r="I196" s="33" t="s">
        <v>86</v>
      </c>
      <c r="J196" s="33" t="s">
        <v>90</v>
      </c>
      <c r="K196" s="33">
        <v>23</v>
      </c>
      <c r="L196" s="33">
        <v>1012</v>
      </c>
      <c r="M196" s="33">
        <v>50</v>
      </c>
      <c r="N196" s="33"/>
      <c r="O196" s="93">
        <f>IFERROR(IF(Readings[[#This Row],[Obs. X]]="","-",Readings[[#This Row],[Obs. X]]-_xlfn.XLOOKUP(Readings[[#This Row],[Sensor ID]],Table_Baseline[Sensor ID],Table_Baseline[Easting '[m']],"-")),"-")</f>
        <v>-9.9999999656574801E-4</v>
      </c>
      <c r="P196" s="93">
        <f>IFERROR(IF(Readings[[#This Row],[Obs. Y]]="","-",Readings[[#This Row],[Obs. Y]]-_xlfn.XLOOKUP(Readings[[#This Row],[Sensor ID]],Table_Baseline[Sensor ID],Table_Baseline[Northing '[m']],"-")),"-")</f>
        <v>9.9999998928979039E-4</v>
      </c>
      <c r="Q196" s="93">
        <f>IFERROR(IF(Readings[[#This Row],[Obs. Z]]="","-",Readings[[#This Row],[Obs. Z]]-_xlfn.XLOOKUP(Readings[[#This Row],[Sensor ID]],Table_Baseline[Sensor ID],Table_Baseline[Level '[m']],"-")),"-")</f>
        <v>0</v>
      </c>
      <c r="R196" s="93">
        <f>IFERROR(IF(Readings[[#This Row],[Reference Angle]]="-","-",(Readings[[#This Row],[Diff E]]*COS(RADIANS(Readings[[#This Row],[Reference Angle]]))-Readings[[#This Row],[Diff N]]*SIN(RADIANS(Readings[[#This Row],[Reference Angle]])))),"-")</f>
        <v>-9.9999999656574801E-4</v>
      </c>
      <c r="S196" s="93">
        <f>IFERROR(IF(Readings[[#This Row],[Reference Angle]]="-","-",(Readings[[#This Row],[Diff E]]*SIN(RADIANS(Readings[[#This Row],[Reference Angle]]))+Readings[[#This Row],[Diff N]]*COS(RADIANS(Readings[[#This Row],[Reference Angle]])))),"-")</f>
        <v>9.9999998928979039E-4</v>
      </c>
      <c r="T196" s="94">
        <f>IFERROR(VLOOKUP(Readings[[#This Row],[Sensor ID]],Table_Baseline[],COLUMNS(Table_Baseline[[#Headers],[Sensor ID]:[Reference Angle '[Deg']]]),FALSE),"-")</f>
        <v>0</v>
      </c>
      <c r="U196" s="95" t="str">
        <f>Readings[[#This Row],[Sensor ID]]&amp;"-"&amp;Readings[[#This Row],[Epoch]]</f>
        <v>250-RL-OP-11018-45777.2986111111</v>
      </c>
      <c r="V196" s="99">
        <f ca="1">IF(Readings[[#This Row],[Epoch]]=OFFSET(Readings[[#This Row],[Epoch]],-1,0),0,1)</f>
        <v>0</v>
      </c>
    </row>
    <row r="197" spans="4:22" x14ac:dyDescent="0.2">
      <c r="D197" s="32">
        <v>45777.298611111109</v>
      </c>
      <c r="E197" s="33" t="s">
        <v>188</v>
      </c>
      <c r="F197" s="34">
        <v>60057.951999999997</v>
      </c>
      <c r="G197" s="34">
        <v>363839.36300000001</v>
      </c>
      <c r="H197" s="34">
        <v>18.786000000000001</v>
      </c>
      <c r="I197" s="33" t="s">
        <v>86</v>
      </c>
      <c r="J197" s="33" t="s">
        <v>90</v>
      </c>
      <c r="K197" s="33">
        <v>23</v>
      </c>
      <c r="L197" s="33">
        <v>1012</v>
      </c>
      <c r="M197" s="33">
        <v>50</v>
      </c>
      <c r="N197" s="33"/>
      <c r="O197" s="93">
        <f>IFERROR(IF(Readings[[#This Row],[Obs. X]]="","-",Readings[[#This Row],[Obs. X]]-_xlfn.XLOOKUP(Readings[[#This Row],[Sensor ID]],Table_Baseline[Sensor ID],Table_Baseline[Easting '[m']],"-")),"-")</f>
        <v>0</v>
      </c>
      <c r="P197" s="93">
        <f>IFERROR(IF(Readings[[#This Row],[Obs. Y]]="","-",Readings[[#This Row],[Obs. Y]]-_xlfn.XLOOKUP(Readings[[#This Row],[Sensor ID]],Table_Baseline[Sensor ID],Table_Baseline[Northing '[m']],"-")),"-")</f>
        <v>1.0000000474974513E-3</v>
      </c>
      <c r="Q197" s="93">
        <f>IFERROR(IF(Readings[[#This Row],[Obs. Z]]="","-",Readings[[#This Row],[Obs. Z]]-_xlfn.XLOOKUP(Readings[[#This Row],[Sensor ID]],Table_Baseline[Sensor ID],Table_Baseline[Level '[m']],"-")),"-")</f>
        <v>0</v>
      </c>
      <c r="R197" s="93">
        <f>IFERROR(IF(Readings[[#This Row],[Reference Angle]]="-","-",(Readings[[#This Row],[Diff E]]*COS(RADIANS(Readings[[#This Row],[Reference Angle]]))-Readings[[#This Row],[Diff N]]*SIN(RADIANS(Readings[[#This Row],[Reference Angle]])))),"-")</f>
        <v>0</v>
      </c>
      <c r="S197" s="93">
        <f>IFERROR(IF(Readings[[#This Row],[Reference Angle]]="-","-",(Readings[[#This Row],[Diff E]]*SIN(RADIANS(Readings[[#This Row],[Reference Angle]]))+Readings[[#This Row],[Diff N]]*COS(RADIANS(Readings[[#This Row],[Reference Angle]])))),"-")</f>
        <v>1.0000000474974513E-3</v>
      </c>
      <c r="T197" s="94">
        <f>IFERROR(VLOOKUP(Readings[[#This Row],[Sensor ID]],Table_Baseline[],COLUMNS(Table_Baseline[[#Headers],[Sensor ID]:[Reference Angle '[Deg']]]),FALSE),"-")</f>
        <v>0</v>
      </c>
      <c r="U197" s="95" t="str">
        <f>Readings[[#This Row],[Sensor ID]]&amp;"-"&amp;Readings[[#This Row],[Epoch]]</f>
        <v>250-RL-OP-11017-45777.2986111111</v>
      </c>
      <c r="V197" s="99">
        <f ca="1">IF(Readings[[#This Row],[Epoch]]=OFFSET(Readings[[#This Row],[Epoch]],-1,0),0,1)</f>
        <v>0</v>
      </c>
    </row>
    <row r="198" spans="4:22" x14ac:dyDescent="0.2">
      <c r="D198" s="32">
        <v>45777.298611111109</v>
      </c>
      <c r="E198" s="33" t="s">
        <v>189</v>
      </c>
      <c r="F198" s="34">
        <v>60060.639000000003</v>
      </c>
      <c r="G198" s="34">
        <v>363837.32400000002</v>
      </c>
      <c r="H198" s="34">
        <v>18.783000000000001</v>
      </c>
      <c r="I198" s="33" t="s">
        <v>86</v>
      </c>
      <c r="J198" s="33" t="s">
        <v>90</v>
      </c>
      <c r="K198" s="33">
        <v>23</v>
      </c>
      <c r="L198" s="33">
        <v>1012</v>
      </c>
      <c r="M198" s="33">
        <v>50</v>
      </c>
      <c r="N198" s="33"/>
      <c r="O198" s="93">
        <f>IFERROR(IF(Readings[[#This Row],[Obs. X]]="","-",Readings[[#This Row],[Obs. X]]-_xlfn.XLOOKUP(Readings[[#This Row],[Sensor ID]],Table_Baseline[Sensor ID],Table_Baseline[Easting '[m']],"-")),"-")</f>
        <v>-9.9999999656574801E-4</v>
      </c>
      <c r="P198" s="93">
        <f>IFERROR(IF(Readings[[#This Row],[Obs. Y]]="","-",Readings[[#This Row],[Obs. Y]]-_xlfn.XLOOKUP(Readings[[#This Row],[Sensor ID]],Table_Baseline[Sensor ID],Table_Baseline[Northing '[m']],"-")),"-")</f>
        <v>2.0000000367872417E-3</v>
      </c>
      <c r="Q198" s="93">
        <f>IFERROR(IF(Readings[[#This Row],[Obs. Z]]="","-",Readings[[#This Row],[Obs. Z]]-_xlfn.XLOOKUP(Readings[[#This Row],[Sensor ID]],Table_Baseline[Sensor ID],Table_Baseline[Level '[m']],"-")),"-")</f>
        <v>-5.9999999999860165E-4</v>
      </c>
      <c r="R198" s="93">
        <f>IFERROR(IF(Readings[[#This Row],[Reference Angle]]="-","-",(Readings[[#This Row],[Diff E]]*COS(RADIANS(Readings[[#This Row],[Reference Angle]]))-Readings[[#This Row],[Diff N]]*SIN(RADIANS(Readings[[#This Row],[Reference Angle]])))),"-")</f>
        <v>-9.9999999656574801E-4</v>
      </c>
      <c r="S198" s="93">
        <f>IFERROR(IF(Readings[[#This Row],[Reference Angle]]="-","-",(Readings[[#This Row],[Diff E]]*SIN(RADIANS(Readings[[#This Row],[Reference Angle]]))+Readings[[#This Row],[Diff N]]*COS(RADIANS(Readings[[#This Row],[Reference Angle]])))),"-")</f>
        <v>2.0000000367872417E-3</v>
      </c>
      <c r="T198" s="94">
        <f>IFERROR(VLOOKUP(Readings[[#This Row],[Sensor ID]],Table_Baseline[],COLUMNS(Table_Baseline[[#Headers],[Sensor ID]:[Reference Angle '[Deg']]]),FALSE),"-")</f>
        <v>0</v>
      </c>
      <c r="U198" s="95" t="str">
        <f>Readings[[#This Row],[Sensor ID]]&amp;"-"&amp;Readings[[#This Row],[Epoch]]</f>
        <v>250-RL-OP-11020-45777.2986111111</v>
      </c>
      <c r="V198" s="99">
        <f ca="1">IF(Readings[[#This Row],[Epoch]]=OFFSET(Readings[[#This Row],[Epoch]],-1,0),0,1)</f>
        <v>0</v>
      </c>
    </row>
    <row r="199" spans="4:22" x14ac:dyDescent="0.2">
      <c r="D199" s="32">
        <v>45777.298611111109</v>
      </c>
      <c r="E199" s="33" t="s">
        <v>190</v>
      </c>
      <c r="F199" s="34">
        <v>60060.962</v>
      </c>
      <c r="G199" s="34">
        <v>363838.60100000002</v>
      </c>
      <c r="H199" s="34">
        <v>18.794</v>
      </c>
      <c r="I199" s="33" t="s">
        <v>86</v>
      </c>
      <c r="J199" s="33" t="s">
        <v>90</v>
      </c>
      <c r="K199" s="33">
        <v>23</v>
      </c>
      <c r="L199" s="33">
        <v>1012</v>
      </c>
      <c r="M199" s="33">
        <v>50</v>
      </c>
      <c r="N199" s="33"/>
      <c r="O199" s="93">
        <f>IFERROR(IF(Readings[[#This Row],[Obs. X]]="","-",Readings[[#This Row],[Obs. X]]-_xlfn.XLOOKUP(Readings[[#This Row],[Sensor ID]],Table_Baseline[Sensor ID],Table_Baseline[Easting '[m']],"-")),"-")</f>
        <v>-1.0000000038417056E-3</v>
      </c>
      <c r="P199" s="93">
        <f>IFERROR(IF(Readings[[#This Row],[Obs. Y]]="","-",Readings[[#This Row],[Obs. Y]]-_xlfn.XLOOKUP(Readings[[#This Row],[Sensor ID]],Table_Baseline[Sensor ID],Table_Baseline[Northing '[m']],"-")),"-")</f>
        <v>0</v>
      </c>
      <c r="Q199" s="93">
        <f>IFERROR(IF(Readings[[#This Row],[Obs. Z]]="","-",Readings[[#This Row],[Obs. Z]]-_xlfn.XLOOKUP(Readings[[#This Row],[Sensor ID]],Table_Baseline[Sensor ID],Table_Baseline[Level '[m']],"-")),"-")</f>
        <v>-5.9999999999860165E-4</v>
      </c>
      <c r="R199" s="93">
        <f>IFERROR(IF(Readings[[#This Row],[Reference Angle]]="-","-",(Readings[[#This Row],[Diff E]]*COS(RADIANS(Readings[[#This Row],[Reference Angle]]))-Readings[[#This Row],[Diff N]]*SIN(RADIANS(Readings[[#This Row],[Reference Angle]])))),"-")</f>
        <v>-1.0000000038417056E-3</v>
      </c>
      <c r="S199" s="93">
        <f>IFERROR(IF(Readings[[#This Row],[Reference Angle]]="-","-",(Readings[[#This Row],[Diff E]]*SIN(RADIANS(Readings[[#This Row],[Reference Angle]]))+Readings[[#This Row],[Diff N]]*COS(RADIANS(Readings[[#This Row],[Reference Angle]])))),"-")</f>
        <v>0</v>
      </c>
      <c r="T199" s="94">
        <f>IFERROR(VLOOKUP(Readings[[#This Row],[Sensor ID]],Table_Baseline[],COLUMNS(Table_Baseline[[#Headers],[Sensor ID]:[Reference Angle '[Deg']]]),FALSE),"-")</f>
        <v>0</v>
      </c>
      <c r="U199" s="95" t="str">
        <f>Readings[[#This Row],[Sensor ID]]&amp;"-"&amp;Readings[[#This Row],[Epoch]]</f>
        <v>250-RL-OP-11019-45777.2986111111</v>
      </c>
      <c r="V199" s="99">
        <f ca="1">IF(Readings[[#This Row],[Epoch]]=OFFSET(Readings[[#This Row],[Epoch]],-1,0),0,1)</f>
        <v>0</v>
      </c>
    </row>
    <row r="200" spans="4:22" x14ac:dyDescent="0.2">
      <c r="D200" s="32">
        <v>45777.298611111109</v>
      </c>
      <c r="E200" s="33" t="s">
        <v>191</v>
      </c>
      <c r="F200" s="34">
        <v>60063.42</v>
      </c>
      <c r="G200" s="34">
        <v>363836.63699999999</v>
      </c>
      <c r="H200" s="34">
        <v>18.795000000000002</v>
      </c>
      <c r="I200" s="33" t="s">
        <v>86</v>
      </c>
      <c r="J200" s="33" t="s">
        <v>90</v>
      </c>
      <c r="K200" s="33">
        <v>23</v>
      </c>
      <c r="L200" s="33">
        <v>1012</v>
      </c>
      <c r="M200" s="33">
        <v>50</v>
      </c>
      <c r="N200" s="33"/>
      <c r="O200" s="93">
        <f>IFERROR(IF(Readings[[#This Row],[Obs. X]]="","-",Readings[[#This Row],[Obs. X]]-_xlfn.XLOOKUP(Readings[[#This Row],[Sensor ID]],Table_Baseline[Sensor ID],Table_Baseline[Easting '[m']],"-")),"-")</f>
        <v>-2.0000000004074536E-3</v>
      </c>
      <c r="P200" s="93">
        <f>IFERROR(IF(Readings[[#This Row],[Obs. Y]]="","-",Readings[[#This Row],[Obs. Y]]-_xlfn.XLOOKUP(Readings[[#This Row],[Sensor ID]],Table_Baseline[Sensor ID],Table_Baseline[Northing '[m']],"-")),"-")</f>
        <v>9.9999998928979039E-4</v>
      </c>
      <c r="Q200" s="93">
        <f>IFERROR(IF(Readings[[#This Row],[Obs. Z]]="","-",Readings[[#This Row],[Obs. Z]]-_xlfn.XLOOKUP(Readings[[#This Row],[Sensor ID]],Table_Baseline[Sensor ID],Table_Baseline[Level '[m']],"-")),"-")</f>
        <v>1.0000000000331966E-4</v>
      </c>
      <c r="R200" s="93">
        <f>IFERROR(IF(Readings[[#This Row],[Reference Angle]]="-","-",(Readings[[#This Row],[Diff E]]*COS(RADIANS(Readings[[#This Row],[Reference Angle]]))-Readings[[#This Row],[Diff N]]*SIN(RADIANS(Readings[[#This Row],[Reference Angle]])))),"-")</f>
        <v>-2.0000000004074536E-3</v>
      </c>
      <c r="S200" s="93">
        <f>IFERROR(IF(Readings[[#This Row],[Reference Angle]]="-","-",(Readings[[#This Row],[Diff E]]*SIN(RADIANS(Readings[[#This Row],[Reference Angle]]))+Readings[[#This Row],[Diff N]]*COS(RADIANS(Readings[[#This Row],[Reference Angle]])))),"-")</f>
        <v>9.9999998928979039E-4</v>
      </c>
      <c r="T200" s="94">
        <f>IFERROR(VLOOKUP(Readings[[#This Row],[Sensor ID]],Table_Baseline[],COLUMNS(Table_Baseline[[#Headers],[Sensor ID]:[Reference Angle '[Deg']]]),FALSE),"-")</f>
        <v>0</v>
      </c>
      <c r="U200" s="95" t="str">
        <f>Readings[[#This Row],[Sensor ID]]&amp;"-"&amp;Readings[[#This Row],[Epoch]]</f>
        <v>250-RL-OP-11022-45777.2986111111</v>
      </c>
      <c r="V200" s="99">
        <f ca="1">IF(Readings[[#This Row],[Epoch]]=OFFSET(Readings[[#This Row],[Epoch]],-1,0),0,1)</f>
        <v>0</v>
      </c>
    </row>
    <row r="201" spans="4:22" x14ac:dyDescent="0.2">
      <c r="D201" s="32">
        <v>45777.298611111109</v>
      </c>
      <c r="E201" s="151" t="s">
        <v>192</v>
      </c>
      <c r="F201" s="152">
        <v>60063.75</v>
      </c>
      <c r="G201" s="152">
        <v>363837.91800000001</v>
      </c>
      <c r="H201" s="152">
        <v>18.809000000000001</v>
      </c>
      <c r="I201" s="33" t="s">
        <v>86</v>
      </c>
      <c r="J201" s="33" t="s">
        <v>90</v>
      </c>
      <c r="K201" s="33">
        <v>23</v>
      </c>
      <c r="L201" s="33">
        <v>1012</v>
      </c>
      <c r="M201" s="33">
        <v>50</v>
      </c>
      <c r="N201" s="151"/>
      <c r="O201" s="96">
        <f>IFERROR(IF(Readings[[#This Row],[Obs. X]]="","-",Readings[[#This Row],[Obs. X]]-_xlfn.XLOOKUP(Readings[[#This Row],[Sensor ID]],Table_Baseline[Sensor ID],Table_Baseline[Easting '[m']],"-")),"-")</f>
        <v>-9.9999999656574801E-4</v>
      </c>
      <c r="P201" s="96">
        <f>IFERROR(IF(Readings[[#This Row],[Obs. Y]]="","-",Readings[[#This Row],[Obs. Y]]-_xlfn.XLOOKUP(Readings[[#This Row],[Sensor ID]],Table_Baseline[Sensor ID],Table_Baseline[Northing '[m']],"-")),"-")</f>
        <v>0</v>
      </c>
      <c r="Q201" s="96">
        <f>IFERROR(IF(Readings[[#This Row],[Obs. Z]]="","-",Readings[[#This Row],[Obs. Z]]-_xlfn.XLOOKUP(Readings[[#This Row],[Sensor ID]],Table_Baseline[Sensor ID],Table_Baseline[Level '[m']],"-")),"-")</f>
        <v>0</v>
      </c>
      <c r="R201" s="96">
        <f>IFERROR(IF(Readings[[#This Row],[Reference Angle]]="-","-",(Readings[[#This Row],[Diff E]]*COS(RADIANS(Readings[[#This Row],[Reference Angle]]))-Readings[[#This Row],[Diff N]]*SIN(RADIANS(Readings[[#This Row],[Reference Angle]])))),"-")</f>
        <v>-9.9999999656574801E-4</v>
      </c>
      <c r="S201" s="96">
        <f>IFERROR(IF(Readings[[#This Row],[Reference Angle]]="-","-",(Readings[[#This Row],[Diff E]]*SIN(RADIANS(Readings[[#This Row],[Reference Angle]]))+Readings[[#This Row],[Diff N]]*COS(RADIANS(Readings[[#This Row],[Reference Angle]])))),"-")</f>
        <v>0</v>
      </c>
      <c r="T201" s="97">
        <f>IFERROR(VLOOKUP(Readings[[#This Row],[Sensor ID]],Table_Baseline[],COLUMNS(Table_Baseline[[#Headers],[Sensor ID]:[Reference Angle '[Deg']]]),FALSE),"-")</f>
        <v>0</v>
      </c>
      <c r="U201" s="98" t="str">
        <f>Readings[[#This Row],[Sensor ID]]&amp;"-"&amp;Readings[[#This Row],[Epoch]]</f>
        <v>250-RL-OP-11021-45777.2986111111</v>
      </c>
      <c r="V201" s="100">
        <f ca="1">IF(Readings[[#This Row],[Epoch]]=OFFSET(Readings[[#This Row],[Epoch]],-1,0),0,1)</f>
        <v>0</v>
      </c>
    </row>
    <row r="202" spans="4:22" x14ac:dyDescent="0.2">
      <c r="D202" s="32">
        <v>45778.270833333336</v>
      </c>
      <c r="E202" s="33" t="s">
        <v>192</v>
      </c>
      <c r="F202" s="34">
        <v>60063.75</v>
      </c>
      <c r="G202" s="34">
        <v>363837.91899999999</v>
      </c>
      <c r="H202" s="34">
        <v>18.809000000000001</v>
      </c>
      <c r="I202" s="33" t="s">
        <v>85</v>
      </c>
      <c r="J202" s="33" t="s">
        <v>90</v>
      </c>
      <c r="K202" s="33">
        <v>14</v>
      </c>
      <c r="L202" s="33">
        <v>1020</v>
      </c>
      <c r="M202" s="33">
        <v>93</v>
      </c>
      <c r="N202" s="33"/>
      <c r="O202" s="93">
        <f>IFERROR(IF(Readings[[#This Row],[Obs. X]]="","-",Readings[[#This Row],[Obs. X]]-_xlfn.XLOOKUP(Readings[[#This Row],[Sensor ID]],Table_Baseline[Sensor ID],Table_Baseline[Easting '[m']],"-")),"-")</f>
        <v>-9.9999999656574801E-4</v>
      </c>
      <c r="P202" s="93">
        <f>IFERROR(IF(Readings[[#This Row],[Obs. Y]]="","-",Readings[[#This Row],[Obs. Y]]-_xlfn.XLOOKUP(Readings[[#This Row],[Sensor ID]],Table_Baseline[Sensor ID],Table_Baseline[Northing '[m']],"-")),"-")</f>
        <v>9.9999998928979039E-4</v>
      </c>
      <c r="Q202" s="93">
        <f>IFERROR(IF(Readings[[#This Row],[Obs. Z]]="","-",Readings[[#This Row],[Obs. Z]]-_xlfn.XLOOKUP(Readings[[#This Row],[Sensor ID]],Table_Baseline[Sensor ID],Table_Baseline[Level '[m']],"-")),"-")</f>
        <v>0</v>
      </c>
      <c r="R202" s="93">
        <f>IFERROR(IF(Readings[[#This Row],[Reference Angle]]="-","-",(Readings[[#This Row],[Diff E]]*COS(RADIANS(Readings[[#This Row],[Reference Angle]]))-Readings[[#This Row],[Diff N]]*SIN(RADIANS(Readings[[#This Row],[Reference Angle]])))),"-")</f>
        <v>-9.9999999656574801E-4</v>
      </c>
      <c r="S202" s="93">
        <f>IFERROR(IF(Readings[[#This Row],[Reference Angle]]="-","-",(Readings[[#This Row],[Diff E]]*SIN(RADIANS(Readings[[#This Row],[Reference Angle]]))+Readings[[#This Row],[Diff N]]*COS(RADIANS(Readings[[#This Row],[Reference Angle]])))),"-")</f>
        <v>9.9999998928979039E-4</v>
      </c>
      <c r="T202" s="94">
        <f>IFERROR(VLOOKUP(Readings[[#This Row],[Sensor ID]],Table_Baseline[],COLUMNS(Table_Baseline[[#Headers],[Sensor ID]:[Reference Angle '[Deg']]]),FALSE),"-")</f>
        <v>0</v>
      </c>
      <c r="U202" s="95" t="str">
        <f>Readings[[#This Row],[Sensor ID]]&amp;"-"&amp;Readings[[#This Row],[Epoch]]</f>
        <v>250-RL-OP-11021-45778.2708333333</v>
      </c>
      <c r="V202" s="99">
        <f ca="1">IF(Readings[[#This Row],[Epoch]]=OFFSET(Readings[[#This Row],[Epoch]],-1,0),0,1)</f>
        <v>1</v>
      </c>
    </row>
    <row r="203" spans="4:22" x14ac:dyDescent="0.2">
      <c r="D203" s="32">
        <v>45778.270833333336</v>
      </c>
      <c r="E203" s="33" t="s">
        <v>190</v>
      </c>
      <c r="F203" s="34">
        <v>60060.963000000003</v>
      </c>
      <c r="G203" s="34">
        <v>363838.603</v>
      </c>
      <c r="H203" s="34">
        <v>18.794</v>
      </c>
      <c r="I203" s="33" t="s">
        <v>85</v>
      </c>
      <c r="J203" s="33" t="s">
        <v>90</v>
      </c>
      <c r="K203" s="33">
        <v>14</v>
      </c>
      <c r="L203" s="33">
        <v>1020</v>
      </c>
      <c r="M203" s="33">
        <v>93</v>
      </c>
      <c r="N203" s="33"/>
      <c r="O203" s="93">
        <f>IFERROR(IF(Readings[[#This Row],[Obs. X]]="","-",Readings[[#This Row],[Obs. X]]-_xlfn.XLOOKUP(Readings[[#This Row],[Sensor ID]],Table_Baseline[Sensor ID],Table_Baseline[Easting '[m']],"-")),"-")</f>
        <v>0</v>
      </c>
      <c r="P203" s="93">
        <f>IFERROR(IF(Readings[[#This Row],[Obs. Y]]="","-",Readings[[#This Row],[Obs. Y]]-_xlfn.XLOOKUP(Readings[[#This Row],[Sensor ID]],Table_Baseline[Sensor ID],Table_Baseline[Northing '[m']],"-")),"-")</f>
        <v>1.9999999785795808E-3</v>
      </c>
      <c r="Q203" s="93">
        <f>IFERROR(IF(Readings[[#This Row],[Obs. Z]]="","-",Readings[[#This Row],[Obs. Z]]-_xlfn.XLOOKUP(Readings[[#This Row],[Sensor ID]],Table_Baseline[Sensor ID],Table_Baseline[Level '[m']],"-")),"-")</f>
        <v>-5.9999999999860165E-4</v>
      </c>
      <c r="R203" s="93">
        <f>IFERROR(IF(Readings[[#This Row],[Reference Angle]]="-","-",(Readings[[#This Row],[Diff E]]*COS(RADIANS(Readings[[#This Row],[Reference Angle]]))-Readings[[#This Row],[Diff N]]*SIN(RADIANS(Readings[[#This Row],[Reference Angle]])))),"-")</f>
        <v>0</v>
      </c>
      <c r="S203" s="93">
        <f>IFERROR(IF(Readings[[#This Row],[Reference Angle]]="-","-",(Readings[[#This Row],[Diff E]]*SIN(RADIANS(Readings[[#This Row],[Reference Angle]]))+Readings[[#This Row],[Diff N]]*COS(RADIANS(Readings[[#This Row],[Reference Angle]])))),"-")</f>
        <v>1.9999999785795808E-3</v>
      </c>
      <c r="T203" s="94">
        <f>IFERROR(VLOOKUP(Readings[[#This Row],[Sensor ID]],Table_Baseline[],COLUMNS(Table_Baseline[[#Headers],[Sensor ID]:[Reference Angle '[Deg']]]),FALSE),"-")</f>
        <v>0</v>
      </c>
      <c r="U203" s="95" t="str">
        <f>Readings[[#This Row],[Sensor ID]]&amp;"-"&amp;Readings[[#This Row],[Epoch]]</f>
        <v>250-RL-OP-11019-45778.2708333333</v>
      </c>
      <c r="V203" s="99">
        <f ca="1">IF(Readings[[#This Row],[Epoch]]=OFFSET(Readings[[#This Row],[Epoch]],-1,0),0,1)</f>
        <v>0</v>
      </c>
    </row>
    <row r="204" spans="4:22" x14ac:dyDescent="0.2">
      <c r="D204" s="32">
        <v>45778.270833333336</v>
      </c>
      <c r="E204" s="33" t="s">
        <v>188</v>
      </c>
      <c r="F204" s="34">
        <v>60057.951999999997</v>
      </c>
      <c r="G204" s="34">
        <v>363839.364</v>
      </c>
      <c r="H204" s="34">
        <v>18.786000000000001</v>
      </c>
      <c r="I204" s="33" t="s">
        <v>85</v>
      </c>
      <c r="J204" s="33" t="s">
        <v>90</v>
      </c>
      <c r="K204" s="33">
        <v>14</v>
      </c>
      <c r="L204" s="33">
        <v>1020</v>
      </c>
      <c r="M204" s="33">
        <v>93</v>
      </c>
      <c r="N204" s="33"/>
      <c r="O204" s="93">
        <f>IFERROR(IF(Readings[[#This Row],[Obs. X]]="","-",Readings[[#This Row],[Obs. X]]-_xlfn.XLOOKUP(Readings[[#This Row],[Sensor ID]],Table_Baseline[Sensor ID],Table_Baseline[Easting '[m']],"-")),"-")</f>
        <v>0</v>
      </c>
      <c r="P204" s="93">
        <f>IFERROR(IF(Readings[[#This Row],[Obs. Y]]="","-",Readings[[#This Row],[Obs. Y]]-_xlfn.XLOOKUP(Readings[[#This Row],[Sensor ID]],Table_Baseline[Sensor ID],Table_Baseline[Northing '[m']],"-")),"-")</f>
        <v>2.0000000367872417E-3</v>
      </c>
      <c r="Q204" s="93">
        <f>IFERROR(IF(Readings[[#This Row],[Obs. Z]]="","-",Readings[[#This Row],[Obs. Z]]-_xlfn.XLOOKUP(Readings[[#This Row],[Sensor ID]],Table_Baseline[Sensor ID],Table_Baseline[Level '[m']],"-")),"-")</f>
        <v>0</v>
      </c>
      <c r="R204" s="93">
        <f>IFERROR(IF(Readings[[#This Row],[Reference Angle]]="-","-",(Readings[[#This Row],[Diff E]]*COS(RADIANS(Readings[[#This Row],[Reference Angle]]))-Readings[[#This Row],[Diff N]]*SIN(RADIANS(Readings[[#This Row],[Reference Angle]])))),"-")</f>
        <v>0</v>
      </c>
      <c r="S204" s="93">
        <f>IFERROR(IF(Readings[[#This Row],[Reference Angle]]="-","-",(Readings[[#This Row],[Diff E]]*SIN(RADIANS(Readings[[#This Row],[Reference Angle]]))+Readings[[#This Row],[Diff N]]*COS(RADIANS(Readings[[#This Row],[Reference Angle]])))),"-")</f>
        <v>2.0000000367872417E-3</v>
      </c>
      <c r="T204" s="94">
        <f>IFERROR(VLOOKUP(Readings[[#This Row],[Sensor ID]],Table_Baseline[],COLUMNS(Table_Baseline[[#Headers],[Sensor ID]:[Reference Angle '[Deg']]]),FALSE),"-")</f>
        <v>0</v>
      </c>
      <c r="U204" s="95" t="str">
        <f>Readings[[#This Row],[Sensor ID]]&amp;"-"&amp;Readings[[#This Row],[Epoch]]</f>
        <v>250-RL-OP-11017-45778.2708333333</v>
      </c>
      <c r="V204" s="99">
        <f ca="1">IF(Readings[[#This Row],[Epoch]]=OFFSET(Readings[[#This Row],[Epoch]],-1,0),0,1)</f>
        <v>0</v>
      </c>
    </row>
    <row r="205" spans="4:22" x14ac:dyDescent="0.2">
      <c r="D205" s="32">
        <v>45778.270833333336</v>
      </c>
      <c r="E205" s="33" t="s">
        <v>186</v>
      </c>
      <c r="F205" s="34">
        <v>60055.196000000004</v>
      </c>
      <c r="G205" s="34">
        <v>363840.09600000002</v>
      </c>
      <c r="H205" s="34">
        <v>18.780999999999999</v>
      </c>
      <c r="I205" s="33" t="s">
        <v>85</v>
      </c>
      <c r="J205" s="33" t="s">
        <v>90</v>
      </c>
      <c r="K205" s="33">
        <v>14</v>
      </c>
      <c r="L205" s="33">
        <v>1020</v>
      </c>
      <c r="M205" s="33">
        <v>93</v>
      </c>
      <c r="N205" s="33"/>
      <c r="O205" s="93">
        <f>IFERROR(IF(Readings[[#This Row],[Obs. X]]="","-",Readings[[#This Row],[Obs. X]]-_xlfn.XLOOKUP(Readings[[#This Row],[Sensor ID]],Table_Baseline[Sensor ID],Table_Baseline[Easting '[m']],"-")),"-")</f>
        <v>0</v>
      </c>
      <c r="P205" s="93">
        <f>IFERROR(IF(Readings[[#This Row],[Obs. Y]]="","-",Readings[[#This Row],[Obs. Y]]-_xlfn.XLOOKUP(Readings[[#This Row],[Sensor ID]],Table_Baseline[Sensor ID],Table_Baseline[Northing '[m']],"-")),"-")</f>
        <v>1.0000000474974513E-3</v>
      </c>
      <c r="Q205" s="93">
        <f>IFERROR(IF(Readings[[#This Row],[Obs. Z]]="","-",Readings[[#This Row],[Obs. Z]]-_xlfn.XLOOKUP(Readings[[#This Row],[Sensor ID]],Table_Baseline[Sensor ID],Table_Baseline[Level '[m']],"-")),"-")</f>
        <v>9.9999999999766942E-5</v>
      </c>
      <c r="R205" s="93">
        <f>IFERROR(IF(Readings[[#This Row],[Reference Angle]]="-","-",(Readings[[#This Row],[Diff E]]*COS(RADIANS(Readings[[#This Row],[Reference Angle]]))-Readings[[#This Row],[Diff N]]*SIN(RADIANS(Readings[[#This Row],[Reference Angle]])))),"-")</f>
        <v>0</v>
      </c>
      <c r="S205" s="93">
        <f>IFERROR(IF(Readings[[#This Row],[Reference Angle]]="-","-",(Readings[[#This Row],[Diff E]]*SIN(RADIANS(Readings[[#This Row],[Reference Angle]]))+Readings[[#This Row],[Diff N]]*COS(RADIANS(Readings[[#This Row],[Reference Angle]])))),"-")</f>
        <v>1.0000000474974513E-3</v>
      </c>
      <c r="T205" s="94">
        <f>IFERROR(VLOOKUP(Readings[[#This Row],[Sensor ID]],Table_Baseline[],COLUMNS(Table_Baseline[[#Headers],[Sensor ID]:[Reference Angle '[Deg']]]),FALSE),"-")</f>
        <v>0</v>
      </c>
      <c r="U205" s="95" t="str">
        <f>Readings[[#This Row],[Sensor ID]]&amp;"-"&amp;Readings[[#This Row],[Epoch]]</f>
        <v>250-RL-OP-11015-45778.2708333333</v>
      </c>
      <c r="V205" s="99">
        <f ca="1">IF(Readings[[#This Row],[Epoch]]=OFFSET(Readings[[#This Row],[Epoch]],-1,0),0,1)</f>
        <v>0</v>
      </c>
    </row>
    <row r="206" spans="4:22" x14ac:dyDescent="0.2">
      <c r="D206" s="32">
        <v>45778.270833333336</v>
      </c>
      <c r="E206" s="33" t="s">
        <v>184</v>
      </c>
      <c r="F206" s="34">
        <v>60052.292999999998</v>
      </c>
      <c r="G206" s="34">
        <v>363840.886</v>
      </c>
      <c r="H206" s="34">
        <v>18.779</v>
      </c>
      <c r="I206" s="33" t="s">
        <v>85</v>
      </c>
      <c r="J206" s="33" t="s">
        <v>90</v>
      </c>
      <c r="K206" s="33">
        <v>14</v>
      </c>
      <c r="L206" s="33">
        <v>1020</v>
      </c>
      <c r="M206" s="33">
        <v>93</v>
      </c>
      <c r="N206" s="33"/>
      <c r="O206" s="93">
        <f>IFERROR(IF(Readings[[#This Row],[Obs. X]]="","-",Readings[[#This Row],[Obs. X]]-_xlfn.XLOOKUP(Readings[[#This Row],[Sensor ID]],Table_Baseline[Sensor ID],Table_Baseline[Easting '[m']],"-")),"-")</f>
        <v>0</v>
      </c>
      <c r="P206" s="93">
        <f>IFERROR(IF(Readings[[#This Row],[Obs. Y]]="","-",Readings[[#This Row],[Obs. Y]]-_xlfn.XLOOKUP(Readings[[#This Row],[Sensor ID]],Table_Baseline[Sensor ID],Table_Baseline[Northing '[m']],"-")),"-")</f>
        <v>9.9999998928979039E-4</v>
      </c>
      <c r="Q206" s="93">
        <f>IFERROR(IF(Readings[[#This Row],[Obs. Z]]="","-",Readings[[#This Row],[Obs. Z]]-_xlfn.XLOOKUP(Readings[[#This Row],[Sensor ID]],Table_Baseline[Sensor ID],Table_Baseline[Level '[m']],"-")),"-")</f>
        <v>0</v>
      </c>
      <c r="R206" s="93">
        <f>IFERROR(IF(Readings[[#This Row],[Reference Angle]]="-","-",(Readings[[#This Row],[Diff E]]*COS(RADIANS(Readings[[#This Row],[Reference Angle]]))-Readings[[#This Row],[Diff N]]*SIN(RADIANS(Readings[[#This Row],[Reference Angle]])))),"-")</f>
        <v>0</v>
      </c>
      <c r="S206" s="93">
        <f>IFERROR(IF(Readings[[#This Row],[Reference Angle]]="-","-",(Readings[[#This Row],[Diff E]]*SIN(RADIANS(Readings[[#This Row],[Reference Angle]]))+Readings[[#This Row],[Diff N]]*COS(RADIANS(Readings[[#This Row],[Reference Angle]])))),"-")</f>
        <v>9.9999998928979039E-4</v>
      </c>
      <c r="T206" s="94">
        <f>IFERROR(VLOOKUP(Readings[[#This Row],[Sensor ID]],Table_Baseline[],COLUMNS(Table_Baseline[[#Headers],[Sensor ID]:[Reference Angle '[Deg']]]),FALSE),"-")</f>
        <v>0</v>
      </c>
      <c r="U206" s="95" t="str">
        <f>Readings[[#This Row],[Sensor ID]]&amp;"-"&amp;Readings[[#This Row],[Epoch]]</f>
        <v>250-RL-OP-11013-45778.2708333333</v>
      </c>
      <c r="V206" s="99">
        <f ca="1">IF(Readings[[#This Row],[Epoch]]=OFFSET(Readings[[#This Row],[Epoch]],-1,0),0,1)</f>
        <v>0</v>
      </c>
    </row>
    <row r="207" spans="4:22" x14ac:dyDescent="0.2">
      <c r="D207" s="32">
        <v>45778.270833333336</v>
      </c>
      <c r="E207" s="33" t="s">
        <v>182</v>
      </c>
      <c r="F207" s="34">
        <v>60049.398999999998</v>
      </c>
      <c r="G207" s="34">
        <v>363841.69799999997</v>
      </c>
      <c r="H207" s="34">
        <v>18.777999999999999</v>
      </c>
      <c r="I207" s="33" t="s">
        <v>85</v>
      </c>
      <c r="J207" s="33" t="s">
        <v>90</v>
      </c>
      <c r="K207" s="33">
        <v>14</v>
      </c>
      <c r="L207" s="33">
        <v>1020</v>
      </c>
      <c r="M207" s="33">
        <v>93</v>
      </c>
      <c r="N207" s="33"/>
      <c r="O207" s="93">
        <f>IFERROR(IF(Readings[[#This Row],[Obs. X]]="","-",Readings[[#This Row],[Obs. X]]-_xlfn.XLOOKUP(Readings[[#This Row],[Sensor ID]],Table_Baseline[Sensor ID],Table_Baseline[Easting '[m']],"-")),"-")</f>
        <v>0</v>
      </c>
      <c r="P207" s="93">
        <f>IFERROR(IF(Readings[[#This Row],[Obs. Y]]="","-",Readings[[#This Row],[Obs. Y]]-_xlfn.XLOOKUP(Readings[[#This Row],[Sensor ID]],Table_Baseline[Sensor ID],Table_Baseline[Northing '[m']],"-")),"-")</f>
        <v>0</v>
      </c>
      <c r="Q207" s="93">
        <f>IFERROR(IF(Readings[[#This Row],[Obs. Z]]="","-",Readings[[#This Row],[Obs. Z]]-_xlfn.XLOOKUP(Readings[[#This Row],[Sensor ID]],Table_Baseline[Sensor ID],Table_Baseline[Level '[m']],"-")),"-")</f>
        <v>0</v>
      </c>
      <c r="R207" s="93">
        <f>IFERROR(IF(Readings[[#This Row],[Reference Angle]]="-","-",(Readings[[#This Row],[Diff E]]*COS(RADIANS(Readings[[#This Row],[Reference Angle]]))-Readings[[#This Row],[Diff N]]*SIN(RADIANS(Readings[[#This Row],[Reference Angle]])))),"-")</f>
        <v>0</v>
      </c>
      <c r="S207" s="93">
        <f>IFERROR(IF(Readings[[#This Row],[Reference Angle]]="-","-",(Readings[[#This Row],[Diff E]]*SIN(RADIANS(Readings[[#This Row],[Reference Angle]]))+Readings[[#This Row],[Diff N]]*COS(RADIANS(Readings[[#This Row],[Reference Angle]])))),"-")</f>
        <v>0</v>
      </c>
      <c r="T207" s="94">
        <f>IFERROR(VLOOKUP(Readings[[#This Row],[Sensor ID]],Table_Baseline[],COLUMNS(Table_Baseline[[#Headers],[Sensor ID]:[Reference Angle '[Deg']]]),FALSE),"-")</f>
        <v>0</v>
      </c>
      <c r="U207" s="95" t="str">
        <f>Readings[[#This Row],[Sensor ID]]&amp;"-"&amp;Readings[[#This Row],[Epoch]]</f>
        <v>250-RL-OP-11011-45778.2708333333</v>
      </c>
      <c r="V207" s="99">
        <f ca="1">IF(Readings[[#This Row],[Epoch]]=OFFSET(Readings[[#This Row],[Epoch]],-1,0),0,1)</f>
        <v>0</v>
      </c>
    </row>
    <row r="208" spans="4:22" x14ac:dyDescent="0.2">
      <c r="D208" s="32">
        <v>45778.270833333336</v>
      </c>
      <c r="E208" s="33" t="s">
        <v>180</v>
      </c>
      <c r="F208" s="34">
        <v>60046.633000000002</v>
      </c>
      <c r="G208" s="34">
        <v>363842.48499999999</v>
      </c>
      <c r="H208" s="34">
        <v>18.777999999999999</v>
      </c>
      <c r="I208" s="33" t="s">
        <v>85</v>
      </c>
      <c r="J208" s="33" t="s">
        <v>90</v>
      </c>
      <c r="K208" s="33">
        <v>14</v>
      </c>
      <c r="L208" s="33">
        <v>1020</v>
      </c>
      <c r="M208" s="33">
        <v>93</v>
      </c>
      <c r="N208" s="33"/>
      <c r="O208" s="93">
        <f>IFERROR(IF(Readings[[#This Row],[Obs. X]]="","-",Readings[[#This Row],[Obs. X]]-_xlfn.XLOOKUP(Readings[[#This Row],[Sensor ID]],Table_Baseline[Sensor ID],Table_Baseline[Easting '[m']],"-")),"-")</f>
        <v>0</v>
      </c>
      <c r="P208" s="93">
        <f>IFERROR(IF(Readings[[#This Row],[Obs. Y]]="","-",Readings[[#This Row],[Obs. Y]]-_xlfn.XLOOKUP(Readings[[#This Row],[Sensor ID]],Table_Baseline[Sensor ID],Table_Baseline[Northing '[m']],"-")),"-")</f>
        <v>0</v>
      </c>
      <c r="Q208" s="93">
        <f>IFERROR(IF(Readings[[#This Row],[Obs. Z]]="","-",Readings[[#This Row],[Obs. Z]]-_xlfn.XLOOKUP(Readings[[#This Row],[Sensor ID]],Table_Baseline[Sensor ID],Table_Baseline[Level '[m']],"-")),"-")</f>
        <v>3.9999999999906777E-4</v>
      </c>
      <c r="R208" s="93">
        <f>IFERROR(IF(Readings[[#This Row],[Reference Angle]]="-","-",(Readings[[#This Row],[Diff E]]*COS(RADIANS(Readings[[#This Row],[Reference Angle]]))-Readings[[#This Row],[Diff N]]*SIN(RADIANS(Readings[[#This Row],[Reference Angle]])))),"-")</f>
        <v>0</v>
      </c>
      <c r="S208" s="93">
        <f>IFERROR(IF(Readings[[#This Row],[Reference Angle]]="-","-",(Readings[[#This Row],[Diff E]]*SIN(RADIANS(Readings[[#This Row],[Reference Angle]]))+Readings[[#This Row],[Diff N]]*COS(RADIANS(Readings[[#This Row],[Reference Angle]])))),"-")</f>
        <v>0</v>
      </c>
      <c r="T208" s="94">
        <f>IFERROR(VLOOKUP(Readings[[#This Row],[Sensor ID]],Table_Baseline[],COLUMNS(Table_Baseline[[#Headers],[Sensor ID]:[Reference Angle '[Deg']]]),FALSE),"-")</f>
        <v>0</v>
      </c>
      <c r="U208" s="95" t="str">
        <f>Readings[[#This Row],[Sensor ID]]&amp;"-"&amp;Readings[[#This Row],[Epoch]]</f>
        <v>250-RL-OP-11009-45778.2708333333</v>
      </c>
      <c r="V208" s="99">
        <f ca="1">IF(Readings[[#This Row],[Epoch]]=OFFSET(Readings[[#This Row],[Epoch]],-1,0),0,1)</f>
        <v>0</v>
      </c>
    </row>
    <row r="209" spans="4:22" x14ac:dyDescent="0.2">
      <c r="D209" s="32">
        <v>45778.270833333336</v>
      </c>
      <c r="E209" s="33" t="s">
        <v>178</v>
      </c>
      <c r="F209" s="34">
        <v>60043.758999999998</v>
      </c>
      <c r="G209" s="34">
        <v>363843.315</v>
      </c>
      <c r="H209" s="34">
        <v>18.774000000000001</v>
      </c>
      <c r="I209" s="33" t="s">
        <v>85</v>
      </c>
      <c r="J209" s="33" t="s">
        <v>90</v>
      </c>
      <c r="K209" s="33">
        <v>14</v>
      </c>
      <c r="L209" s="33">
        <v>1020</v>
      </c>
      <c r="M209" s="33">
        <v>93</v>
      </c>
      <c r="N209" s="33"/>
      <c r="O209" s="93">
        <f>IFERROR(IF(Readings[[#This Row],[Obs. X]]="","-",Readings[[#This Row],[Obs. X]]-_xlfn.XLOOKUP(Readings[[#This Row],[Sensor ID]],Table_Baseline[Sensor ID],Table_Baseline[Easting '[m']],"-")),"-")</f>
        <v>0</v>
      </c>
      <c r="P209" s="93">
        <f>IFERROR(IF(Readings[[#This Row],[Obs. Y]]="","-",Readings[[#This Row],[Obs. Y]]-_xlfn.XLOOKUP(Readings[[#This Row],[Sensor ID]],Table_Baseline[Sensor ID],Table_Baseline[Northing '[m']],"-")),"-")</f>
        <v>9.9999998928979039E-4</v>
      </c>
      <c r="Q209" s="93">
        <f>IFERROR(IF(Readings[[#This Row],[Obs. Z]]="","-",Readings[[#This Row],[Obs. Z]]-_xlfn.XLOOKUP(Readings[[#This Row],[Sensor ID]],Table_Baseline[Sensor ID],Table_Baseline[Level '[m']],"-")),"-")</f>
        <v>-9.9999999999766942E-5</v>
      </c>
      <c r="R209" s="93">
        <f>IFERROR(IF(Readings[[#This Row],[Reference Angle]]="-","-",(Readings[[#This Row],[Diff E]]*COS(RADIANS(Readings[[#This Row],[Reference Angle]]))-Readings[[#This Row],[Diff N]]*SIN(RADIANS(Readings[[#This Row],[Reference Angle]])))),"-")</f>
        <v>0</v>
      </c>
      <c r="S209" s="93">
        <f>IFERROR(IF(Readings[[#This Row],[Reference Angle]]="-","-",(Readings[[#This Row],[Diff E]]*SIN(RADIANS(Readings[[#This Row],[Reference Angle]]))+Readings[[#This Row],[Diff N]]*COS(RADIANS(Readings[[#This Row],[Reference Angle]])))),"-")</f>
        <v>9.9999998928979039E-4</v>
      </c>
      <c r="T209" s="94">
        <f>IFERROR(VLOOKUP(Readings[[#This Row],[Sensor ID]],Table_Baseline[],COLUMNS(Table_Baseline[[#Headers],[Sensor ID]:[Reference Angle '[Deg']]]),FALSE),"-")</f>
        <v>0</v>
      </c>
      <c r="U209" s="95" t="str">
        <f>Readings[[#This Row],[Sensor ID]]&amp;"-"&amp;Readings[[#This Row],[Epoch]]</f>
        <v>250-RL-OP-11007-45778.2708333333</v>
      </c>
      <c r="V209" s="99">
        <f ca="1">IF(Readings[[#This Row],[Epoch]]=OFFSET(Readings[[#This Row],[Epoch]],-1,0),0,1)</f>
        <v>0</v>
      </c>
    </row>
    <row r="210" spans="4:22" x14ac:dyDescent="0.2">
      <c r="D210" s="32">
        <v>45778.270833333336</v>
      </c>
      <c r="E210" s="33" t="s">
        <v>176</v>
      </c>
      <c r="F210" s="34">
        <v>60040.968999999997</v>
      </c>
      <c r="G210" s="34">
        <v>363844.11800000002</v>
      </c>
      <c r="H210" s="34">
        <v>18.779</v>
      </c>
      <c r="I210" s="33" t="s">
        <v>85</v>
      </c>
      <c r="J210" s="33" t="s">
        <v>90</v>
      </c>
      <c r="K210" s="33">
        <v>14</v>
      </c>
      <c r="L210" s="33">
        <v>1020</v>
      </c>
      <c r="M210" s="33">
        <v>93</v>
      </c>
      <c r="N210" s="33"/>
      <c r="O210" s="93">
        <f>IFERROR(IF(Readings[[#This Row],[Obs. X]]="","-",Readings[[#This Row],[Obs. X]]-_xlfn.XLOOKUP(Readings[[#This Row],[Sensor ID]],Table_Baseline[Sensor ID],Table_Baseline[Easting '[m']],"-")),"-")</f>
        <v>0</v>
      </c>
      <c r="P210" s="93">
        <f>IFERROR(IF(Readings[[#This Row],[Obs. Y]]="","-",Readings[[#This Row],[Obs. Y]]-_xlfn.XLOOKUP(Readings[[#This Row],[Sensor ID]],Table_Baseline[Sensor ID],Table_Baseline[Northing '[m']],"-")),"-")</f>
        <v>0</v>
      </c>
      <c r="Q210" s="93">
        <f>IFERROR(IF(Readings[[#This Row],[Obs. Z]]="","-",Readings[[#This Row],[Obs. Z]]-_xlfn.XLOOKUP(Readings[[#This Row],[Sensor ID]],Table_Baseline[Sensor ID],Table_Baseline[Level '[m']],"-")),"-")</f>
        <v>0</v>
      </c>
      <c r="R210" s="93">
        <f>IFERROR(IF(Readings[[#This Row],[Reference Angle]]="-","-",(Readings[[#This Row],[Diff E]]*COS(RADIANS(Readings[[#This Row],[Reference Angle]]))-Readings[[#This Row],[Diff N]]*SIN(RADIANS(Readings[[#This Row],[Reference Angle]])))),"-")</f>
        <v>0</v>
      </c>
      <c r="S210" s="93">
        <f>IFERROR(IF(Readings[[#This Row],[Reference Angle]]="-","-",(Readings[[#This Row],[Diff E]]*SIN(RADIANS(Readings[[#This Row],[Reference Angle]]))+Readings[[#This Row],[Diff N]]*COS(RADIANS(Readings[[#This Row],[Reference Angle]])))),"-")</f>
        <v>0</v>
      </c>
      <c r="T210" s="94">
        <f>IFERROR(VLOOKUP(Readings[[#This Row],[Sensor ID]],Table_Baseline[],COLUMNS(Table_Baseline[[#Headers],[Sensor ID]:[Reference Angle '[Deg']]]),FALSE),"-")</f>
        <v>0</v>
      </c>
      <c r="U210" s="95" t="str">
        <f>Readings[[#This Row],[Sensor ID]]&amp;"-"&amp;Readings[[#This Row],[Epoch]]</f>
        <v>250-RL-OP-11005-45778.2708333333</v>
      </c>
      <c r="V210" s="99">
        <f ca="1">IF(Readings[[#This Row],[Epoch]]=OFFSET(Readings[[#This Row],[Epoch]],-1,0),0,1)</f>
        <v>0</v>
      </c>
    </row>
    <row r="211" spans="4:22" x14ac:dyDescent="0.2">
      <c r="D211" s="32">
        <v>45778.270833333336</v>
      </c>
      <c r="E211" s="33" t="s">
        <v>174</v>
      </c>
      <c r="F211" s="34">
        <v>60038.116999999998</v>
      </c>
      <c r="G211" s="34">
        <v>363844.94500000001</v>
      </c>
      <c r="H211" s="34">
        <v>18.777999999999999</v>
      </c>
      <c r="I211" s="33" t="s">
        <v>85</v>
      </c>
      <c r="J211" s="33" t="s">
        <v>90</v>
      </c>
      <c r="K211" s="33">
        <v>14</v>
      </c>
      <c r="L211" s="33">
        <v>1020</v>
      </c>
      <c r="M211" s="33">
        <v>93</v>
      </c>
      <c r="N211" s="33"/>
      <c r="O211" s="93">
        <f>IFERROR(IF(Readings[[#This Row],[Obs. X]]="","-",Readings[[#This Row],[Obs. X]]-_xlfn.XLOOKUP(Readings[[#This Row],[Sensor ID]],Table_Baseline[Sensor ID],Table_Baseline[Easting '[m']],"-")),"-")</f>
        <v>-1.0000000038417056E-3</v>
      </c>
      <c r="P211" s="93">
        <f>IFERROR(IF(Readings[[#This Row],[Obs. Y]]="","-",Readings[[#This Row],[Obs. Y]]-_xlfn.XLOOKUP(Readings[[#This Row],[Sensor ID]],Table_Baseline[Sensor ID],Table_Baseline[Northing '[m']],"-")),"-")</f>
        <v>0</v>
      </c>
      <c r="Q211" s="93">
        <f>IFERROR(IF(Readings[[#This Row],[Obs. Z]]="","-",Readings[[#This Row],[Obs. Z]]-_xlfn.XLOOKUP(Readings[[#This Row],[Sensor ID]],Table_Baseline[Sensor ID],Table_Baseline[Level '[m']],"-")),"-")</f>
        <v>-8.0000000000168825E-4</v>
      </c>
      <c r="R211" s="93">
        <f>IFERROR(IF(Readings[[#This Row],[Reference Angle]]="-","-",(Readings[[#This Row],[Diff E]]*COS(RADIANS(Readings[[#This Row],[Reference Angle]]))-Readings[[#This Row],[Diff N]]*SIN(RADIANS(Readings[[#This Row],[Reference Angle]])))),"-")</f>
        <v>-1.0000000038417056E-3</v>
      </c>
      <c r="S211" s="93">
        <f>IFERROR(IF(Readings[[#This Row],[Reference Angle]]="-","-",(Readings[[#This Row],[Diff E]]*SIN(RADIANS(Readings[[#This Row],[Reference Angle]]))+Readings[[#This Row],[Diff N]]*COS(RADIANS(Readings[[#This Row],[Reference Angle]])))),"-")</f>
        <v>0</v>
      </c>
      <c r="T211" s="94">
        <f>IFERROR(VLOOKUP(Readings[[#This Row],[Sensor ID]],Table_Baseline[],COLUMNS(Table_Baseline[[#Headers],[Sensor ID]:[Reference Angle '[Deg']]]),FALSE),"-")</f>
        <v>0</v>
      </c>
      <c r="U211" s="95" t="str">
        <f>Readings[[#This Row],[Sensor ID]]&amp;"-"&amp;Readings[[#This Row],[Epoch]]</f>
        <v>250-RL-OP-11003-45778.2708333333</v>
      </c>
      <c r="V211" s="99">
        <f ca="1">IF(Readings[[#This Row],[Epoch]]=OFFSET(Readings[[#This Row],[Epoch]],-1,0),0,1)</f>
        <v>0</v>
      </c>
    </row>
    <row r="212" spans="4:22" x14ac:dyDescent="0.2">
      <c r="D212" s="32">
        <v>45778.270833333336</v>
      </c>
      <c r="E212" s="33" t="s">
        <v>191</v>
      </c>
      <c r="F212" s="34">
        <v>60063.421000000002</v>
      </c>
      <c r="G212" s="34">
        <v>363836.63800000004</v>
      </c>
      <c r="H212" s="34">
        <v>18.794</v>
      </c>
      <c r="I212" s="33" t="s">
        <v>85</v>
      </c>
      <c r="J212" s="33" t="s">
        <v>90</v>
      </c>
      <c r="K212" s="33">
        <v>14</v>
      </c>
      <c r="L212" s="33">
        <v>1020</v>
      </c>
      <c r="M212" s="33">
        <v>93</v>
      </c>
      <c r="N212" s="33"/>
      <c r="O212" s="93">
        <f>IFERROR(IF(Readings[[#This Row],[Obs. X]]="","-",Readings[[#This Row],[Obs. X]]-_xlfn.XLOOKUP(Readings[[#This Row],[Sensor ID]],Table_Baseline[Sensor ID],Table_Baseline[Easting '[m']],"-")),"-")</f>
        <v>-9.9999999656574801E-4</v>
      </c>
      <c r="P212" s="93">
        <f>IFERROR(IF(Readings[[#This Row],[Obs. Y]]="","-",Readings[[#This Row],[Obs. Y]]-_xlfn.XLOOKUP(Readings[[#This Row],[Sensor ID]],Table_Baseline[Sensor ID],Table_Baseline[Northing '[m']],"-")),"-")</f>
        <v>2.0000000367872417E-3</v>
      </c>
      <c r="Q212" s="93">
        <f>IFERROR(IF(Readings[[#This Row],[Obs. Z]]="","-",Readings[[#This Row],[Obs. Z]]-_xlfn.XLOOKUP(Readings[[#This Row],[Sensor ID]],Table_Baseline[Sensor ID],Table_Baseline[Level '[m']],"-")),"-")</f>
        <v>-8.9999999999790248E-4</v>
      </c>
      <c r="R212" s="93">
        <f>IFERROR(IF(Readings[[#This Row],[Reference Angle]]="-","-",(Readings[[#This Row],[Diff E]]*COS(RADIANS(Readings[[#This Row],[Reference Angle]]))-Readings[[#This Row],[Diff N]]*SIN(RADIANS(Readings[[#This Row],[Reference Angle]])))),"-")</f>
        <v>-9.9999999656574801E-4</v>
      </c>
      <c r="S212" s="93">
        <f>IFERROR(IF(Readings[[#This Row],[Reference Angle]]="-","-",(Readings[[#This Row],[Diff E]]*SIN(RADIANS(Readings[[#This Row],[Reference Angle]]))+Readings[[#This Row],[Diff N]]*COS(RADIANS(Readings[[#This Row],[Reference Angle]])))),"-")</f>
        <v>2.0000000367872417E-3</v>
      </c>
      <c r="T212" s="94">
        <f>IFERROR(VLOOKUP(Readings[[#This Row],[Sensor ID]],Table_Baseline[],COLUMNS(Table_Baseline[[#Headers],[Sensor ID]:[Reference Angle '[Deg']]]),FALSE),"-")</f>
        <v>0</v>
      </c>
      <c r="U212" s="95" t="str">
        <f>Readings[[#This Row],[Sensor ID]]&amp;"-"&amp;Readings[[#This Row],[Epoch]]</f>
        <v>250-RL-OP-11022-45778.2708333333</v>
      </c>
      <c r="V212" s="99">
        <f ca="1">IF(Readings[[#This Row],[Epoch]]=OFFSET(Readings[[#This Row],[Epoch]],-1,0),0,1)</f>
        <v>0</v>
      </c>
    </row>
    <row r="213" spans="4:22" x14ac:dyDescent="0.2">
      <c r="D213" s="32">
        <v>45778.270833333336</v>
      </c>
      <c r="E213" s="33" t="s">
        <v>189</v>
      </c>
      <c r="F213" s="34">
        <v>60060.639000000003</v>
      </c>
      <c r="G213" s="34">
        <v>363837.32500000001</v>
      </c>
      <c r="H213" s="34">
        <v>18.783000000000001</v>
      </c>
      <c r="I213" s="33" t="s">
        <v>85</v>
      </c>
      <c r="J213" s="33" t="s">
        <v>90</v>
      </c>
      <c r="K213" s="33">
        <v>14</v>
      </c>
      <c r="L213" s="33">
        <v>1020</v>
      </c>
      <c r="M213" s="33">
        <v>93</v>
      </c>
      <c r="N213" s="33"/>
      <c r="O213" s="93">
        <f>IFERROR(IF(Readings[[#This Row],[Obs. X]]="","-",Readings[[#This Row],[Obs. X]]-_xlfn.XLOOKUP(Readings[[#This Row],[Sensor ID]],Table_Baseline[Sensor ID],Table_Baseline[Easting '[m']],"-")),"-")</f>
        <v>-9.9999999656574801E-4</v>
      </c>
      <c r="P213" s="93">
        <f>IFERROR(IF(Readings[[#This Row],[Obs. Y]]="","-",Readings[[#This Row],[Obs. Y]]-_xlfn.XLOOKUP(Readings[[#This Row],[Sensor ID]],Table_Baseline[Sensor ID],Table_Baseline[Northing '[m']],"-")),"-")</f>
        <v>3.0000000260770321E-3</v>
      </c>
      <c r="Q213" s="93">
        <f>IFERROR(IF(Readings[[#This Row],[Obs. Z]]="","-",Readings[[#This Row],[Obs. Z]]-_xlfn.XLOOKUP(Readings[[#This Row],[Sensor ID]],Table_Baseline[Sensor ID],Table_Baseline[Level '[m']],"-")),"-")</f>
        <v>-5.9999999999860165E-4</v>
      </c>
      <c r="R213" s="93">
        <f>IFERROR(IF(Readings[[#This Row],[Reference Angle]]="-","-",(Readings[[#This Row],[Diff E]]*COS(RADIANS(Readings[[#This Row],[Reference Angle]]))-Readings[[#This Row],[Diff N]]*SIN(RADIANS(Readings[[#This Row],[Reference Angle]])))),"-")</f>
        <v>-9.9999999656574801E-4</v>
      </c>
      <c r="S213" s="93">
        <f>IFERROR(IF(Readings[[#This Row],[Reference Angle]]="-","-",(Readings[[#This Row],[Diff E]]*SIN(RADIANS(Readings[[#This Row],[Reference Angle]]))+Readings[[#This Row],[Diff N]]*COS(RADIANS(Readings[[#This Row],[Reference Angle]])))),"-")</f>
        <v>3.0000000260770321E-3</v>
      </c>
      <c r="T213" s="94">
        <f>IFERROR(VLOOKUP(Readings[[#This Row],[Sensor ID]],Table_Baseline[],COLUMNS(Table_Baseline[[#Headers],[Sensor ID]:[Reference Angle '[Deg']]]),FALSE),"-")</f>
        <v>0</v>
      </c>
      <c r="U213" s="95" t="str">
        <f>Readings[[#This Row],[Sensor ID]]&amp;"-"&amp;Readings[[#This Row],[Epoch]]</f>
        <v>250-RL-OP-11020-45778.2708333333</v>
      </c>
      <c r="V213" s="99">
        <f ca="1">IF(Readings[[#This Row],[Epoch]]=OFFSET(Readings[[#This Row],[Epoch]],-1,0),0,1)</f>
        <v>0</v>
      </c>
    </row>
    <row r="214" spans="4:22" x14ac:dyDescent="0.2">
      <c r="D214" s="32">
        <v>45778.270833333336</v>
      </c>
      <c r="E214" s="33" t="s">
        <v>187</v>
      </c>
      <c r="F214" s="34">
        <v>60057.578000000001</v>
      </c>
      <c r="G214" s="34">
        <v>363838.1</v>
      </c>
      <c r="H214" s="34">
        <v>18.776</v>
      </c>
      <c r="I214" s="33" t="s">
        <v>85</v>
      </c>
      <c r="J214" s="33" t="s">
        <v>90</v>
      </c>
      <c r="K214" s="33">
        <v>14</v>
      </c>
      <c r="L214" s="33">
        <v>1020</v>
      </c>
      <c r="M214" s="33">
        <v>93</v>
      </c>
      <c r="N214" s="33"/>
      <c r="O214" s="93">
        <f>IFERROR(IF(Readings[[#This Row],[Obs. X]]="","-",Readings[[#This Row],[Obs. X]]-_xlfn.XLOOKUP(Readings[[#This Row],[Sensor ID]],Table_Baseline[Sensor ID],Table_Baseline[Easting '[m']],"-")),"-")</f>
        <v>-9.9999999656574801E-4</v>
      </c>
      <c r="P214" s="93">
        <f>IFERROR(IF(Readings[[#This Row],[Obs. Y]]="","-",Readings[[#This Row],[Obs. Y]]-_xlfn.XLOOKUP(Readings[[#This Row],[Sensor ID]],Table_Baseline[Sensor ID],Table_Baseline[Northing '[m']],"-")),"-")</f>
        <v>1.9999999785795808E-3</v>
      </c>
      <c r="Q214" s="93">
        <f>IFERROR(IF(Readings[[#This Row],[Obs. Z]]="","-",Readings[[#This Row],[Obs. Z]]-_xlfn.XLOOKUP(Readings[[#This Row],[Sensor ID]],Table_Baseline[Sensor ID],Table_Baseline[Level '[m']],"-")),"-")</f>
        <v>0</v>
      </c>
      <c r="R214" s="93">
        <f>IFERROR(IF(Readings[[#This Row],[Reference Angle]]="-","-",(Readings[[#This Row],[Diff E]]*COS(RADIANS(Readings[[#This Row],[Reference Angle]]))-Readings[[#This Row],[Diff N]]*SIN(RADIANS(Readings[[#This Row],[Reference Angle]])))),"-")</f>
        <v>-9.9999999656574801E-4</v>
      </c>
      <c r="S214" s="93">
        <f>IFERROR(IF(Readings[[#This Row],[Reference Angle]]="-","-",(Readings[[#This Row],[Diff E]]*SIN(RADIANS(Readings[[#This Row],[Reference Angle]]))+Readings[[#This Row],[Diff N]]*COS(RADIANS(Readings[[#This Row],[Reference Angle]])))),"-")</f>
        <v>1.9999999785795808E-3</v>
      </c>
      <c r="T214" s="94">
        <f>IFERROR(VLOOKUP(Readings[[#This Row],[Sensor ID]],Table_Baseline[],COLUMNS(Table_Baseline[[#Headers],[Sensor ID]:[Reference Angle '[Deg']]]),FALSE),"-")</f>
        <v>0</v>
      </c>
      <c r="U214" s="95" t="str">
        <f>Readings[[#This Row],[Sensor ID]]&amp;"-"&amp;Readings[[#This Row],[Epoch]]</f>
        <v>250-RL-OP-11018-45778.2708333333</v>
      </c>
      <c r="V214" s="99">
        <f ca="1">IF(Readings[[#This Row],[Epoch]]=OFFSET(Readings[[#This Row],[Epoch]],-1,0),0,1)</f>
        <v>0</v>
      </c>
    </row>
    <row r="215" spans="4:22" x14ac:dyDescent="0.2">
      <c r="D215" s="32">
        <v>45778.270833333336</v>
      </c>
      <c r="E215" s="33" t="s">
        <v>185</v>
      </c>
      <c r="F215" s="34">
        <v>60054.885000000002</v>
      </c>
      <c r="G215" s="34">
        <v>363838.80599999998</v>
      </c>
      <c r="H215" s="34">
        <v>18.773</v>
      </c>
      <c r="I215" s="33" t="s">
        <v>85</v>
      </c>
      <c r="J215" s="33" t="s">
        <v>90</v>
      </c>
      <c r="K215" s="33">
        <v>14</v>
      </c>
      <c r="L215" s="33">
        <v>1020</v>
      </c>
      <c r="M215" s="33">
        <v>93</v>
      </c>
      <c r="N215" s="33"/>
      <c r="O215" s="93">
        <f>IFERROR(IF(Readings[[#This Row],[Obs. X]]="","-",Readings[[#This Row],[Obs. X]]-_xlfn.XLOOKUP(Readings[[#This Row],[Sensor ID]],Table_Baseline[Sensor ID],Table_Baseline[Easting '[m']],"-")),"-")</f>
        <v>-9.9999999656574801E-4</v>
      </c>
      <c r="P215" s="93">
        <f>IFERROR(IF(Readings[[#This Row],[Obs. Y]]="","-",Readings[[#This Row],[Obs. Y]]-_xlfn.XLOOKUP(Readings[[#This Row],[Sensor ID]],Table_Baseline[Sensor ID],Table_Baseline[Northing '[m']],"-")),"-")</f>
        <v>9.9999998928979039E-4</v>
      </c>
      <c r="Q215" s="93">
        <f>IFERROR(IF(Readings[[#This Row],[Obs. Z]]="","-",Readings[[#This Row],[Obs. Z]]-_xlfn.XLOOKUP(Readings[[#This Row],[Sensor ID]],Table_Baseline[Sensor ID],Table_Baseline[Level '[m']],"-")),"-")</f>
        <v>-9.9999999999766942E-5</v>
      </c>
      <c r="R215" s="93">
        <f>IFERROR(IF(Readings[[#This Row],[Reference Angle]]="-","-",(Readings[[#This Row],[Diff E]]*COS(RADIANS(Readings[[#This Row],[Reference Angle]]))-Readings[[#This Row],[Diff N]]*SIN(RADIANS(Readings[[#This Row],[Reference Angle]])))),"-")</f>
        <v>-9.9999999656574801E-4</v>
      </c>
      <c r="S215" s="93">
        <f>IFERROR(IF(Readings[[#This Row],[Reference Angle]]="-","-",(Readings[[#This Row],[Diff E]]*SIN(RADIANS(Readings[[#This Row],[Reference Angle]]))+Readings[[#This Row],[Diff N]]*COS(RADIANS(Readings[[#This Row],[Reference Angle]])))),"-")</f>
        <v>9.9999998928979039E-4</v>
      </c>
      <c r="T215" s="94">
        <f>IFERROR(VLOOKUP(Readings[[#This Row],[Sensor ID]],Table_Baseline[],COLUMNS(Table_Baseline[[#Headers],[Sensor ID]:[Reference Angle '[Deg']]]),FALSE),"-")</f>
        <v>0</v>
      </c>
      <c r="U215" s="95" t="str">
        <f>Readings[[#This Row],[Sensor ID]]&amp;"-"&amp;Readings[[#This Row],[Epoch]]</f>
        <v>250-RL-OP-11016-45778.2708333333</v>
      </c>
      <c r="V215" s="99">
        <f ca="1">IF(Readings[[#This Row],[Epoch]]=OFFSET(Readings[[#This Row],[Epoch]],-1,0),0,1)</f>
        <v>0</v>
      </c>
    </row>
    <row r="216" spans="4:22" x14ac:dyDescent="0.2">
      <c r="D216" s="32">
        <v>45778.270833333336</v>
      </c>
      <c r="E216" s="33" t="s">
        <v>183</v>
      </c>
      <c r="F216" s="34">
        <v>60051.989000000001</v>
      </c>
      <c r="G216" s="34">
        <v>363839.60399999999</v>
      </c>
      <c r="H216" s="34">
        <v>18.77</v>
      </c>
      <c r="I216" s="33" t="s">
        <v>85</v>
      </c>
      <c r="J216" s="33" t="s">
        <v>90</v>
      </c>
      <c r="K216" s="33">
        <v>14</v>
      </c>
      <c r="L216" s="33">
        <v>1020</v>
      </c>
      <c r="M216" s="33">
        <v>93</v>
      </c>
      <c r="N216" s="33"/>
      <c r="O216" s="93">
        <f>IFERROR(IF(Readings[[#This Row],[Obs. X]]="","-",Readings[[#This Row],[Obs. X]]-_xlfn.XLOOKUP(Readings[[#This Row],[Sensor ID]],Table_Baseline[Sensor ID],Table_Baseline[Easting '[m']],"-")),"-")</f>
        <v>0</v>
      </c>
      <c r="P216" s="93">
        <f>IFERROR(IF(Readings[[#This Row],[Obs. Y]]="","-",Readings[[#This Row],[Obs. Y]]-_xlfn.XLOOKUP(Readings[[#This Row],[Sensor ID]],Table_Baseline[Sensor ID],Table_Baseline[Northing '[m']],"-")),"-")</f>
        <v>9.9999998928979039E-4</v>
      </c>
      <c r="Q216" s="93">
        <f>IFERROR(IF(Readings[[#This Row],[Obs. Z]]="","-",Readings[[#This Row],[Obs. Z]]-_xlfn.XLOOKUP(Readings[[#This Row],[Sensor ID]],Table_Baseline[Sensor ID],Table_Baseline[Level '[m']],"-")),"-")</f>
        <v>-9.9999999999766942E-5</v>
      </c>
      <c r="R216" s="93">
        <f>IFERROR(IF(Readings[[#This Row],[Reference Angle]]="-","-",(Readings[[#This Row],[Diff E]]*COS(RADIANS(Readings[[#This Row],[Reference Angle]]))-Readings[[#This Row],[Diff N]]*SIN(RADIANS(Readings[[#This Row],[Reference Angle]])))),"-")</f>
        <v>0</v>
      </c>
      <c r="S216" s="93">
        <f>IFERROR(IF(Readings[[#This Row],[Reference Angle]]="-","-",(Readings[[#This Row],[Diff E]]*SIN(RADIANS(Readings[[#This Row],[Reference Angle]]))+Readings[[#This Row],[Diff N]]*COS(RADIANS(Readings[[#This Row],[Reference Angle]])))),"-")</f>
        <v>9.9999998928979039E-4</v>
      </c>
      <c r="T216" s="94">
        <f>IFERROR(VLOOKUP(Readings[[#This Row],[Sensor ID]],Table_Baseline[],COLUMNS(Table_Baseline[[#Headers],[Sensor ID]:[Reference Angle '[Deg']]]),FALSE),"-")</f>
        <v>0</v>
      </c>
      <c r="U216" s="95" t="str">
        <f>Readings[[#This Row],[Sensor ID]]&amp;"-"&amp;Readings[[#This Row],[Epoch]]</f>
        <v>250-RL-OP-11014-45778.2708333333</v>
      </c>
      <c r="V216" s="99">
        <f ca="1">IF(Readings[[#This Row],[Epoch]]=OFFSET(Readings[[#This Row],[Epoch]],-1,0),0,1)</f>
        <v>0</v>
      </c>
    </row>
    <row r="217" spans="4:22" x14ac:dyDescent="0.2">
      <c r="D217" s="32">
        <v>45778.270833333336</v>
      </c>
      <c r="E217" s="33" t="s">
        <v>181</v>
      </c>
      <c r="F217" s="34">
        <v>60049.040999999997</v>
      </c>
      <c r="G217" s="34">
        <v>363840.435</v>
      </c>
      <c r="H217" s="34">
        <v>18.771000000000001</v>
      </c>
      <c r="I217" s="33" t="s">
        <v>85</v>
      </c>
      <c r="J217" s="33" t="s">
        <v>90</v>
      </c>
      <c r="K217" s="33">
        <v>14</v>
      </c>
      <c r="L217" s="33">
        <v>1020</v>
      </c>
      <c r="M217" s="33">
        <v>93</v>
      </c>
      <c r="N217" s="33"/>
      <c r="O217" s="93">
        <f>IFERROR(IF(Readings[[#This Row],[Obs. X]]="","-",Readings[[#This Row],[Obs. X]]-_xlfn.XLOOKUP(Readings[[#This Row],[Sensor ID]],Table_Baseline[Sensor ID],Table_Baseline[Easting '[m']],"-")),"-")</f>
        <v>0</v>
      </c>
      <c r="P217" s="93">
        <f>IFERROR(IF(Readings[[#This Row],[Obs. Y]]="","-",Readings[[#This Row],[Obs. Y]]-_xlfn.XLOOKUP(Readings[[#This Row],[Sensor ID]],Table_Baseline[Sensor ID],Table_Baseline[Northing '[m']],"-")),"-")</f>
        <v>2.0000000367872417E-3</v>
      </c>
      <c r="Q217" s="93">
        <f>IFERROR(IF(Readings[[#This Row],[Obs. Z]]="","-",Readings[[#This Row],[Obs. Z]]-_xlfn.XLOOKUP(Readings[[#This Row],[Sensor ID]],Table_Baseline[Sensor ID],Table_Baseline[Level '[m']],"-")),"-")</f>
        <v>-9.9999999999766942E-5</v>
      </c>
      <c r="R217" s="93">
        <f>IFERROR(IF(Readings[[#This Row],[Reference Angle]]="-","-",(Readings[[#This Row],[Diff E]]*COS(RADIANS(Readings[[#This Row],[Reference Angle]]))-Readings[[#This Row],[Diff N]]*SIN(RADIANS(Readings[[#This Row],[Reference Angle]])))),"-")</f>
        <v>0</v>
      </c>
      <c r="S217" s="93">
        <f>IFERROR(IF(Readings[[#This Row],[Reference Angle]]="-","-",(Readings[[#This Row],[Diff E]]*SIN(RADIANS(Readings[[#This Row],[Reference Angle]]))+Readings[[#This Row],[Diff N]]*COS(RADIANS(Readings[[#This Row],[Reference Angle]])))),"-")</f>
        <v>2.0000000367872417E-3</v>
      </c>
      <c r="T217" s="94">
        <f>IFERROR(VLOOKUP(Readings[[#This Row],[Sensor ID]],Table_Baseline[],COLUMNS(Table_Baseline[[#Headers],[Sensor ID]:[Reference Angle '[Deg']]]),FALSE),"-")</f>
        <v>0</v>
      </c>
      <c r="U217" s="95" t="str">
        <f>Readings[[#This Row],[Sensor ID]]&amp;"-"&amp;Readings[[#This Row],[Epoch]]</f>
        <v>250-RL-OP-11012-45778.2708333333</v>
      </c>
      <c r="V217" s="99">
        <f ca="1">IF(Readings[[#This Row],[Epoch]]=OFFSET(Readings[[#This Row],[Epoch]],-1,0),0,1)</f>
        <v>0</v>
      </c>
    </row>
    <row r="218" spans="4:22" x14ac:dyDescent="0.2">
      <c r="D218" s="32">
        <v>45778.270833333336</v>
      </c>
      <c r="E218" s="33" t="s">
        <v>179</v>
      </c>
      <c r="F218" s="34">
        <v>60046.249000000003</v>
      </c>
      <c r="G218" s="34">
        <v>363841.22600000002</v>
      </c>
      <c r="H218" s="34">
        <v>18.77</v>
      </c>
      <c r="I218" s="33" t="s">
        <v>85</v>
      </c>
      <c r="J218" s="33" t="s">
        <v>90</v>
      </c>
      <c r="K218" s="33">
        <v>14</v>
      </c>
      <c r="L218" s="33">
        <v>1020</v>
      </c>
      <c r="M218" s="33">
        <v>93</v>
      </c>
      <c r="N218" s="33"/>
      <c r="O218" s="93">
        <f>IFERROR(IF(Readings[[#This Row],[Obs. X]]="","-",Readings[[#This Row],[Obs. X]]-_xlfn.XLOOKUP(Readings[[#This Row],[Sensor ID]],Table_Baseline[Sensor ID],Table_Baseline[Easting '[m']],"-")),"-")</f>
        <v>-9.9999999656574801E-4</v>
      </c>
      <c r="P218" s="93">
        <f>IFERROR(IF(Readings[[#This Row],[Obs. Y]]="","-",Readings[[#This Row],[Obs. Y]]-_xlfn.XLOOKUP(Readings[[#This Row],[Sensor ID]],Table_Baseline[Sensor ID],Table_Baseline[Northing '[m']],"-")),"-")</f>
        <v>0</v>
      </c>
      <c r="Q218" s="93">
        <f>IFERROR(IF(Readings[[#This Row],[Obs. Z]]="","-",Readings[[#This Row],[Obs. Z]]-_xlfn.XLOOKUP(Readings[[#This Row],[Sensor ID]],Table_Baseline[Sensor ID],Table_Baseline[Level '[m']],"-")),"-")</f>
        <v>1.9999999999953388E-4</v>
      </c>
      <c r="R218" s="93">
        <f>IFERROR(IF(Readings[[#This Row],[Reference Angle]]="-","-",(Readings[[#This Row],[Diff E]]*COS(RADIANS(Readings[[#This Row],[Reference Angle]]))-Readings[[#This Row],[Diff N]]*SIN(RADIANS(Readings[[#This Row],[Reference Angle]])))),"-")</f>
        <v>-9.9999999656574801E-4</v>
      </c>
      <c r="S218" s="93">
        <f>IFERROR(IF(Readings[[#This Row],[Reference Angle]]="-","-",(Readings[[#This Row],[Diff E]]*SIN(RADIANS(Readings[[#This Row],[Reference Angle]]))+Readings[[#This Row],[Diff N]]*COS(RADIANS(Readings[[#This Row],[Reference Angle]])))),"-")</f>
        <v>0</v>
      </c>
      <c r="T218" s="94">
        <f>IFERROR(VLOOKUP(Readings[[#This Row],[Sensor ID]],Table_Baseline[],COLUMNS(Table_Baseline[[#Headers],[Sensor ID]:[Reference Angle '[Deg']]]),FALSE),"-")</f>
        <v>0</v>
      </c>
      <c r="U218" s="95" t="str">
        <f>Readings[[#This Row],[Sensor ID]]&amp;"-"&amp;Readings[[#This Row],[Epoch]]</f>
        <v>250-RL-OP-11010-45778.2708333333</v>
      </c>
      <c r="V218" s="99">
        <f ca="1">IF(Readings[[#This Row],[Epoch]]=OFFSET(Readings[[#This Row],[Epoch]],-1,0),0,1)</f>
        <v>0</v>
      </c>
    </row>
    <row r="219" spans="4:22" x14ac:dyDescent="0.2">
      <c r="D219" s="32">
        <v>45778.270833333336</v>
      </c>
      <c r="E219" s="33" t="s">
        <v>177</v>
      </c>
      <c r="F219" s="34">
        <v>60043.440999999999</v>
      </c>
      <c r="G219" s="34">
        <v>363842.04099999997</v>
      </c>
      <c r="H219" s="34">
        <v>18.768999999999998</v>
      </c>
      <c r="I219" s="33" t="s">
        <v>85</v>
      </c>
      <c r="J219" s="33" t="s">
        <v>90</v>
      </c>
      <c r="K219" s="33">
        <v>14</v>
      </c>
      <c r="L219" s="33">
        <v>1020</v>
      </c>
      <c r="M219" s="33">
        <v>93</v>
      </c>
      <c r="N219" s="33"/>
      <c r="O219" s="93">
        <f>IFERROR(IF(Readings[[#This Row],[Obs. X]]="","-",Readings[[#This Row],[Obs. X]]-_xlfn.XLOOKUP(Readings[[#This Row],[Sensor ID]],Table_Baseline[Sensor ID],Table_Baseline[Easting '[m']],"-")),"-")</f>
        <v>0</v>
      </c>
      <c r="P219" s="93">
        <f>IFERROR(IF(Readings[[#This Row],[Obs. Y]]="","-",Readings[[#This Row],[Obs. Y]]-_xlfn.XLOOKUP(Readings[[#This Row],[Sensor ID]],Table_Baseline[Sensor ID],Table_Baseline[Northing '[m']],"-")),"-")</f>
        <v>9.9999993108212948E-4</v>
      </c>
      <c r="Q219" s="93">
        <f>IFERROR(IF(Readings[[#This Row],[Obs. Z]]="","-",Readings[[#This Row],[Obs. Z]]-_xlfn.XLOOKUP(Readings[[#This Row],[Sensor ID]],Table_Baseline[Sensor ID],Table_Baseline[Level '[m']],"-")),"-")</f>
        <v>6.9999999999836859E-4</v>
      </c>
      <c r="R219" s="93">
        <f>IFERROR(IF(Readings[[#This Row],[Reference Angle]]="-","-",(Readings[[#This Row],[Diff E]]*COS(RADIANS(Readings[[#This Row],[Reference Angle]]))-Readings[[#This Row],[Diff N]]*SIN(RADIANS(Readings[[#This Row],[Reference Angle]])))),"-")</f>
        <v>0</v>
      </c>
      <c r="S219" s="93">
        <f>IFERROR(IF(Readings[[#This Row],[Reference Angle]]="-","-",(Readings[[#This Row],[Diff E]]*SIN(RADIANS(Readings[[#This Row],[Reference Angle]]))+Readings[[#This Row],[Diff N]]*COS(RADIANS(Readings[[#This Row],[Reference Angle]])))),"-")</f>
        <v>9.9999993108212948E-4</v>
      </c>
      <c r="T219" s="94">
        <f>IFERROR(VLOOKUP(Readings[[#This Row],[Sensor ID]],Table_Baseline[],COLUMNS(Table_Baseline[[#Headers],[Sensor ID]:[Reference Angle '[Deg']]]),FALSE),"-")</f>
        <v>0</v>
      </c>
      <c r="U219" s="95" t="str">
        <f>Readings[[#This Row],[Sensor ID]]&amp;"-"&amp;Readings[[#This Row],[Epoch]]</f>
        <v>250-RL-OP-11008-45778.2708333333</v>
      </c>
      <c r="V219" s="99">
        <f ca="1">IF(Readings[[#This Row],[Epoch]]=OFFSET(Readings[[#This Row],[Epoch]],-1,0),0,1)</f>
        <v>0</v>
      </c>
    </row>
    <row r="220" spans="4:22" x14ac:dyDescent="0.2">
      <c r="D220" s="32">
        <v>45778.270833333336</v>
      </c>
      <c r="E220" s="33" t="s">
        <v>175</v>
      </c>
      <c r="F220" s="34">
        <v>60040.606</v>
      </c>
      <c r="G220" s="34">
        <v>363842.86100000003</v>
      </c>
      <c r="H220" s="34">
        <v>18.771999999999998</v>
      </c>
      <c r="I220" s="33" t="s">
        <v>85</v>
      </c>
      <c r="J220" s="33" t="s">
        <v>90</v>
      </c>
      <c r="K220" s="33">
        <v>14</v>
      </c>
      <c r="L220" s="33">
        <v>1020</v>
      </c>
      <c r="M220" s="33">
        <v>93</v>
      </c>
      <c r="N220" s="33"/>
      <c r="O220" s="93">
        <f>IFERROR(IF(Readings[[#This Row],[Obs. X]]="","-",Readings[[#This Row],[Obs. X]]-_xlfn.XLOOKUP(Readings[[#This Row],[Sensor ID]],Table_Baseline[Sensor ID],Table_Baseline[Easting '[m']],"-")),"-")</f>
        <v>-1.0000000038417056E-3</v>
      </c>
      <c r="P220" s="93">
        <f>IFERROR(IF(Readings[[#This Row],[Obs. Y]]="","-",Readings[[#This Row],[Obs. Y]]-_xlfn.XLOOKUP(Readings[[#This Row],[Sensor ID]],Table_Baseline[Sensor ID],Table_Baseline[Northing '[m']],"-")),"-")</f>
        <v>0</v>
      </c>
      <c r="Q220" s="93">
        <f>IFERROR(IF(Readings[[#This Row],[Obs. Z]]="","-",Readings[[#This Row],[Obs. Z]]-_xlfn.XLOOKUP(Readings[[#This Row],[Sensor ID]],Table_Baseline[Sensor ID],Table_Baseline[Level '[m']],"-")),"-")</f>
        <v>0</v>
      </c>
      <c r="R220" s="93">
        <f>IFERROR(IF(Readings[[#This Row],[Reference Angle]]="-","-",(Readings[[#This Row],[Diff E]]*COS(RADIANS(Readings[[#This Row],[Reference Angle]]))-Readings[[#This Row],[Diff N]]*SIN(RADIANS(Readings[[#This Row],[Reference Angle]])))),"-")</f>
        <v>-1.0000000038417056E-3</v>
      </c>
      <c r="S220" s="93">
        <f>IFERROR(IF(Readings[[#This Row],[Reference Angle]]="-","-",(Readings[[#This Row],[Diff E]]*SIN(RADIANS(Readings[[#This Row],[Reference Angle]]))+Readings[[#This Row],[Diff N]]*COS(RADIANS(Readings[[#This Row],[Reference Angle]])))),"-")</f>
        <v>0</v>
      </c>
      <c r="T220" s="94">
        <f>IFERROR(VLOOKUP(Readings[[#This Row],[Sensor ID]],Table_Baseline[],COLUMNS(Table_Baseline[[#Headers],[Sensor ID]:[Reference Angle '[Deg']]]),FALSE),"-")</f>
        <v>0</v>
      </c>
      <c r="U220" s="95" t="str">
        <f>Readings[[#This Row],[Sensor ID]]&amp;"-"&amp;Readings[[#This Row],[Epoch]]</f>
        <v>250-RL-OP-11006-45778.2708333333</v>
      </c>
      <c r="V220" s="99">
        <f ca="1">IF(Readings[[#This Row],[Epoch]]=OFFSET(Readings[[#This Row],[Epoch]],-1,0),0,1)</f>
        <v>0</v>
      </c>
    </row>
    <row r="221" spans="4:22" x14ac:dyDescent="0.2">
      <c r="D221" s="32">
        <v>45778.270833333336</v>
      </c>
      <c r="E221" s="33" t="s">
        <v>173</v>
      </c>
      <c r="F221" s="34">
        <v>60037.805</v>
      </c>
      <c r="G221" s="34">
        <v>363843.65700000001</v>
      </c>
      <c r="H221" s="34">
        <v>18.779</v>
      </c>
      <c r="I221" s="33" t="s">
        <v>85</v>
      </c>
      <c r="J221" s="33" t="s">
        <v>90</v>
      </c>
      <c r="K221" s="33">
        <v>14</v>
      </c>
      <c r="L221" s="33">
        <v>1020</v>
      </c>
      <c r="M221" s="33">
        <v>93</v>
      </c>
      <c r="N221" s="33"/>
      <c r="O221" s="93">
        <f>IFERROR(IF(Readings[[#This Row],[Obs. X]]="","-",Readings[[#This Row],[Obs. X]]-_xlfn.XLOOKUP(Readings[[#This Row],[Sensor ID]],Table_Baseline[Sensor ID],Table_Baseline[Easting '[m']],"-")),"-")</f>
        <v>0</v>
      </c>
      <c r="P221" s="93">
        <f>IFERROR(IF(Readings[[#This Row],[Obs. Y]]="","-",Readings[[#This Row],[Obs. Y]]-_xlfn.XLOOKUP(Readings[[#This Row],[Sensor ID]],Table_Baseline[Sensor ID],Table_Baseline[Northing '[m']],"-")),"-")</f>
        <v>0</v>
      </c>
      <c r="Q221" s="93">
        <f>IFERROR(IF(Readings[[#This Row],[Obs. Z]]="","-",Readings[[#This Row],[Obs. Z]]-_xlfn.XLOOKUP(Readings[[#This Row],[Sensor ID]],Table_Baseline[Sensor ID],Table_Baseline[Level '[m']],"-")),"-")</f>
        <v>4.9999999999883471E-4</v>
      </c>
      <c r="R221" s="93">
        <f>IFERROR(IF(Readings[[#This Row],[Reference Angle]]="-","-",(Readings[[#This Row],[Diff E]]*COS(RADIANS(Readings[[#This Row],[Reference Angle]]))-Readings[[#This Row],[Diff N]]*SIN(RADIANS(Readings[[#This Row],[Reference Angle]])))),"-")</f>
        <v>0</v>
      </c>
      <c r="S221" s="93">
        <f>IFERROR(IF(Readings[[#This Row],[Reference Angle]]="-","-",(Readings[[#This Row],[Diff E]]*SIN(RADIANS(Readings[[#This Row],[Reference Angle]]))+Readings[[#This Row],[Diff N]]*COS(RADIANS(Readings[[#This Row],[Reference Angle]])))),"-")</f>
        <v>0</v>
      </c>
      <c r="T221" s="94">
        <f>IFERROR(VLOOKUP(Readings[[#This Row],[Sensor ID]],Table_Baseline[],COLUMNS(Table_Baseline[[#Headers],[Sensor ID]:[Reference Angle '[Deg']]]),FALSE),"-")</f>
        <v>0</v>
      </c>
      <c r="U221" s="95" t="str">
        <f>Readings[[#This Row],[Sensor ID]]&amp;"-"&amp;Readings[[#This Row],[Epoch]]</f>
        <v>250-RL-OP-11004-45778.2708333333</v>
      </c>
      <c r="V221" s="99">
        <f ca="1">IF(Readings[[#This Row],[Epoch]]=OFFSET(Readings[[#This Row],[Epoch]],-1,0),0,1)</f>
        <v>0</v>
      </c>
    </row>
    <row r="222" spans="4:22" x14ac:dyDescent="0.2">
      <c r="D222" s="32">
        <v>45778.270833333336</v>
      </c>
      <c r="E222" s="33" t="s">
        <v>172</v>
      </c>
      <c r="F222" s="34">
        <v>60035.34</v>
      </c>
      <c r="G222" s="34">
        <v>363845.73800000001</v>
      </c>
      <c r="H222" s="34">
        <v>18.782</v>
      </c>
      <c r="I222" s="33" t="s">
        <v>85</v>
      </c>
      <c r="J222" s="33" t="s">
        <v>90</v>
      </c>
      <c r="K222" s="33">
        <v>14</v>
      </c>
      <c r="L222" s="33">
        <v>1020</v>
      </c>
      <c r="M222" s="33">
        <v>93</v>
      </c>
      <c r="N222" s="33"/>
      <c r="O222" s="93">
        <f>IFERROR(IF(Readings[[#This Row],[Obs. X]]="","-",Readings[[#This Row],[Obs. X]]-_xlfn.XLOOKUP(Readings[[#This Row],[Sensor ID]],Table_Baseline[Sensor ID],Table_Baseline[Easting '[m']],"-")),"-")</f>
        <v>0</v>
      </c>
      <c r="P222" s="93">
        <f>IFERROR(IF(Readings[[#This Row],[Obs. Y]]="","-",Readings[[#This Row],[Obs. Y]]-_xlfn.XLOOKUP(Readings[[#This Row],[Sensor ID]],Table_Baseline[Sensor ID],Table_Baseline[Northing '[m']],"-")),"-")</f>
        <v>-9.9999998928979039E-4</v>
      </c>
      <c r="Q222" s="93">
        <f>IFERROR(IF(Readings[[#This Row],[Obs. Z]]="","-",Readings[[#This Row],[Obs. Z]]-_xlfn.XLOOKUP(Readings[[#This Row],[Sensor ID]],Table_Baseline[Sensor ID],Table_Baseline[Level '[m']],"-")),"-")</f>
        <v>0</v>
      </c>
      <c r="R222" s="93">
        <f>IFERROR(IF(Readings[[#This Row],[Reference Angle]]="-","-",(Readings[[#This Row],[Diff E]]*COS(RADIANS(Readings[[#This Row],[Reference Angle]]))-Readings[[#This Row],[Diff N]]*SIN(RADIANS(Readings[[#This Row],[Reference Angle]])))),"-")</f>
        <v>0</v>
      </c>
      <c r="S222" s="93">
        <f>IFERROR(IF(Readings[[#This Row],[Reference Angle]]="-","-",(Readings[[#This Row],[Diff E]]*SIN(RADIANS(Readings[[#This Row],[Reference Angle]]))+Readings[[#This Row],[Diff N]]*COS(RADIANS(Readings[[#This Row],[Reference Angle]])))),"-")</f>
        <v>-9.9999998928979039E-4</v>
      </c>
      <c r="T222" s="94">
        <f>IFERROR(VLOOKUP(Readings[[#This Row],[Sensor ID]],Table_Baseline[],COLUMNS(Table_Baseline[[#Headers],[Sensor ID]:[Reference Angle '[Deg']]]),FALSE),"-")</f>
        <v>0</v>
      </c>
      <c r="U222" s="95" t="str">
        <f>Readings[[#This Row],[Sensor ID]]&amp;"-"&amp;Readings[[#This Row],[Epoch]]</f>
        <v>250-RL-OP-11001-45778.2708333333</v>
      </c>
      <c r="V222" s="99">
        <f ca="1">IF(Readings[[#This Row],[Epoch]]=OFFSET(Readings[[#This Row],[Epoch]],-1,0),0,1)</f>
        <v>0</v>
      </c>
    </row>
    <row r="223" spans="4:22" x14ac:dyDescent="0.2">
      <c r="D223" s="32">
        <v>45778.270833333336</v>
      </c>
      <c r="E223" s="151" t="s">
        <v>171</v>
      </c>
      <c r="F223" s="152">
        <v>60034.959000000003</v>
      </c>
      <c r="G223" s="152">
        <v>363844.47100000002</v>
      </c>
      <c r="H223" s="152">
        <v>18.777999999999999</v>
      </c>
      <c r="I223" s="33" t="s">
        <v>85</v>
      </c>
      <c r="J223" s="33" t="s">
        <v>90</v>
      </c>
      <c r="K223" s="33">
        <v>14</v>
      </c>
      <c r="L223" s="33">
        <v>1020</v>
      </c>
      <c r="M223" s="33">
        <v>93</v>
      </c>
      <c r="N223" s="151"/>
      <c r="O223" s="96">
        <f>IFERROR(IF(Readings[[#This Row],[Obs. X]]="","-",Readings[[#This Row],[Obs. X]]-_xlfn.XLOOKUP(Readings[[#This Row],[Sensor ID]],Table_Baseline[Sensor ID],Table_Baseline[Easting '[m']],"-")),"-")</f>
        <v>0</v>
      </c>
      <c r="P223" s="96">
        <f>IFERROR(IF(Readings[[#This Row],[Obs. Y]]="","-",Readings[[#This Row],[Obs. Y]]-_xlfn.XLOOKUP(Readings[[#This Row],[Sensor ID]],Table_Baseline[Sensor ID],Table_Baseline[Northing '[m']],"-")),"-")</f>
        <v>0</v>
      </c>
      <c r="Q223" s="96">
        <f>IFERROR(IF(Readings[[#This Row],[Obs. Z]]="","-",Readings[[#This Row],[Obs. Z]]-_xlfn.XLOOKUP(Readings[[#This Row],[Sensor ID]],Table_Baseline[Sensor ID],Table_Baseline[Level '[m']],"-")),"-")</f>
        <v>-9.9999999999766942E-5</v>
      </c>
      <c r="R223" s="96">
        <f>IFERROR(IF(Readings[[#This Row],[Reference Angle]]="-","-",(Readings[[#This Row],[Diff E]]*COS(RADIANS(Readings[[#This Row],[Reference Angle]]))-Readings[[#This Row],[Diff N]]*SIN(RADIANS(Readings[[#This Row],[Reference Angle]])))),"-")</f>
        <v>0</v>
      </c>
      <c r="S223" s="96">
        <f>IFERROR(IF(Readings[[#This Row],[Reference Angle]]="-","-",(Readings[[#This Row],[Diff E]]*SIN(RADIANS(Readings[[#This Row],[Reference Angle]]))+Readings[[#This Row],[Diff N]]*COS(RADIANS(Readings[[#This Row],[Reference Angle]])))),"-")</f>
        <v>0</v>
      </c>
      <c r="T223" s="97">
        <f>IFERROR(VLOOKUP(Readings[[#This Row],[Sensor ID]],Table_Baseline[],COLUMNS(Table_Baseline[[#Headers],[Sensor ID]:[Reference Angle '[Deg']]]),FALSE),"-")</f>
        <v>0</v>
      </c>
      <c r="U223" s="98" t="str">
        <f>Readings[[#This Row],[Sensor ID]]&amp;"-"&amp;Readings[[#This Row],[Epoch]]</f>
        <v>250-RL-OP-11002-45778.2708333333</v>
      </c>
      <c r="V223" s="100">
        <f ca="1">IF(Readings[[#This Row],[Epoch]]=OFFSET(Readings[[#This Row],[Epoch]],-1,0),0,1)</f>
        <v>0</v>
      </c>
    </row>
    <row r="224" spans="4:22" x14ac:dyDescent="0.2">
      <c r="D224" s="32">
        <v>45779.270833333336</v>
      </c>
      <c r="E224" s="33" t="s">
        <v>192</v>
      </c>
      <c r="F224" s="34">
        <v>60063.75</v>
      </c>
      <c r="G224" s="34">
        <v>363837.92000000004</v>
      </c>
      <c r="H224" s="34">
        <v>18.809000000000001</v>
      </c>
      <c r="I224" s="33" t="s">
        <v>85</v>
      </c>
      <c r="J224" s="33" t="s">
        <v>90</v>
      </c>
      <c r="K224" s="33">
        <v>14</v>
      </c>
      <c r="L224" s="33">
        <v>1020</v>
      </c>
      <c r="M224" s="33">
        <v>91</v>
      </c>
      <c r="N224" s="33"/>
      <c r="O224" s="93">
        <f>IFERROR(IF(Readings[[#This Row],[Obs. X]]="","-",Readings[[#This Row],[Obs. X]]-_xlfn.XLOOKUP(Readings[[#This Row],[Sensor ID]],Table_Baseline[Sensor ID],Table_Baseline[Easting '[m']],"-")),"-")</f>
        <v>-9.9999999656574801E-4</v>
      </c>
      <c r="P224" s="93">
        <f>IFERROR(IF(Readings[[#This Row],[Obs. Y]]="","-",Readings[[#This Row],[Obs. Y]]-_xlfn.XLOOKUP(Readings[[#This Row],[Sensor ID]],Table_Baseline[Sensor ID],Table_Baseline[Northing '[m']],"-")),"-")</f>
        <v>2.0000000367872417E-3</v>
      </c>
      <c r="Q224" s="93">
        <f>IFERROR(IF(Readings[[#This Row],[Obs. Z]]="","-",Readings[[#This Row],[Obs. Z]]-_xlfn.XLOOKUP(Readings[[#This Row],[Sensor ID]],Table_Baseline[Sensor ID],Table_Baseline[Level '[m']],"-")),"-")</f>
        <v>0</v>
      </c>
      <c r="R224" s="93">
        <f>IFERROR(IF(Readings[[#This Row],[Reference Angle]]="-","-",(Readings[[#This Row],[Diff E]]*COS(RADIANS(Readings[[#This Row],[Reference Angle]]))-Readings[[#This Row],[Diff N]]*SIN(RADIANS(Readings[[#This Row],[Reference Angle]])))),"-")</f>
        <v>-9.9999999656574801E-4</v>
      </c>
      <c r="S224" s="93">
        <f>IFERROR(IF(Readings[[#This Row],[Reference Angle]]="-","-",(Readings[[#This Row],[Diff E]]*SIN(RADIANS(Readings[[#This Row],[Reference Angle]]))+Readings[[#This Row],[Diff N]]*COS(RADIANS(Readings[[#This Row],[Reference Angle]])))),"-")</f>
        <v>2.0000000367872417E-3</v>
      </c>
      <c r="T224" s="94">
        <f>IFERROR(VLOOKUP(Readings[[#This Row],[Sensor ID]],Table_Baseline[],COLUMNS(Table_Baseline[[#Headers],[Sensor ID]:[Reference Angle '[Deg']]]),FALSE),"-")</f>
        <v>0</v>
      </c>
      <c r="U224" s="95" t="str">
        <f>Readings[[#This Row],[Sensor ID]]&amp;"-"&amp;Readings[[#This Row],[Epoch]]</f>
        <v>250-RL-OP-11021-45779.2708333333</v>
      </c>
      <c r="V224" s="99">
        <f ca="1">IF(Readings[[#This Row],[Epoch]]=OFFSET(Readings[[#This Row],[Epoch]],-1,0),0,1)</f>
        <v>1</v>
      </c>
    </row>
    <row r="225" spans="4:22" x14ac:dyDescent="0.2">
      <c r="D225" s="32">
        <v>45779.270833333336</v>
      </c>
      <c r="E225" s="33" t="s">
        <v>190</v>
      </c>
      <c r="F225" s="34">
        <v>60060.962</v>
      </c>
      <c r="G225" s="34">
        <v>363838.603</v>
      </c>
      <c r="H225" s="34">
        <v>18.794</v>
      </c>
      <c r="I225" s="33" t="s">
        <v>85</v>
      </c>
      <c r="J225" s="33" t="s">
        <v>90</v>
      </c>
      <c r="K225" s="33">
        <v>14</v>
      </c>
      <c r="L225" s="33">
        <v>1020</v>
      </c>
      <c r="M225" s="33">
        <v>91</v>
      </c>
      <c r="N225" s="33"/>
      <c r="O225" s="93">
        <f>IFERROR(IF(Readings[[#This Row],[Obs. X]]="","-",Readings[[#This Row],[Obs. X]]-_xlfn.XLOOKUP(Readings[[#This Row],[Sensor ID]],Table_Baseline[Sensor ID],Table_Baseline[Easting '[m']],"-")),"-")</f>
        <v>-1.0000000038417056E-3</v>
      </c>
      <c r="P225" s="93">
        <f>IFERROR(IF(Readings[[#This Row],[Obs. Y]]="","-",Readings[[#This Row],[Obs. Y]]-_xlfn.XLOOKUP(Readings[[#This Row],[Sensor ID]],Table_Baseline[Sensor ID],Table_Baseline[Northing '[m']],"-")),"-")</f>
        <v>1.9999999785795808E-3</v>
      </c>
      <c r="Q225" s="93">
        <f>IFERROR(IF(Readings[[#This Row],[Obs. Z]]="","-",Readings[[#This Row],[Obs. Z]]-_xlfn.XLOOKUP(Readings[[#This Row],[Sensor ID]],Table_Baseline[Sensor ID],Table_Baseline[Level '[m']],"-")),"-")</f>
        <v>-5.9999999999860165E-4</v>
      </c>
      <c r="R225" s="93">
        <f>IFERROR(IF(Readings[[#This Row],[Reference Angle]]="-","-",(Readings[[#This Row],[Diff E]]*COS(RADIANS(Readings[[#This Row],[Reference Angle]]))-Readings[[#This Row],[Diff N]]*SIN(RADIANS(Readings[[#This Row],[Reference Angle]])))),"-")</f>
        <v>-1.0000000038417056E-3</v>
      </c>
      <c r="S225" s="93">
        <f>IFERROR(IF(Readings[[#This Row],[Reference Angle]]="-","-",(Readings[[#This Row],[Diff E]]*SIN(RADIANS(Readings[[#This Row],[Reference Angle]]))+Readings[[#This Row],[Diff N]]*COS(RADIANS(Readings[[#This Row],[Reference Angle]])))),"-")</f>
        <v>1.9999999785795808E-3</v>
      </c>
      <c r="T225" s="94">
        <f>IFERROR(VLOOKUP(Readings[[#This Row],[Sensor ID]],Table_Baseline[],COLUMNS(Table_Baseline[[#Headers],[Sensor ID]:[Reference Angle '[Deg']]]),FALSE),"-")</f>
        <v>0</v>
      </c>
      <c r="U225" s="95" t="str">
        <f>Readings[[#This Row],[Sensor ID]]&amp;"-"&amp;Readings[[#This Row],[Epoch]]</f>
        <v>250-RL-OP-11019-45779.2708333333</v>
      </c>
      <c r="V225" s="99">
        <f ca="1">IF(Readings[[#This Row],[Epoch]]=OFFSET(Readings[[#This Row],[Epoch]],-1,0),0,1)</f>
        <v>0</v>
      </c>
    </row>
    <row r="226" spans="4:22" x14ac:dyDescent="0.2">
      <c r="D226" s="32">
        <v>45779.270833333336</v>
      </c>
      <c r="E226" s="33" t="s">
        <v>188</v>
      </c>
      <c r="F226" s="34">
        <v>60057.951999999997</v>
      </c>
      <c r="G226" s="34">
        <v>363839.364</v>
      </c>
      <c r="H226" s="34">
        <v>18.786000000000001</v>
      </c>
      <c r="I226" s="33" t="s">
        <v>85</v>
      </c>
      <c r="J226" s="33" t="s">
        <v>90</v>
      </c>
      <c r="K226" s="33">
        <v>14</v>
      </c>
      <c r="L226" s="33">
        <v>1020</v>
      </c>
      <c r="M226" s="33">
        <v>91</v>
      </c>
      <c r="N226" s="33"/>
      <c r="O226" s="93">
        <f>IFERROR(IF(Readings[[#This Row],[Obs. X]]="","-",Readings[[#This Row],[Obs. X]]-_xlfn.XLOOKUP(Readings[[#This Row],[Sensor ID]],Table_Baseline[Sensor ID],Table_Baseline[Easting '[m']],"-")),"-")</f>
        <v>0</v>
      </c>
      <c r="P226" s="93">
        <f>IFERROR(IF(Readings[[#This Row],[Obs. Y]]="","-",Readings[[#This Row],[Obs. Y]]-_xlfn.XLOOKUP(Readings[[#This Row],[Sensor ID]],Table_Baseline[Sensor ID],Table_Baseline[Northing '[m']],"-")),"-")</f>
        <v>2.0000000367872417E-3</v>
      </c>
      <c r="Q226" s="93">
        <f>IFERROR(IF(Readings[[#This Row],[Obs. Z]]="","-",Readings[[#This Row],[Obs. Z]]-_xlfn.XLOOKUP(Readings[[#This Row],[Sensor ID]],Table_Baseline[Sensor ID],Table_Baseline[Level '[m']],"-")),"-")</f>
        <v>0</v>
      </c>
      <c r="R226" s="93">
        <f>IFERROR(IF(Readings[[#This Row],[Reference Angle]]="-","-",(Readings[[#This Row],[Diff E]]*COS(RADIANS(Readings[[#This Row],[Reference Angle]]))-Readings[[#This Row],[Diff N]]*SIN(RADIANS(Readings[[#This Row],[Reference Angle]])))),"-")</f>
        <v>0</v>
      </c>
      <c r="S226" s="93">
        <f>IFERROR(IF(Readings[[#This Row],[Reference Angle]]="-","-",(Readings[[#This Row],[Diff E]]*SIN(RADIANS(Readings[[#This Row],[Reference Angle]]))+Readings[[#This Row],[Diff N]]*COS(RADIANS(Readings[[#This Row],[Reference Angle]])))),"-")</f>
        <v>2.0000000367872417E-3</v>
      </c>
      <c r="T226" s="94">
        <f>IFERROR(VLOOKUP(Readings[[#This Row],[Sensor ID]],Table_Baseline[],COLUMNS(Table_Baseline[[#Headers],[Sensor ID]:[Reference Angle '[Deg']]]),FALSE),"-")</f>
        <v>0</v>
      </c>
      <c r="U226" s="95" t="str">
        <f>Readings[[#This Row],[Sensor ID]]&amp;"-"&amp;Readings[[#This Row],[Epoch]]</f>
        <v>250-RL-OP-11017-45779.2708333333</v>
      </c>
      <c r="V226" s="99">
        <f ca="1">IF(Readings[[#This Row],[Epoch]]=OFFSET(Readings[[#This Row],[Epoch]],-1,0),0,1)</f>
        <v>0</v>
      </c>
    </row>
    <row r="227" spans="4:22" x14ac:dyDescent="0.2">
      <c r="D227" s="32">
        <v>45779.270833333336</v>
      </c>
      <c r="E227" s="33" t="s">
        <v>186</v>
      </c>
      <c r="F227" s="34">
        <v>60055.196000000004</v>
      </c>
      <c r="G227" s="34">
        <v>363840.09600000002</v>
      </c>
      <c r="H227" s="34">
        <v>18.78</v>
      </c>
      <c r="I227" s="33" t="s">
        <v>85</v>
      </c>
      <c r="J227" s="33" t="s">
        <v>90</v>
      </c>
      <c r="K227" s="33">
        <v>14</v>
      </c>
      <c r="L227" s="33">
        <v>1020</v>
      </c>
      <c r="M227" s="33">
        <v>91</v>
      </c>
      <c r="N227" s="33"/>
      <c r="O227" s="93">
        <f>IFERROR(IF(Readings[[#This Row],[Obs. X]]="","-",Readings[[#This Row],[Obs. X]]-_xlfn.XLOOKUP(Readings[[#This Row],[Sensor ID]],Table_Baseline[Sensor ID],Table_Baseline[Easting '[m']],"-")),"-")</f>
        <v>0</v>
      </c>
      <c r="P227" s="93">
        <f>IFERROR(IF(Readings[[#This Row],[Obs. Y]]="","-",Readings[[#This Row],[Obs. Y]]-_xlfn.XLOOKUP(Readings[[#This Row],[Sensor ID]],Table_Baseline[Sensor ID],Table_Baseline[Northing '[m']],"-")),"-")</f>
        <v>1.0000000474974513E-3</v>
      </c>
      <c r="Q227" s="93">
        <f>IFERROR(IF(Readings[[#This Row],[Obs. Z]]="","-",Readings[[#This Row],[Obs. Z]]-_xlfn.XLOOKUP(Readings[[#This Row],[Sensor ID]],Table_Baseline[Sensor ID],Table_Baseline[Level '[m']],"-")),"-")</f>
        <v>-8.9999999999790248E-4</v>
      </c>
      <c r="R227" s="93">
        <f>IFERROR(IF(Readings[[#This Row],[Reference Angle]]="-","-",(Readings[[#This Row],[Diff E]]*COS(RADIANS(Readings[[#This Row],[Reference Angle]]))-Readings[[#This Row],[Diff N]]*SIN(RADIANS(Readings[[#This Row],[Reference Angle]])))),"-")</f>
        <v>0</v>
      </c>
      <c r="S227" s="93">
        <f>IFERROR(IF(Readings[[#This Row],[Reference Angle]]="-","-",(Readings[[#This Row],[Diff E]]*SIN(RADIANS(Readings[[#This Row],[Reference Angle]]))+Readings[[#This Row],[Diff N]]*COS(RADIANS(Readings[[#This Row],[Reference Angle]])))),"-")</f>
        <v>1.0000000474974513E-3</v>
      </c>
      <c r="T227" s="94">
        <f>IFERROR(VLOOKUP(Readings[[#This Row],[Sensor ID]],Table_Baseline[],COLUMNS(Table_Baseline[[#Headers],[Sensor ID]:[Reference Angle '[Deg']]]),FALSE),"-")</f>
        <v>0</v>
      </c>
      <c r="U227" s="95" t="str">
        <f>Readings[[#This Row],[Sensor ID]]&amp;"-"&amp;Readings[[#This Row],[Epoch]]</f>
        <v>250-RL-OP-11015-45779.2708333333</v>
      </c>
      <c r="V227" s="99">
        <f ca="1">IF(Readings[[#This Row],[Epoch]]=OFFSET(Readings[[#This Row],[Epoch]],-1,0),0,1)</f>
        <v>0</v>
      </c>
    </row>
    <row r="228" spans="4:22" x14ac:dyDescent="0.2">
      <c r="D228" s="32">
        <v>45779.270833333336</v>
      </c>
      <c r="E228" s="33" t="s">
        <v>184</v>
      </c>
      <c r="F228" s="34">
        <v>60052.292999999998</v>
      </c>
      <c r="G228" s="34">
        <v>363840.886</v>
      </c>
      <c r="H228" s="34">
        <v>18.779</v>
      </c>
      <c r="I228" s="33" t="s">
        <v>85</v>
      </c>
      <c r="J228" s="33" t="s">
        <v>90</v>
      </c>
      <c r="K228" s="33">
        <v>14</v>
      </c>
      <c r="L228" s="33">
        <v>1020</v>
      </c>
      <c r="M228" s="33">
        <v>91</v>
      </c>
      <c r="N228" s="33"/>
      <c r="O228" s="93">
        <f>IFERROR(IF(Readings[[#This Row],[Obs. X]]="","-",Readings[[#This Row],[Obs. X]]-_xlfn.XLOOKUP(Readings[[#This Row],[Sensor ID]],Table_Baseline[Sensor ID],Table_Baseline[Easting '[m']],"-")),"-")</f>
        <v>0</v>
      </c>
      <c r="P228" s="93">
        <f>IFERROR(IF(Readings[[#This Row],[Obs. Y]]="","-",Readings[[#This Row],[Obs. Y]]-_xlfn.XLOOKUP(Readings[[#This Row],[Sensor ID]],Table_Baseline[Sensor ID],Table_Baseline[Northing '[m']],"-")),"-")</f>
        <v>9.9999998928979039E-4</v>
      </c>
      <c r="Q228" s="93">
        <f>IFERROR(IF(Readings[[#This Row],[Obs. Z]]="","-",Readings[[#This Row],[Obs. Z]]-_xlfn.XLOOKUP(Readings[[#This Row],[Sensor ID]],Table_Baseline[Sensor ID],Table_Baseline[Level '[m']],"-")),"-")</f>
        <v>0</v>
      </c>
      <c r="R228" s="93">
        <f>IFERROR(IF(Readings[[#This Row],[Reference Angle]]="-","-",(Readings[[#This Row],[Diff E]]*COS(RADIANS(Readings[[#This Row],[Reference Angle]]))-Readings[[#This Row],[Diff N]]*SIN(RADIANS(Readings[[#This Row],[Reference Angle]])))),"-")</f>
        <v>0</v>
      </c>
      <c r="S228" s="93">
        <f>IFERROR(IF(Readings[[#This Row],[Reference Angle]]="-","-",(Readings[[#This Row],[Diff E]]*SIN(RADIANS(Readings[[#This Row],[Reference Angle]]))+Readings[[#This Row],[Diff N]]*COS(RADIANS(Readings[[#This Row],[Reference Angle]])))),"-")</f>
        <v>9.9999998928979039E-4</v>
      </c>
      <c r="T228" s="94">
        <f>IFERROR(VLOOKUP(Readings[[#This Row],[Sensor ID]],Table_Baseline[],COLUMNS(Table_Baseline[[#Headers],[Sensor ID]:[Reference Angle '[Deg']]]),FALSE),"-")</f>
        <v>0</v>
      </c>
      <c r="U228" s="95" t="str">
        <f>Readings[[#This Row],[Sensor ID]]&amp;"-"&amp;Readings[[#This Row],[Epoch]]</f>
        <v>250-RL-OP-11013-45779.2708333333</v>
      </c>
      <c r="V228" s="99">
        <f ca="1">IF(Readings[[#This Row],[Epoch]]=OFFSET(Readings[[#This Row],[Epoch]],-1,0),0,1)</f>
        <v>0</v>
      </c>
    </row>
    <row r="229" spans="4:22" x14ac:dyDescent="0.2">
      <c r="D229" s="32">
        <v>45779.270833333336</v>
      </c>
      <c r="E229" s="33" t="s">
        <v>182</v>
      </c>
      <c r="F229" s="34">
        <v>60049.398999999998</v>
      </c>
      <c r="G229" s="34">
        <v>363841.69799999997</v>
      </c>
      <c r="H229" s="34">
        <v>18.777999999999999</v>
      </c>
      <c r="I229" s="33" t="s">
        <v>85</v>
      </c>
      <c r="J229" s="33" t="s">
        <v>90</v>
      </c>
      <c r="K229" s="33">
        <v>14</v>
      </c>
      <c r="L229" s="33">
        <v>1020</v>
      </c>
      <c r="M229" s="33">
        <v>91</v>
      </c>
      <c r="N229" s="33"/>
      <c r="O229" s="93">
        <f>IFERROR(IF(Readings[[#This Row],[Obs. X]]="","-",Readings[[#This Row],[Obs. X]]-_xlfn.XLOOKUP(Readings[[#This Row],[Sensor ID]],Table_Baseline[Sensor ID],Table_Baseline[Easting '[m']],"-")),"-")</f>
        <v>0</v>
      </c>
      <c r="P229" s="93">
        <f>IFERROR(IF(Readings[[#This Row],[Obs. Y]]="","-",Readings[[#This Row],[Obs. Y]]-_xlfn.XLOOKUP(Readings[[#This Row],[Sensor ID]],Table_Baseline[Sensor ID],Table_Baseline[Northing '[m']],"-")),"-")</f>
        <v>0</v>
      </c>
      <c r="Q229" s="93">
        <f>IFERROR(IF(Readings[[#This Row],[Obs. Z]]="","-",Readings[[#This Row],[Obs. Z]]-_xlfn.XLOOKUP(Readings[[#This Row],[Sensor ID]],Table_Baseline[Sensor ID],Table_Baseline[Level '[m']],"-")),"-")</f>
        <v>0</v>
      </c>
      <c r="R229" s="93">
        <f>IFERROR(IF(Readings[[#This Row],[Reference Angle]]="-","-",(Readings[[#This Row],[Diff E]]*COS(RADIANS(Readings[[#This Row],[Reference Angle]]))-Readings[[#This Row],[Diff N]]*SIN(RADIANS(Readings[[#This Row],[Reference Angle]])))),"-")</f>
        <v>0</v>
      </c>
      <c r="S229" s="93">
        <f>IFERROR(IF(Readings[[#This Row],[Reference Angle]]="-","-",(Readings[[#This Row],[Diff E]]*SIN(RADIANS(Readings[[#This Row],[Reference Angle]]))+Readings[[#This Row],[Diff N]]*COS(RADIANS(Readings[[#This Row],[Reference Angle]])))),"-")</f>
        <v>0</v>
      </c>
      <c r="T229" s="94">
        <f>IFERROR(VLOOKUP(Readings[[#This Row],[Sensor ID]],Table_Baseline[],COLUMNS(Table_Baseline[[#Headers],[Sensor ID]:[Reference Angle '[Deg']]]),FALSE),"-")</f>
        <v>0</v>
      </c>
      <c r="U229" s="95" t="str">
        <f>Readings[[#This Row],[Sensor ID]]&amp;"-"&amp;Readings[[#This Row],[Epoch]]</f>
        <v>250-RL-OP-11011-45779.2708333333</v>
      </c>
      <c r="V229" s="99">
        <f ca="1">IF(Readings[[#This Row],[Epoch]]=OFFSET(Readings[[#This Row],[Epoch]],-1,0),0,1)</f>
        <v>0</v>
      </c>
    </row>
    <row r="230" spans="4:22" x14ac:dyDescent="0.2">
      <c r="D230" s="32">
        <v>45779.270833333336</v>
      </c>
      <c r="E230" s="33" t="s">
        <v>180</v>
      </c>
      <c r="F230" s="34">
        <v>60046.633000000002</v>
      </c>
      <c r="G230" s="34">
        <v>363842.48499999999</v>
      </c>
      <c r="H230" s="34">
        <v>18.777999999999999</v>
      </c>
      <c r="I230" s="33" t="s">
        <v>85</v>
      </c>
      <c r="J230" s="33" t="s">
        <v>90</v>
      </c>
      <c r="K230" s="33">
        <v>14</v>
      </c>
      <c r="L230" s="33">
        <v>1020</v>
      </c>
      <c r="M230" s="33">
        <v>91</v>
      </c>
      <c r="N230" s="33"/>
      <c r="O230" s="93">
        <f>IFERROR(IF(Readings[[#This Row],[Obs. X]]="","-",Readings[[#This Row],[Obs. X]]-_xlfn.XLOOKUP(Readings[[#This Row],[Sensor ID]],Table_Baseline[Sensor ID],Table_Baseline[Easting '[m']],"-")),"-")</f>
        <v>0</v>
      </c>
      <c r="P230" s="93">
        <f>IFERROR(IF(Readings[[#This Row],[Obs. Y]]="","-",Readings[[#This Row],[Obs. Y]]-_xlfn.XLOOKUP(Readings[[#This Row],[Sensor ID]],Table_Baseline[Sensor ID],Table_Baseline[Northing '[m']],"-")),"-")</f>
        <v>0</v>
      </c>
      <c r="Q230" s="93">
        <f>IFERROR(IF(Readings[[#This Row],[Obs. Z]]="","-",Readings[[#This Row],[Obs. Z]]-_xlfn.XLOOKUP(Readings[[#This Row],[Sensor ID]],Table_Baseline[Sensor ID],Table_Baseline[Level '[m']],"-")),"-")</f>
        <v>3.9999999999906777E-4</v>
      </c>
      <c r="R230" s="93">
        <f>IFERROR(IF(Readings[[#This Row],[Reference Angle]]="-","-",(Readings[[#This Row],[Diff E]]*COS(RADIANS(Readings[[#This Row],[Reference Angle]]))-Readings[[#This Row],[Diff N]]*SIN(RADIANS(Readings[[#This Row],[Reference Angle]])))),"-")</f>
        <v>0</v>
      </c>
      <c r="S230" s="93">
        <f>IFERROR(IF(Readings[[#This Row],[Reference Angle]]="-","-",(Readings[[#This Row],[Diff E]]*SIN(RADIANS(Readings[[#This Row],[Reference Angle]]))+Readings[[#This Row],[Diff N]]*COS(RADIANS(Readings[[#This Row],[Reference Angle]])))),"-")</f>
        <v>0</v>
      </c>
      <c r="T230" s="94">
        <f>IFERROR(VLOOKUP(Readings[[#This Row],[Sensor ID]],Table_Baseline[],COLUMNS(Table_Baseline[[#Headers],[Sensor ID]:[Reference Angle '[Deg']]]),FALSE),"-")</f>
        <v>0</v>
      </c>
      <c r="U230" s="95" t="str">
        <f>Readings[[#This Row],[Sensor ID]]&amp;"-"&amp;Readings[[#This Row],[Epoch]]</f>
        <v>250-RL-OP-11009-45779.2708333333</v>
      </c>
      <c r="V230" s="99">
        <f ca="1">IF(Readings[[#This Row],[Epoch]]=OFFSET(Readings[[#This Row],[Epoch]],-1,0),0,1)</f>
        <v>0</v>
      </c>
    </row>
    <row r="231" spans="4:22" x14ac:dyDescent="0.2">
      <c r="D231" s="32">
        <v>45779.270833333336</v>
      </c>
      <c r="E231" s="33" t="s">
        <v>178</v>
      </c>
      <c r="F231" s="34">
        <v>60043.758999999998</v>
      </c>
      <c r="G231" s="34">
        <v>363843.315</v>
      </c>
      <c r="H231" s="34">
        <v>18.774000000000001</v>
      </c>
      <c r="I231" s="33" t="s">
        <v>85</v>
      </c>
      <c r="J231" s="33" t="s">
        <v>90</v>
      </c>
      <c r="K231" s="33">
        <v>14</v>
      </c>
      <c r="L231" s="33">
        <v>1020</v>
      </c>
      <c r="M231" s="33">
        <v>91</v>
      </c>
      <c r="N231" s="33"/>
      <c r="O231" s="93">
        <f>IFERROR(IF(Readings[[#This Row],[Obs. X]]="","-",Readings[[#This Row],[Obs. X]]-_xlfn.XLOOKUP(Readings[[#This Row],[Sensor ID]],Table_Baseline[Sensor ID],Table_Baseline[Easting '[m']],"-")),"-")</f>
        <v>0</v>
      </c>
      <c r="P231" s="93">
        <f>IFERROR(IF(Readings[[#This Row],[Obs. Y]]="","-",Readings[[#This Row],[Obs. Y]]-_xlfn.XLOOKUP(Readings[[#This Row],[Sensor ID]],Table_Baseline[Sensor ID],Table_Baseline[Northing '[m']],"-")),"-")</f>
        <v>9.9999998928979039E-4</v>
      </c>
      <c r="Q231" s="93">
        <f>IFERROR(IF(Readings[[#This Row],[Obs. Z]]="","-",Readings[[#This Row],[Obs. Z]]-_xlfn.XLOOKUP(Readings[[#This Row],[Sensor ID]],Table_Baseline[Sensor ID],Table_Baseline[Level '[m']],"-")),"-")</f>
        <v>-9.9999999999766942E-5</v>
      </c>
      <c r="R231" s="93">
        <f>IFERROR(IF(Readings[[#This Row],[Reference Angle]]="-","-",(Readings[[#This Row],[Diff E]]*COS(RADIANS(Readings[[#This Row],[Reference Angle]]))-Readings[[#This Row],[Diff N]]*SIN(RADIANS(Readings[[#This Row],[Reference Angle]])))),"-")</f>
        <v>0</v>
      </c>
      <c r="S231" s="93">
        <f>IFERROR(IF(Readings[[#This Row],[Reference Angle]]="-","-",(Readings[[#This Row],[Diff E]]*SIN(RADIANS(Readings[[#This Row],[Reference Angle]]))+Readings[[#This Row],[Diff N]]*COS(RADIANS(Readings[[#This Row],[Reference Angle]])))),"-")</f>
        <v>9.9999998928979039E-4</v>
      </c>
      <c r="T231" s="94">
        <f>IFERROR(VLOOKUP(Readings[[#This Row],[Sensor ID]],Table_Baseline[],COLUMNS(Table_Baseline[[#Headers],[Sensor ID]:[Reference Angle '[Deg']]]),FALSE),"-")</f>
        <v>0</v>
      </c>
      <c r="U231" s="95" t="str">
        <f>Readings[[#This Row],[Sensor ID]]&amp;"-"&amp;Readings[[#This Row],[Epoch]]</f>
        <v>250-RL-OP-11007-45779.2708333333</v>
      </c>
      <c r="V231" s="99">
        <f ca="1">IF(Readings[[#This Row],[Epoch]]=OFFSET(Readings[[#This Row],[Epoch]],-1,0),0,1)</f>
        <v>0</v>
      </c>
    </row>
    <row r="232" spans="4:22" x14ac:dyDescent="0.2">
      <c r="D232" s="32">
        <v>45779.270833333336</v>
      </c>
      <c r="E232" s="33" t="s">
        <v>176</v>
      </c>
      <c r="F232" s="34">
        <v>60040.968999999997</v>
      </c>
      <c r="G232" s="34">
        <v>363844.11800000002</v>
      </c>
      <c r="H232" s="34">
        <v>18.779</v>
      </c>
      <c r="I232" s="33" t="s">
        <v>85</v>
      </c>
      <c r="J232" s="33" t="s">
        <v>90</v>
      </c>
      <c r="K232" s="33">
        <v>14</v>
      </c>
      <c r="L232" s="33">
        <v>1020</v>
      </c>
      <c r="M232" s="33">
        <v>91</v>
      </c>
      <c r="N232" s="33"/>
      <c r="O232" s="93">
        <f>IFERROR(IF(Readings[[#This Row],[Obs. X]]="","-",Readings[[#This Row],[Obs. X]]-_xlfn.XLOOKUP(Readings[[#This Row],[Sensor ID]],Table_Baseline[Sensor ID],Table_Baseline[Easting '[m']],"-")),"-")</f>
        <v>0</v>
      </c>
      <c r="P232" s="93">
        <f>IFERROR(IF(Readings[[#This Row],[Obs. Y]]="","-",Readings[[#This Row],[Obs. Y]]-_xlfn.XLOOKUP(Readings[[#This Row],[Sensor ID]],Table_Baseline[Sensor ID],Table_Baseline[Northing '[m']],"-")),"-")</f>
        <v>0</v>
      </c>
      <c r="Q232" s="93">
        <f>IFERROR(IF(Readings[[#This Row],[Obs. Z]]="","-",Readings[[#This Row],[Obs. Z]]-_xlfn.XLOOKUP(Readings[[#This Row],[Sensor ID]],Table_Baseline[Sensor ID],Table_Baseline[Level '[m']],"-")),"-")</f>
        <v>0</v>
      </c>
      <c r="R232" s="93">
        <f>IFERROR(IF(Readings[[#This Row],[Reference Angle]]="-","-",(Readings[[#This Row],[Diff E]]*COS(RADIANS(Readings[[#This Row],[Reference Angle]]))-Readings[[#This Row],[Diff N]]*SIN(RADIANS(Readings[[#This Row],[Reference Angle]])))),"-")</f>
        <v>0</v>
      </c>
      <c r="S232" s="93">
        <f>IFERROR(IF(Readings[[#This Row],[Reference Angle]]="-","-",(Readings[[#This Row],[Diff E]]*SIN(RADIANS(Readings[[#This Row],[Reference Angle]]))+Readings[[#This Row],[Diff N]]*COS(RADIANS(Readings[[#This Row],[Reference Angle]])))),"-")</f>
        <v>0</v>
      </c>
      <c r="T232" s="94">
        <f>IFERROR(VLOOKUP(Readings[[#This Row],[Sensor ID]],Table_Baseline[],COLUMNS(Table_Baseline[[#Headers],[Sensor ID]:[Reference Angle '[Deg']]]),FALSE),"-")</f>
        <v>0</v>
      </c>
      <c r="U232" s="95" t="str">
        <f>Readings[[#This Row],[Sensor ID]]&amp;"-"&amp;Readings[[#This Row],[Epoch]]</f>
        <v>250-RL-OP-11005-45779.2708333333</v>
      </c>
      <c r="V232" s="99">
        <f ca="1">IF(Readings[[#This Row],[Epoch]]=OFFSET(Readings[[#This Row],[Epoch]],-1,0),0,1)</f>
        <v>0</v>
      </c>
    </row>
    <row r="233" spans="4:22" x14ac:dyDescent="0.2">
      <c r="D233" s="32">
        <v>45779.270833333336</v>
      </c>
      <c r="E233" s="33" t="s">
        <v>174</v>
      </c>
      <c r="F233" s="34">
        <v>60038.116999999998</v>
      </c>
      <c r="G233" s="34">
        <v>363844.94500000001</v>
      </c>
      <c r="H233" s="34">
        <v>18.779</v>
      </c>
      <c r="I233" s="33" t="s">
        <v>85</v>
      </c>
      <c r="J233" s="33" t="s">
        <v>90</v>
      </c>
      <c r="K233" s="33">
        <v>14</v>
      </c>
      <c r="L233" s="33">
        <v>1020</v>
      </c>
      <c r="M233" s="33">
        <v>91</v>
      </c>
      <c r="N233" s="33"/>
      <c r="O233" s="93">
        <f>IFERROR(IF(Readings[[#This Row],[Obs. X]]="","-",Readings[[#This Row],[Obs. X]]-_xlfn.XLOOKUP(Readings[[#This Row],[Sensor ID]],Table_Baseline[Sensor ID],Table_Baseline[Easting '[m']],"-")),"-")</f>
        <v>-1.0000000038417056E-3</v>
      </c>
      <c r="P233" s="93">
        <f>IFERROR(IF(Readings[[#This Row],[Obs. Y]]="","-",Readings[[#This Row],[Obs. Y]]-_xlfn.XLOOKUP(Readings[[#This Row],[Sensor ID]],Table_Baseline[Sensor ID],Table_Baseline[Northing '[m']],"-")),"-")</f>
        <v>0</v>
      </c>
      <c r="Q233" s="93">
        <f>IFERROR(IF(Readings[[#This Row],[Obs. Z]]="","-",Readings[[#This Row],[Obs. Z]]-_xlfn.XLOOKUP(Readings[[#This Row],[Sensor ID]],Table_Baseline[Sensor ID],Table_Baseline[Level '[m']],"-")),"-")</f>
        <v>1.9999999999953388E-4</v>
      </c>
      <c r="R233" s="93">
        <f>IFERROR(IF(Readings[[#This Row],[Reference Angle]]="-","-",(Readings[[#This Row],[Diff E]]*COS(RADIANS(Readings[[#This Row],[Reference Angle]]))-Readings[[#This Row],[Diff N]]*SIN(RADIANS(Readings[[#This Row],[Reference Angle]])))),"-")</f>
        <v>-1.0000000038417056E-3</v>
      </c>
      <c r="S233" s="93">
        <f>IFERROR(IF(Readings[[#This Row],[Reference Angle]]="-","-",(Readings[[#This Row],[Diff E]]*SIN(RADIANS(Readings[[#This Row],[Reference Angle]]))+Readings[[#This Row],[Diff N]]*COS(RADIANS(Readings[[#This Row],[Reference Angle]])))),"-")</f>
        <v>0</v>
      </c>
      <c r="T233" s="94">
        <f>IFERROR(VLOOKUP(Readings[[#This Row],[Sensor ID]],Table_Baseline[],COLUMNS(Table_Baseline[[#Headers],[Sensor ID]:[Reference Angle '[Deg']]]),FALSE),"-")</f>
        <v>0</v>
      </c>
      <c r="U233" s="95" t="str">
        <f>Readings[[#This Row],[Sensor ID]]&amp;"-"&amp;Readings[[#This Row],[Epoch]]</f>
        <v>250-RL-OP-11003-45779.2708333333</v>
      </c>
      <c r="V233" s="99">
        <f ca="1">IF(Readings[[#This Row],[Epoch]]=OFFSET(Readings[[#This Row],[Epoch]],-1,0),0,1)</f>
        <v>0</v>
      </c>
    </row>
    <row r="234" spans="4:22" x14ac:dyDescent="0.2">
      <c r="D234" s="32">
        <v>45779.270833333336</v>
      </c>
      <c r="E234" s="33" t="s">
        <v>191</v>
      </c>
      <c r="F234" s="34">
        <v>60063.421000000002</v>
      </c>
      <c r="G234" s="34">
        <v>363836.63800000004</v>
      </c>
      <c r="H234" s="34">
        <v>18.794</v>
      </c>
      <c r="I234" s="33" t="s">
        <v>85</v>
      </c>
      <c r="J234" s="33" t="s">
        <v>90</v>
      </c>
      <c r="K234" s="33">
        <v>14</v>
      </c>
      <c r="L234" s="33">
        <v>1020</v>
      </c>
      <c r="M234" s="33">
        <v>91</v>
      </c>
      <c r="N234" s="33"/>
      <c r="O234" s="93">
        <f>IFERROR(IF(Readings[[#This Row],[Obs. X]]="","-",Readings[[#This Row],[Obs. X]]-_xlfn.XLOOKUP(Readings[[#This Row],[Sensor ID]],Table_Baseline[Sensor ID],Table_Baseline[Easting '[m']],"-")),"-")</f>
        <v>-9.9999999656574801E-4</v>
      </c>
      <c r="P234" s="93">
        <f>IFERROR(IF(Readings[[#This Row],[Obs. Y]]="","-",Readings[[#This Row],[Obs. Y]]-_xlfn.XLOOKUP(Readings[[#This Row],[Sensor ID]],Table_Baseline[Sensor ID],Table_Baseline[Northing '[m']],"-")),"-")</f>
        <v>2.0000000367872417E-3</v>
      </c>
      <c r="Q234" s="93">
        <f>IFERROR(IF(Readings[[#This Row],[Obs. Z]]="","-",Readings[[#This Row],[Obs. Z]]-_xlfn.XLOOKUP(Readings[[#This Row],[Sensor ID]],Table_Baseline[Sensor ID],Table_Baseline[Level '[m']],"-")),"-")</f>
        <v>-8.9999999999790248E-4</v>
      </c>
      <c r="R234" s="93">
        <f>IFERROR(IF(Readings[[#This Row],[Reference Angle]]="-","-",(Readings[[#This Row],[Diff E]]*COS(RADIANS(Readings[[#This Row],[Reference Angle]]))-Readings[[#This Row],[Diff N]]*SIN(RADIANS(Readings[[#This Row],[Reference Angle]])))),"-")</f>
        <v>-9.9999999656574801E-4</v>
      </c>
      <c r="S234" s="93">
        <f>IFERROR(IF(Readings[[#This Row],[Reference Angle]]="-","-",(Readings[[#This Row],[Diff E]]*SIN(RADIANS(Readings[[#This Row],[Reference Angle]]))+Readings[[#This Row],[Diff N]]*COS(RADIANS(Readings[[#This Row],[Reference Angle]])))),"-")</f>
        <v>2.0000000367872417E-3</v>
      </c>
      <c r="T234" s="94">
        <f>IFERROR(VLOOKUP(Readings[[#This Row],[Sensor ID]],Table_Baseline[],COLUMNS(Table_Baseline[[#Headers],[Sensor ID]:[Reference Angle '[Deg']]]),FALSE),"-")</f>
        <v>0</v>
      </c>
      <c r="U234" s="95" t="str">
        <f>Readings[[#This Row],[Sensor ID]]&amp;"-"&amp;Readings[[#This Row],[Epoch]]</f>
        <v>250-RL-OP-11022-45779.2708333333</v>
      </c>
      <c r="V234" s="99">
        <f ca="1">IF(Readings[[#This Row],[Epoch]]=OFFSET(Readings[[#This Row],[Epoch]],-1,0),0,1)</f>
        <v>0</v>
      </c>
    </row>
    <row r="235" spans="4:22" x14ac:dyDescent="0.2">
      <c r="D235" s="32">
        <v>45779.270833333336</v>
      </c>
      <c r="E235" s="33" t="s">
        <v>189</v>
      </c>
      <c r="F235" s="34">
        <v>60060.639999999999</v>
      </c>
      <c r="G235" s="34">
        <v>363837.32500000001</v>
      </c>
      <c r="H235" s="34">
        <v>18.783000000000001</v>
      </c>
      <c r="I235" s="33" t="s">
        <v>85</v>
      </c>
      <c r="J235" s="33" t="s">
        <v>90</v>
      </c>
      <c r="K235" s="33">
        <v>14</v>
      </c>
      <c r="L235" s="33">
        <v>1020</v>
      </c>
      <c r="M235" s="33">
        <v>91</v>
      </c>
      <c r="N235" s="33"/>
      <c r="O235" s="93">
        <f>IFERROR(IF(Readings[[#This Row],[Obs. X]]="","-",Readings[[#This Row],[Obs. X]]-_xlfn.XLOOKUP(Readings[[#This Row],[Sensor ID]],Table_Baseline[Sensor ID],Table_Baseline[Easting '[m']],"-")),"-")</f>
        <v>0</v>
      </c>
      <c r="P235" s="93">
        <f>IFERROR(IF(Readings[[#This Row],[Obs. Y]]="","-",Readings[[#This Row],[Obs. Y]]-_xlfn.XLOOKUP(Readings[[#This Row],[Sensor ID]],Table_Baseline[Sensor ID],Table_Baseline[Northing '[m']],"-")),"-")</f>
        <v>3.0000000260770321E-3</v>
      </c>
      <c r="Q235" s="93">
        <f>IFERROR(IF(Readings[[#This Row],[Obs. Z]]="","-",Readings[[#This Row],[Obs. Z]]-_xlfn.XLOOKUP(Readings[[#This Row],[Sensor ID]],Table_Baseline[Sensor ID],Table_Baseline[Level '[m']],"-")),"-")</f>
        <v>-5.9999999999860165E-4</v>
      </c>
      <c r="R235" s="93">
        <f>IFERROR(IF(Readings[[#This Row],[Reference Angle]]="-","-",(Readings[[#This Row],[Diff E]]*COS(RADIANS(Readings[[#This Row],[Reference Angle]]))-Readings[[#This Row],[Diff N]]*SIN(RADIANS(Readings[[#This Row],[Reference Angle]])))),"-")</f>
        <v>0</v>
      </c>
      <c r="S235" s="93">
        <f>IFERROR(IF(Readings[[#This Row],[Reference Angle]]="-","-",(Readings[[#This Row],[Diff E]]*SIN(RADIANS(Readings[[#This Row],[Reference Angle]]))+Readings[[#This Row],[Diff N]]*COS(RADIANS(Readings[[#This Row],[Reference Angle]])))),"-")</f>
        <v>3.0000000260770321E-3</v>
      </c>
      <c r="T235" s="94">
        <f>IFERROR(VLOOKUP(Readings[[#This Row],[Sensor ID]],Table_Baseline[],COLUMNS(Table_Baseline[[#Headers],[Sensor ID]:[Reference Angle '[Deg']]]),FALSE),"-")</f>
        <v>0</v>
      </c>
      <c r="U235" s="95" t="str">
        <f>Readings[[#This Row],[Sensor ID]]&amp;"-"&amp;Readings[[#This Row],[Epoch]]</f>
        <v>250-RL-OP-11020-45779.2708333333</v>
      </c>
      <c r="V235" s="99">
        <f ca="1">IF(Readings[[#This Row],[Epoch]]=OFFSET(Readings[[#This Row],[Epoch]],-1,0),0,1)</f>
        <v>0</v>
      </c>
    </row>
    <row r="236" spans="4:22" x14ac:dyDescent="0.2">
      <c r="D236" s="32">
        <v>45779.270833333336</v>
      </c>
      <c r="E236" s="33" t="s">
        <v>187</v>
      </c>
      <c r="F236" s="34">
        <v>60057.578000000001</v>
      </c>
      <c r="G236" s="34">
        <v>363838.1</v>
      </c>
      <c r="H236" s="34">
        <v>18.776</v>
      </c>
      <c r="I236" s="33" t="s">
        <v>85</v>
      </c>
      <c r="J236" s="33" t="s">
        <v>90</v>
      </c>
      <c r="K236" s="33">
        <v>14</v>
      </c>
      <c r="L236" s="33">
        <v>1020</v>
      </c>
      <c r="M236" s="33">
        <v>91</v>
      </c>
      <c r="N236" s="33"/>
      <c r="O236" s="93">
        <f>IFERROR(IF(Readings[[#This Row],[Obs. X]]="","-",Readings[[#This Row],[Obs. X]]-_xlfn.XLOOKUP(Readings[[#This Row],[Sensor ID]],Table_Baseline[Sensor ID],Table_Baseline[Easting '[m']],"-")),"-")</f>
        <v>-9.9999999656574801E-4</v>
      </c>
      <c r="P236" s="93">
        <f>IFERROR(IF(Readings[[#This Row],[Obs. Y]]="","-",Readings[[#This Row],[Obs. Y]]-_xlfn.XLOOKUP(Readings[[#This Row],[Sensor ID]],Table_Baseline[Sensor ID],Table_Baseline[Northing '[m']],"-")),"-")</f>
        <v>1.9999999785795808E-3</v>
      </c>
      <c r="Q236" s="93">
        <f>IFERROR(IF(Readings[[#This Row],[Obs. Z]]="","-",Readings[[#This Row],[Obs. Z]]-_xlfn.XLOOKUP(Readings[[#This Row],[Sensor ID]],Table_Baseline[Sensor ID],Table_Baseline[Level '[m']],"-")),"-")</f>
        <v>0</v>
      </c>
      <c r="R236" s="93">
        <f>IFERROR(IF(Readings[[#This Row],[Reference Angle]]="-","-",(Readings[[#This Row],[Diff E]]*COS(RADIANS(Readings[[#This Row],[Reference Angle]]))-Readings[[#This Row],[Diff N]]*SIN(RADIANS(Readings[[#This Row],[Reference Angle]])))),"-")</f>
        <v>-9.9999999656574801E-4</v>
      </c>
      <c r="S236" s="93">
        <f>IFERROR(IF(Readings[[#This Row],[Reference Angle]]="-","-",(Readings[[#This Row],[Diff E]]*SIN(RADIANS(Readings[[#This Row],[Reference Angle]]))+Readings[[#This Row],[Diff N]]*COS(RADIANS(Readings[[#This Row],[Reference Angle]])))),"-")</f>
        <v>1.9999999785795808E-3</v>
      </c>
      <c r="T236" s="94">
        <f>IFERROR(VLOOKUP(Readings[[#This Row],[Sensor ID]],Table_Baseline[],COLUMNS(Table_Baseline[[#Headers],[Sensor ID]:[Reference Angle '[Deg']]]),FALSE),"-")</f>
        <v>0</v>
      </c>
      <c r="U236" s="95" t="str">
        <f>Readings[[#This Row],[Sensor ID]]&amp;"-"&amp;Readings[[#This Row],[Epoch]]</f>
        <v>250-RL-OP-11018-45779.2708333333</v>
      </c>
      <c r="V236" s="99">
        <f ca="1">IF(Readings[[#This Row],[Epoch]]=OFFSET(Readings[[#This Row],[Epoch]],-1,0),0,1)</f>
        <v>0</v>
      </c>
    </row>
    <row r="237" spans="4:22" x14ac:dyDescent="0.2">
      <c r="D237" s="32">
        <v>45779.270833333336</v>
      </c>
      <c r="E237" s="33" t="s">
        <v>185</v>
      </c>
      <c r="F237" s="34">
        <v>60054.885000000002</v>
      </c>
      <c r="G237" s="34">
        <v>363838.80700000003</v>
      </c>
      <c r="H237" s="34">
        <v>18.773</v>
      </c>
      <c r="I237" s="33" t="s">
        <v>85</v>
      </c>
      <c r="J237" s="33" t="s">
        <v>90</v>
      </c>
      <c r="K237" s="33">
        <v>14</v>
      </c>
      <c r="L237" s="33">
        <v>1020</v>
      </c>
      <c r="M237" s="33">
        <v>91</v>
      </c>
      <c r="N237" s="33"/>
      <c r="O237" s="93">
        <f>IFERROR(IF(Readings[[#This Row],[Obs. X]]="","-",Readings[[#This Row],[Obs. X]]-_xlfn.XLOOKUP(Readings[[#This Row],[Sensor ID]],Table_Baseline[Sensor ID],Table_Baseline[Easting '[m']],"-")),"-")</f>
        <v>-9.9999999656574801E-4</v>
      </c>
      <c r="P237" s="93">
        <f>IFERROR(IF(Readings[[#This Row],[Obs. Y]]="","-",Readings[[#This Row],[Obs. Y]]-_xlfn.XLOOKUP(Readings[[#This Row],[Sensor ID]],Table_Baseline[Sensor ID],Table_Baseline[Northing '[m']],"-")),"-")</f>
        <v>2.0000000367872417E-3</v>
      </c>
      <c r="Q237" s="93">
        <f>IFERROR(IF(Readings[[#This Row],[Obs. Z]]="","-",Readings[[#This Row],[Obs. Z]]-_xlfn.XLOOKUP(Readings[[#This Row],[Sensor ID]],Table_Baseline[Sensor ID],Table_Baseline[Level '[m']],"-")),"-")</f>
        <v>-9.9999999999766942E-5</v>
      </c>
      <c r="R237" s="93">
        <f>IFERROR(IF(Readings[[#This Row],[Reference Angle]]="-","-",(Readings[[#This Row],[Diff E]]*COS(RADIANS(Readings[[#This Row],[Reference Angle]]))-Readings[[#This Row],[Diff N]]*SIN(RADIANS(Readings[[#This Row],[Reference Angle]])))),"-")</f>
        <v>-9.9999999656574801E-4</v>
      </c>
      <c r="S237" s="93">
        <f>IFERROR(IF(Readings[[#This Row],[Reference Angle]]="-","-",(Readings[[#This Row],[Diff E]]*SIN(RADIANS(Readings[[#This Row],[Reference Angle]]))+Readings[[#This Row],[Diff N]]*COS(RADIANS(Readings[[#This Row],[Reference Angle]])))),"-")</f>
        <v>2.0000000367872417E-3</v>
      </c>
      <c r="T237" s="94">
        <f>IFERROR(VLOOKUP(Readings[[#This Row],[Sensor ID]],Table_Baseline[],COLUMNS(Table_Baseline[[#Headers],[Sensor ID]:[Reference Angle '[Deg']]]),FALSE),"-")</f>
        <v>0</v>
      </c>
      <c r="U237" s="95" t="str">
        <f>Readings[[#This Row],[Sensor ID]]&amp;"-"&amp;Readings[[#This Row],[Epoch]]</f>
        <v>250-RL-OP-11016-45779.2708333333</v>
      </c>
      <c r="V237" s="99">
        <f ca="1">IF(Readings[[#This Row],[Epoch]]=OFFSET(Readings[[#This Row],[Epoch]],-1,0),0,1)</f>
        <v>0</v>
      </c>
    </row>
    <row r="238" spans="4:22" x14ac:dyDescent="0.2">
      <c r="D238" s="32">
        <v>45779.270833333336</v>
      </c>
      <c r="E238" s="33" t="s">
        <v>183</v>
      </c>
      <c r="F238" s="34">
        <v>60051.989000000001</v>
      </c>
      <c r="G238" s="34">
        <v>363839.60499999998</v>
      </c>
      <c r="H238" s="34">
        <v>18.77</v>
      </c>
      <c r="I238" s="33" t="s">
        <v>85</v>
      </c>
      <c r="J238" s="33" t="s">
        <v>90</v>
      </c>
      <c r="K238" s="33">
        <v>14</v>
      </c>
      <c r="L238" s="33">
        <v>1020</v>
      </c>
      <c r="M238" s="33">
        <v>91</v>
      </c>
      <c r="N238" s="33"/>
      <c r="O238" s="93">
        <f>IFERROR(IF(Readings[[#This Row],[Obs. X]]="","-",Readings[[#This Row],[Obs. X]]-_xlfn.XLOOKUP(Readings[[#This Row],[Sensor ID]],Table_Baseline[Sensor ID],Table_Baseline[Easting '[m']],"-")),"-")</f>
        <v>0</v>
      </c>
      <c r="P238" s="93">
        <f>IFERROR(IF(Readings[[#This Row],[Obs. Y]]="","-",Readings[[#This Row],[Obs. Y]]-_xlfn.XLOOKUP(Readings[[#This Row],[Sensor ID]],Table_Baseline[Sensor ID],Table_Baseline[Northing '[m']],"-")),"-")</f>
        <v>1.9999999785795808E-3</v>
      </c>
      <c r="Q238" s="93">
        <f>IFERROR(IF(Readings[[#This Row],[Obs. Z]]="","-",Readings[[#This Row],[Obs. Z]]-_xlfn.XLOOKUP(Readings[[#This Row],[Sensor ID]],Table_Baseline[Sensor ID],Table_Baseline[Level '[m']],"-")),"-")</f>
        <v>-9.9999999999766942E-5</v>
      </c>
      <c r="R238" s="93">
        <f>IFERROR(IF(Readings[[#This Row],[Reference Angle]]="-","-",(Readings[[#This Row],[Diff E]]*COS(RADIANS(Readings[[#This Row],[Reference Angle]]))-Readings[[#This Row],[Diff N]]*SIN(RADIANS(Readings[[#This Row],[Reference Angle]])))),"-")</f>
        <v>0</v>
      </c>
      <c r="S238" s="93">
        <f>IFERROR(IF(Readings[[#This Row],[Reference Angle]]="-","-",(Readings[[#This Row],[Diff E]]*SIN(RADIANS(Readings[[#This Row],[Reference Angle]]))+Readings[[#This Row],[Diff N]]*COS(RADIANS(Readings[[#This Row],[Reference Angle]])))),"-")</f>
        <v>1.9999999785795808E-3</v>
      </c>
      <c r="T238" s="94">
        <f>IFERROR(VLOOKUP(Readings[[#This Row],[Sensor ID]],Table_Baseline[],COLUMNS(Table_Baseline[[#Headers],[Sensor ID]:[Reference Angle '[Deg']]]),FALSE),"-")</f>
        <v>0</v>
      </c>
      <c r="U238" s="95" t="str">
        <f>Readings[[#This Row],[Sensor ID]]&amp;"-"&amp;Readings[[#This Row],[Epoch]]</f>
        <v>250-RL-OP-11014-45779.2708333333</v>
      </c>
      <c r="V238" s="99">
        <f ca="1">IF(Readings[[#This Row],[Epoch]]=OFFSET(Readings[[#This Row],[Epoch]],-1,0),0,1)</f>
        <v>0</v>
      </c>
    </row>
    <row r="239" spans="4:22" x14ac:dyDescent="0.2">
      <c r="D239" s="32">
        <v>45779.270833333336</v>
      </c>
      <c r="E239" s="33" t="s">
        <v>181</v>
      </c>
      <c r="F239" s="34">
        <v>60049.040999999997</v>
      </c>
      <c r="G239" s="34">
        <v>363840.435</v>
      </c>
      <c r="H239" s="34">
        <v>18.771000000000001</v>
      </c>
      <c r="I239" s="33" t="s">
        <v>85</v>
      </c>
      <c r="J239" s="33" t="s">
        <v>90</v>
      </c>
      <c r="K239" s="33">
        <v>14</v>
      </c>
      <c r="L239" s="33">
        <v>1020</v>
      </c>
      <c r="M239" s="33">
        <v>91</v>
      </c>
      <c r="N239" s="33"/>
      <c r="O239" s="93">
        <f>IFERROR(IF(Readings[[#This Row],[Obs. X]]="","-",Readings[[#This Row],[Obs. X]]-_xlfn.XLOOKUP(Readings[[#This Row],[Sensor ID]],Table_Baseline[Sensor ID],Table_Baseline[Easting '[m']],"-")),"-")</f>
        <v>0</v>
      </c>
      <c r="P239" s="93">
        <f>IFERROR(IF(Readings[[#This Row],[Obs. Y]]="","-",Readings[[#This Row],[Obs. Y]]-_xlfn.XLOOKUP(Readings[[#This Row],[Sensor ID]],Table_Baseline[Sensor ID],Table_Baseline[Northing '[m']],"-")),"-")</f>
        <v>2.0000000367872417E-3</v>
      </c>
      <c r="Q239" s="93">
        <f>IFERROR(IF(Readings[[#This Row],[Obs. Z]]="","-",Readings[[#This Row],[Obs. Z]]-_xlfn.XLOOKUP(Readings[[#This Row],[Sensor ID]],Table_Baseline[Sensor ID],Table_Baseline[Level '[m']],"-")),"-")</f>
        <v>-9.9999999999766942E-5</v>
      </c>
      <c r="R239" s="93">
        <f>IFERROR(IF(Readings[[#This Row],[Reference Angle]]="-","-",(Readings[[#This Row],[Diff E]]*COS(RADIANS(Readings[[#This Row],[Reference Angle]]))-Readings[[#This Row],[Diff N]]*SIN(RADIANS(Readings[[#This Row],[Reference Angle]])))),"-")</f>
        <v>0</v>
      </c>
      <c r="S239" s="93">
        <f>IFERROR(IF(Readings[[#This Row],[Reference Angle]]="-","-",(Readings[[#This Row],[Diff E]]*SIN(RADIANS(Readings[[#This Row],[Reference Angle]]))+Readings[[#This Row],[Diff N]]*COS(RADIANS(Readings[[#This Row],[Reference Angle]])))),"-")</f>
        <v>2.0000000367872417E-3</v>
      </c>
      <c r="T239" s="94">
        <f>IFERROR(VLOOKUP(Readings[[#This Row],[Sensor ID]],Table_Baseline[],COLUMNS(Table_Baseline[[#Headers],[Sensor ID]:[Reference Angle '[Deg']]]),FALSE),"-")</f>
        <v>0</v>
      </c>
      <c r="U239" s="95" t="str">
        <f>Readings[[#This Row],[Sensor ID]]&amp;"-"&amp;Readings[[#This Row],[Epoch]]</f>
        <v>250-RL-OP-11012-45779.2708333333</v>
      </c>
      <c r="V239" s="99">
        <f ca="1">IF(Readings[[#This Row],[Epoch]]=OFFSET(Readings[[#This Row],[Epoch]],-1,0),0,1)</f>
        <v>0</v>
      </c>
    </row>
    <row r="240" spans="4:22" x14ac:dyDescent="0.2">
      <c r="D240" s="32">
        <v>45779.270833333336</v>
      </c>
      <c r="E240" s="33" t="s">
        <v>179</v>
      </c>
      <c r="F240" s="34">
        <v>60046.25</v>
      </c>
      <c r="G240" s="34">
        <v>363841.22700000001</v>
      </c>
      <c r="H240" s="34">
        <v>18.77</v>
      </c>
      <c r="I240" s="33" t="s">
        <v>85</v>
      </c>
      <c r="J240" s="33" t="s">
        <v>90</v>
      </c>
      <c r="K240" s="33">
        <v>14</v>
      </c>
      <c r="L240" s="33">
        <v>1020</v>
      </c>
      <c r="M240" s="33">
        <v>91</v>
      </c>
      <c r="N240" s="33"/>
      <c r="O240" s="93">
        <f>IFERROR(IF(Readings[[#This Row],[Obs. X]]="","-",Readings[[#This Row],[Obs. X]]-_xlfn.XLOOKUP(Readings[[#This Row],[Sensor ID]],Table_Baseline[Sensor ID],Table_Baseline[Easting '[m']],"-")),"-")</f>
        <v>0</v>
      </c>
      <c r="P240" s="93">
        <f>IFERROR(IF(Readings[[#This Row],[Obs. Y]]="","-",Readings[[#This Row],[Obs. Y]]-_xlfn.XLOOKUP(Readings[[#This Row],[Sensor ID]],Table_Baseline[Sensor ID],Table_Baseline[Northing '[m']],"-")),"-")</f>
        <v>9.9999998928979039E-4</v>
      </c>
      <c r="Q240" s="93">
        <f>IFERROR(IF(Readings[[#This Row],[Obs. Z]]="","-",Readings[[#This Row],[Obs. Z]]-_xlfn.XLOOKUP(Readings[[#This Row],[Sensor ID]],Table_Baseline[Sensor ID],Table_Baseline[Level '[m']],"-")),"-")</f>
        <v>1.9999999999953388E-4</v>
      </c>
      <c r="R240" s="93">
        <f>IFERROR(IF(Readings[[#This Row],[Reference Angle]]="-","-",(Readings[[#This Row],[Diff E]]*COS(RADIANS(Readings[[#This Row],[Reference Angle]]))-Readings[[#This Row],[Diff N]]*SIN(RADIANS(Readings[[#This Row],[Reference Angle]])))),"-")</f>
        <v>0</v>
      </c>
      <c r="S240" s="93">
        <f>IFERROR(IF(Readings[[#This Row],[Reference Angle]]="-","-",(Readings[[#This Row],[Diff E]]*SIN(RADIANS(Readings[[#This Row],[Reference Angle]]))+Readings[[#This Row],[Diff N]]*COS(RADIANS(Readings[[#This Row],[Reference Angle]])))),"-")</f>
        <v>9.9999998928979039E-4</v>
      </c>
      <c r="T240" s="94">
        <f>IFERROR(VLOOKUP(Readings[[#This Row],[Sensor ID]],Table_Baseline[],COLUMNS(Table_Baseline[[#Headers],[Sensor ID]:[Reference Angle '[Deg']]]),FALSE),"-")</f>
        <v>0</v>
      </c>
      <c r="U240" s="95" t="str">
        <f>Readings[[#This Row],[Sensor ID]]&amp;"-"&amp;Readings[[#This Row],[Epoch]]</f>
        <v>250-RL-OP-11010-45779.2708333333</v>
      </c>
      <c r="V240" s="99">
        <f ca="1">IF(Readings[[#This Row],[Epoch]]=OFFSET(Readings[[#This Row],[Epoch]],-1,0),0,1)</f>
        <v>0</v>
      </c>
    </row>
    <row r="241" spans="4:22" x14ac:dyDescent="0.2">
      <c r="D241" s="32">
        <v>45779.270833333336</v>
      </c>
      <c r="E241" s="33" t="s">
        <v>177</v>
      </c>
      <c r="F241" s="34">
        <v>60043.440999999999</v>
      </c>
      <c r="G241" s="34">
        <v>363842.04099999997</v>
      </c>
      <c r="H241" s="34">
        <v>18.768999999999998</v>
      </c>
      <c r="I241" s="33" t="s">
        <v>85</v>
      </c>
      <c r="J241" s="33" t="s">
        <v>90</v>
      </c>
      <c r="K241" s="33">
        <v>14</v>
      </c>
      <c r="L241" s="33">
        <v>1020</v>
      </c>
      <c r="M241" s="33">
        <v>91</v>
      </c>
      <c r="N241" s="33"/>
      <c r="O241" s="93">
        <f>IFERROR(IF(Readings[[#This Row],[Obs. X]]="","-",Readings[[#This Row],[Obs. X]]-_xlfn.XLOOKUP(Readings[[#This Row],[Sensor ID]],Table_Baseline[Sensor ID],Table_Baseline[Easting '[m']],"-")),"-")</f>
        <v>0</v>
      </c>
      <c r="P241" s="93">
        <f>IFERROR(IF(Readings[[#This Row],[Obs. Y]]="","-",Readings[[#This Row],[Obs. Y]]-_xlfn.XLOOKUP(Readings[[#This Row],[Sensor ID]],Table_Baseline[Sensor ID],Table_Baseline[Northing '[m']],"-")),"-")</f>
        <v>9.9999993108212948E-4</v>
      </c>
      <c r="Q241" s="93">
        <f>IFERROR(IF(Readings[[#This Row],[Obs. Z]]="","-",Readings[[#This Row],[Obs. Z]]-_xlfn.XLOOKUP(Readings[[#This Row],[Sensor ID]],Table_Baseline[Sensor ID],Table_Baseline[Level '[m']],"-")),"-")</f>
        <v>6.9999999999836859E-4</v>
      </c>
      <c r="R241" s="93">
        <f>IFERROR(IF(Readings[[#This Row],[Reference Angle]]="-","-",(Readings[[#This Row],[Diff E]]*COS(RADIANS(Readings[[#This Row],[Reference Angle]]))-Readings[[#This Row],[Diff N]]*SIN(RADIANS(Readings[[#This Row],[Reference Angle]])))),"-")</f>
        <v>0</v>
      </c>
      <c r="S241" s="93">
        <f>IFERROR(IF(Readings[[#This Row],[Reference Angle]]="-","-",(Readings[[#This Row],[Diff E]]*SIN(RADIANS(Readings[[#This Row],[Reference Angle]]))+Readings[[#This Row],[Diff N]]*COS(RADIANS(Readings[[#This Row],[Reference Angle]])))),"-")</f>
        <v>9.9999993108212948E-4</v>
      </c>
      <c r="T241" s="94">
        <f>IFERROR(VLOOKUP(Readings[[#This Row],[Sensor ID]],Table_Baseline[],COLUMNS(Table_Baseline[[#Headers],[Sensor ID]:[Reference Angle '[Deg']]]),FALSE),"-")</f>
        <v>0</v>
      </c>
      <c r="U241" s="95" t="str">
        <f>Readings[[#This Row],[Sensor ID]]&amp;"-"&amp;Readings[[#This Row],[Epoch]]</f>
        <v>250-RL-OP-11008-45779.2708333333</v>
      </c>
      <c r="V241" s="99">
        <f ca="1">IF(Readings[[#This Row],[Epoch]]=OFFSET(Readings[[#This Row],[Epoch]],-1,0),0,1)</f>
        <v>0</v>
      </c>
    </row>
    <row r="242" spans="4:22" x14ac:dyDescent="0.2">
      <c r="D242" s="32">
        <v>45779.270833333336</v>
      </c>
      <c r="E242" s="33" t="s">
        <v>175</v>
      </c>
      <c r="F242" s="34">
        <v>60040.607000000004</v>
      </c>
      <c r="G242" s="34">
        <v>363842.86199999996</v>
      </c>
      <c r="H242" s="34">
        <v>18.771999999999998</v>
      </c>
      <c r="I242" s="33" t="s">
        <v>85</v>
      </c>
      <c r="J242" s="33" t="s">
        <v>90</v>
      </c>
      <c r="K242" s="33">
        <v>14</v>
      </c>
      <c r="L242" s="33">
        <v>1020</v>
      </c>
      <c r="M242" s="33">
        <v>91</v>
      </c>
      <c r="N242" s="33"/>
      <c r="O242" s="93">
        <f>IFERROR(IF(Readings[[#This Row],[Obs. X]]="","-",Readings[[#This Row],[Obs. X]]-_xlfn.XLOOKUP(Readings[[#This Row],[Sensor ID]],Table_Baseline[Sensor ID],Table_Baseline[Easting '[m']],"-")),"-")</f>
        <v>0</v>
      </c>
      <c r="P242" s="93">
        <f>IFERROR(IF(Readings[[#This Row],[Obs. Y]]="","-",Readings[[#This Row],[Obs. Y]]-_xlfn.XLOOKUP(Readings[[#This Row],[Sensor ID]],Table_Baseline[Sensor ID],Table_Baseline[Northing '[m']],"-")),"-")</f>
        <v>9.9999993108212948E-4</v>
      </c>
      <c r="Q242" s="93">
        <f>IFERROR(IF(Readings[[#This Row],[Obs. Z]]="","-",Readings[[#This Row],[Obs. Z]]-_xlfn.XLOOKUP(Readings[[#This Row],[Sensor ID]],Table_Baseline[Sensor ID],Table_Baseline[Level '[m']],"-")),"-")</f>
        <v>0</v>
      </c>
      <c r="R242" s="93">
        <f>IFERROR(IF(Readings[[#This Row],[Reference Angle]]="-","-",(Readings[[#This Row],[Diff E]]*COS(RADIANS(Readings[[#This Row],[Reference Angle]]))-Readings[[#This Row],[Diff N]]*SIN(RADIANS(Readings[[#This Row],[Reference Angle]])))),"-")</f>
        <v>0</v>
      </c>
      <c r="S242" s="93">
        <f>IFERROR(IF(Readings[[#This Row],[Reference Angle]]="-","-",(Readings[[#This Row],[Diff E]]*SIN(RADIANS(Readings[[#This Row],[Reference Angle]]))+Readings[[#This Row],[Diff N]]*COS(RADIANS(Readings[[#This Row],[Reference Angle]])))),"-")</f>
        <v>9.9999993108212948E-4</v>
      </c>
      <c r="T242" s="94">
        <f>IFERROR(VLOOKUP(Readings[[#This Row],[Sensor ID]],Table_Baseline[],COLUMNS(Table_Baseline[[#Headers],[Sensor ID]:[Reference Angle '[Deg']]]),FALSE),"-")</f>
        <v>0</v>
      </c>
      <c r="U242" s="95" t="str">
        <f>Readings[[#This Row],[Sensor ID]]&amp;"-"&amp;Readings[[#This Row],[Epoch]]</f>
        <v>250-RL-OP-11006-45779.2708333333</v>
      </c>
      <c r="V242" s="99">
        <f ca="1">IF(Readings[[#This Row],[Epoch]]=OFFSET(Readings[[#This Row],[Epoch]],-1,0),0,1)</f>
        <v>0</v>
      </c>
    </row>
    <row r="243" spans="4:22" x14ac:dyDescent="0.2">
      <c r="D243" s="32">
        <v>45779.270833333336</v>
      </c>
      <c r="E243" s="33" t="s">
        <v>173</v>
      </c>
      <c r="F243" s="34">
        <v>60037.805</v>
      </c>
      <c r="G243" s="34">
        <v>363843.65700000001</v>
      </c>
      <c r="H243" s="34">
        <v>18.779</v>
      </c>
      <c r="I243" s="33" t="s">
        <v>85</v>
      </c>
      <c r="J243" s="33" t="s">
        <v>90</v>
      </c>
      <c r="K243" s="33">
        <v>14</v>
      </c>
      <c r="L243" s="33">
        <v>1020</v>
      </c>
      <c r="M243" s="33">
        <v>91</v>
      </c>
      <c r="N243" s="33"/>
      <c r="O243" s="93">
        <f>IFERROR(IF(Readings[[#This Row],[Obs. X]]="","-",Readings[[#This Row],[Obs. X]]-_xlfn.XLOOKUP(Readings[[#This Row],[Sensor ID]],Table_Baseline[Sensor ID],Table_Baseline[Easting '[m']],"-")),"-")</f>
        <v>0</v>
      </c>
      <c r="P243" s="93">
        <f>IFERROR(IF(Readings[[#This Row],[Obs. Y]]="","-",Readings[[#This Row],[Obs. Y]]-_xlfn.XLOOKUP(Readings[[#This Row],[Sensor ID]],Table_Baseline[Sensor ID],Table_Baseline[Northing '[m']],"-")),"-")</f>
        <v>0</v>
      </c>
      <c r="Q243" s="93">
        <f>IFERROR(IF(Readings[[#This Row],[Obs. Z]]="","-",Readings[[#This Row],[Obs. Z]]-_xlfn.XLOOKUP(Readings[[#This Row],[Sensor ID]],Table_Baseline[Sensor ID],Table_Baseline[Level '[m']],"-")),"-")</f>
        <v>4.9999999999883471E-4</v>
      </c>
      <c r="R243" s="93">
        <f>IFERROR(IF(Readings[[#This Row],[Reference Angle]]="-","-",(Readings[[#This Row],[Diff E]]*COS(RADIANS(Readings[[#This Row],[Reference Angle]]))-Readings[[#This Row],[Diff N]]*SIN(RADIANS(Readings[[#This Row],[Reference Angle]])))),"-")</f>
        <v>0</v>
      </c>
      <c r="S243" s="93">
        <f>IFERROR(IF(Readings[[#This Row],[Reference Angle]]="-","-",(Readings[[#This Row],[Diff E]]*SIN(RADIANS(Readings[[#This Row],[Reference Angle]]))+Readings[[#This Row],[Diff N]]*COS(RADIANS(Readings[[#This Row],[Reference Angle]])))),"-")</f>
        <v>0</v>
      </c>
      <c r="T243" s="94">
        <f>IFERROR(VLOOKUP(Readings[[#This Row],[Sensor ID]],Table_Baseline[],COLUMNS(Table_Baseline[[#Headers],[Sensor ID]:[Reference Angle '[Deg']]]),FALSE),"-")</f>
        <v>0</v>
      </c>
      <c r="U243" s="95" t="str">
        <f>Readings[[#This Row],[Sensor ID]]&amp;"-"&amp;Readings[[#This Row],[Epoch]]</f>
        <v>250-RL-OP-11004-45779.2708333333</v>
      </c>
      <c r="V243" s="99">
        <f ca="1">IF(Readings[[#This Row],[Epoch]]=OFFSET(Readings[[#This Row],[Epoch]],-1,0),0,1)</f>
        <v>0</v>
      </c>
    </row>
    <row r="244" spans="4:22" x14ac:dyDescent="0.2">
      <c r="D244" s="32">
        <v>45779.270833333336</v>
      </c>
      <c r="E244" s="33" t="s">
        <v>172</v>
      </c>
      <c r="F244" s="34">
        <v>60035.34</v>
      </c>
      <c r="G244" s="34">
        <v>363845.73800000001</v>
      </c>
      <c r="H244" s="34">
        <v>18.782</v>
      </c>
      <c r="I244" s="33" t="s">
        <v>85</v>
      </c>
      <c r="J244" s="33" t="s">
        <v>90</v>
      </c>
      <c r="K244" s="33">
        <v>14</v>
      </c>
      <c r="L244" s="33">
        <v>1020</v>
      </c>
      <c r="M244" s="33">
        <v>91</v>
      </c>
      <c r="N244" s="33"/>
      <c r="O244" s="93">
        <f>IFERROR(IF(Readings[[#This Row],[Obs. X]]="","-",Readings[[#This Row],[Obs. X]]-_xlfn.XLOOKUP(Readings[[#This Row],[Sensor ID]],Table_Baseline[Sensor ID],Table_Baseline[Easting '[m']],"-")),"-")</f>
        <v>0</v>
      </c>
      <c r="P244" s="93">
        <f>IFERROR(IF(Readings[[#This Row],[Obs. Y]]="","-",Readings[[#This Row],[Obs. Y]]-_xlfn.XLOOKUP(Readings[[#This Row],[Sensor ID]],Table_Baseline[Sensor ID],Table_Baseline[Northing '[m']],"-")),"-")</f>
        <v>-9.9999998928979039E-4</v>
      </c>
      <c r="Q244" s="93">
        <f>IFERROR(IF(Readings[[#This Row],[Obs. Z]]="","-",Readings[[#This Row],[Obs. Z]]-_xlfn.XLOOKUP(Readings[[#This Row],[Sensor ID]],Table_Baseline[Sensor ID],Table_Baseline[Level '[m']],"-")),"-")</f>
        <v>0</v>
      </c>
      <c r="R244" s="93">
        <f>IFERROR(IF(Readings[[#This Row],[Reference Angle]]="-","-",(Readings[[#This Row],[Diff E]]*COS(RADIANS(Readings[[#This Row],[Reference Angle]]))-Readings[[#This Row],[Diff N]]*SIN(RADIANS(Readings[[#This Row],[Reference Angle]])))),"-")</f>
        <v>0</v>
      </c>
      <c r="S244" s="93">
        <f>IFERROR(IF(Readings[[#This Row],[Reference Angle]]="-","-",(Readings[[#This Row],[Diff E]]*SIN(RADIANS(Readings[[#This Row],[Reference Angle]]))+Readings[[#This Row],[Diff N]]*COS(RADIANS(Readings[[#This Row],[Reference Angle]])))),"-")</f>
        <v>-9.9999998928979039E-4</v>
      </c>
      <c r="T244" s="94">
        <f>IFERROR(VLOOKUP(Readings[[#This Row],[Sensor ID]],Table_Baseline[],COLUMNS(Table_Baseline[[#Headers],[Sensor ID]:[Reference Angle '[Deg']]]),FALSE),"-")</f>
        <v>0</v>
      </c>
      <c r="U244" s="95" t="str">
        <f>Readings[[#This Row],[Sensor ID]]&amp;"-"&amp;Readings[[#This Row],[Epoch]]</f>
        <v>250-RL-OP-11001-45779.2708333333</v>
      </c>
      <c r="V244" s="99">
        <f ca="1">IF(Readings[[#This Row],[Epoch]]=OFFSET(Readings[[#This Row],[Epoch]],-1,0),0,1)</f>
        <v>0</v>
      </c>
    </row>
    <row r="245" spans="4:22" x14ac:dyDescent="0.2">
      <c r="D245" s="32">
        <v>45779.270833333336</v>
      </c>
      <c r="E245" s="33" t="s">
        <v>171</v>
      </c>
      <c r="F245" s="34">
        <v>60034.959000000003</v>
      </c>
      <c r="G245" s="34">
        <v>363844.47100000002</v>
      </c>
      <c r="H245" s="34">
        <v>18.777999999999999</v>
      </c>
      <c r="I245" s="33" t="s">
        <v>85</v>
      </c>
      <c r="J245" s="33" t="s">
        <v>90</v>
      </c>
      <c r="K245" s="33">
        <v>14</v>
      </c>
      <c r="L245" s="33">
        <v>1020</v>
      </c>
      <c r="M245" s="33">
        <v>91</v>
      </c>
      <c r="N245" s="33"/>
      <c r="O245" s="93">
        <f>IFERROR(IF(Readings[[#This Row],[Obs. X]]="","-",Readings[[#This Row],[Obs. X]]-_xlfn.XLOOKUP(Readings[[#This Row],[Sensor ID]],Table_Baseline[Sensor ID],Table_Baseline[Easting '[m']],"-")),"-")</f>
        <v>0</v>
      </c>
      <c r="P245" s="93">
        <f>IFERROR(IF(Readings[[#This Row],[Obs. Y]]="","-",Readings[[#This Row],[Obs. Y]]-_xlfn.XLOOKUP(Readings[[#This Row],[Sensor ID]],Table_Baseline[Sensor ID],Table_Baseline[Northing '[m']],"-")),"-")</f>
        <v>0</v>
      </c>
      <c r="Q245" s="93">
        <f>IFERROR(IF(Readings[[#This Row],[Obs. Z]]="","-",Readings[[#This Row],[Obs. Z]]-_xlfn.XLOOKUP(Readings[[#This Row],[Sensor ID]],Table_Baseline[Sensor ID],Table_Baseline[Level '[m']],"-")),"-")</f>
        <v>-9.9999999999766942E-5</v>
      </c>
      <c r="R245" s="93">
        <f>IFERROR(IF(Readings[[#This Row],[Reference Angle]]="-","-",(Readings[[#This Row],[Diff E]]*COS(RADIANS(Readings[[#This Row],[Reference Angle]]))-Readings[[#This Row],[Diff N]]*SIN(RADIANS(Readings[[#This Row],[Reference Angle]])))),"-")</f>
        <v>0</v>
      </c>
      <c r="S245" s="93">
        <f>IFERROR(IF(Readings[[#This Row],[Reference Angle]]="-","-",(Readings[[#This Row],[Diff E]]*SIN(RADIANS(Readings[[#This Row],[Reference Angle]]))+Readings[[#This Row],[Diff N]]*COS(RADIANS(Readings[[#This Row],[Reference Angle]])))),"-")</f>
        <v>0</v>
      </c>
      <c r="T245" s="94">
        <f>IFERROR(VLOOKUP(Readings[[#This Row],[Sensor ID]],Table_Baseline[],COLUMNS(Table_Baseline[[#Headers],[Sensor ID]:[Reference Angle '[Deg']]]),FALSE),"-")</f>
        <v>0</v>
      </c>
      <c r="U245" s="95" t="str">
        <f>Readings[[#This Row],[Sensor ID]]&amp;"-"&amp;Readings[[#This Row],[Epoch]]</f>
        <v>250-RL-OP-11002-45779.2708333333</v>
      </c>
      <c r="V245" s="99">
        <f ca="1">IF(Readings[[#This Row],[Epoch]]=OFFSET(Readings[[#This Row],[Epoch]],-1,0),0,1)</f>
        <v>0</v>
      </c>
    </row>
    <row r="246" spans="4:22" x14ac:dyDescent="0.2">
      <c r="D246" s="32">
        <v>45779.270833333336</v>
      </c>
      <c r="E246" s="33" t="s">
        <v>170</v>
      </c>
      <c r="F246" s="34">
        <v>60060.065000000002</v>
      </c>
      <c r="G246" s="34">
        <v>363836.02399999998</v>
      </c>
      <c r="H246" s="34">
        <v>19.356999999999999</v>
      </c>
      <c r="I246" s="33" t="s">
        <v>85</v>
      </c>
      <c r="J246" s="33" t="s">
        <v>90</v>
      </c>
      <c r="K246" s="33">
        <v>14</v>
      </c>
      <c r="L246" s="33">
        <v>1020</v>
      </c>
      <c r="M246" s="33">
        <v>91</v>
      </c>
      <c r="N246" s="33"/>
      <c r="O246" s="93" t="str">
        <f>IFERROR(IF(Readings[[#This Row],[Obs. X]]="","-",Readings[[#This Row],[Obs. X]]-_xlfn.XLOOKUP(Readings[[#This Row],[Sensor ID]],Table_Baseline[Sensor ID],Table_Baseline[Easting '[m']],"-")),"-")</f>
        <v>-</v>
      </c>
      <c r="P246" s="93" t="str">
        <f>IFERROR(IF(Readings[[#This Row],[Obs. Y]]="","-",Readings[[#This Row],[Obs. Y]]-_xlfn.XLOOKUP(Readings[[#This Row],[Sensor ID]],Table_Baseline[Sensor ID],Table_Baseline[Northing '[m']],"-")),"-")</f>
        <v>-</v>
      </c>
      <c r="Q246" s="93" t="str">
        <f>IFERROR(IF(Readings[[#This Row],[Obs. Z]]="","-",Readings[[#This Row],[Obs. Z]]-_xlfn.XLOOKUP(Readings[[#This Row],[Sensor ID]],Table_Baseline[Sensor ID],Table_Baseline[Level '[m']],"-")),"-")</f>
        <v>-</v>
      </c>
      <c r="R246" s="93" t="str">
        <f>IFERROR(IF(Readings[[#This Row],[Reference Angle]]="-","-",(Readings[[#This Row],[Diff E]]*COS(RADIANS(Readings[[#This Row],[Reference Angle]]))-Readings[[#This Row],[Diff N]]*SIN(RADIANS(Readings[[#This Row],[Reference Angle]])))),"-")</f>
        <v>-</v>
      </c>
      <c r="S246" s="93" t="str">
        <f>IFERROR(IF(Readings[[#This Row],[Reference Angle]]="-","-",(Readings[[#This Row],[Diff E]]*SIN(RADIANS(Readings[[#This Row],[Reference Angle]]))+Readings[[#This Row],[Diff N]]*COS(RADIANS(Readings[[#This Row],[Reference Angle]])))),"-")</f>
        <v>-</v>
      </c>
      <c r="T246" s="94" t="str">
        <f>IFERROR(VLOOKUP(Readings[[#This Row],[Sensor ID]],Table_Baseline[],COLUMNS(Table_Baseline[[#Headers],[Sensor ID]:[Reference Angle '[Deg']]]),FALSE),"-")</f>
        <v>-</v>
      </c>
      <c r="U246" s="95" t="str">
        <f>Readings[[#This Row],[Sensor ID]]&amp;"-"&amp;Readings[[#This Row],[Epoch]]</f>
        <v>250-ST-OP-505-45779.2708333333</v>
      </c>
      <c r="V246" s="99">
        <f ca="1">IF(Readings[[#This Row],[Epoch]]=OFFSET(Readings[[#This Row],[Epoch]],-1,0),0,1)</f>
        <v>0</v>
      </c>
    </row>
    <row r="247" spans="4:22" x14ac:dyDescent="0.2">
      <c r="D247" s="32">
        <v>45779.270833333336</v>
      </c>
      <c r="E247" s="33" t="s">
        <v>166</v>
      </c>
      <c r="F247" s="34">
        <v>60040.286999999997</v>
      </c>
      <c r="G247" s="34">
        <v>363841.73</v>
      </c>
      <c r="H247" s="34">
        <v>19.321999999999999</v>
      </c>
      <c r="I247" s="33" t="s">
        <v>85</v>
      </c>
      <c r="J247" s="33" t="s">
        <v>90</v>
      </c>
      <c r="K247" s="33">
        <v>14</v>
      </c>
      <c r="L247" s="33">
        <v>1020</v>
      </c>
      <c r="M247" s="33">
        <v>91</v>
      </c>
      <c r="N247" s="33"/>
      <c r="O247" s="93" t="str">
        <f>IFERROR(IF(Readings[[#This Row],[Obs. X]]="","-",Readings[[#This Row],[Obs. X]]-_xlfn.XLOOKUP(Readings[[#This Row],[Sensor ID]],Table_Baseline[Sensor ID],Table_Baseline[Easting '[m']],"-")),"-")</f>
        <v>-</v>
      </c>
      <c r="P247" s="93" t="str">
        <f>IFERROR(IF(Readings[[#This Row],[Obs. Y]]="","-",Readings[[#This Row],[Obs. Y]]-_xlfn.XLOOKUP(Readings[[#This Row],[Sensor ID]],Table_Baseline[Sensor ID],Table_Baseline[Northing '[m']],"-")),"-")</f>
        <v>-</v>
      </c>
      <c r="Q247" s="93" t="str">
        <f>IFERROR(IF(Readings[[#This Row],[Obs. Z]]="","-",Readings[[#This Row],[Obs. Z]]-_xlfn.XLOOKUP(Readings[[#This Row],[Sensor ID]],Table_Baseline[Sensor ID],Table_Baseline[Level '[m']],"-")),"-")</f>
        <v>-</v>
      </c>
      <c r="R247" s="93" t="str">
        <f>IFERROR(IF(Readings[[#This Row],[Reference Angle]]="-","-",(Readings[[#This Row],[Diff E]]*COS(RADIANS(Readings[[#This Row],[Reference Angle]]))-Readings[[#This Row],[Diff N]]*SIN(RADIANS(Readings[[#This Row],[Reference Angle]])))),"-")</f>
        <v>-</v>
      </c>
      <c r="S247" s="93" t="str">
        <f>IFERROR(IF(Readings[[#This Row],[Reference Angle]]="-","-",(Readings[[#This Row],[Diff E]]*SIN(RADIANS(Readings[[#This Row],[Reference Angle]]))+Readings[[#This Row],[Diff N]]*COS(RADIANS(Readings[[#This Row],[Reference Angle]])))),"-")</f>
        <v>-</v>
      </c>
      <c r="T247" s="94" t="str">
        <f>IFERROR(VLOOKUP(Readings[[#This Row],[Sensor ID]],Table_Baseline[],COLUMNS(Table_Baseline[[#Headers],[Sensor ID]:[Reference Angle '[Deg']]]),FALSE),"-")</f>
        <v>-</v>
      </c>
      <c r="U247" s="95" t="str">
        <f>Readings[[#This Row],[Sensor ID]]&amp;"-"&amp;Readings[[#This Row],[Epoch]]</f>
        <v>250-ST-OP-501-45779.2708333333</v>
      </c>
      <c r="V247" s="99">
        <f ca="1">IF(Readings[[#This Row],[Epoch]]=OFFSET(Readings[[#This Row],[Epoch]],-1,0),0,1)</f>
        <v>0</v>
      </c>
    </row>
    <row r="248" spans="4:22" x14ac:dyDescent="0.2">
      <c r="D248" s="32">
        <v>45779.270833333336</v>
      </c>
      <c r="E248" s="33" t="s">
        <v>165</v>
      </c>
      <c r="F248" s="34">
        <v>60034.538999999997</v>
      </c>
      <c r="G248" s="34">
        <v>363843.38199999998</v>
      </c>
      <c r="H248" s="34">
        <v>19.332000000000001</v>
      </c>
      <c r="I248" s="33" t="s">
        <v>85</v>
      </c>
      <c r="J248" s="33" t="s">
        <v>90</v>
      </c>
      <c r="K248" s="33">
        <v>14</v>
      </c>
      <c r="L248" s="33">
        <v>1020</v>
      </c>
      <c r="M248" s="33">
        <v>91</v>
      </c>
      <c r="N248" s="33"/>
      <c r="O248" s="93" t="str">
        <f>IFERROR(IF(Readings[[#This Row],[Obs. X]]="","-",Readings[[#This Row],[Obs. X]]-_xlfn.XLOOKUP(Readings[[#This Row],[Sensor ID]],Table_Baseline[Sensor ID],Table_Baseline[Easting '[m']],"-")),"-")</f>
        <v>-</v>
      </c>
      <c r="P248" s="93" t="str">
        <f>IFERROR(IF(Readings[[#This Row],[Obs. Y]]="","-",Readings[[#This Row],[Obs. Y]]-_xlfn.XLOOKUP(Readings[[#This Row],[Sensor ID]],Table_Baseline[Sensor ID],Table_Baseline[Northing '[m']],"-")),"-")</f>
        <v>-</v>
      </c>
      <c r="Q248" s="93" t="str">
        <f>IFERROR(IF(Readings[[#This Row],[Obs. Z]]="","-",Readings[[#This Row],[Obs. Z]]-_xlfn.XLOOKUP(Readings[[#This Row],[Sensor ID]],Table_Baseline[Sensor ID],Table_Baseline[Level '[m']],"-")),"-")</f>
        <v>-</v>
      </c>
      <c r="R248" s="93" t="str">
        <f>IFERROR(IF(Readings[[#This Row],[Reference Angle]]="-","-",(Readings[[#This Row],[Diff E]]*COS(RADIANS(Readings[[#This Row],[Reference Angle]]))-Readings[[#This Row],[Diff N]]*SIN(RADIANS(Readings[[#This Row],[Reference Angle]])))),"-")</f>
        <v>-</v>
      </c>
      <c r="S248" s="93" t="str">
        <f>IFERROR(IF(Readings[[#This Row],[Reference Angle]]="-","-",(Readings[[#This Row],[Diff E]]*SIN(RADIANS(Readings[[#This Row],[Reference Angle]]))+Readings[[#This Row],[Diff N]]*COS(RADIANS(Readings[[#This Row],[Reference Angle]])))),"-")</f>
        <v>-</v>
      </c>
      <c r="T248" s="94" t="str">
        <f>IFERROR(VLOOKUP(Readings[[#This Row],[Sensor ID]],Table_Baseline[],COLUMNS(Table_Baseline[[#Headers],[Sensor ID]:[Reference Angle '[Deg']]]),FALSE),"-")</f>
        <v>-</v>
      </c>
      <c r="U248" s="95" t="str">
        <f>Readings[[#This Row],[Sensor ID]]&amp;"-"&amp;Readings[[#This Row],[Epoch]]</f>
        <v>250-ST-OP-500-45779.2708333333</v>
      </c>
      <c r="V248" s="99">
        <f ca="1">IF(Readings[[#This Row],[Epoch]]=OFFSET(Readings[[#This Row],[Epoch]],-1,0),0,1)</f>
        <v>0</v>
      </c>
    </row>
    <row r="249" spans="4:22" x14ac:dyDescent="0.2">
      <c r="D249" s="32">
        <v>45779.270833333336</v>
      </c>
      <c r="E249" s="33" t="s">
        <v>169</v>
      </c>
      <c r="F249" s="34">
        <v>60053.608999999997</v>
      </c>
      <c r="G249" s="34">
        <v>363837.88300000003</v>
      </c>
      <c r="H249" s="34">
        <v>19.356999999999999</v>
      </c>
      <c r="I249" s="33" t="s">
        <v>85</v>
      </c>
      <c r="J249" s="33" t="s">
        <v>90</v>
      </c>
      <c r="K249" s="33">
        <v>14</v>
      </c>
      <c r="L249" s="33">
        <v>1020</v>
      </c>
      <c r="M249" s="33">
        <v>91</v>
      </c>
      <c r="N249" s="33"/>
      <c r="O249" s="93" t="str">
        <f>IFERROR(IF(Readings[[#This Row],[Obs. X]]="","-",Readings[[#This Row],[Obs. X]]-_xlfn.XLOOKUP(Readings[[#This Row],[Sensor ID]],Table_Baseline[Sensor ID],Table_Baseline[Easting '[m']],"-")),"-")</f>
        <v>-</v>
      </c>
      <c r="P249" s="93" t="str">
        <f>IFERROR(IF(Readings[[#This Row],[Obs. Y]]="","-",Readings[[#This Row],[Obs. Y]]-_xlfn.XLOOKUP(Readings[[#This Row],[Sensor ID]],Table_Baseline[Sensor ID],Table_Baseline[Northing '[m']],"-")),"-")</f>
        <v>-</v>
      </c>
      <c r="Q249" s="93" t="str">
        <f>IFERROR(IF(Readings[[#This Row],[Obs. Z]]="","-",Readings[[#This Row],[Obs. Z]]-_xlfn.XLOOKUP(Readings[[#This Row],[Sensor ID]],Table_Baseline[Sensor ID],Table_Baseline[Level '[m']],"-")),"-")</f>
        <v>-</v>
      </c>
      <c r="R249" s="93" t="str">
        <f>IFERROR(IF(Readings[[#This Row],[Reference Angle]]="-","-",(Readings[[#This Row],[Diff E]]*COS(RADIANS(Readings[[#This Row],[Reference Angle]]))-Readings[[#This Row],[Diff N]]*SIN(RADIANS(Readings[[#This Row],[Reference Angle]])))),"-")</f>
        <v>-</v>
      </c>
      <c r="S249" s="93" t="str">
        <f>IFERROR(IF(Readings[[#This Row],[Reference Angle]]="-","-",(Readings[[#This Row],[Diff E]]*SIN(RADIANS(Readings[[#This Row],[Reference Angle]]))+Readings[[#This Row],[Diff N]]*COS(RADIANS(Readings[[#This Row],[Reference Angle]])))),"-")</f>
        <v>-</v>
      </c>
      <c r="T249" s="94" t="str">
        <f>IFERROR(VLOOKUP(Readings[[#This Row],[Sensor ID]],Table_Baseline[],COLUMNS(Table_Baseline[[#Headers],[Sensor ID]:[Reference Angle '[Deg']]]),FALSE),"-")</f>
        <v>-</v>
      </c>
      <c r="U249" s="95" t="str">
        <f>Readings[[#This Row],[Sensor ID]]&amp;"-"&amp;Readings[[#This Row],[Epoch]]</f>
        <v>250-ST-OP-504-45779.2708333333</v>
      </c>
      <c r="V249" s="99">
        <f ca="1">IF(Readings[[#This Row],[Epoch]]=OFFSET(Readings[[#This Row],[Epoch]],-1,0),0,1)</f>
        <v>0</v>
      </c>
    </row>
    <row r="250" spans="4:22" x14ac:dyDescent="0.2">
      <c r="D250" s="32">
        <v>45779.270833333336</v>
      </c>
      <c r="E250" s="33" t="s">
        <v>168</v>
      </c>
      <c r="F250" s="34">
        <v>60049.767</v>
      </c>
      <c r="G250" s="34">
        <v>363838.99400000001</v>
      </c>
      <c r="H250" s="34">
        <v>19.344999999999999</v>
      </c>
      <c r="I250" s="33" t="s">
        <v>85</v>
      </c>
      <c r="J250" s="33" t="s">
        <v>90</v>
      </c>
      <c r="K250" s="33">
        <v>14</v>
      </c>
      <c r="L250" s="33">
        <v>1020</v>
      </c>
      <c r="M250" s="33">
        <v>91</v>
      </c>
      <c r="N250" s="33"/>
      <c r="O250" s="93" t="str">
        <f>IFERROR(IF(Readings[[#This Row],[Obs. X]]="","-",Readings[[#This Row],[Obs. X]]-_xlfn.XLOOKUP(Readings[[#This Row],[Sensor ID]],Table_Baseline[Sensor ID],Table_Baseline[Easting '[m']],"-")),"-")</f>
        <v>-</v>
      </c>
      <c r="P250" s="93" t="str">
        <f>IFERROR(IF(Readings[[#This Row],[Obs. Y]]="","-",Readings[[#This Row],[Obs. Y]]-_xlfn.XLOOKUP(Readings[[#This Row],[Sensor ID]],Table_Baseline[Sensor ID],Table_Baseline[Northing '[m']],"-")),"-")</f>
        <v>-</v>
      </c>
      <c r="Q250" s="93" t="str">
        <f>IFERROR(IF(Readings[[#This Row],[Obs. Z]]="","-",Readings[[#This Row],[Obs. Z]]-_xlfn.XLOOKUP(Readings[[#This Row],[Sensor ID]],Table_Baseline[Sensor ID],Table_Baseline[Level '[m']],"-")),"-")</f>
        <v>-</v>
      </c>
      <c r="R250" s="93" t="str">
        <f>IFERROR(IF(Readings[[#This Row],[Reference Angle]]="-","-",(Readings[[#This Row],[Diff E]]*COS(RADIANS(Readings[[#This Row],[Reference Angle]]))-Readings[[#This Row],[Diff N]]*SIN(RADIANS(Readings[[#This Row],[Reference Angle]])))),"-")</f>
        <v>-</v>
      </c>
      <c r="S250" s="93" t="str">
        <f>IFERROR(IF(Readings[[#This Row],[Reference Angle]]="-","-",(Readings[[#This Row],[Diff E]]*SIN(RADIANS(Readings[[#This Row],[Reference Angle]]))+Readings[[#This Row],[Diff N]]*COS(RADIANS(Readings[[#This Row],[Reference Angle]])))),"-")</f>
        <v>-</v>
      </c>
      <c r="T250" s="94" t="str">
        <f>IFERROR(VLOOKUP(Readings[[#This Row],[Sensor ID]],Table_Baseline[],COLUMNS(Table_Baseline[[#Headers],[Sensor ID]:[Reference Angle '[Deg']]]),FALSE),"-")</f>
        <v>-</v>
      </c>
      <c r="U250" s="95" t="str">
        <f>Readings[[#This Row],[Sensor ID]]&amp;"-"&amp;Readings[[#This Row],[Epoch]]</f>
        <v>250-ST-OP-503-45779.2708333333</v>
      </c>
      <c r="V250" s="99">
        <f ca="1">IF(Readings[[#This Row],[Epoch]]=OFFSET(Readings[[#This Row],[Epoch]],-1,0),0,1)</f>
        <v>0</v>
      </c>
    </row>
    <row r="251" spans="4:22" x14ac:dyDescent="0.2">
      <c r="D251" s="32">
        <v>45779.270833333336</v>
      </c>
      <c r="E251" s="151" t="s">
        <v>167</v>
      </c>
      <c r="F251" s="152">
        <v>60045.921000000002</v>
      </c>
      <c r="G251" s="152">
        <v>363840.1</v>
      </c>
      <c r="H251" s="152">
        <v>19.334</v>
      </c>
      <c r="I251" s="33" t="s">
        <v>85</v>
      </c>
      <c r="J251" s="33" t="s">
        <v>90</v>
      </c>
      <c r="K251" s="33">
        <v>14</v>
      </c>
      <c r="L251" s="33">
        <v>1020</v>
      </c>
      <c r="M251" s="33">
        <v>91</v>
      </c>
      <c r="N251" s="151"/>
      <c r="O251" s="96" t="str">
        <f>IFERROR(IF(Readings[[#This Row],[Obs. X]]="","-",Readings[[#This Row],[Obs. X]]-_xlfn.XLOOKUP(Readings[[#This Row],[Sensor ID]],Table_Baseline[Sensor ID],Table_Baseline[Easting '[m']],"-")),"-")</f>
        <v>-</v>
      </c>
      <c r="P251" s="96" t="str">
        <f>IFERROR(IF(Readings[[#This Row],[Obs. Y]]="","-",Readings[[#This Row],[Obs. Y]]-_xlfn.XLOOKUP(Readings[[#This Row],[Sensor ID]],Table_Baseline[Sensor ID],Table_Baseline[Northing '[m']],"-")),"-")</f>
        <v>-</v>
      </c>
      <c r="Q251" s="96" t="str">
        <f>IFERROR(IF(Readings[[#This Row],[Obs. Z]]="","-",Readings[[#This Row],[Obs. Z]]-_xlfn.XLOOKUP(Readings[[#This Row],[Sensor ID]],Table_Baseline[Sensor ID],Table_Baseline[Level '[m']],"-")),"-")</f>
        <v>-</v>
      </c>
      <c r="R251" s="96" t="str">
        <f>IFERROR(IF(Readings[[#This Row],[Reference Angle]]="-","-",(Readings[[#This Row],[Diff E]]*COS(RADIANS(Readings[[#This Row],[Reference Angle]]))-Readings[[#This Row],[Diff N]]*SIN(RADIANS(Readings[[#This Row],[Reference Angle]])))),"-")</f>
        <v>-</v>
      </c>
      <c r="S251" s="96" t="str">
        <f>IFERROR(IF(Readings[[#This Row],[Reference Angle]]="-","-",(Readings[[#This Row],[Diff E]]*SIN(RADIANS(Readings[[#This Row],[Reference Angle]]))+Readings[[#This Row],[Diff N]]*COS(RADIANS(Readings[[#This Row],[Reference Angle]])))),"-")</f>
        <v>-</v>
      </c>
      <c r="T251" s="97" t="str">
        <f>IFERROR(VLOOKUP(Readings[[#This Row],[Sensor ID]],Table_Baseline[],COLUMNS(Table_Baseline[[#Headers],[Sensor ID]:[Reference Angle '[Deg']]]),FALSE),"-")</f>
        <v>-</v>
      </c>
      <c r="U251" s="98" t="str">
        <f>Readings[[#This Row],[Sensor ID]]&amp;"-"&amp;Readings[[#This Row],[Epoch]]</f>
        <v>250-ST-OP-502-45779.2708333333</v>
      </c>
      <c r="V251" s="100">
        <f ca="1">IF(Readings[[#This Row],[Epoch]]=OFFSET(Readings[[#This Row],[Epoch]],-1,0),0,1)</f>
        <v>0</v>
      </c>
    </row>
    <row r="252" spans="4:22" x14ac:dyDescent="0.2">
      <c r="D252" s="32">
        <v>45783.270833333336</v>
      </c>
      <c r="E252" s="33" t="s">
        <v>191</v>
      </c>
      <c r="F252" s="34">
        <v>60063.421000000002</v>
      </c>
      <c r="G252" s="34">
        <v>363836.63899999997</v>
      </c>
      <c r="H252" s="34">
        <v>18.794</v>
      </c>
      <c r="I252" s="33" t="s">
        <v>85</v>
      </c>
      <c r="J252" s="33" t="s">
        <v>90</v>
      </c>
      <c r="K252" s="33">
        <v>16.600000000000001</v>
      </c>
      <c r="L252" s="33">
        <v>1024</v>
      </c>
      <c r="M252" s="33">
        <v>78</v>
      </c>
      <c r="N252" s="33"/>
      <c r="O252" s="93">
        <f>IFERROR(IF(Readings[[#This Row],[Obs. X]]="","-",Readings[[#This Row],[Obs. X]]-_xlfn.XLOOKUP(Readings[[#This Row],[Sensor ID]],Table_Baseline[Sensor ID],Table_Baseline[Easting '[m']],"-")),"-")</f>
        <v>-9.9999999656574801E-4</v>
      </c>
      <c r="P252" s="93">
        <f>IFERROR(IF(Readings[[#This Row],[Obs. Y]]="","-",Readings[[#This Row],[Obs. Y]]-_xlfn.XLOOKUP(Readings[[#This Row],[Sensor ID]],Table_Baseline[Sensor ID],Table_Baseline[Northing '[m']],"-")),"-")</f>
        <v>2.9999999678693712E-3</v>
      </c>
      <c r="Q252" s="93">
        <f>IFERROR(IF(Readings[[#This Row],[Obs. Z]]="","-",Readings[[#This Row],[Obs. Z]]-_xlfn.XLOOKUP(Readings[[#This Row],[Sensor ID]],Table_Baseline[Sensor ID],Table_Baseline[Level '[m']],"-")),"-")</f>
        <v>-8.9999999999790248E-4</v>
      </c>
      <c r="R252" s="93">
        <f>IFERROR(IF(Readings[[#This Row],[Reference Angle]]="-","-",(Readings[[#This Row],[Diff E]]*COS(RADIANS(Readings[[#This Row],[Reference Angle]]))-Readings[[#This Row],[Diff N]]*SIN(RADIANS(Readings[[#This Row],[Reference Angle]])))),"-")</f>
        <v>-9.9999999656574801E-4</v>
      </c>
      <c r="S252" s="93">
        <f>IFERROR(IF(Readings[[#This Row],[Reference Angle]]="-","-",(Readings[[#This Row],[Diff E]]*SIN(RADIANS(Readings[[#This Row],[Reference Angle]]))+Readings[[#This Row],[Diff N]]*COS(RADIANS(Readings[[#This Row],[Reference Angle]])))),"-")</f>
        <v>2.9999999678693712E-3</v>
      </c>
      <c r="T252" s="94">
        <f>IFERROR(VLOOKUP(Readings[[#This Row],[Sensor ID]],Table_Baseline[],COLUMNS(Table_Baseline[[#Headers],[Sensor ID]:[Reference Angle '[Deg']]]),FALSE),"-")</f>
        <v>0</v>
      </c>
      <c r="U252" s="95" t="str">
        <f>Readings[[#This Row],[Sensor ID]]&amp;"-"&amp;Readings[[#This Row],[Epoch]]</f>
        <v>250-RL-OP-11022-45783.2708333333</v>
      </c>
      <c r="V252" s="99">
        <f ca="1">IF(Readings[[#This Row],[Epoch]]=OFFSET(Readings[[#This Row],[Epoch]],-1,0),0,1)</f>
        <v>1</v>
      </c>
    </row>
    <row r="253" spans="4:22" x14ac:dyDescent="0.2">
      <c r="D253" s="32">
        <v>45783.270833333336</v>
      </c>
      <c r="E253" s="33" t="s">
        <v>192</v>
      </c>
      <c r="F253" s="34">
        <v>60063.750999999997</v>
      </c>
      <c r="G253" s="34">
        <v>363837.92000000004</v>
      </c>
      <c r="H253" s="34">
        <v>18.809000000000001</v>
      </c>
      <c r="I253" s="33" t="s">
        <v>85</v>
      </c>
      <c r="J253" s="33" t="s">
        <v>90</v>
      </c>
      <c r="K253" s="33">
        <v>16.600000000000001</v>
      </c>
      <c r="L253" s="33">
        <v>1024</v>
      </c>
      <c r="M253" s="33">
        <v>78</v>
      </c>
      <c r="N253" s="33"/>
      <c r="O253" s="93">
        <f>IFERROR(IF(Readings[[#This Row],[Obs. X]]="","-",Readings[[#This Row],[Obs. X]]-_xlfn.XLOOKUP(Readings[[#This Row],[Sensor ID]],Table_Baseline[Sensor ID],Table_Baseline[Easting '[m']],"-")),"-")</f>
        <v>0</v>
      </c>
      <c r="P253" s="93">
        <f>IFERROR(IF(Readings[[#This Row],[Obs. Y]]="","-",Readings[[#This Row],[Obs. Y]]-_xlfn.XLOOKUP(Readings[[#This Row],[Sensor ID]],Table_Baseline[Sensor ID],Table_Baseline[Northing '[m']],"-")),"-")</f>
        <v>2.0000000367872417E-3</v>
      </c>
      <c r="Q253" s="93">
        <f>IFERROR(IF(Readings[[#This Row],[Obs. Z]]="","-",Readings[[#This Row],[Obs. Z]]-_xlfn.XLOOKUP(Readings[[#This Row],[Sensor ID]],Table_Baseline[Sensor ID],Table_Baseline[Level '[m']],"-")),"-")</f>
        <v>0</v>
      </c>
      <c r="R253" s="93">
        <f>IFERROR(IF(Readings[[#This Row],[Reference Angle]]="-","-",(Readings[[#This Row],[Diff E]]*COS(RADIANS(Readings[[#This Row],[Reference Angle]]))-Readings[[#This Row],[Diff N]]*SIN(RADIANS(Readings[[#This Row],[Reference Angle]])))),"-")</f>
        <v>0</v>
      </c>
      <c r="S253" s="93">
        <f>IFERROR(IF(Readings[[#This Row],[Reference Angle]]="-","-",(Readings[[#This Row],[Diff E]]*SIN(RADIANS(Readings[[#This Row],[Reference Angle]]))+Readings[[#This Row],[Diff N]]*COS(RADIANS(Readings[[#This Row],[Reference Angle]])))),"-")</f>
        <v>2.0000000367872417E-3</v>
      </c>
      <c r="T253" s="94">
        <f>IFERROR(VLOOKUP(Readings[[#This Row],[Sensor ID]],Table_Baseline[],COLUMNS(Table_Baseline[[#Headers],[Sensor ID]:[Reference Angle '[Deg']]]),FALSE),"-")</f>
        <v>0</v>
      </c>
      <c r="U253" s="95" t="str">
        <f>Readings[[#This Row],[Sensor ID]]&amp;"-"&amp;Readings[[#This Row],[Epoch]]</f>
        <v>250-RL-OP-11021-45783.2708333333</v>
      </c>
      <c r="V253" s="99">
        <f ca="1">IF(Readings[[#This Row],[Epoch]]=OFFSET(Readings[[#This Row],[Epoch]],-1,0),0,1)</f>
        <v>0</v>
      </c>
    </row>
    <row r="254" spans="4:22" x14ac:dyDescent="0.2">
      <c r="D254" s="32">
        <v>45783.270833333336</v>
      </c>
      <c r="E254" s="33" t="s">
        <v>189</v>
      </c>
      <c r="F254" s="34">
        <v>60060.639999999999</v>
      </c>
      <c r="G254" s="34">
        <v>363837.32500000001</v>
      </c>
      <c r="H254" s="34">
        <v>18.783000000000001</v>
      </c>
      <c r="I254" s="33" t="s">
        <v>85</v>
      </c>
      <c r="J254" s="33" t="s">
        <v>90</v>
      </c>
      <c r="K254" s="33">
        <v>16.600000000000001</v>
      </c>
      <c r="L254" s="33">
        <v>1024</v>
      </c>
      <c r="M254" s="33">
        <v>78</v>
      </c>
      <c r="N254" s="33"/>
      <c r="O254" s="93">
        <f>IFERROR(IF(Readings[[#This Row],[Obs. X]]="","-",Readings[[#This Row],[Obs. X]]-_xlfn.XLOOKUP(Readings[[#This Row],[Sensor ID]],Table_Baseline[Sensor ID],Table_Baseline[Easting '[m']],"-")),"-")</f>
        <v>0</v>
      </c>
      <c r="P254" s="93">
        <f>IFERROR(IF(Readings[[#This Row],[Obs. Y]]="","-",Readings[[#This Row],[Obs. Y]]-_xlfn.XLOOKUP(Readings[[#This Row],[Sensor ID]],Table_Baseline[Sensor ID],Table_Baseline[Northing '[m']],"-")),"-")</f>
        <v>3.0000000260770321E-3</v>
      </c>
      <c r="Q254" s="93">
        <f>IFERROR(IF(Readings[[#This Row],[Obs. Z]]="","-",Readings[[#This Row],[Obs. Z]]-_xlfn.XLOOKUP(Readings[[#This Row],[Sensor ID]],Table_Baseline[Sensor ID],Table_Baseline[Level '[m']],"-")),"-")</f>
        <v>-5.9999999999860165E-4</v>
      </c>
      <c r="R254" s="93">
        <f>IFERROR(IF(Readings[[#This Row],[Reference Angle]]="-","-",(Readings[[#This Row],[Diff E]]*COS(RADIANS(Readings[[#This Row],[Reference Angle]]))-Readings[[#This Row],[Diff N]]*SIN(RADIANS(Readings[[#This Row],[Reference Angle]])))),"-")</f>
        <v>0</v>
      </c>
      <c r="S254" s="93">
        <f>IFERROR(IF(Readings[[#This Row],[Reference Angle]]="-","-",(Readings[[#This Row],[Diff E]]*SIN(RADIANS(Readings[[#This Row],[Reference Angle]]))+Readings[[#This Row],[Diff N]]*COS(RADIANS(Readings[[#This Row],[Reference Angle]])))),"-")</f>
        <v>3.0000000260770321E-3</v>
      </c>
      <c r="T254" s="94">
        <f>IFERROR(VLOOKUP(Readings[[#This Row],[Sensor ID]],Table_Baseline[],COLUMNS(Table_Baseline[[#Headers],[Sensor ID]:[Reference Angle '[Deg']]]),FALSE),"-")</f>
        <v>0</v>
      </c>
      <c r="U254" s="95" t="str">
        <f>Readings[[#This Row],[Sensor ID]]&amp;"-"&amp;Readings[[#This Row],[Epoch]]</f>
        <v>250-RL-OP-11020-45783.2708333333</v>
      </c>
      <c r="V254" s="99">
        <f ca="1">IF(Readings[[#This Row],[Epoch]]=OFFSET(Readings[[#This Row],[Epoch]],-1,0),0,1)</f>
        <v>0</v>
      </c>
    </row>
    <row r="255" spans="4:22" x14ac:dyDescent="0.2">
      <c r="D255" s="32">
        <v>45783.270833333336</v>
      </c>
      <c r="E255" s="33" t="s">
        <v>190</v>
      </c>
      <c r="F255" s="34">
        <v>60060.963000000003</v>
      </c>
      <c r="G255" s="34">
        <v>363838.603</v>
      </c>
      <c r="H255" s="34">
        <v>18.794</v>
      </c>
      <c r="I255" s="33" t="s">
        <v>85</v>
      </c>
      <c r="J255" s="33" t="s">
        <v>90</v>
      </c>
      <c r="K255" s="33">
        <v>16.600000000000001</v>
      </c>
      <c r="L255" s="33">
        <v>1024</v>
      </c>
      <c r="M255" s="33">
        <v>78</v>
      </c>
      <c r="N255" s="33"/>
      <c r="O255" s="93">
        <f>IFERROR(IF(Readings[[#This Row],[Obs. X]]="","-",Readings[[#This Row],[Obs. X]]-_xlfn.XLOOKUP(Readings[[#This Row],[Sensor ID]],Table_Baseline[Sensor ID],Table_Baseline[Easting '[m']],"-")),"-")</f>
        <v>0</v>
      </c>
      <c r="P255" s="93">
        <f>IFERROR(IF(Readings[[#This Row],[Obs. Y]]="","-",Readings[[#This Row],[Obs. Y]]-_xlfn.XLOOKUP(Readings[[#This Row],[Sensor ID]],Table_Baseline[Sensor ID],Table_Baseline[Northing '[m']],"-")),"-")</f>
        <v>1.9999999785795808E-3</v>
      </c>
      <c r="Q255" s="93">
        <f>IFERROR(IF(Readings[[#This Row],[Obs. Z]]="","-",Readings[[#This Row],[Obs. Z]]-_xlfn.XLOOKUP(Readings[[#This Row],[Sensor ID]],Table_Baseline[Sensor ID],Table_Baseline[Level '[m']],"-")),"-")</f>
        <v>-5.9999999999860165E-4</v>
      </c>
      <c r="R255" s="93">
        <f>IFERROR(IF(Readings[[#This Row],[Reference Angle]]="-","-",(Readings[[#This Row],[Diff E]]*COS(RADIANS(Readings[[#This Row],[Reference Angle]]))-Readings[[#This Row],[Diff N]]*SIN(RADIANS(Readings[[#This Row],[Reference Angle]])))),"-")</f>
        <v>0</v>
      </c>
      <c r="S255" s="93">
        <f>IFERROR(IF(Readings[[#This Row],[Reference Angle]]="-","-",(Readings[[#This Row],[Diff E]]*SIN(RADIANS(Readings[[#This Row],[Reference Angle]]))+Readings[[#This Row],[Diff N]]*COS(RADIANS(Readings[[#This Row],[Reference Angle]])))),"-")</f>
        <v>1.9999999785795808E-3</v>
      </c>
      <c r="T255" s="94">
        <f>IFERROR(VLOOKUP(Readings[[#This Row],[Sensor ID]],Table_Baseline[],COLUMNS(Table_Baseline[[#Headers],[Sensor ID]:[Reference Angle '[Deg']]]),FALSE),"-")</f>
        <v>0</v>
      </c>
      <c r="U255" s="95" t="str">
        <f>Readings[[#This Row],[Sensor ID]]&amp;"-"&amp;Readings[[#This Row],[Epoch]]</f>
        <v>250-RL-OP-11019-45783.2708333333</v>
      </c>
      <c r="V255" s="99">
        <f ca="1">IF(Readings[[#This Row],[Epoch]]=OFFSET(Readings[[#This Row],[Epoch]],-1,0),0,1)</f>
        <v>0</v>
      </c>
    </row>
    <row r="256" spans="4:22" x14ac:dyDescent="0.2">
      <c r="D256" s="32">
        <v>45783.270833333336</v>
      </c>
      <c r="E256" s="33" t="s">
        <v>187</v>
      </c>
      <c r="F256" s="34">
        <v>60057.578000000001</v>
      </c>
      <c r="G256" s="34">
        <v>363838.10100000002</v>
      </c>
      <c r="H256" s="34">
        <v>18.776</v>
      </c>
      <c r="I256" s="33" t="s">
        <v>85</v>
      </c>
      <c r="J256" s="33" t="s">
        <v>90</v>
      </c>
      <c r="K256" s="33">
        <v>16.600000000000001</v>
      </c>
      <c r="L256" s="33">
        <v>1024</v>
      </c>
      <c r="M256" s="33">
        <v>78</v>
      </c>
      <c r="N256" s="33"/>
      <c r="O256" s="93">
        <f>IFERROR(IF(Readings[[#This Row],[Obs. X]]="","-",Readings[[#This Row],[Obs. X]]-_xlfn.XLOOKUP(Readings[[#This Row],[Sensor ID]],Table_Baseline[Sensor ID],Table_Baseline[Easting '[m']],"-")),"-")</f>
        <v>-9.9999999656574801E-4</v>
      </c>
      <c r="P256" s="93">
        <f>IFERROR(IF(Readings[[#This Row],[Obs. Y]]="","-",Readings[[#This Row],[Obs. Y]]-_xlfn.XLOOKUP(Readings[[#This Row],[Sensor ID]],Table_Baseline[Sensor ID],Table_Baseline[Northing '[m']],"-")),"-")</f>
        <v>3.0000000260770321E-3</v>
      </c>
      <c r="Q256" s="93">
        <f>IFERROR(IF(Readings[[#This Row],[Obs. Z]]="","-",Readings[[#This Row],[Obs. Z]]-_xlfn.XLOOKUP(Readings[[#This Row],[Sensor ID]],Table_Baseline[Sensor ID],Table_Baseline[Level '[m']],"-")),"-")</f>
        <v>0</v>
      </c>
      <c r="R256" s="93">
        <f>IFERROR(IF(Readings[[#This Row],[Reference Angle]]="-","-",(Readings[[#This Row],[Diff E]]*COS(RADIANS(Readings[[#This Row],[Reference Angle]]))-Readings[[#This Row],[Diff N]]*SIN(RADIANS(Readings[[#This Row],[Reference Angle]])))),"-")</f>
        <v>-9.9999999656574801E-4</v>
      </c>
      <c r="S256" s="93">
        <f>IFERROR(IF(Readings[[#This Row],[Reference Angle]]="-","-",(Readings[[#This Row],[Diff E]]*SIN(RADIANS(Readings[[#This Row],[Reference Angle]]))+Readings[[#This Row],[Diff N]]*COS(RADIANS(Readings[[#This Row],[Reference Angle]])))),"-")</f>
        <v>3.0000000260770321E-3</v>
      </c>
      <c r="T256" s="94">
        <f>IFERROR(VLOOKUP(Readings[[#This Row],[Sensor ID]],Table_Baseline[],COLUMNS(Table_Baseline[[#Headers],[Sensor ID]:[Reference Angle '[Deg']]]),FALSE),"-")</f>
        <v>0</v>
      </c>
      <c r="U256" s="95" t="str">
        <f>Readings[[#This Row],[Sensor ID]]&amp;"-"&amp;Readings[[#This Row],[Epoch]]</f>
        <v>250-RL-OP-11018-45783.2708333333</v>
      </c>
      <c r="V256" s="99">
        <f ca="1">IF(Readings[[#This Row],[Epoch]]=OFFSET(Readings[[#This Row],[Epoch]],-1,0),0,1)</f>
        <v>0</v>
      </c>
    </row>
    <row r="257" spans="4:22" x14ac:dyDescent="0.2">
      <c r="D257" s="32">
        <v>45783.270833333336</v>
      </c>
      <c r="E257" s="33" t="s">
        <v>188</v>
      </c>
      <c r="F257" s="34">
        <v>60057.951999999997</v>
      </c>
      <c r="G257" s="34">
        <v>363839.36499999999</v>
      </c>
      <c r="H257" s="34">
        <v>18.786000000000001</v>
      </c>
      <c r="I257" s="33" t="s">
        <v>85</v>
      </c>
      <c r="J257" s="33" t="s">
        <v>90</v>
      </c>
      <c r="K257" s="33">
        <v>16.600000000000001</v>
      </c>
      <c r="L257" s="33">
        <v>1024</v>
      </c>
      <c r="M257" s="33">
        <v>78</v>
      </c>
      <c r="N257" s="33"/>
      <c r="O257" s="93">
        <f>IFERROR(IF(Readings[[#This Row],[Obs. X]]="","-",Readings[[#This Row],[Obs. X]]-_xlfn.XLOOKUP(Readings[[#This Row],[Sensor ID]],Table_Baseline[Sensor ID],Table_Baseline[Easting '[m']],"-")),"-")</f>
        <v>0</v>
      </c>
      <c r="P257" s="93">
        <f>IFERROR(IF(Readings[[#This Row],[Obs. Y]]="","-",Readings[[#This Row],[Obs. Y]]-_xlfn.XLOOKUP(Readings[[#This Row],[Sensor ID]],Table_Baseline[Sensor ID],Table_Baseline[Northing '[m']],"-")),"-")</f>
        <v>3.0000000260770321E-3</v>
      </c>
      <c r="Q257" s="93">
        <f>IFERROR(IF(Readings[[#This Row],[Obs. Z]]="","-",Readings[[#This Row],[Obs. Z]]-_xlfn.XLOOKUP(Readings[[#This Row],[Sensor ID]],Table_Baseline[Sensor ID],Table_Baseline[Level '[m']],"-")),"-")</f>
        <v>0</v>
      </c>
      <c r="R257" s="93">
        <f>IFERROR(IF(Readings[[#This Row],[Reference Angle]]="-","-",(Readings[[#This Row],[Diff E]]*COS(RADIANS(Readings[[#This Row],[Reference Angle]]))-Readings[[#This Row],[Diff N]]*SIN(RADIANS(Readings[[#This Row],[Reference Angle]])))),"-")</f>
        <v>0</v>
      </c>
      <c r="S257" s="93">
        <f>IFERROR(IF(Readings[[#This Row],[Reference Angle]]="-","-",(Readings[[#This Row],[Diff E]]*SIN(RADIANS(Readings[[#This Row],[Reference Angle]]))+Readings[[#This Row],[Diff N]]*COS(RADIANS(Readings[[#This Row],[Reference Angle]])))),"-")</f>
        <v>3.0000000260770321E-3</v>
      </c>
      <c r="T257" s="94">
        <f>IFERROR(VLOOKUP(Readings[[#This Row],[Sensor ID]],Table_Baseline[],COLUMNS(Table_Baseline[[#Headers],[Sensor ID]:[Reference Angle '[Deg']]]),FALSE),"-")</f>
        <v>0</v>
      </c>
      <c r="U257" s="95" t="str">
        <f>Readings[[#This Row],[Sensor ID]]&amp;"-"&amp;Readings[[#This Row],[Epoch]]</f>
        <v>250-RL-OP-11017-45783.2708333333</v>
      </c>
      <c r="V257" s="99">
        <f ca="1">IF(Readings[[#This Row],[Epoch]]=OFFSET(Readings[[#This Row],[Epoch]],-1,0),0,1)</f>
        <v>0</v>
      </c>
    </row>
    <row r="258" spans="4:22" x14ac:dyDescent="0.2">
      <c r="D258" s="32">
        <v>45783.270833333336</v>
      </c>
      <c r="E258" s="33" t="s">
        <v>185</v>
      </c>
      <c r="F258" s="34">
        <v>60054.885000000002</v>
      </c>
      <c r="G258" s="34">
        <v>363838.80700000003</v>
      </c>
      <c r="H258" s="34">
        <v>18.773</v>
      </c>
      <c r="I258" s="33" t="s">
        <v>85</v>
      </c>
      <c r="J258" s="33" t="s">
        <v>90</v>
      </c>
      <c r="K258" s="33">
        <v>16.600000000000001</v>
      </c>
      <c r="L258" s="33">
        <v>1024</v>
      </c>
      <c r="M258" s="33">
        <v>78</v>
      </c>
      <c r="N258" s="33"/>
      <c r="O258" s="93">
        <f>IFERROR(IF(Readings[[#This Row],[Obs. X]]="","-",Readings[[#This Row],[Obs. X]]-_xlfn.XLOOKUP(Readings[[#This Row],[Sensor ID]],Table_Baseline[Sensor ID],Table_Baseline[Easting '[m']],"-")),"-")</f>
        <v>-9.9999999656574801E-4</v>
      </c>
      <c r="P258" s="93">
        <f>IFERROR(IF(Readings[[#This Row],[Obs. Y]]="","-",Readings[[#This Row],[Obs. Y]]-_xlfn.XLOOKUP(Readings[[#This Row],[Sensor ID]],Table_Baseline[Sensor ID],Table_Baseline[Northing '[m']],"-")),"-")</f>
        <v>2.0000000367872417E-3</v>
      </c>
      <c r="Q258" s="93">
        <f>IFERROR(IF(Readings[[#This Row],[Obs. Z]]="","-",Readings[[#This Row],[Obs. Z]]-_xlfn.XLOOKUP(Readings[[#This Row],[Sensor ID]],Table_Baseline[Sensor ID],Table_Baseline[Level '[m']],"-")),"-")</f>
        <v>-9.9999999999766942E-5</v>
      </c>
      <c r="R258" s="93">
        <f>IFERROR(IF(Readings[[#This Row],[Reference Angle]]="-","-",(Readings[[#This Row],[Diff E]]*COS(RADIANS(Readings[[#This Row],[Reference Angle]]))-Readings[[#This Row],[Diff N]]*SIN(RADIANS(Readings[[#This Row],[Reference Angle]])))),"-")</f>
        <v>-9.9999999656574801E-4</v>
      </c>
      <c r="S258" s="93">
        <f>IFERROR(IF(Readings[[#This Row],[Reference Angle]]="-","-",(Readings[[#This Row],[Diff E]]*SIN(RADIANS(Readings[[#This Row],[Reference Angle]]))+Readings[[#This Row],[Diff N]]*COS(RADIANS(Readings[[#This Row],[Reference Angle]])))),"-")</f>
        <v>2.0000000367872417E-3</v>
      </c>
      <c r="T258" s="94">
        <f>IFERROR(VLOOKUP(Readings[[#This Row],[Sensor ID]],Table_Baseline[],COLUMNS(Table_Baseline[[#Headers],[Sensor ID]:[Reference Angle '[Deg']]]),FALSE),"-")</f>
        <v>0</v>
      </c>
      <c r="U258" s="95" t="str">
        <f>Readings[[#This Row],[Sensor ID]]&amp;"-"&amp;Readings[[#This Row],[Epoch]]</f>
        <v>250-RL-OP-11016-45783.2708333333</v>
      </c>
      <c r="V258" s="99">
        <f ca="1">IF(Readings[[#This Row],[Epoch]]=OFFSET(Readings[[#This Row],[Epoch]],-1,0),0,1)</f>
        <v>0</v>
      </c>
    </row>
    <row r="259" spans="4:22" x14ac:dyDescent="0.2">
      <c r="D259" s="32">
        <v>45783.270833333336</v>
      </c>
      <c r="E259" s="33" t="s">
        <v>186</v>
      </c>
      <c r="F259" s="34">
        <v>60055.196000000004</v>
      </c>
      <c r="G259" s="34">
        <v>363840.09700000001</v>
      </c>
      <c r="H259" s="34">
        <v>18.780999999999999</v>
      </c>
      <c r="I259" s="33" t="s">
        <v>85</v>
      </c>
      <c r="J259" s="33" t="s">
        <v>90</v>
      </c>
      <c r="K259" s="33">
        <v>16.600000000000001</v>
      </c>
      <c r="L259" s="33">
        <v>1024</v>
      </c>
      <c r="M259" s="33">
        <v>78</v>
      </c>
      <c r="N259" s="33"/>
      <c r="O259" s="93">
        <f>IFERROR(IF(Readings[[#This Row],[Obs. X]]="","-",Readings[[#This Row],[Obs. X]]-_xlfn.XLOOKUP(Readings[[#This Row],[Sensor ID]],Table_Baseline[Sensor ID],Table_Baseline[Easting '[m']],"-")),"-")</f>
        <v>0</v>
      </c>
      <c r="P259" s="93">
        <f>IFERROR(IF(Readings[[#This Row],[Obs. Y]]="","-",Readings[[#This Row],[Obs. Y]]-_xlfn.XLOOKUP(Readings[[#This Row],[Sensor ID]],Table_Baseline[Sensor ID],Table_Baseline[Northing '[m']],"-")),"-")</f>
        <v>2.0000000367872417E-3</v>
      </c>
      <c r="Q259" s="93">
        <f>IFERROR(IF(Readings[[#This Row],[Obs. Z]]="","-",Readings[[#This Row],[Obs. Z]]-_xlfn.XLOOKUP(Readings[[#This Row],[Sensor ID]],Table_Baseline[Sensor ID],Table_Baseline[Level '[m']],"-")),"-")</f>
        <v>9.9999999999766942E-5</v>
      </c>
      <c r="R259" s="93">
        <f>IFERROR(IF(Readings[[#This Row],[Reference Angle]]="-","-",(Readings[[#This Row],[Diff E]]*COS(RADIANS(Readings[[#This Row],[Reference Angle]]))-Readings[[#This Row],[Diff N]]*SIN(RADIANS(Readings[[#This Row],[Reference Angle]])))),"-")</f>
        <v>0</v>
      </c>
      <c r="S259" s="93">
        <f>IFERROR(IF(Readings[[#This Row],[Reference Angle]]="-","-",(Readings[[#This Row],[Diff E]]*SIN(RADIANS(Readings[[#This Row],[Reference Angle]]))+Readings[[#This Row],[Diff N]]*COS(RADIANS(Readings[[#This Row],[Reference Angle]])))),"-")</f>
        <v>2.0000000367872417E-3</v>
      </c>
      <c r="T259" s="94">
        <f>IFERROR(VLOOKUP(Readings[[#This Row],[Sensor ID]],Table_Baseline[],COLUMNS(Table_Baseline[[#Headers],[Sensor ID]:[Reference Angle '[Deg']]]),FALSE),"-")</f>
        <v>0</v>
      </c>
      <c r="U259" s="95" t="str">
        <f>Readings[[#This Row],[Sensor ID]]&amp;"-"&amp;Readings[[#This Row],[Epoch]]</f>
        <v>250-RL-OP-11015-45783.2708333333</v>
      </c>
      <c r="V259" s="99">
        <f ca="1">IF(Readings[[#This Row],[Epoch]]=OFFSET(Readings[[#This Row],[Epoch]],-1,0),0,1)</f>
        <v>0</v>
      </c>
    </row>
    <row r="260" spans="4:22" x14ac:dyDescent="0.2">
      <c r="D260" s="32">
        <v>45783.270833333336</v>
      </c>
      <c r="E260" s="33" t="s">
        <v>183</v>
      </c>
      <c r="F260" s="34">
        <v>60051.989000000001</v>
      </c>
      <c r="G260" s="34">
        <v>363839.60499999998</v>
      </c>
      <c r="H260" s="34">
        <v>18.77</v>
      </c>
      <c r="I260" s="33" t="s">
        <v>85</v>
      </c>
      <c r="J260" s="33" t="s">
        <v>90</v>
      </c>
      <c r="K260" s="33">
        <v>16.600000000000001</v>
      </c>
      <c r="L260" s="33">
        <v>1024</v>
      </c>
      <c r="M260" s="33">
        <v>78</v>
      </c>
      <c r="N260" s="33"/>
      <c r="O260" s="93">
        <f>IFERROR(IF(Readings[[#This Row],[Obs. X]]="","-",Readings[[#This Row],[Obs. X]]-_xlfn.XLOOKUP(Readings[[#This Row],[Sensor ID]],Table_Baseline[Sensor ID],Table_Baseline[Easting '[m']],"-")),"-")</f>
        <v>0</v>
      </c>
      <c r="P260" s="93">
        <f>IFERROR(IF(Readings[[#This Row],[Obs. Y]]="","-",Readings[[#This Row],[Obs. Y]]-_xlfn.XLOOKUP(Readings[[#This Row],[Sensor ID]],Table_Baseline[Sensor ID],Table_Baseline[Northing '[m']],"-")),"-")</f>
        <v>1.9999999785795808E-3</v>
      </c>
      <c r="Q260" s="93">
        <f>IFERROR(IF(Readings[[#This Row],[Obs. Z]]="","-",Readings[[#This Row],[Obs. Z]]-_xlfn.XLOOKUP(Readings[[#This Row],[Sensor ID]],Table_Baseline[Sensor ID],Table_Baseline[Level '[m']],"-")),"-")</f>
        <v>-9.9999999999766942E-5</v>
      </c>
      <c r="R260" s="93">
        <f>IFERROR(IF(Readings[[#This Row],[Reference Angle]]="-","-",(Readings[[#This Row],[Diff E]]*COS(RADIANS(Readings[[#This Row],[Reference Angle]]))-Readings[[#This Row],[Diff N]]*SIN(RADIANS(Readings[[#This Row],[Reference Angle]])))),"-")</f>
        <v>0</v>
      </c>
      <c r="S260" s="93">
        <f>IFERROR(IF(Readings[[#This Row],[Reference Angle]]="-","-",(Readings[[#This Row],[Diff E]]*SIN(RADIANS(Readings[[#This Row],[Reference Angle]]))+Readings[[#This Row],[Diff N]]*COS(RADIANS(Readings[[#This Row],[Reference Angle]])))),"-")</f>
        <v>1.9999999785795808E-3</v>
      </c>
      <c r="T260" s="94">
        <f>IFERROR(VLOOKUP(Readings[[#This Row],[Sensor ID]],Table_Baseline[],COLUMNS(Table_Baseline[[#Headers],[Sensor ID]:[Reference Angle '[Deg']]]),FALSE),"-")</f>
        <v>0</v>
      </c>
      <c r="U260" s="95" t="str">
        <f>Readings[[#This Row],[Sensor ID]]&amp;"-"&amp;Readings[[#This Row],[Epoch]]</f>
        <v>250-RL-OP-11014-45783.2708333333</v>
      </c>
      <c r="V260" s="99">
        <f ca="1">IF(Readings[[#This Row],[Epoch]]=OFFSET(Readings[[#This Row],[Epoch]],-1,0),0,1)</f>
        <v>0</v>
      </c>
    </row>
    <row r="261" spans="4:22" x14ac:dyDescent="0.2">
      <c r="D261" s="32">
        <v>45783.270833333336</v>
      </c>
      <c r="E261" s="33" t="s">
        <v>184</v>
      </c>
      <c r="F261" s="34">
        <v>60052.292999999998</v>
      </c>
      <c r="G261" s="34">
        <v>363840.88699999999</v>
      </c>
      <c r="H261" s="34">
        <v>18.779</v>
      </c>
      <c r="I261" s="33" t="s">
        <v>85</v>
      </c>
      <c r="J261" s="33" t="s">
        <v>90</v>
      </c>
      <c r="K261" s="33">
        <v>16.600000000000001</v>
      </c>
      <c r="L261" s="33">
        <v>1024</v>
      </c>
      <c r="M261" s="33">
        <v>78</v>
      </c>
      <c r="N261" s="33"/>
      <c r="O261" s="93">
        <f>IFERROR(IF(Readings[[#This Row],[Obs. X]]="","-",Readings[[#This Row],[Obs. X]]-_xlfn.XLOOKUP(Readings[[#This Row],[Sensor ID]],Table_Baseline[Sensor ID],Table_Baseline[Easting '[m']],"-")),"-")</f>
        <v>0</v>
      </c>
      <c r="P261" s="93">
        <f>IFERROR(IF(Readings[[#This Row],[Obs. Y]]="","-",Readings[[#This Row],[Obs. Y]]-_xlfn.XLOOKUP(Readings[[#This Row],[Sensor ID]],Table_Baseline[Sensor ID],Table_Baseline[Northing '[m']],"-")),"-")</f>
        <v>1.9999999785795808E-3</v>
      </c>
      <c r="Q261" s="93">
        <f>IFERROR(IF(Readings[[#This Row],[Obs. Z]]="","-",Readings[[#This Row],[Obs. Z]]-_xlfn.XLOOKUP(Readings[[#This Row],[Sensor ID]],Table_Baseline[Sensor ID],Table_Baseline[Level '[m']],"-")),"-")</f>
        <v>0</v>
      </c>
      <c r="R261" s="93">
        <f>IFERROR(IF(Readings[[#This Row],[Reference Angle]]="-","-",(Readings[[#This Row],[Diff E]]*COS(RADIANS(Readings[[#This Row],[Reference Angle]]))-Readings[[#This Row],[Diff N]]*SIN(RADIANS(Readings[[#This Row],[Reference Angle]])))),"-")</f>
        <v>0</v>
      </c>
      <c r="S261" s="93">
        <f>IFERROR(IF(Readings[[#This Row],[Reference Angle]]="-","-",(Readings[[#This Row],[Diff E]]*SIN(RADIANS(Readings[[#This Row],[Reference Angle]]))+Readings[[#This Row],[Diff N]]*COS(RADIANS(Readings[[#This Row],[Reference Angle]])))),"-")</f>
        <v>1.9999999785795808E-3</v>
      </c>
      <c r="T261" s="94">
        <f>IFERROR(VLOOKUP(Readings[[#This Row],[Sensor ID]],Table_Baseline[],COLUMNS(Table_Baseline[[#Headers],[Sensor ID]:[Reference Angle '[Deg']]]),FALSE),"-")</f>
        <v>0</v>
      </c>
      <c r="U261" s="95" t="str">
        <f>Readings[[#This Row],[Sensor ID]]&amp;"-"&amp;Readings[[#This Row],[Epoch]]</f>
        <v>250-RL-OP-11013-45783.2708333333</v>
      </c>
      <c r="V261" s="99">
        <f ca="1">IF(Readings[[#This Row],[Epoch]]=OFFSET(Readings[[#This Row],[Epoch]],-1,0),0,1)</f>
        <v>0</v>
      </c>
    </row>
    <row r="262" spans="4:22" x14ac:dyDescent="0.2">
      <c r="D262" s="32">
        <v>45783.270833333336</v>
      </c>
      <c r="E262" s="33" t="s">
        <v>181</v>
      </c>
      <c r="F262" s="34">
        <v>60049.040999999997</v>
      </c>
      <c r="G262" s="34">
        <v>363840.435</v>
      </c>
      <c r="H262" s="34">
        <v>18.771999999999998</v>
      </c>
      <c r="I262" s="33" t="s">
        <v>85</v>
      </c>
      <c r="J262" s="33" t="s">
        <v>90</v>
      </c>
      <c r="K262" s="33">
        <v>16.600000000000001</v>
      </c>
      <c r="L262" s="33">
        <v>1024</v>
      </c>
      <c r="M262" s="33">
        <v>78</v>
      </c>
      <c r="N262" s="33"/>
      <c r="O262" s="93">
        <f>IFERROR(IF(Readings[[#This Row],[Obs. X]]="","-",Readings[[#This Row],[Obs. X]]-_xlfn.XLOOKUP(Readings[[#This Row],[Sensor ID]],Table_Baseline[Sensor ID],Table_Baseline[Easting '[m']],"-")),"-")</f>
        <v>0</v>
      </c>
      <c r="P262" s="93">
        <f>IFERROR(IF(Readings[[#This Row],[Obs. Y]]="","-",Readings[[#This Row],[Obs. Y]]-_xlfn.XLOOKUP(Readings[[#This Row],[Sensor ID]],Table_Baseline[Sensor ID],Table_Baseline[Northing '[m']],"-")),"-")</f>
        <v>2.0000000367872417E-3</v>
      </c>
      <c r="Q262" s="93">
        <f>IFERROR(IF(Readings[[#This Row],[Obs. Z]]="","-",Readings[[#This Row],[Obs. Z]]-_xlfn.XLOOKUP(Readings[[#This Row],[Sensor ID]],Table_Baseline[Sensor ID],Table_Baseline[Level '[m']],"-")),"-")</f>
        <v>8.9999999999790248E-4</v>
      </c>
      <c r="R262" s="93">
        <f>IFERROR(IF(Readings[[#This Row],[Reference Angle]]="-","-",(Readings[[#This Row],[Diff E]]*COS(RADIANS(Readings[[#This Row],[Reference Angle]]))-Readings[[#This Row],[Diff N]]*SIN(RADIANS(Readings[[#This Row],[Reference Angle]])))),"-")</f>
        <v>0</v>
      </c>
      <c r="S262" s="93">
        <f>IFERROR(IF(Readings[[#This Row],[Reference Angle]]="-","-",(Readings[[#This Row],[Diff E]]*SIN(RADIANS(Readings[[#This Row],[Reference Angle]]))+Readings[[#This Row],[Diff N]]*COS(RADIANS(Readings[[#This Row],[Reference Angle]])))),"-")</f>
        <v>2.0000000367872417E-3</v>
      </c>
      <c r="T262" s="94">
        <f>IFERROR(VLOOKUP(Readings[[#This Row],[Sensor ID]],Table_Baseline[],COLUMNS(Table_Baseline[[#Headers],[Sensor ID]:[Reference Angle '[Deg']]]),FALSE),"-")</f>
        <v>0</v>
      </c>
      <c r="U262" s="95" t="str">
        <f>Readings[[#This Row],[Sensor ID]]&amp;"-"&amp;Readings[[#This Row],[Epoch]]</f>
        <v>250-RL-OP-11012-45783.2708333333</v>
      </c>
      <c r="V262" s="99">
        <f ca="1">IF(Readings[[#This Row],[Epoch]]=OFFSET(Readings[[#This Row],[Epoch]],-1,0),0,1)</f>
        <v>0</v>
      </c>
    </row>
    <row r="263" spans="4:22" x14ac:dyDescent="0.2">
      <c r="D263" s="32">
        <v>45783.270833333336</v>
      </c>
      <c r="E263" s="33" t="s">
        <v>182</v>
      </c>
      <c r="F263" s="34">
        <v>60049.398999999998</v>
      </c>
      <c r="G263" s="34">
        <v>363841.69900000002</v>
      </c>
      <c r="H263" s="34">
        <v>18.777999999999999</v>
      </c>
      <c r="I263" s="33" t="s">
        <v>85</v>
      </c>
      <c r="J263" s="33" t="s">
        <v>90</v>
      </c>
      <c r="K263" s="33">
        <v>16.600000000000001</v>
      </c>
      <c r="L263" s="33">
        <v>1024</v>
      </c>
      <c r="M263" s="33">
        <v>78</v>
      </c>
      <c r="N263" s="33"/>
      <c r="O263" s="93">
        <f>IFERROR(IF(Readings[[#This Row],[Obs. X]]="","-",Readings[[#This Row],[Obs. X]]-_xlfn.XLOOKUP(Readings[[#This Row],[Sensor ID]],Table_Baseline[Sensor ID],Table_Baseline[Easting '[m']],"-")),"-")</f>
        <v>0</v>
      </c>
      <c r="P263" s="93">
        <f>IFERROR(IF(Readings[[#This Row],[Obs. Y]]="","-",Readings[[#This Row],[Obs. Y]]-_xlfn.XLOOKUP(Readings[[#This Row],[Sensor ID]],Table_Baseline[Sensor ID],Table_Baseline[Northing '[m']],"-")),"-")</f>
        <v>1.0000000474974513E-3</v>
      </c>
      <c r="Q263" s="93">
        <f>IFERROR(IF(Readings[[#This Row],[Obs. Z]]="","-",Readings[[#This Row],[Obs. Z]]-_xlfn.XLOOKUP(Readings[[#This Row],[Sensor ID]],Table_Baseline[Sensor ID],Table_Baseline[Level '[m']],"-")),"-")</f>
        <v>0</v>
      </c>
      <c r="R263" s="93">
        <f>IFERROR(IF(Readings[[#This Row],[Reference Angle]]="-","-",(Readings[[#This Row],[Diff E]]*COS(RADIANS(Readings[[#This Row],[Reference Angle]]))-Readings[[#This Row],[Diff N]]*SIN(RADIANS(Readings[[#This Row],[Reference Angle]])))),"-")</f>
        <v>0</v>
      </c>
      <c r="S263" s="93">
        <f>IFERROR(IF(Readings[[#This Row],[Reference Angle]]="-","-",(Readings[[#This Row],[Diff E]]*SIN(RADIANS(Readings[[#This Row],[Reference Angle]]))+Readings[[#This Row],[Diff N]]*COS(RADIANS(Readings[[#This Row],[Reference Angle]])))),"-")</f>
        <v>1.0000000474974513E-3</v>
      </c>
      <c r="T263" s="94">
        <f>IFERROR(VLOOKUP(Readings[[#This Row],[Sensor ID]],Table_Baseline[],COLUMNS(Table_Baseline[[#Headers],[Sensor ID]:[Reference Angle '[Deg']]]),FALSE),"-")</f>
        <v>0</v>
      </c>
      <c r="U263" s="95" t="str">
        <f>Readings[[#This Row],[Sensor ID]]&amp;"-"&amp;Readings[[#This Row],[Epoch]]</f>
        <v>250-RL-OP-11011-45783.2708333333</v>
      </c>
      <c r="V263" s="99">
        <f ca="1">IF(Readings[[#This Row],[Epoch]]=OFFSET(Readings[[#This Row],[Epoch]],-1,0),0,1)</f>
        <v>0</v>
      </c>
    </row>
    <row r="264" spans="4:22" x14ac:dyDescent="0.2">
      <c r="D264" s="32">
        <v>45783.270833333336</v>
      </c>
      <c r="E264" s="33" t="s">
        <v>179</v>
      </c>
      <c r="F264" s="34">
        <v>60046.25</v>
      </c>
      <c r="G264" s="34">
        <v>363841.22700000001</v>
      </c>
      <c r="H264" s="34">
        <v>18.77</v>
      </c>
      <c r="I264" s="33" t="s">
        <v>85</v>
      </c>
      <c r="J264" s="33" t="s">
        <v>90</v>
      </c>
      <c r="K264" s="33">
        <v>16.600000000000001</v>
      </c>
      <c r="L264" s="33">
        <v>1024</v>
      </c>
      <c r="M264" s="33">
        <v>78</v>
      </c>
      <c r="N264" s="33"/>
      <c r="O264" s="93">
        <f>IFERROR(IF(Readings[[#This Row],[Obs. X]]="","-",Readings[[#This Row],[Obs. X]]-_xlfn.XLOOKUP(Readings[[#This Row],[Sensor ID]],Table_Baseline[Sensor ID],Table_Baseline[Easting '[m']],"-")),"-")</f>
        <v>0</v>
      </c>
      <c r="P264" s="93">
        <f>IFERROR(IF(Readings[[#This Row],[Obs. Y]]="","-",Readings[[#This Row],[Obs. Y]]-_xlfn.XLOOKUP(Readings[[#This Row],[Sensor ID]],Table_Baseline[Sensor ID],Table_Baseline[Northing '[m']],"-")),"-")</f>
        <v>9.9999998928979039E-4</v>
      </c>
      <c r="Q264" s="93">
        <f>IFERROR(IF(Readings[[#This Row],[Obs. Z]]="","-",Readings[[#This Row],[Obs. Z]]-_xlfn.XLOOKUP(Readings[[#This Row],[Sensor ID]],Table_Baseline[Sensor ID],Table_Baseline[Level '[m']],"-")),"-")</f>
        <v>1.9999999999953388E-4</v>
      </c>
      <c r="R264" s="93">
        <f>IFERROR(IF(Readings[[#This Row],[Reference Angle]]="-","-",(Readings[[#This Row],[Diff E]]*COS(RADIANS(Readings[[#This Row],[Reference Angle]]))-Readings[[#This Row],[Diff N]]*SIN(RADIANS(Readings[[#This Row],[Reference Angle]])))),"-")</f>
        <v>0</v>
      </c>
      <c r="S264" s="93">
        <f>IFERROR(IF(Readings[[#This Row],[Reference Angle]]="-","-",(Readings[[#This Row],[Diff E]]*SIN(RADIANS(Readings[[#This Row],[Reference Angle]]))+Readings[[#This Row],[Diff N]]*COS(RADIANS(Readings[[#This Row],[Reference Angle]])))),"-")</f>
        <v>9.9999998928979039E-4</v>
      </c>
      <c r="T264" s="94">
        <f>IFERROR(VLOOKUP(Readings[[#This Row],[Sensor ID]],Table_Baseline[],COLUMNS(Table_Baseline[[#Headers],[Sensor ID]:[Reference Angle '[Deg']]]),FALSE),"-")</f>
        <v>0</v>
      </c>
      <c r="U264" s="95" t="str">
        <f>Readings[[#This Row],[Sensor ID]]&amp;"-"&amp;Readings[[#This Row],[Epoch]]</f>
        <v>250-RL-OP-11010-45783.2708333333</v>
      </c>
      <c r="V264" s="99">
        <f ca="1">IF(Readings[[#This Row],[Epoch]]=OFFSET(Readings[[#This Row],[Epoch]],-1,0),0,1)</f>
        <v>0</v>
      </c>
    </row>
    <row r="265" spans="4:22" x14ac:dyDescent="0.2">
      <c r="D265" s="32">
        <v>45783.270833333336</v>
      </c>
      <c r="E265" s="33" t="s">
        <v>180</v>
      </c>
      <c r="F265" s="34">
        <v>60046.633000000002</v>
      </c>
      <c r="G265" s="34">
        <v>363842.48499999999</v>
      </c>
      <c r="H265" s="34">
        <v>18.777999999999999</v>
      </c>
      <c r="I265" s="33" t="s">
        <v>85</v>
      </c>
      <c r="J265" s="33" t="s">
        <v>90</v>
      </c>
      <c r="K265" s="33">
        <v>16.600000000000001</v>
      </c>
      <c r="L265" s="33">
        <v>1024</v>
      </c>
      <c r="M265" s="33">
        <v>78</v>
      </c>
      <c r="N265" s="33"/>
      <c r="O265" s="93">
        <f>IFERROR(IF(Readings[[#This Row],[Obs. X]]="","-",Readings[[#This Row],[Obs. X]]-_xlfn.XLOOKUP(Readings[[#This Row],[Sensor ID]],Table_Baseline[Sensor ID],Table_Baseline[Easting '[m']],"-")),"-")</f>
        <v>0</v>
      </c>
      <c r="P265" s="93">
        <f>IFERROR(IF(Readings[[#This Row],[Obs. Y]]="","-",Readings[[#This Row],[Obs. Y]]-_xlfn.XLOOKUP(Readings[[#This Row],[Sensor ID]],Table_Baseline[Sensor ID],Table_Baseline[Northing '[m']],"-")),"-")</f>
        <v>0</v>
      </c>
      <c r="Q265" s="93">
        <f>IFERROR(IF(Readings[[#This Row],[Obs. Z]]="","-",Readings[[#This Row],[Obs. Z]]-_xlfn.XLOOKUP(Readings[[#This Row],[Sensor ID]],Table_Baseline[Sensor ID],Table_Baseline[Level '[m']],"-")),"-")</f>
        <v>3.9999999999906777E-4</v>
      </c>
      <c r="R265" s="93">
        <f>IFERROR(IF(Readings[[#This Row],[Reference Angle]]="-","-",(Readings[[#This Row],[Diff E]]*COS(RADIANS(Readings[[#This Row],[Reference Angle]]))-Readings[[#This Row],[Diff N]]*SIN(RADIANS(Readings[[#This Row],[Reference Angle]])))),"-")</f>
        <v>0</v>
      </c>
      <c r="S265" s="93">
        <f>IFERROR(IF(Readings[[#This Row],[Reference Angle]]="-","-",(Readings[[#This Row],[Diff E]]*SIN(RADIANS(Readings[[#This Row],[Reference Angle]]))+Readings[[#This Row],[Diff N]]*COS(RADIANS(Readings[[#This Row],[Reference Angle]])))),"-")</f>
        <v>0</v>
      </c>
      <c r="T265" s="94">
        <f>IFERROR(VLOOKUP(Readings[[#This Row],[Sensor ID]],Table_Baseline[],COLUMNS(Table_Baseline[[#Headers],[Sensor ID]:[Reference Angle '[Deg']]]),FALSE),"-")</f>
        <v>0</v>
      </c>
      <c r="U265" s="95" t="str">
        <f>Readings[[#This Row],[Sensor ID]]&amp;"-"&amp;Readings[[#This Row],[Epoch]]</f>
        <v>250-RL-OP-11009-45783.2708333333</v>
      </c>
      <c r="V265" s="99">
        <f ca="1">IF(Readings[[#This Row],[Epoch]]=OFFSET(Readings[[#This Row],[Epoch]],-1,0),0,1)</f>
        <v>0</v>
      </c>
    </row>
    <row r="266" spans="4:22" x14ac:dyDescent="0.2">
      <c r="D266" s="32">
        <v>45783.270833333336</v>
      </c>
      <c r="E266" s="33" t="s">
        <v>177</v>
      </c>
      <c r="F266" s="34">
        <v>60043.440999999999</v>
      </c>
      <c r="G266" s="34">
        <v>363842.04099999997</v>
      </c>
      <c r="H266" s="34">
        <v>18.768999999999998</v>
      </c>
      <c r="I266" s="33" t="s">
        <v>85</v>
      </c>
      <c r="J266" s="33" t="s">
        <v>90</v>
      </c>
      <c r="K266" s="33">
        <v>16.600000000000001</v>
      </c>
      <c r="L266" s="33">
        <v>1024</v>
      </c>
      <c r="M266" s="33">
        <v>78</v>
      </c>
      <c r="N266" s="33"/>
      <c r="O266" s="93">
        <f>IFERROR(IF(Readings[[#This Row],[Obs. X]]="","-",Readings[[#This Row],[Obs. X]]-_xlfn.XLOOKUP(Readings[[#This Row],[Sensor ID]],Table_Baseline[Sensor ID],Table_Baseline[Easting '[m']],"-")),"-")</f>
        <v>0</v>
      </c>
      <c r="P266" s="93">
        <f>IFERROR(IF(Readings[[#This Row],[Obs. Y]]="","-",Readings[[#This Row],[Obs. Y]]-_xlfn.XLOOKUP(Readings[[#This Row],[Sensor ID]],Table_Baseline[Sensor ID],Table_Baseline[Northing '[m']],"-")),"-")</f>
        <v>9.9999993108212948E-4</v>
      </c>
      <c r="Q266" s="93">
        <f>IFERROR(IF(Readings[[#This Row],[Obs. Z]]="","-",Readings[[#This Row],[Obs. Z]]-_xlfn.XLOOKUP(Readings[[#This Row],[Sensor ID]],Table_Baseline[Sensor ID],Table_Baseline[Level '[m']],"-")),"-")</f>
        <v>6.9999999999836859E-4</v>
      </c>
      <c r="R266" s="93">
        <f>IFERROR(IF(Readings[[#This Row],[Reference Angle]]="-","-",(Readings[[#This Row],[Diff E]]*COS(RADIANS(Readings[[#This Row],[Reference Angle]]))-Readings[[#This Row],[Diff N]]*SIN(RADIANS(Readings[[#This Row],[Reference Angle]])))),"-")</f>
        <v>0</v>
      </c>
      <c r="S266" s="93">
        <f>IFERROR(IF(Readings[[#This Row],[Reference Angle]]="-","-",(Readings[[#This Row],[Diff E]]*SIN(RADIANS(Readings[[#This Row],[Reference Angle]]))+Readings[[#This Row],[Diff N]]*COS(RADIANS(Readings[[#This Row],[Reference Angle]])))),"-")</f>
        <v>9.9999993108212948E-4</v>
      </c>
      <c r="T266" s="94">
        <f>IFERROR(VLOOKUP(Readings[[#This Row],[Sensor ID]],Table_Baseline[],COLUMNS(Table_Baseline[[#Headers],[Sensor ID]:[Reference Angle '[Deg']]]),FALSE),"-")</f>
        <v>0</v>
      </c>
      <c r="U266" s="95" t="str">
        <f>Readings[[#This Row],[Sensor ID]]&amp;"-"&amp;Readings[[#This Row],[Epoch]]</f>
        <v>250-RL-OP-11008-45783.2708333333</v>
      </c>
      <c r="V266" s="99">
        <f ca="1">IF(Readings[[#This Row],[Epoch]]=OFFSET(Readings[[#This Row],[Epoch]],-1,0),0,1)</f>
        <v>0</v>
      </c>
    </row>
    <row r="267" spans="4:22" x14ac:dyDescent="0.2">
      <c r="D267" s="32">
        <v>45783.270833333336</v>
      </c>
      <c r="E267" s="33" t="s">
        <v>178</v>
      </c>
      <c r="F267" s="34">
        <v>60043.758999999998</v>
      </c>
      <c r="G267" s="34">
        <v>363843.315</v>
      </c>
      <c r="H267" s="34">
        <v>18.774000000000001</v>
      </c>
      <c r="I267" s="33" t="s">
        <v>85</v>
      </c>
      <c r="J267" s="33" t="s">
        <v>90</v>
      </c>
      <c r="K267" s="33">
        <v>16.600000000000001</v>
      </c>
      <c r="L267" s="33">
        <v>1024</v>
      </c>
      <c r="M267" s="33">
        <v>78</v>
      </c>
      <c r="N267" s="33"/>
      <c r="O267" s="93">
        <f>IFERROR(IF(Readings[[#This Row],[Obs. X]]="","-",Readings[[#This Row],[Obs. X]]-_xlfn.XLOOKUP(Readings[[#This Row],[Sensor ID]],Table_Baseline[Sensor ID],Table_Baseline[Easting '[m']],"-")),"-")</f>
        <v>0</v>
      </c>
      <c r="P267" s="93">
        <f>IFERROR(IF(Readings[[#This Row],[Obs. Y]]="","-",Readings[[#This Row],[Obs. Y]]-_xlfn.XLOOKUP(Readings[[#This Row],[Sensor ID]],Table_Baseline[Sensor ID],Table_Baseline[Northing '[m']],"-")),"-")</f>
        <v>9.9999998928979039E-4</v>
      </c>
      <c r="Q267" s="93">
        <f>IFERROR(IF(Readings[[#This Row],[Obs. Z]]="","-",Readings[[#This Row],[Obs. Z]]-_xlfn.XLOOKUP(Readings[[#This Row],[Sensor ID]],Table_Baseline[Sensor ID],Table_Baseline[Level '[m']],"-")),"-")</f>
        <v>-9.9999999999766942E-5</v>
      </c>
      <c r="R267" s="93">
        <f>IFERROR(IF(Readings[[#This Row],[Reference Angle]]="-","-",(Readings[[#This Row],[Diff E]]*COS(RADIANS(Readings[[#This Row],[Reference Angle]]))-Readings[[#This Row],[Diff N]]*SIN(RADIANS(Readings[[#This Row],[Reference Angle]])))),"-")</f>
        <v>0</v>
      </c>
      <c r="S267" s="93">
        <f>IFERROR(IF(Readings[[#This Row],[Reference Angle]]="-","-",(Readings[[#This Row],[Diff E]]*SIN(RADIANS(Readings[[#This Row],[Reference Angle]]))+Readings[[#This Row],[Diff N]]*COS(RADIANS(Readings[[#This Row],[Reference Angle]])))),"-")</f>
        <v>9.9999998928979039E-4</v>
      </c>
      <c r="T267" s="94">
        <f>IFERROR(VLOOKUP(Readings[[#This Row],[Sensor ID]],Table_Baseline[],COLUMNS(Table_Baseline[[#Headers],[Sensor ID]:[Reference Angle '[Deg']]]),FALSE),"-")</f>
        <v>0</v>
      </c>
      <c r="U267" s="95" t="str">
        <f>Readings[[#This Row],[Sensor ID]]&amp;"-"&amp;Readings[[#This Row],[Epoch]]</f>
        <v>250-RL-OP-11007-45783.2708333333</v>
      </c>
      <c r="V267" s="99">
        <f ca="1">IF(Readings[[#This Row],[Epoch]]=OFFSET(Readings[[#This Row],[Epoch]],-1,0),0,1)</f>
        <v>0</v>
      </c>
    </row>
    <row r="268" spans="4:22" x14ac:dyDescent="0.2">
      <c r="D268" s="32">
        <v>45783.270833333336</v>
      </c>
      <c r="E268" s="33" t="s">
        <v>175</v>
      </c>
      <c r="F268" s="34">
        <v>60040.607000000004</v>
      </c>
      <c r="G268" s="34">
        <v>363842.86199999996</v>
      </c>
      <c r="H268" s="34">
        <v>18.771999999999998</v>
      </c>
      <c r="I268" s="33" t="s">
        <v>85</v>
      </c>
      <c r="J268" s="33" t="s">
        <v>90</v>
      </c>
      <c r="K268" s="33">
        <v>16.600000000000001</v>
      </c>
      <c r="L268" s="33">
        <v>1024</v>
      </c>
      <c r="M268" s="33">
        <v>78</v>
      </c>
      <c r="N268" s="33"/>
      <c r="O268" s="93">
        <f>IFERROR(IF(Readings[[#This Row],[Obs. X]]="","-",Readings[[#This Row],[Obs. X]]-_xlfn.XLOOKUP(Readings[[#This Row],[Sensor ID]],Table_Baseline[Sensor ID],Table_Baseline[Easting '[m']],"-")),"-")</f>
        <v>0</v>
      </c>
      <c r="P268" s="93">
        <f>IFERROR(IF(Readings[[#This Row],[Obs. Y]]="","-",Readings[[#This Row],[Obs. Y]]-_xlfn.XLOOKUP(Readings[[#This Row],[Sensor ID]],Table_Baseline[Sensor ID],Table_Baseline[Northing '[m']],"-")),"-")</f>
        <v>9.9999993108212948E-4</v>
      </c>
      <c r="Q268" s="93">
        <f>IFERROR(IF(Readings[[#This Row],[Obs. Z]]="","-",Readings[[#This Row],[Obs. Z]]-_xlfn.XLOOKUP(Readings[[#This Row],[Sensor ID]],Table_Baseline[Sensor ID],Table_Baseline[Level '[m']],"-")),"-")</f>
        <v>0</v>
      </c>
      <c r="R268" s="93">
        <f>IFERROR(IF(Readings[[#This Row],[Reference Angle]]="-","-",(Readings[[#This Row],[Diff E]]*COS(RADIANS(Readings[[#This Row],[Reference Angle]]))-Readings[[#This Row],[Diff N]]*SIN(RADIANS(Readings[[#This Row],[Reference Angle]])))),"-")</f>
        <v>0</v>
      </c>
      <c r="S268" s="93">
        <f>IFERROR(IF(Readings[[#This Row],[Reference Angle]]="-","-",(Readings[[#This Row],[Diff E]]*SIN(RADIANS(Readings[[#This Row],[Reference Angle]]))+Readings[[#This Row],[Diff N]]*COS(RADIANS(Readings[[#This Row],[Reference Angle]])))),"-")</f>
        <v>9.9999993108212948E-4</v>
      </c>
      <c r="T268" s="94">
        <f>IFERROR(VLOOKUP(Readings[[#This Row],[Sensor ID]],Table_Baseline[],COLUMNS(Table_Baseline[[#Headers],[Sensor ID]:[Reference Angle '[Deg']]]),FALSE),"-")</f>
        <v>0</v>
      </c>
      <c r="U268" s="95" t="str">
        <f>Readings[[#This Row],[Sensor ID]]&amp;"-"&amp;Readings[[#This Row],[Epoch]]</f>
        <v>250-RL-OP-11006-45783.2708333333</v>
      </c>
      <c r="V268" s="99">
        <f ca="1">IF(Readings[[#This Row],[Epoch]]=OFFSET(Readings[[#This Row],[Epoch]],-1,0),0,1)</f>
        <v>0</v>
      </c>
    </row>
    <row r="269" spans="4:22" x14ac:dyDescent="0.2">
      <c r="D269" s="32">
        <v>45783.270833333336</v>
      </c>
      <c r="E269" s="33" t="s">
        <v>176</v>
      </c>
      <c r="F269" s="34">
        <v>60040.968999999997</v>
      </c>
      <c r="G269" s="34">
        <v>363844.11800000002</v>
      </c>
      <c r="H269" s="34">
        <v>18.779</v>
      </c>
      <c r="I269" s="33" t="s">
        <v>85</v>
      </c>
      <c r="J269" s="33" t="s">
        <v>90</v>
      </c>
      <c r="K269" s="33">
        <v>16.600000000000001</v>
      </c>
      <c r="L269" s="33">
        <v>1024</v>
      </c>
      <c r="M269" s="33">
        <v>78</v>
      </c>
      <c r="N269" s="33"/>
      <c r="O269" s="93">
        <f>IFERROR(IF(Readings[[#This Row],[Obs. X]]="","-",Readings[[#This Row],[Obs. X]]-_xlfn.XLOOKUP(Readings[[#This Row],[Sensor ID]],Table_Baseline[Sensor ID],Table_Baseline[Easting '[m']],"-")),"-")</f>
        <v>0</v>
      </c>
      <c r="P269" s="93">
        <f>IFERROR(IF(Readings[[#This Row],[Obs. Y]]="","-",Readings[[#This Row],[Obs. Y]]-_xlfn.XLOOKUP(Readings[[#This Row],[Sensor ID]],Table_Baseline[Sensor ID],Table_Baseline[Northing '[m']],"-")),"-")</f>
        <v>0</v>
      </c>
      <c r="Q269" s="93">
        <f>IFERROR(IF(Readings[[#This Row],[Obs. Z]]="","-",Readings[[#This Row],[Obs. Z]]-_xlfn.XLOOKUP(Readings[[#This Row],[Sensor ID]],Table_Baseline[Sensor ID],Table_Baseline[Level '[m']],"-")),"-")</f>
        <v>0</v>
      </c>
      <c r="R269" s="93">
        <f>IFERROR(IF(Readings[[#This Row],[Reference Angle]]="-","-",(Readings[[#This Row],[Diff E]]*COS(RADIANS(Readings[[#This Row],[Reference Angle]]))-Readings[[#This Row],[Diff N]]*SIN(RADIANS(Readings[[#This Row],[Reference Angle]])))),"-")</f>
        <v>0</v>
      </c>
      <c r="S269" s="93">
        <f>IFERROR(IF(Readings[[#This Row],[Reference Angle]]="-","-",(Readings[[#This Row],[Diff E]]*SIN(RADIANS(Readings[[#This Row],[Reference Angle]]))+Readings[[#This Row],[Diff N]]*COS(RADIANS(Readings[[#This Row],[Reference Angle]])))),"-")</f>
        <v>0</v>
      </c>
      <c r="T269" s="94">
        <f>IFERROR(VLOOKUP(Readings[[#This Row],[Sensor ID]],Table_Baseline[],COLUMNS(Table_Baseline[[#Headers],[Sensor ID]:[Reference Angle '[Deg']]]),FALSE),"-")</f>
        <v>0</v>
      </c>
      <c r="U269" s="95" t="str">
        <f>Readings[[#This Row],[Sensor ID]]&amp;"-"&amp;Readings[[#This Row],[Epoch]]</f>
        <v>250-RL-OP-11005-45783.2708333333</v>
      </c>
      <c r="V269" s="99">
        <f ca="1">IF(Readings[[#This Row],[Epoch]]=OFFSET(Readings[[#This Row],[Epoch]],-1,0),0,1)</f>
        <v>0</v>
      </c>
    </row>
    <row r="270" spans="4:22" x14ac:dyDescent="0.2">
      <c r="D270" s="32">
        <v>45783.270833333336</v>
      </c>
      <c r="E270" s="33" t="s">
        <v>173</v>
      </c>
      <c r="F270" s="34">
        <v>60037.805</v>
      </c>
      <c r="G270" s="34">
        <v>363843.65700000001</v>
      </c>
      <c r="H270" s="34">
        <v>18.779</v>
      </c>
      <c r="I270" s="33" t="s">
        <v>85</v>
      </c>
      <c r="J270" s="33" t="s">
        <v>90</v>
      </c>
      <c r="K270" s="33">
        <v>16.600000000000001</v>
      </c>
      <c r="L270" s="33">
        <v>1024</v>
      </c>
      <c r="M270" s="33">
        <v>78</v>
      </c>
      <c r="N270" s="33"/>
      <c r="O270" s="93">
        <f>IFERROR(IF(Readings[[#This Row],[Obs. X]]="","-",Readings[[#This Row],[Obs. X]]-_xlfn.XLOOKUP(Readings[[#This Row],[Sensor ID]],Table_Baseline[Sensor ID],Table_Baseline[Easting '[m']],"-")),"-")</f>
        <v>0</v>
      </c>
      <c r="P270" s="93">
        <f>IFERROR(IF(Readings[[#This Row],[Obs. Y]]="","-",Readings[[#This Row],[Obs. Y]]-_xlfn.XLOOKUP(Readings[[#This Row],[Sensor ID]],Table_Baseline[Sensor ID],Table_Baseline[Northing '[m']],"-")),"-")</f>
        <v>0</v>
      </c>
      <c r="Q270" s="93">
        <f>IFERROR(IF(Readings[[#This Row],[Obs. Z]]="","-",Readings[[#This Row],[Obs. Z]]-_xlfn.XLOOKUP(Readings[[#This Row],[Sensor ID]],Table_Baseline[Sensor ID],Table_Baseline[Level '[m']],"-")),"-")</f>
        <v>4.9999999999883471E-4</v>
      </c>
      <c r="R270" s="93">
        <f>IFERROR(IF(Readings[[#This Row],[Reference Angle]]="-","-",(Readings[[#This Row],[Diff E]]*COS(RADIANS(Readings[[#This Row],[Reference Angle]]))-Readings[[#This Row],[Diff N]]*SIN(RADIANS(Readings[[#This Row],[Reference Angle]])))),"-")</f>
        <v>0</v>
      </c>
      <c r="S270" s="93">
        <f>IFERROR(IF(Readings[[#This Row],[Reference Angle]]="-","-",(Readings[[#This Row],[Diff E]]*SIN(RADIANS(Readings[[#This Row],[Reference Angle]]))+Readings[[#This Row],[Diff N]]*COS(RADIANS(Readings[[#This Row],[Reference Angle]])))),"-")</f>
        <v>0</v>
      </c>
      <c r="T270" s="94">
        <f>IFERROR(VLOOKUP(Readings[[#This Row],[Sensor ID]],Table_Baseline[],COLUMNS(Table_Baseline[[#Headers],[Sensor ID]:[Reference Angle '[Deg']]]),FALSE),"-")</f>
        <v>0</v>
      </c>
      <c r="U270" s="95" t="str">
        <f>Readings[[#This Row],[Sensor ID]]&amp;"-"&amp;Readings[[#This Row],[Epoch]]</f>
        <v>250-RL-OP-11004-45783.2708333333</v>
      </c>
      <c r="V270" s="99">
        <f ca="1">IF(Readings[[#This Row],[Epoch]]=OFFSET(Readings[[#This Row],[Epoch]],-1,0),0,1)</f>
        <v>0</v>
      </c>
    </row>
    <row r="271" spans="4:22" x14ac:dyDescent="0.2">
      <c r="D271" s="32">
        <v>45783.270833333336</v>
      </c>
      <c r="E271" s="33" t="s">
        <v>174</v>
      </c>
      <c r="F271" s="34">
        <v>60038.116999999998</v>
      </c>
      <c r="G271" s="34">
        <v>363844.94500000001</v>
      </c>
      <c r="H271" s="34">
        <v>18.779</v>
      </c>
      <c r="I271" s="33" t="s">
        <v>85</v>
      </c>
      <c r="J271" s="33" t="s">
        <v>90</v>
      </c>
      <c r="K271" s="33">
        <v>16.600000000000001</v>
      </c>
      <c r="L271" s="33">
        <v>1024</v>
      </c>
      <c r="M271" s="33">
        <v>78</v>
      </c>
      <c r="N271" s="33"/>
      <c r="O271" s="93">
        <f>IFERROR(IF(Readings[[#This Row],[Obs. X]]="","-",Readings[[#This Row],[Obs. X]]-_xlfn.XLOOKUP(Readings[[#This Row],[Sensor ID]],Table_Baseline[Sensor ID],Table_Baseline[Easting '[m']],"-")),"-")</f>
        <v>-1.0000000038417056E-3</v>
      </c>
      <c r="P271" s="93">
        <f>IFERROR(IF(Readings[[#This Row],[Obs. Y]]="","-",Readings[[#This Row],[Obs. Y]]-_xlfn.XLOOKUP(Readings[[#This Row],[Sensor ID]],Table_Baseline[Sensor ID],Table_Baseline[Northing '[m']],"-")),"-")</f>
        <v>0</v>
      </c>
      <c r="Q271" s="93">
        <f>IFERROR(IF(Readings[[#This Row],[Obs. Z]]="","-",Readings[[#This Row],[Obs. Z]]-_xlfn.XLOOKUP(Readings[[#This Row],[Sensor ID]],Table_Baseline[Sensor ID],Table_Baseline[Level '[m']],"-")),"-")</f>
        <v>1.9999999999953388E-4</v>
      </c>
      <c r="R271" s="93">
        <f>IFERROR(IF(Readings[[#This Row],[Reference Angle]]="-","-",(Readings[[#This Row],[Diff E]]*COS(RADIANS(Readings[[#This Row],[Reference Angle]]))-Readings[[#This Row],[Diff N]]*SIN(RADIANS(Readings[[#This Row],[Reference Angle]])))),"-")</f>
        <v>-1.0000000038417056E-3</v>
      </c>
      <c r="S271" s="93">
        <f>IFERROR(IF(Readings[[#This Row],[Reference Angle]]="-","-",(Readings[[#This Row],[Diff E]]*SIN(RADIANS(Readings[[#This Row],[Reference Angle]]))+Readings[[#This Row],[Diff N]]*COS(RADIANS(Readings[[#This Row],[Reference Angle]])))),"-")</f>
        <v>0</v>
      </c>
      <c r="T271" s="94">
        <f>IFERROR(VLOOKUP(Readings[[#This Row],[Sensor ID]],Table_Baseline[],COLUMNS(Table_Baseline[[#Headers],[Sensor ID]:[Reference Angle '[Deg']]]),FALSE),"-")</f>
        <v>0</v>
      </c>
      <c r="U271" s="95" t="str">
        <f>Readings[[#This Row],[Sensor ID]]&amp;"-"&amp;Readings[[#This Row],[Epoch]]</f>
        <v>250-RL-OP-11003-45783.2708333333</v>
      </c>
      <c r="V271" s="99">
        <f ca="1">IF(Readings[[#This Row],[Epoch]]=OFFSET(Readings[[#This Row],[Epoch]],-1,0),0,1)</f>
        <v>0</v>
      </c>
    </row>
    <row r="272" spans="4:22" x14ac:dyDescent="0.2">
      <c r="D272" s="32">
        <v>45783.270833333336</v>
      </c>
      <c r="E272" s="33" t="s">
        <v>171</v>
      </c>
      <c r="F272" s="34">
        <v>60034.959000000003</v>
      </c>
      <c r="G272" s="34">
        <v>363844.47100000002</v>
      </c>
      <c r="H272" s="34">
        <v>18.777999999999999</v>
      </c>
      <c r="I272" s="33" t="s">
        <v>85</v>
      </c>
      <c r="J272" s="33" t="s">
        <v>90</v>
      </c>
      <c r="K272" s="33">
        <v>16.600000000000001</v>
      </c>
      <c r="L272" s="33">
        <v>1024</v>
      </c>
      <c r="M272" s="33">
        <v>78</v>
      </c>
      <c r="N272" s="33"/>
      <c r="O272" s="93">
        <f>IFERROR(IF(Readings[[#This Row],[Obs. X]]="","-",Readings[[#This Row],[Obs. X]]-_xlfn.XLOOKUP(Readings[[#This Row],[Sensor ID]],Table_Baseline[Sensor ID],Table_Baseline[Easting '[m']],"-")),"-")</f>
        <v>0</v>
      </c>
      <c r="P272" s="93">
        <f>IFERROR(IF(Readings[[#This Row],[Obs. Y]]="","-",Readings[[#This Row],[Obs. Y]]-_xlfn.XLOOKUP(Readings[[#This Row],[Sensor ID]],Table_Baseline[Sensor ID],Table_Baseline[Northing '[m']],"-")),"-")</f>
        <v>0</v>
      </c>
      <c r="Q272" s="93">
        <f>IFERROR(IF(Readings[[#This Row],[Obs. Z]]="","-",Readings[[#This Row],[Obs. Z]]-_xlfn.XLOOKUP(Readings[[#This Row],[Sensor ID]],Table_Baseline[Sensor ID],Table_Baseline[Level '[m']],"-")),"-")</f>
        <v>-9.9999999999766942E-5</v>
      </c>
      <c r="R272" s="93">
        <f>IFERROR(IF(Readings[[#This Row],[Reference Angle]]="-","-",(Readings[[#This Row],[Diff E]]*COS(RADIANS(Readings[[#This Row],[Reference Angle]]))-Readings[[#This Row],[Diff N]]*SIN(RADIANS(Readings[[#This Row],[Reference Angle]])))),"-")</f>
        <v>0</v>
      </c>
      <c r="S272" s="93">
        <f>IFERROR(IF(Readings[[#This Row],[Reference Angle]]="-","-",(Readings[[#This Row],[Diff E]]*SIN(RADIANS(Readings[[#This Row],[Reference Angle]]))+Readings[[#This Row],[Diff N]]*COS(RADIANS(Readings[[#This Row],[Reference Angle]])))),"-")</f>
        <v>0</v>
      </c>
      <c r="T272" s="94">
        <f>IFERROR(VLOOKUP(Readings[[#This Row],[Sensor ID]],Table_Baseline[],COLUMNS(Table_Baseline[[#Headers],[Sensor ID]:[Reference Angle '[Deg']]]),FALSE),"-")</f>
        <v>0</v>
      </c>
      <c r="U272" s="95" t="str">
        <f>Readings[[#This Row],[Sensor ID]]&amp;"-"&amp;Readings[[#This Row],[Epoch]]</f>
        <v>250-RL-OP-11002-45783.2708333333</v>
      </c>
      <c r="V272" s="99">
        <f ca="1">IF(Readings[[#This Row],[Epoch]]=OFFSET(Readings[[#This Row],[Epoch]],-1,0),0,1)</f>
        <v>0</v>
      </c>
    </row>
    <row r="273" spans="4:22" x14ac:dyDescent="0.2">
      <c r="D273" s="32">
        <v>45783.270833333336</v>
      </c>
      <c r="E273" s="33" t="s">
        <v>172</v>
      </c>
      <c r="F273" s="34">
        <v>60035.34</v>
      </c>
      <c r="G273" s="34">
        <v>363845.73800000001</v>
      </c>
      <c r="H273" s="34">
        <v>18.782</v>
      </c>
      <c r="I273" s="33" t="s">
        <v>85</v>
      </c>
      <c r="J273" s="33" t="s">
        <v>90</v>
      </c>
      <c r="K273" s="33">
        <v>16.600000000000001</v>
      </c>
      <c r="L273" s="33">
        <v>1024</v>
      </c>
      <c r="M273" s="33">
        <v>78</v>
      </c>
      <c r="N273" s="33"/>
      <c r="O273" s="93">
        <f>IFERROR(IF(Readings[[#This Row],[Obs. X]]="","-",Readings[[#This Row],[Obs. X]]-_xlfn.XLOOKUP(Readings[[#This Row],[Sensor ID]],Table_Baseline[Sensor ID],Table_Baseline[Easting '[m']],"-")),"-")</f>
        <v>0</v>
      </c>
      <c r="P273" s="93">
        <f>IFERROR(IF(Readings[[#This Row],[Obs. Y]]="","-",Readings[[#This Row],[Obs. Y]]-_xlfn.XLOOKUP(Readings[[#This Row],[Sensor ID]],Table_Baseline[Sensor ID],Table_Baseline[Northing '[m']],"-")),"-")</f>
        <v>-9.9999998928979039E-4</v>
      </c>
      <c r="Q273" s="93">
        <f>IFERROR(IF(Readings[[#This Row],[Obs. Z]]="","-",Readings[[#This Row],[Obs. Z]]-_xlfn.XLOOKUP(Readings[[#This Row],[Sensor ID]],Table_Baseline[Sensor ID],Table_Baseline[Level '[m']],"-")),"-")</f>
        <v>0</v>
      </c>
      <c r="R273" s="93">
        <f>IFERROR(IF(Readings[[#This Row],[Reference Angle]]="-","-",(Readings[[#This Row],[Diff E]]*COS(RADIANS(Readings[[#This Row],[Reference Angle]]))-Readings[[#This Row],[Diff N]]*SIN(RADIANS(Readings[[#This Row],[Reference Angle]])))),"-")</f>
        <v>0</v>
      </c>
      <c r="S273" s="93">
        <f>IFERROR(IF(Readings[[#This Row],[Reference Angle]]="-","-",(Readings[[#This Row],[Diff E]]*SIN(RADIANS(Readings[[#This Row],[Reference Angle]]))+Readings[[#This Row],[Diff N]]*COS(RADIANS(Readings[[#This Row],[Reference Angle]])))),"-")</f>
        <v>-9.9999998928979039E-4</v>
      </c>
      <c r="T273" s="94">
        <f>IFERROR(VLOOKUP(Readings[[#This Row],[Sensor ID]],Table_Baseline[],COLUMNS(Table_Baseline[[#Headers],[Sensor ID]:[Reference Angle '[Deg']]]),FALSE),"-")</f>
        <v>0</v>
      </c>
      <c r="U273" s="95" t="str">
        <f>Readings[[#This Row],[Sensor ID]]&amp;"-"&amp;Readings[[#This Row],[Epoch]]</f>
        <v>250-RL-OP-11001-45783.2708333333</v>
      </c>
      <c r="V273" s="99">
        <f ca="1">IF(Readings[[#This Row],[Epoch]]=OFFSET(Readings[[#This Row],[Epoch]],-1,0),0,1)</f>
        <v>0</v>
      </c>
    </row>
    <row r="274" spans="4:22" x14ac:dyDescent="0.2">
      <c r="D274" s="32">
        <v>45783.270833333336</v>
      </c>
      <c r="E274" s="33" t="s">
        <v>170</v>
      </c>
      <c r="F274" s="34">
        <v>60060.065000000002</v>
      </c>
      <c r="G274" s="34">
        <v>363836.02399999998</v>
      </c>
      <c r="H274" s="34">
        <v>19.356999999999999</v>
      </c>
      <c r="I274" s="33" t="s">
        <v>85</v>
      </c>
      <c r="J274" s="33" t="s">
        <v>90</v>
      </c>
      <c r="K274" s="33">
        <v>16.600000000000001</v>
      </c>
      <c r="L274" s="33">
        <v>1024</v>
      </c>
      <c r="M274" s="33">
        <v>78</v>
      </c>
      <c r="N274" s="33"/>
      <c r="O274" s="93" t="str">
        <f>IFERROR(IF(Readings[[#This Row],[Obs. X]]="","-",Readings[[#This Row],[Obs. X]]-_xlfn.XLOOKUP(Readings[[#This Row],[Sensor ID]],Table_Baseline[Sensor ID],Table_Baseline[Easting '[m']],"-")),"-")</f>
        <v>-</v>
      </c>
      <c r="P274" s="93" t="str">
        <f>IFERROR(IF(Readings[[#This Row],[Obs. Y]]="","-",Readings[[#This Row],[Obs. Y]]-_xlfn.XLOOKUP(Readings[[#This Row],[Sensor ID]],Table_Baseline[Sensor ID],Table_Baseline[Northing '[m']],"-")),"-")</f>
        <v>-</v>
      </c>
      <c r="Q274" s="93" t="str">
        <f>IFERROR(IF(Readings[[#This Row],[Obs. Z]]="","-",Readings[[#This Row],[Obs. Z]]-_xlfn.XLOOKUP(Readings[[#This Row],[Sensor ID]],Table_Baseline[Sensor ID],Table_Baseline[Level '[m']],"-")),"-")</f>
        <v>-</v>
      </c>
      <c r="R274" s="93" t="str">
        <f>IFERROR(IF(Readings[[#This Row],[Reference Angle]]="-","-",(Readings[[#This Row],[Diff E]]*COS(RADIANS(Readings[[#This Row],[Reference Angle]]))-Readings[[#This Row],[Diff N]]*SIN(RADIANS(Readings[[#This Row],[Reference Angle]])))),"-")</f>
        <v>-</v>
      </c>
      <c r="S274" s="93" t="str">
        <f>IFERROR(IF(Readings[[#This Row],[Reference Angle]]="-","-",(Readings[[#This Row],[Diff E]]*SIN(RADIANS(Readings[[#This Row],[Reference Angle]]))+Readings[[#This Row],[Diff N]]*COS(RADIANS(Readings[[#This Row],[Reference Angle]])))),"-")</f>
        <v>-</v>
      </c>
      <c r="T274" s="94" t="str">
        <f>IFERROR(VLOOKUP(Readings[[#This Row],[Sensor ID]],Table_Baseline[],COLUMNS(Table_Baseline[[#Headers],[Sensor ID]:[Reference Angle '[Deg']]]),FALSE),"-")</f>
        <v>-</v>
      </c>
      <c r="U274" s="95" t="str">
        <f>Readings[[#This Row],[Sensor ID]]&amp;"-"&amp;Readings[[#This Row],[Epoch]]</f>
        <v>250-ST-OP-505-45783.2708333333</v>
      </c>
      <c r="V274" s="99">
        <f ca="1">IF(Readings[[#This Row],[Epoch]]=OFFSET(Readings[[#This Row],[Epoch]],-1,0),0,1)</f>
        <v>0</v>
      </c>
    </row>
    <row r="275" spans="4:22" x14ac:dyDescent="0.2">
      <c r="D275" s="32">
        <v>45783.270833333336</v>
      </c>
      <c r="E275" s="33" t="s">
        <v>169</v>
      </c>
      <c r="F275" s="34">
        <v>60053.608999999997</v>
      </c>
      <c r="G275" s="34">
        <v>363837.88300000003</v>
      </c>
      <c r="H275" s="34">
        <v>19.356999999999999</v>
      </c>
      <c r="I275" s="33" t="s">
        <v>85</v>
      </c>
      <c r="J275" s="33" t="s">
        <v>90</v>
      </c>
      <c r="K275" s="33">
        <v>16.600000000000001</v>
      </c>
      <c r="L275" s="33">
        <v>1024</v>
      </c>
      <c r="M275" s="33">
        <v>78</v>
      </c>
      <c r="N275" s="33"/>
      <c r="O275" s="93" t="str">
        <f>IFERROR(IF(Readings[[#This Row],[Obs. X]]="","-",Readings[[#This Row],[Obs. X]]-_xlfn.XLOOKUP(Readings[[#This Row],[Sensor ID]],Table_Baseline[Sensor ID],Table_Baseline[Easting '[m']],"-")),"-")</f>
        <v>-</v>
      </c>
      <c r="P275" s="93" t="str">
        <f>IFERROR(IF(Readings[[#This Row],[Obs. Y]]="","-",Readings[[#This Row],[Obs. Y]]-_xlfn.XLOOKUP(Readings[[#This Row],[Sensor ID]],Table_Baseline[Sensor ID],Table_Baseline[Northing '[m']],"-")),"-")</f>
        <v>-</v>
      </c>
      <c r="Q275" s="93" t="str">
        <f>IFERROR(IF(Readings[[#This Row],[Obs. Z]]="","-",Readings[[#This Row],[Obs. Z]]-_xlfn.XLOOKUP(Readings[[#This Row],[Sensor ID]],Table_Baseline[Sensor ID],Table_Baseline[Level '[m']],"-")),"-")</f>
        <v>-</v>
      </c>
      <c r="R275" s="93" t="str">
        <f>IFERROR(IF(Readings[[#This Row],[Reference Angle]]="-","-",(Readings[[#This Row],[Diff E]]*COS(RADIANS(Readings[[#This Row],[Reference Angle]]))-Readings[[#This Row],[Diff N]]*SIN(RADIANS(Readings[[#This Row],[Reference Angle]])))),"-")</f>
        <v>-</v>
      </c>
      <c r="S275" s="93" t="str">
        <f>IFERROR(IF(Readings[[#This Row],[Reference Angle]]="-","-",(Readings[[#This Row],[Diff E]]*SIN(RADIANS(Readings[[#This Row],[Reference Angle]]))+Readings[[#This Row],[Diff N]]*COS(RADIANS(Readings[[#This Row],[Reference Angle]])))),"-")</f>
        <v>-</v>
      </c>
      <c r="T275" s="94" t="str">
        <f>IFERROR(VLOOKUP(Readings[[#This Row],[Sensor ID]],Table_Baseline[],COLUMNS(Table_Baseline[[#Headers],[Sensor ID]:[Reference Angle '[Deg']]]),FALSE),"-")</f>
        <v>-</v>
      </c>
      <c r="U275" s="95" t="str">
        <f>Readings[[#This Row],[Sensor ID]]&amp;"-"&amp;Readings[[#This Row],[Epoch]]</f>
        <v>250-ST-OP-504-45783.2708333333</v>
      </c>
      <c r="V275" s="99">
        <f ca="1">IF(Readings[[#This Row],[Epoch]]=OFFSET(Readings[[#This Row],[Epoch]],-1,0),0,1)</f>
        <v>0</v>
      </c>
    </row>
    <row r="276" spans="4:22" x14ac:dyDescent="0.2">
      <c r="D276" s="32">
        <v>45783.270833333336</v>
      </c>
      <c r="E276" s="33" t="s">
        <v>168</v>
      </c>
      <c r="F276" s="34">
        <v>60049.767999999996</v>
      </c>
      <c r="G276" s="34">
        <v>363838.99400000001</v>
      </c>
      <c r="H276" s="34">
        <v>19.344999999999999</v>
      </c>
      <c r="I276" s="33" t="s">
        <v>85</v>
      </c>
      <c r="J276" s="33" t="s">
        <v>90</v>
      </c>
      <c r="K276" s="33">
        <v>16.600000000000001</v>
      </c>
      <c r="L276" s="33">
        <v>1024</v>
      </c>
      <c r="M276" s="33">
        <v>78</v>
      </c>
      <c r="N276" s="33"/>
      <c r="O276" s="93" t="str">
        <f>IFERROR(IF(Readings[[#This Row],[Obs. X]]="","-",Readings[[#This Row],[Obs. X]]-_xlfn.XLOOKUP(Readings[[#This Row],[Sensor ID]],Table_Baseline[Sensor ID],Table_Baseline[Easting '[m']],"-")),"-")</f>
        <v>-</v>
      </c>
      <c r="P276" s="93" t="str">
        <f>IFERROR(IF(Readings[[#This Row],[Obs. Y]]="","-",Readings[[#This Row],[Obs. Y]]-_xlfn.XLOOKUP(Readings[[#This Row],[Sensor ID]],Table_Baseline[Sensor ID],Table_Baseline[Northing '[m']],"-")),"-")</f>
        <v>-</v>
      </c>
      <c r="Q276" s="93" t="str">
        <f>IFERROR(IF(Readings[[#This Row],[Obs. Z]]="","-",Readings[[#This Row],[Obs. Z]]-_xlfn.XLOOKUP(Readings[[#This Row],[Sensor ID]],Table_Baseline[Sensor ID],Table_Baseline[Level '[m']],"-")),"-")</f>
        <v>-</v>
      </c>
      <c r="R276" s="93" t="str">
        <f>IFERROR(IF(Readings[[#This Row],[Reference Angle]]="-","-",(Readings[[#This Row],[Diff E]]*COS(RADIANS(Readings[[#This Row],[Reference Angle]]))-Readings[[#This Row],[Diff N]]*SIN(RADIANS(Readings[[#This Row],[Reference Angle]])))),"-")</f>
        <v>-</v>
      </c>
      <c r="S276" s="93" t="str">
        <f>IFERROR(IF(Readings[[#This Row],[Reference Angle]]="-","-",(Readings[[#This Row],[Diff E]]*SIN(RADIANS(Readings[[#This Row],[Reference Angle]]))+Readings[[#This Row],[Diff N]]*COS(RADIANS(Readings[[#This Row],[Reference Angle]])))),"-")</f>
        <v>-</v>
      </c>
      <c r="T276" s="94" t="str">
        <f>IFERROR(VLOOKUP(Readings[[#This Row],[Sensor ID]],Table_Baseline[],COLUMNS(Table_Baseline[[#Headers],[Sensor ID]:[Reference Angle '[Deg']]]),FALSE),"-")</f>
        <v>-</v>
      </c>
      <c r="U276" s="95" t="str">
        <f>Readings[[#This Row],[Sensor ID]]&amp;"-"&amp;Readings[[#This Row],[Epoch]]</f>
        <v>250-ST-OP-503-45783.2708333333</v>
      </c>
      <c r="V276" s="99">
        <f ca="1">IF(Readings[[#This Row],[Epoch]]=OFFSET(Readings[[#This Row],[Epoch]],-1,0),0,1)</f>
        <v>0</v>
      </c>
    </row>
    <row r="277" spans="4:22" x14ac:dyDescent="0.2">
      <c r="D277" s="32">
        <v>45783.270833333336</v>
      </c>
      <c r="E277" s="33" t="s">
        <v>167</v>
      </c>
      <c r="F277" s="34">
        <v>60045.921999999999</v>
      </c>
      <c r="G277" s="34">
        <v>363840.10100000002</v>
      </c>
      <c r="H277" s="34">
        <v>19.334</v>
      </c>
      <c r="I277" s="33" t="s">
        <v>85</v>
      </c>
      <c r="J277" s="33" t="s">
        <v>90</v>
      </c>
      <c r="K277" s="33">
        <v>16.600000000000001</v>
      </c>
      <c r="L277" s="33">
        <v>1024</v>
      </c>
      <c r="M277" s="33">
        <v>78</v>
      </c>
      <c r="N277" s="33"/>
      <c r="O277" s="93" t="str">
        <f>IFERROR(IF(Readings[[#This Row],[Obs. X]]="","-",Readings[[#This Row],[Obs. X]]-_xlfn.XLOOKUP(Readings[[#This Row],[Sensor ID]],Table_Baseline[Sensor ID],Table_Baseline[Easting '[m']],"-")),"-")</f>
        <v>-</v>
      </c>
      <c r="P277" s="93" t="str">
        <f>IFERROR(IF(Readings[[#This Row],[Obs. Y]]="","-",Readings[[#This Row],[Obs. Y]]-_xlfn.XLOOKUP(Readings[[#This Row],[Sensor ID]],Table_Baseline[Sensor ID],Table_Baseline[Northing '[m']],"-")),"-")</f>
        <v>-</v>
      </c>
      <c r="Q277" s="93" t="str">
        <f>IFERROR(IF(Readings[[#This Row],[Obs. Z]]="","-",Readings[[#This Row],[Obs. Z]]-_xlfn.XLOOKUP(Readings[[#This Row],[Sensor ID]],Table_Baseline[Sensor ID],Table_Baseline[Level '[m']],"-")),"-")</f>
        <v>-</v>
      </c>
      <c r="R277" s="93" t="str">
        <f>IFERROR(IF(Readings[[#This Row],[Reference Angle]]="-","-",(Readings[[#This Row],[Diff E]]*COS(RADIANS(Readings[[#This Row],[Reference Angle]]))-Readings[[#This Row],[Diff N]]*SIN(RADIANS(Readings[[#This Row],[Reference Angle]])))),"-")</f>
        <v>-</v>
      </c>
      <c r="S277" s="93" t="str">
        <f>IFERROR(IF(Readings[[#This Row],[Reference Angle]]="-","-",(Readings[[#This Row],[Diff E]]*SIN(RADIANS(Readings[[#This Row],[Reference Angle]]))+Readings[[#This Row],[Diff N]]*COS(RADIANS(Readings[[#This Row],[Reference Angle]])))),"-")</f>
        <v>-</v>
      </c>
      <c r="T277" s="94" t="str">
        <f>IFERROR(VLOOKUP(Readings[[#This Row],[Sensor ID]],Table_Baseline[],COLUMNS(Table_Baseline[[#Headers],[Sensor ID]:[Reference Angle '[Deg']]]),FALSE),"-")</f>
        <v>-</v>
      </c>
      <c r="U277" s="95" t="str">
        <f>Readings[[#This Row],[Sensor ID]]&amp;"-"&amp;Readings[[#This Row],[Epoch]]</f>
        <v>250-ST-OP-502-45783.2708333333</v>
      </c>
      <c r="V277" s="99">
        <f ca="1">IF(Readings[[#This Row],[Epoch]]=OFFSET(Readings[[#This Row],[Epoch]],-1,0),0,1)</f>
        <v>0</v>
      </c>
    </row>
    <row r="278" spans="4:22" x14ac:dyDescent="0.2">
      <c r="D278" s="32">
        <v>45783.270833333336</v>
      </c>
      <c r="E278" s="151" t="s">
        <v>166</v>
      </c>
      <c r="F278" s="152">
        <v>60040.286999999997</v>
      </c>
      <c r="G278" s="152">
        <v>363841.73</v>
      </c>
      <c r="H278" s="152">
        <v>19.321999999999999</v>
      </c>
      <c r="I278" s="33" t="s">
        <v>85</v>
      </c>
      <c r="J278" s="33" t="s">
        <v>90</v>
      </c>
      <c r="K278" s="33">
        <v>16.600000000000001</v>
      </c>
      <c r="L278" s="33">
        <v>1024</v>
      </c>
      <c r="M278" s="33">
        <v>78</v>
      </c>
      <c r="N278" s="151"/>
      <c r="O278" s="96" t="str">
        <f>IFERROR(IF(Readings[[#This Row],[Obs. X]]="","-",Readings[[#This Row],[Obs. X]]-_xlfn.XLOOKUP(Readings[[#This Row],[Sensor ID]],Table_Baseline[Sensor ID],Table_Baseline[Easting '[m']],"-")),"-")</f>
        <v>-</v>
      </c>
      <c r="P278" s="96" t="str">
        <f>IFERROR(IF(Readings[[#This Row],[Obs. Y]]="","-",Readings[[#This Row],[Obs. Y]]-_xlfn.XLOOKUP(Readings[[#This Row],[Sensor ID]],Table_Baseline[Sensor ID],Table_Baseline[Northing '[m']],"-")),"-")</f>
        <v>-</v>
      </c>
      <c r="Q278" s="96" t="str">
        <f>IFERROR(IF(Readings[[#This Row],[Obs. Z]]="","-",Readings[[#This Row],[Obs. Z]]-_xlfn.XLOOKUP(Readings[[#This Row],[Sensor ID]],Table_Baseline[Sensor ID],Table_Baseline[Level '[m']],"-")),"-")</f>
        <v>-</v>
      </c>
      <c r="R278" s="96" t="str">
        <f>IFERROR(IF(Readings[[#This Row],[Reference Angle]]="-","-",(Readings[[#This Row],[Diff E]]*COS(RADIANS(Readings[[#This Row],[Reference Angle]]))-Readings[[#This Row],[Diff N]]*SIN(RADIANS(Readings[[#This Row],[Reference Angle]])))),"-")</f>
        <v>-</v>
      </c>
      <c r="S278" s="96" t="str">
        <f>IFERROR(IF(Readings[[#This Row],[Reference Angle]]="-","-",(Readings[[#This Row],[Diff E]]*SIN(RADIANS(Readings[[#This Row],[Reference Angle]]))+Readings[[#This Row],[Diff N]]*COS(RADIANS(Readings[[#This Row],[Reference Angle]])))),"-")</f>
        <v>-</v>
      </c>
      <c r="T278" s="97" t="str">
        <f>IFERROR(VLOOKUP(Readings[[#This Row],[Sensor ID]],Table_Baseline[],COLUMNS(Table_Baseline[[#Headers],[Sensor ID]:[Reference Angle '[Deg']]]),FALSE),"-")</f>
        <v>-</v>
      </c>
      <c r="U278" s="98" t="str">
        <f>Readings[[#This Row],[Sensor ID]]&amp;"-"&amp;Readings[[#This Row],[Epoch]]</f>
        <v>250-ST-OP-501-45783.2708333333</v>
      </c>
      <c r="V278" s="100">
        <f ca="1">IF(Readings[[#This Row],[Epoch]]=OFFSET(Readings[[#This Row],[Epoch]],-1,0),0,1)</f>
        <v>0</v>
      </c>
    </row>
    <row r="279" spans="4:22" x14ac:dyDescent="0.2">
      <c r="D279" s="32">
        <v>45783.270833333336</v>
      </c>
      <c r="E279" s="33" t="s">
        <v>165</v>
      </c>
      <c r="F279" s="34">
        <v>60034.538999999997</v>
      </c>
      <c r="G279" s="34">
        <v>363843.38199999998</v>
      </c>
      <c r="H279" s="34">
        <v>19.332000000000001</v>
      </c>
      <c r="I279" s="33" t="s">
        <v>85</v>
      </c>
      <c r="J279" s="33" t="s">
        <v>90</v>
      </c>
      <c r="K279" s="33">
        <v>16.600000000000001</v>
      </c>
      <c r="L279" s="33">
        <v>1024</v>
      </c>
      <c r="M279" s="33">
        <v>78</v>
      </c>
      <c r="N279" s="33"/>
      <c r="O279" s="93" t="str">
        <f>IFERROR(IF(Readings[[#This Row],[Obs. X]]="","-",Readings[[#This Row],[Obs. X]]-_xlfn.XLOOKUP(Readings[[#This Row],[Sensor ID]],Table_Baseline[Sensor ID],Table_Baseline[Easting '[m']],"-")),"-")</f>
        <v>-</v>
      </c>
      <c r="P279" s="93" t="str">
        <f>IFERROR(IF(Readings[[#This Row],[Obs. Y]]="","-",Readings[[#This Row],[Obs. Y]]-_xlfn.XLOOKUP(Readings[[#This Row],[Sensor ID]],Table_Baseline[Sensor ID],Table_Baseline[Northing '[m']],"-")),"-")</f>
        <v>-</v>
      </c>
      <c r="Q279" s="93" t="str">
        <f>IFERROR(IF(Readings[[#This Row],[Obs. Z]]="","-",Readings[[#This Row],[Obs. Z]]-_xlfn.XLOOKUP(Readings[[#This Row],[Sensor ID]],Table_Baseline[Sensor ID],Table_Baseline[Level '[m']],"-")),"-")</f>
        <v>-</v>
      </c>
      <c r="R279" s="93" t="str">
        <f>IFERROR(IF(Readings[[#This Row],[Reference Angle]]="-","-",(Readings[[#This Row],[Diff E]]*COS(RADIANS(Readings[[#This Row],[Reference Angle]]))-Readings[[#This Row],[Diff N]]*SIN(RADIANS(Readings[[#This Row],[Reference Angle]])))),"-")</f>
        <v>-</v>
      </c>
      <c r="S279" s="93" t="str">
        <f>IFERROR(IF(Readings[[#This Row],[Reference Angle]]="-","-",(Readings[[#This Row],[Diff E]]*SIN(RADIANS(Readings[[#This Row],[Reference Angle]]))+Readings[[#This Row],[Diff N]]*COS(RADIANS(Readings[[#This Row],[Reference Angle]])))),"-")</f>
        <v>-</v>
      </c>
      <c r="T279" s="94" t="str">
        <f>IFERROR(VLOOKUP(Readings[[#This Row],[Sensor ID]],Table_Baseline[],COLUMNS(Table_Baseline[[#Headers],[Sensor ID]:[Reference Angle '[Deg']]]),FALSE),"-")</f>
        <v>-</v>
      </c>
      <c r="U279" s="95" t="str">
        <f>Readings[[#This Row],[Sensor ID]]&amp;"-"&amp;Readings[[#This Row],[Epoch]]</f>
        <v>250-ST-OP-500-45783.2708333333</v>
      </c>
      <c r="V279" s="99">
        <f ca="1">IF(Readings[[#This Row],[Epoch]]=OFFSET(Readings[[#This Row],[Epoch]],-1,0),0,1)</f>
        <v>0</v>
      </c>
    </row>
    <row r="280" spans="4:22" x14ac:dyDescent="0.2">
      <c r="D280" s="32">
        <v>45784.263888888891</v>
      </c>
      <c r="E280" s="33" t="s">
        <v>165</v>
      </c>
      <c r="F280" s="34">
        <v>60034.538999999997</v>
      </c>
      <c r="G280" s="34">
        <v>363843.38199999998</v>
      </c>
      <c r="H280" s="34">
        <v>19.332000000000001</v>
      </c>
      <c r="I280" s="33" t="s">
        <v>85</v>
      </c>
      <c r="J280" s="33" t="s">
        <v>90</v>
      </c>
      <c r="K280" s="33">
        <v>15.5</v>
      </c>
      <c r="L280" s="33">
        <v>1020</v>
      </c>
      <c r="M280" s="33">
        <v>92</v>
      </c>
      <c r="N280" s="33"/>
      <c r="O280" s="93" t="str">
        <f>IFERROR(IF(Readings[[#This Row],[Obs. X]]="","-",Readings[[#This Row],[Obs. X]]-_xlfn.XLOOKUP(Readings[[#This Row],[Sensor ID]],Table_Baseline[Sensor ID],Table_Baseline[Easting '[m']],"-")),"-")</f>
        <v>-</v>
      </c>
      <c r="P280" s="93" t="str">
        <f>IFERROR(IF(Readings[[#This Row],[Obs. Y]]="","-",Readings[[#This Row],[Obs. Y]]-_xlfn.XLOOKUP(Readings[[#This Row],[Sensor ID]],Table_Baseline[Sensor ID],Table_Baseline[Northing '[m']],"-")),"-")</f>
        <v>-</v>
      </c>
      <c r="Q280" s="93" t="str">
        <f>IFERROR(IF(Readings[[#This Row],[Obs. Z]]="","-",Readings[[#This Row],[Obs. Z]]-_xlfn.XLOOKUP(Readings[[#This Row],[Sensor ID]],Table_Baseline[Sensor ID],Table_Baseline[Level '[m']],"-")),"-")</f>
        <v>-</v>
      </c>
      <c r="R280" s="93" t="str">
        <f>IFERROR(IF(Readings[[#This Row],[Reference Angle]]="-","-",(Readings[[#This Row],[Diff E]]*COS(RADIANS(Readings[[#This Row],[Reference Angle]]))-Readings[[#This Row],[Diff N]]*SIN(RADIANS(Readings[[#This Row],[Reference Angle]])))),"-")</f>
        <v>-</v>
      </c>
      <c r="S280" s="93" t="str">
        <f>IFERROR(IF(Readings[[#This Row],[Reference Angle]]="-","-",(Readings[[#This Row],[Diff E]]*SIN(RADIANS(Readings[[#This Row],[Reference Angle]]))+Readings[[#This Row],[Diff N]]*COS(RADIANS(Readings[[#This Row],[Reference Angle]])))),"-")</f>
        <v>-</v>
      </c>
      <c r="T280" s="94" t="str">
        <f>IFERROR(VLOOKUP(Readings[[#This Row],[Sensor ID]],Table_Baseline[],COLUMNS(Table_Baseline[[#Headers],[Sensor ID]:[Reference Angle '[Deg']]]),FALSE),"-")</f>
        <v>-</v>
      </c>
      <c r="U280" s="95" t="str">
        <f>Readings[[#This Row],[Sensor ID]]&amp;"-"&amp;Readings[[#This Row],[Epoch]]</f>
        <v>250-ST-OP-500-45784.2638888889</v>
      </c>
      <c r="V280" s="99">
        <f ca="1">IF(Readings[[#This Row],[Epoch]]=OFFSET(Readings[[#This Row],[Epoch]],-1,0),0,1)</f>
        <v>1</v>
      </c>
    </row>
    <row r="281" spans="4:22" x14ac:dyDescent="0.2">
      <c r="D281" s="32">
        <v>45784.263888888891</v>
      </c>
      <c r="E281" s="33" t="s">
        <v>166</v>
      </c>
      <c r="F281" s="34">
        <v>60040.286999999997</v>
      </c>
      <c r="G281" s="34">
        <v>363841.73100000003</v>
      </c>
      <c r="H281" s="34">
        <v>19.321999999999999</v>
      </c>
      <c r="I281" s="33" t="s">
        <v>85</v>
      </c>
      <c r="J281" s="33" t="s">
        <v>90</v>
      </c>
      <c r="K281" s="33">
        <v>15.5</v>
      </c>
      <c r="L281" s="33">
        <v>1020</v>
      </c>
      <c r="M281" s="33">
        <v>92</v>
      </c>
      <c r="N281" s="33"/>
      <c r="O281" s="93" t="str">
        <f>IFERROR(IF(Readings[[#This Row],[Obs. X]]="","-",Readings[[#This Row],[Obs. X]]-_xlfn.XLOOKUP(Readings[[#This Row],[Sensor ID]],Table_Baseline[Sensor ID],Table_Baseline[Easting '[m']],"-")),"-")</f>
        <v>-</v>
      </c>
      <c r="P281" s="93" t="str">
        <f>IFERROR(IF(Readings[[#This Row],[Obs. Y]]="","-",Readings[[#This Row],[Obs. Y]]-_xlfn.XLOOKUP(Readings[[#This Row],[Sensor ID]],Table_Baseline[Sensor ID],Table_Baseline[Northing '[m']],"-")),"-")</f>
        <v>-</v>
      </c>
      <c r="Q281" s="93" t="str">
        <f>IFERROR(IF(Readings[[#This Row],[Obs. Z]]="","-",Readings[[#This Row],[Obs. Z]]-_xlfn.XLOOKUP(Readings[[#This Row],[Sensor ID]],Table_Baseline[Sensor ID],Table_Baseline[Level '[m']],"-")),"-")</f>
        <v>-</v>
      </c>
      <c r="R281" s="93" t="str">
        <f>IFERROR(IF(Readings[[#This Row],[Reference Angle]]="-","-",(Readings[[#This Row],[Diff E]]*COS(RADIANS(Readings[[#This Row],[Reference Angle]]))-Readings[[#This Row],[Diff N]]*SIN(RADIANS(Readings[[#This Row],[Reference Angle]])))),"-")</f>
        <v>-</v>
      </c>
      <c r="S281" s="93" t="str">
        <f>IFERROR(IF(Readings[[#This Row],[Reference Angle]]="-","-",(Readings[[#This Row],[Diff E]]*SIN(RADIANS(Readings[[#This Row],[Reference Angle]]))+Readings[[#This Row],[Diff N]]*COS(RADIANS(Readings[[#This Row],[Reference Angle]])))),"-")</f>
        <v>-</v>
      </c>
      <c r="T281" s="94" t="str">
        <f>IFERROR(VLOOKUP(Readings[[#This Row],[Sensor ID]],Table_Baseline[],COLUMNS(Table_Baseline[[#Headers],[Sensor ID]:[Reference Angle '[Deg']]]),FALSE),"-")</f>
        <v>-</v>
      </c>
      <c r="U281" s="95" t="str">
        <f>Readings[[#This Row],[Sensor ID]]&amp;"-"&amp;Readings[[#This Row],[Epoch]]</f>
        <v>250-ST-OP-501-45784.2638888889</v>
      </c>
      <c r="V281" s="99">
        <f ca="1">IF(Readings[[#This Row],[Epoch]]=OFFSET(Readings[[#This Row],[Epoch]],-1,0),0,1)</f>
        <v>0</v>
      </c>
    </row>
    <row r="282" spans="4:22" x14ac:dyDescent="0.2">
      <c r="D282" s="32">
        <v>45784.263888888891</v>
      </c>
      <c r="E282" s="33" t="s">
        <v>167</v>
      </c>
      <c r="F282" s="34">
        <v>60045.921000000002</v>
      </c>
      <c r="G282" s="34">
        <v>363840.10100000002</v>
      </c>
      <c r="H282" s="34">
        <v>19.334</v>
      </c>
      <c r="I282" s="33" t="s">
        <v>85</v>
      </c>
      <c r="J282" s="33" t="s">
        <v>90</v>
      </c>
      <c r="K282" s="33">
        <v>15.5</v>
      </c>
      <c r="L282" s="33">
        <v>1020</v>
      </c>
      <c r="M282" s="33">
        <v>92</v>
      </c>
      <c r="N282" s="33"/>
      <c r="O282" s="93" t="str">
        <f>IFERROR(IF(Readings[[#This Row],[Obs. X]]="","-",Readings[[#This Row],[Obs. X]]-_xlfn.XLOOKUP(Readings[[#This Row],[Sensor ID]],Table_Baseline[Sensor ID],Table_Baseline[Easting '[m']],"-")),"-")</f>
        <v>-</v>
      </c>
      <c r="P282" s="93" t="str">
        <f>IFERROR(IF(Readings[[#This Row],[Obs. Y]]="","-",Readings[[#This Row],[Obs. Y]]-_xlfn.XLOOKUP(Readings[[#This Row],[Sensor ID]],Table_Baseline[Sensor ID],Table_Baseline[Northing '[m']],"-")),"-")</f>
        <v>-</v>
      </c>
      <c r="Q282" s="93" t="str">
        <f>IFERROR(IF(Readings[[#This Row],[Obs. Z]]="","-",Readings[[#This Row],[Obs. Z]]-_xlfn.XLOOKUP(Readings[[#This Row],[Sensor ID]],Table_Baseline[Sensor ID],Table_Baseline[Level '[m']],"-")),"-")</f>
        <v>-</v>
      </c>
      <c r="R282" s="93" t="str">
        <f>IFERROR(IF(Readings[[#This Row],[Reference Angle]]="-","-",(Readings[[#This Row],[Diff E]]*COS(RADIANS(Readings[[#This Row],[Reference Angle]]))-Readings[[#This Row],[Diff N]]*SIN(RADIANS(Readings[[#This Row],[Reference Angle]])))),"-")</f>
        <v>-</v>
      </c>
      <c r="S282" s="93" t="str">
        <f>IFERROR(IF(Readings[[#This Row],[Reference Angle]]="-","-",(Readings[[#This Row],[Diff E]]*SIN(RADIANS(Readings[[#This Row],[Reference Angle]]))+Readings[[#This Row],[Diff N]]*COS(RADIANS(Readings[[#This Row],[Reference Angle]])))),"-")</f>
        <v>-</v>
      </c>
      <c r="T282" s="94" t="str">
        <f>IFERROR(VLOOKUP(Readings[[#This Row],[Sensor ID]],Table_Baseline[],COLUMNS(Table_Baseline[[#Headers],[Sensor ID]:[Reference Angle '[Deg']]]),FALSE),"-")</f>
        <v>-</v>
      </c>
      <c r="U282" s="95" t="str">
        <f>Readings[[#This Row],[Sensor ID]]&amp;"-"&amp;Readings[[#This Row],[Epoch]]</f>
        <v>250-ST-OP-502-45784.2638888889</v>
      </c>
      <c r="V282" s="99">
        <f ca="1">IF(Readings[[#This Row],[Epoch]]=OFFSET(Readings[[#This Row],[Epoch]],-1,0),0,1)</f>
        <v>0</v>
      </c>
    </row>
    <row r="283" spans="4:22" x14ac:dyDescent="0.2">
      <c r="D283" s="32">
        <v>45784.263888888891</v>
      </c>
      <c r="E283" s="33" t="s">
        <v>168</v>
      </c>
      <c r="F283" s="34">
        <v>60049.767999999996</v>
      </c>
      <c r="G283" s="34">
        <v>363838.99400000001</v>
      </c>
      <c r="H283" s="34">
        <v>19.344999999999999</v>
      </c>
      <c r="I283" s="33" t="s">
        <v>85</v>
      </c>
      <c r="J283" s="33" t="s">
        <v>90</v>
      </c>
      <c r="K283" s="33">
        <v>15.5</v>
      </c>
      <c r="L283" s="33">
        <v>1020</v>
      </c>
      <c r="M283" s="33">
        <v>92</v>
      </c>
      <c r="N283" s="33"/>
      <c r="O283" s="93" t="str">
        <f>IFERROR(IF(Readings[[#This Row],[Obs. X]]="","-",Readings[[#This Row],[Obs. X]]-_xlfn.XLOOKUP(Readings[[#This Row],[Sensor ID]],Table_Baseline[Sensor ID],Table_Baseline[Easting '[m']],"-")),"-")</f>
        <v>-</v>
      </c>
      <c r="P283" s="93" t="str">
        <f>IFERROR(IF(Readings[[#This Row],[Obs. Y]]="","-",Readings[[#This Row],[Obs. Y]]-_xlfn.XLOOKUP(Readings[[#This Row],[Sensor ID]],Table_Baseline[Sensor ID],Table_Baseline[Northing '[m']],"-")),"-")</f>
        <v>-</v>
      </c>
      <c r="Q283" s="93" t="str">
        <f>IFERROR(IF(Readings[[#This Row],[Obs. Z]]="","-",Readings[[#This Row],[Obs. Z]]-_xlfn.XLOOKUP(Readings[[#This Row],[Sensor ID]],Table_Baseline[Sensor ID],Table_Baseline[Level '[m']],"-")),"-")</f>
        <v>-</v>
      </c>
      <c r="R283" s="93" t="str">
        <f>IFERROR(IF(Readings[[#This Row],[Reference Angle]]="-","-",(Readings[[#This Row],[Diff E]]*COS(RADIANS(Readings[[#This Row],[Reference Angle]]))-Readings[[#This Row],[Diff N]]*SIN(RADIANS(Readings[[#This Row],[Reference Angle]])))),"-")</f>
        <v>-</v>
      </c>
      <c r="S283" s="93" t="str">
        <f>IFERROR(IF(Readings[[#This Row],[Reference Angle]]="-","-",(Readings[[#This Row],[Diff E]]*SIN(RADIANS(Readings[[#This Row],[Reference Angle]]))+Readings[[#This Row],[Diff N]]*COS(RADIANS(Readings[[#This Row],[Reference Angle]])))),"-")</f>
        <v>-</v>
      </c>
      <c r="T283" s="94" t="str">
        <f>IFERROR(VLOOKUP(Readings[[#This Row],[Sensor ID]],Table_Baseline[],COLUMNS(Table_Baseline[[#Headers],[Sensor ID]:[Reference Angle '[Deg']]]),FALSE),"-")</f>
        <v>-</v>
      </c>
      <c r="U283" s="95" t="str">
        <f>Readings[[#This Row],[Sensor ID]]&amp;"-"&amp;Readings[[#This Row],[Epoch]]</f>
        <v>250-ST-OP-503-45784.2638888889</v>
      </c>
      <c r="V283" s="99">
        <f ca="1">IF(Readings[[#This Row],[Epoch]]=OFFSET(Readings[[#This Row],[Epoch]],-1,0),0,1)</f>
        <v>0</v>
      </c>
    </row>
    <row r="284" spans="4:22" x14ac:dyDescent="0.2">
      <c r="D284" s="32">
        <v>45784.263888888891</v>
      </c>
      <c r="E284" s="33" t="s">
        <v>169</v>
      </c>
      <c r="F284" s="34">
        <v>60053.608999999997</v>
      </c>
      <c r="G284" s="34">
        <v>363837.88300000003</v>
      </c>
      <c r="H284" s="34">
        <v>19.356999999999999</v>
      </c>
      <c r="I284" s="33" t="s">
        <v>85</v>
      </c>
      <c r="J284" s="33" t="s">
        <v>90</v>
      </c>
      <c r="K284" s="33">
        <v>15.5</v>
      </c>
      <c r="L284" s="33">
        <v>1020</v>
      </c>
      <c r="M284" s="33">
        <v>92</v>
      </c>
      <c r="N284" s="33"/>
      <c r="O284" s="93" t="str">
        <f>IFERROR(IF(Readings[[#This Row],[Obs. X]]="","-",Readings[[#This Row],[Obs. X]]-_xlfn.XLOOKUP(Readings[[#This Row],[Sensor ID]],Table_Baseline[Sensor ID],Table_Baseline[Easting '[m']],"-")),"-")</f>
        <v>-</v>
      </c>
      <c r="P284" s="93" t="str">
        <f>IFERROR(IF(Readings[[#This Row],[Obs. Y]]="","-",Readings[[#This Row],[Obs. Y]]-_xlfn.XLOOKUP(Readings[[#This Row],[Sensor ID]],Table_Baseline[Sensor ID],Table_Baseline[Northing '[m']],"-")),"-")</f>
        <v>-</v>
      </c>
      <c r="Q284" s="93" t="str">
        <f>IFERROR(IF(Readings[[#This Row],[Obs. Z]]="","-",Readings[[#This Row],[Obs. Z]]-_xlfn.XLOOKUP(Readings[[#This Row],[Sensor ID]],Table_Baseline[Sensor ID],Table_Baseline[Level '[m']],"-")),"-")</f>
        <v>-</v>
      </c>
      <c r="R284" s="93" t="str">
        <f>IFERROR(IF(Readings[[#This Row],[Reference Angle]]="-","-",(Readings[[#This Row],[Diff E]]*COS(RADIANS(Readings[[#This Row],[Reference Angle]]))-Readings[[#This Row],[Diff N]]*SIN(RADIANS(Readings[[#This Row],[Reference Angle]])))),"-")</f>
        <v>-</v>
      </c>
      <c r="S284" s="93" t="str">
        <f>IFERROR(IF(Readings[[#This Row],[Reference Angle]]="-","-",(Readings[[#This Row],[Diff E]]*SIN(RADIANS(Readings[[#This Row],[Reference Angle]]))+Readings[[#This Row],[Diff N]]*COS(RADIANS(Readings[[#This Row],[Reference Angle]])))),"-")</f>
        <v>-</v>
      </c>
      <c r="T284" s="94" t="str">
        <f>IFERROR(VLOOKUP(Readings[[#This Row],[Sensor ID]],Table_Baseline[],COLUMNS(Table_Baseline[[#Headers],[Sensor ID]:[Reference Angle '[Deg']]]),FALSE),"-")</f>
        <v>-</v>
      </c>
      <c r="U284" s="95" t="str">
        <f>Readings[[#This Row],[Sensor ID]]&amp;"-"&amp;Readings[[#This Row],[Epoch]]</f>
        <v>250-ST-OP-504-45784.2638888889</v>
      </c>
      <c r="V284" s="99">
        <f ca="1">IF(Readings[[#This Row],[Epoch]]=OFFSET(Readings[[#This Row],[Epoch]],-1,0),0,1)</f>
        <v>0</v>
      </c>
    </row>
    <row r="285" spans="4:22" x14ac:dyDescent="0.2">
      <c r="D285" s="32">
        <v>45784.263888888891</v>
      </c>
      <c r="E285" s="33" t="s">
        <v>170</v>
      </c>
      <c r="F285" s="34">
        <v>60060.065000000002</v>
      </c>
      <c r="G285" s="34">
        <v>363836.02500000002</v>
      </c>
      <c r="H285" s="34">
        <v>19.356999999999999</v>
      </c>
      <c r="I285" s="33" t="s">
        <v>85</v>
      </c>
      <c r="J285" s="33" t="s">
        <v>90</v>
      </c>
      <c r="K285" s="33">
        <v>15.5</v>
      </c>
      <c r="L285" s="33">
        <v>1020</v>
      </c>
      <c r="M285" s="33">
        <v>92</v>
      </c>
      <c r="N285" s="33"/>
      <c r="O285" s="93" t="str">
        <f>IFERROR(IF(Readings[[#This Row],[Obs. X]]="","-",Readings[[#This Row],[Obs. X]]-_xlfn.XLOOKUP(Readings[[#This Row],[Sensor ID]],Table_Baseline[Sensor ID],Table_Baseline[Easting '[m']],"-")),"-")</f>
        <v>-</v>
      </c>
      <c r="P285" s="93" t="str">
        <f>IFERROR(IF(Readings[[#This Row],[Obs. Y]]="","-",Readings[[#This Row],[Obs. Y]]-_xlfn.XLOOKUP(Readings[[#This Row],[Sensor ID]],Table_Baseline[Sensor ID],Table_Baseline[Northing '[m']],"-")),"-")</f>
        <v>-</v>
      </c>
      <c r="Q285" s="93" t="str">
        <f>IFERROR(IF(Readings[[#This Row],[Obs. Z]]="","-",Readings[[#This Row],[Obs. Z]]-_xlfn.XLOOKUP(Readings[[#This Row],[Sensor ID]],Table_Baseline[Sensor ID],Table_Baseline[Level '[m']],"-")),"-")</f>
        <v>-</v>
      </c>
      <c r="R285" s="93" t="str">
        <f>IFERROR(IF(Readings[[#This Row],[Reference Angle]]="-","-",(Readings[[#This Row],[Diff E]]*COS(RADIANS(Readings[[#This Row],[Reference Angle]]))-Readings[[#This Row],[Diff N]]*SIN(RADIANS(Readings[[#This Row],[Reference Angle]])))),"-")</f>
        <v>-</v>
      </c>
      <c r="S285" s="93" t="str">
        <f>IFERROR(IF(Readings[[#This Row],[Reference Angle]]="-","-",(Readings[[#This Row],[Diff E]]*SIN(RADIANS(Readings[[#This Row],[Reference Angle]]))+Readings[[#This Row],[Diff N]]*COS(RADIANS(Readings[[#This Row],[Reference Angle]])))),"-")</f>
        <v>-</v>
      </c>
      <c r="T285" s="94" t="str">
        <f>IFERROR(VLOOKUP(Readings[[#This Row],[Sensor ID]],Table_Baseline[],COLUMNS(Table_Baseline[[#Headers],[Sensor ID]:[Reference Angle '[Deg']]]),FALSE),"-")</f>
        <v>-</v>
      </c>
      <c r="U285" s="95" t="str">
        <f>Readings[[#This Row],[Sensor ID]]&amp;"-"&amp;Readings[[#This Row],[Epoch]]</f>
        <v>250-ST-OP-505-45784.2638888889</v>
      </c>
      <c r="V285" s="99">
        <f ca="1">IF(Readings[[#This Row],[Epoch]]=OFFSET(Readings[[#This Row],[Epoch]],-1,0),0,1)</f>
        <v>0</v>
      </c>
    </row>
    <row r="286" spans="4:22" x14ac:dyDescent="0.2">
      <c r="D286" s="32">
        <v>45784.263888888891</v>
      </c>
      <c r="E286" s="33" t="s">
        <v>172</v>
      </c>
      <c r="F286" s="34">
        <v>60035.34</v>
      </c>
      <c r="G286" s="34">
        <v>363845.739</v>
      </c>
      <c r="H286" s="34">
        <v>18.782</v>
      </c>
      <c r="I286" s="33" t="s">
        <v>85</v>
      </c>
      <c r="J286" s="33" t="s">
        <v>90</v>
      </c>
      <c r="K286" s="33">
        <v>15.5</v>
      </c>
      <c r="L286" s="33">
        <v>1020</v>
      </c>
      <c r="M286" s="33">
        <v>92</v>
      </c>
      <c r="N286" s="33"/>
      <c r="O286" s="93">
        <f>IFERROR(IF(Readings[[#This Row],[Obs. X]]="","-",Readings[[#This Row],[Obs. X]]-_xlfn.XLOOKUP(Readings[[#This Row],[Sensor ID]],Table_Baseline[Sensor ID],Table_Baseline[Easting '[m']],"-")),"-")</f>
        <v>0</v>
      </c>
      <c r="P286" s="93">
        <f>IFERROR(IF(Readings[[#This Row],[Obs. Y]]="","-",Readings[[#This Row],[Obs. Y]]-_xlfn.XLOOKUP(Readings[[#This Row],[Sensor ID]],Table_Baseline[Sensor ID],Table_Baseline[Northing '[m']],"-")),"-")</f>
        <v>0</v>
      </c>
      <c r="Q286" s="93">
        <f>IFERROR(IF(Readings[[#This Row],[Obs. Z]]="","-",Readings[[#This Row],[Obs. Z]]-_xlfn.XLOOKUP(Readings[[#This Row],[Sensor ID]],Table_Baseline[Sensor ID],Table_Baseline[Level '[m']],"-")),"-")</f>
        <v>0</v>
      </c>
      <c r="R286" s="93">
        <f>IFERROR(IF(Readings[[#This Row],[Reference Angle]]="-","-",(Readings[[#This Row],[Diff E]]*COS(RADIANS(Readings[[#This Row],[Reference Angle]]))-Readings[[#This Row],[Diff N]]*SIN(RADIANS(Readings[[#This Row],[Reference Angle]])))),"-")</f>
        <v>0</v>
      </c>
      <c r="S286" s="93">
        <f>IFERROR(IF(Readings[[#This Row],[Reference Angle]]="-","-",(Readings[[#This Row],[Diff E]]*SIN(RADIANS(Readings[[#This Row],[Reference Angle]]))+Readings[[#This Row],[Diff N]]*COS(RADIANS(Readings[[#This Row],[Reference Angle]])))),"-")</f>
        <v>0</v>
      </c>
      <c r="T286" s="94">
        <f>IFERROR(VLOOKUP(Readings[[#This Row],[Sensor ID]],Table_Baseline[],COLUMNS(Table_Baseline[[#Headers],[Sensor ID]:[Reference Angle '[Deg']]]),FALSE),"-")</f>
        <v>0</v>
      </c>
      <c r="U286" s="95" t="str">
        <f>Readings[[#This Row],[Sensor ID]]&amp;"-"&amp;Readings[[#This Row],[Epoch]]</f>
        <v>250-RL-OP-11001-45784.2638888889</v>
      </c>
      <c r="V286" s="99">
        <f ca="1">IF(Readings[[#This Row],[Epoch]]=OFFSET(Readings[[#This Row],[Epoch]],-1,0),0,1)</f>
        <v>0</v>
      </c>
    </row>
    <row r="287" spans="4:22" x14ac:dyDescent="0.2">
      <c r="D287" s="32">
        <v>45784.263888888891</v>
      </c>
      <c r="E287" s="33" t="s">
        <v>171</v>
      </c>
      <c r="F287" s="34">
        <v>60034.959000000003</v>
      </c>
      <c r="G287" s="34">
        <v>363844.47100000002</v>
      </c>
      <c r="H287" s="34">
        <v>18.777999999999999</v>
      </c>
      <c r="I287" s="33" t="s">
        <v>85</v>
      </c>
      <c r="J287" s="33" t="s">
        <v>90</v>
      </c>
      <c r="K287" s="33">
        <v>15.5</v>
      </c>
      <c r="L287" s="33">
        <v>1020</v>
      </c>
      <c r="M287" s="33">
        <v>92</v>
      </c>
      <c r="N287" s="33"/>
      <c r="O287" s="93">
        <f>IFERROR(IF(Readings[[#This Row],[Obs. X]]="","-",Readings[[#This Row],[Obs. X]]-_xlfn.XLOOKUP(Readings[[#This Row],[Sensor ID]],Table_Baseline[Sensor ID],Table_Baseline[Easting '[m']],"-")),"-")</f>
        <v>0</v>
      </c>
      <c r="P287" s="93">
        <f>IFERROR(IF(Readings[[#This Row],[Obs. Y]]="","-",Readings[[#This Row],[Obs. Y]]-_xlfn.XLOOKUP(Readings[[#This Row],[Sensor ID]],Table_Baseline[Sensor ID],Table_Baseline[Northing '[m']],"-")),"-")</f>
        <v>0</v>
      </c>
      <c r="Q287" s="93">
        <f>IFERROR(IF(Readings[[#This Row],[Obs. Z]]="","-",Readings[[#This Row],[Obs. Z]]-_xlfn.XLOOKUP(Readings[[#This Row],[Sensor ID]],Table_Baseline[Sensor ID],Table_Baseline[Level '[m']],"-")),"-")</f>
        <v>-9.9999999999766942E-5</v>
      </c>
      <c r="R287" s="93">
        <f>IFERROR(IF(Readings[[#This Row],[Reference Angle]]="-","-",(Readings[[#This Row],[Diff E]]*COS(RADIANS(Readings[[#This Row],[Reference Angle]]))-Readings[[#This Row],[Diff N]]*SIN(RADIANS(Readings[[#This Row],[Reference Angle]])))),"-")</f>
        <v>0</v>
      </c>
      <c r="S287" s="93">
        <f>IFERROR(IF(Readings[[#This Row],[Reference Angle]]="-","-",(Readings[[#This Row],[Diff E]]*SIN(RADIANS(Readings[[#This Row],[Reference Angle]]))+Readings[[#This Row],[Diff N]]*COS(RADIANS(Readings[[#This Row],[Reference Angle]])))),"-")</f>
        <v>0</v>
      </c>
      <c r="T287" s="94">
        <f>IFERROR(VLOOKUP(Readings[[#This Row],[Sensor ID]],Table_Baseline[],COLUMNS(Table_Baseline[[#Headers],[Sensor ID]:[Reference Angle '[Deg']]]),FALSE),"-")</f>
        <v>0</v>
      </c>
      <c r="U287" s="95" t="str">
        <f>Readings[[#This Row],[Sensor ID]]&amp;"-"&amp;Readings[[#This Row],[Epoch]]</f>
        <v>250-RL-OP-11002-45784.2638888889</v>
      </c>
      <c r="V287" s="99">
        <f ca="1">IF(Readings[[#This Row],[Epoch]]=OFFSET(Readings[[#This Row],[Epoch]],-1,0),0,1)</f>
        <v>0</v>
      </c>
    </row>
    <row r="288" spans="4:22" x14ac:dyDescent="0.2">
      <c r="D288" s="32">
        <v>45784.263888888891</v>
      </c>
      <c r="E288" s="33" t="s">
        <v>174</v>
      </c>
      <c r="F288" s="34">
        <v>60038.116999999998</v>
      </c>
      <c r="G288" s="34">
        <v>363844.94500000001</v>
      </c>
      <c r="H288" s="34">
        <v>18.779</v>
      </c>
      <c r="I288" s="33" t="s">
        <v>85</v>
      </c>
      <c r="J288" s="33" t="s">
        <v>90</v>
      </c>
      <c r="K288" s="33">
        <v>15.5</v>
      </c>
      <c r="L288" s="33">
        <v>1020</v>
      </c>
      <c r="M288" s="33">
        <v>92</v>
      </c>
      <c r="N288" s="33"/>
      <c r="O288" s="93">
        <f>IFERROR(IF(Readings[[#This Row],[Obs. X]]="","-",Readings[[#This Row],[Obs. X]]-_xlfn.XLOOKUP(Readings[[#This Row],[Sensor ID]],Table_Baseline[Sensor ID],Table_Baseline[Easting '[m']],"-")),"-")</f>
        <v>-1.0000000038417056E-3</v>
      </c>
      <c r="P288" s="93">
        <f>IFERROR(IF(Readings[[#This Row],[Obs. Y]]="","-",Readings[[#This Row],[Obs. Y]]-_xlfn.XLOOKUP(Readings[[#This Row],[Sensor ID]],Table_Baseline[Sensor ID],Table_Baseline[Northing '[m']],"-")),"-")</f>
        <v>0</v>
      </c>
      <c r="Q288" s="93">
        <f>IFERROR(IF(Readings[[#This Row],[Obs. Z]]="","-",Readings[[#This Row],[Obs. Z]]-_xlfn.XLOOKUP(Readings[[#This Row],[Sensor ID]],Table_Baseline[Sensor ID],Table_Baseline[Level '[m']],"-")),"-")</f>
        <v>1.9999999999953388E-4</v>
      </c>
      <c r="R288" s="93">
        <f>IFERROR(IF(Readings[[#This Row],[Reference Angle]]="-","-",(Readings[[#This Row],[Diff E]]*COS(RADIANS(Readings[[#This Row],[Reference Angle]]))-Readings[[#This Row],[Diff N]]*SIN(RADIANS(Readings[[#This Row],[Reference Angle]])))),"-")</f>
        <v>-1.0000000038417056E-3</v>
      </c>
      <c r="S288" s="93">
        <f>IFERROR(IF(Readings[[#This Row],[Reference Angle]]="-","-",(Readings[[#This Row],[Diff E]]*SIN(RADIANS(Readings[[#This Row],[Reference Angle]]))+Readings[[#This Row],[Diff N]]*COS(RADIANS(Readings[[#This Row],[Reference Angle]])))),"-")</f>
        <v>0</v>
      </c>
      <c r="T288" s="94">
        <f>IFERROR(VLOOKUP(Readings[[#This Row],[Sensor ID]],Table_Baseline[],COLUMNS(Table_Baseline[[#Headers],[Sensor ID]:[Reference Angle '[Deg']]]),FALSE),"-")</f>
        <v>0</v>
      </c>
      <c r="U288" s="95" t="str">
        <f>Readings[[#This Row],[Sensor ID]]&amp;"-"&amp;Readings[[#This Row],[Epoch]]</f>
        <v>250-RL-OP-11003-45784.2638888889</v>
      </c>
      <c r="V288" s="99">
        <f ca="1">IF(Readings[[#This Row],[Epoch]]=OFFSET(Readings[[#This Row],[Epoch]],-1,0),0,1)</f>
        <v>0</v>
      </c>
    </row>
    <row r="289" spans="4:22" x14ac:dyDescent="0.2">
      <c r="D289" s="32">
        <v>45784.263888888891</v>
      </c>
      <c r="E289" s="33" t="s">
        <v>173</v>
      </c>
      <c r="F289" s="34">
        <v>60037.805</v>
      </c>
      <c r="G289" s="34">
        <v>363843.65700000001</v>
      </c>
      <c r="H289" s="34">
        <v>18.779</v>
      </c>
      <c r="I289" s="33" t="s">
        <v>85</v>
      </c>
      <c r="J289" s="33" t="s">
        <v>90</v>
      </c>
      <c r="K289" s="33">
        <v>15.5</v>
      </c>
      <c r="L289" s="33">
        <v>1020</v>
      </c>
      <c r="M289" s="33">
        <v>92</v>
      </c>
      <c r="N289" s="33"/>
      <c r="O289" s="93">
        <f>IFERROR(IF(Readings[[#This Row],[Obs. X]]="","-",Readings[[#This Row],[Obs. X]]-_xlfn.XLOOKUP(Readings[[#This Row],[Sensor ID]],Table_Baseline[Sensor ID],Table_Baseline[Easting '[m']],"-")),"-")</f>
        <v>0</v>
      </c>
      <c r="P289" s="93">
        <f>IFERROR(IF(Readings[[#This Row],[Obs. Y]]="","-",Readings[[#This Row],[Obs. Y]]-_xlfn.XLOOKUP(Readings[[#This Row],[Sensor ID]],Table_Baseline[Sensor ID],Table_Baseline[Northing '[m']],"-")),"-")</f>
        <v>0</v>
      </c>
      <c r="Q289" s="93">
        <f>IFERROR(IF(Readings[[#This Row],[Obs. Z]]="","-",Readings[[#This Row],[Obs. Z]]-_xlfn.XLOOKUP(Readings[[#This Row],[Sensor ID]],Table_Baseline[Sensor ID],Table_Baseline[Level '[m']],"-")),"-")</f>
        <v>4.9999999999883471E-4</v>
      </c>
      <c r="R289" s="93">
        <f>IFERROR(IF(Readings[[#This Row],[Reference Angle]]="-","-",(Readings[[#This Row],[Diff E]]*COS(RADIANS(Readings[[#This Row],[Reference Angle]]))-Readings[[#This Row],[Diff N]]*SIN(RADIANS(Readings[[#This Row],[Reference Angle]])))),"-")</f>
        <v>0</v>
      </c>
      <c r="S289" s="93">
        <f>IFERROR(IF(Readings[[#This Row],[Reference Angle]]="-","-",(Readings[[#This Row],[Diff E]]*SIN(RADIANS(Readings[[#This Row],[Reference Angle]]))+Readings[[#This Row],[Diff N]]*COS(RADIANS(Readings[[#This Row],[Reference Angle]])))),"-")</f>
        <v>0</v>
      </c>
      <c r="T289" s="94">
        <f>IFERROR(VLOOKUP(Readings[[#This Row],[Sensor ID]],Table_Baseline[],COLUMNS(Table_Baseline[[#Headers],[Sensor ID]:[Reference Angle '[Deg']]]),FALSE),"-")</f>
        <v>0</v>
      </c>
      <c r="U289" s="95" t="str">
        <f>Readings[[#This Row],[Sensor ID]]&amp;"-"&amp;Readings[[#This Row],[Epoch]]</f>
        <v>250-RL-OP-11004-45784.2638888889</v>
      </c>
      <c r="V289" s="99">
        <f ca="1">IF(Readings[[#This Row],[Epoch]]=OFFSET(Readings[[#This Row],[Epoch]],-1,0),0,1)</f>
        <v>0</v>
      </c>
    </row>
    <row r="290" spans="4:22" x14ac:dyDescent="0.2">
      <c r="D290" s="32">
        <v>45784.263888888891</v>
      </c>
      <c r="E290" s="33" t="s">
        <v>176</v>
      </c>
      <c r="F290" s="34">
        <v>60040.968999999997</v>
      </c>
      <c r="G290" s="34">
        <v>363844.11800000002</v>
      </c>
      <c r="H290" s="34">
        <v>18.779</v>
      </c>
      <c r="I290" s="33" t="s">
        <v>85</v>
      </c>
      <c r="J290" s="33" t="s">
        <v>90</v>
      </c>
      <c r="K290" s="33">
        <v>15.5</v>
      </c>
      <c r="L290" s="33">
        <v>1020</v>
      </c>
      <c r="M290" s="33">
        <v>92</v>
      </c>
      <c r="N290" s="33"/>
      <c r="O290" s="93">
        <f>IFERROR(IF(Readings[[#This Row],[Obs. X]]="","-",Readings[[#This Row],[Obs. X]]-_xlfn.XLOOKUP(Readings[[#This Row],[Sensor ID]],Table_Baseline[Sensor ID],Table_Baseline[Easting '[m']],"-")),"-")</f>
        <v>0</v>
      </c>
      <c r="P290" s="93">
        <f>IFERROR(IF(Readings[[#This Row],[Obs. Y]]="","-",Readings[[#This Row],[Obs. Y]]-_xlfn.XLOOKUP(Readings[[#This Row],[Sensor ID]],Table_Baseline[Sensor ID],Table_Baseline[Northing '[m']],"-")),"-")</f>
        <v>0</v>
      </c>
      <c r="Q290" s="93">
        <f>IFERROR(IF(Readings[[#This Row],[Obs. Z]]="","-",Readings[[#This Row],[Obs. Z]]-_xlfn.XLOOKUP(Readings[[#This Row],[Sensor ID]],Table_Baseline[Sensor ID],Table_Baseline[Level '[m']],"-")),"-")</f>
        <v>0</v>
      </c>
      <c r="R290" s="93">
        <f>IFERROR(IF(Readings[[#This Row],[Reference Angle]]="-","-",(Readings[[#This Row],[Diff E]]*COS(RADIANS(Readings[[#This Row],[Reference Angle]]))-Readings[[#This Row],[Diff N]]*SIN(RADIANS(Readings[[#This Row],[Reference Angle]])))),"-")</f>
        <v>0</v>
      </c>
      <c r="S290" s="93">
        <f>IFERROR(IF(Readings[[#This Row],[Reference Angle]]="-","-",(Readings[[#This Row],[Diff E]]*SIN(RADIANS(Readings[[#This Row],[Reference Angle]]))+Readings[[#This Row],[Diff N]]*COS(RADIANS(Readings[[#This Row],[Reference Angle]])))),"-")</f>
        <v>0</v>
      </c>
      <c r="T290" s="94">
        <f>IFERROR(VLOOKUP(Readings[[#This Row],[Sensor ID]],Table_Baseline[],COLUMNS(Table_Baseline[[#Headers],[Sensor ID]:[Reference Angle '[Deg']]]),FALSE),"-")</f>
        <v>0</v>
      </c>
      <c r="U290" s="95" t="str">
        <f>Readings[[#This Row],[Sensor ID]]&amp;"-"&amp;Readings[[#This Row],[Epoch]]</f>
        <v>250-RL-OP-11005-45784.2638888889</v>
      </c>
      <c r="V290" s="99">
        <f ca="1">IF(Readings[[#This Row],[Epoch]]=OFFSET(Readings[[#This Row],[Epoch]],-1,0),0,1)</f>
        <v>0</v>
      </c>
    </row>
    <row r="291" spans="4:22" x14ac:dyDescent="0.2">
      <c r="D291" s="32">
        <v>45784.263888888891</v>
      </c>
      <c r="E291" s="33" t="s">
        <v>175</v>
      </c>
      <c r="F291" s="34">
        <v>60040.606</v>
      </c>
      <c r="G291" s="34">
        <v>363842.86199999996</v>
      </c>
      <c r="H291" s="34">
        <v>18.771999999999998</v>
      </c>
      <c r="I291" s="33" t="s">
        <v>85</v>
      </c>
      <c r="J291" s="33" t="s">
        <v>90</v>
      </c>
      <c r="K291" s="33">
        <v>15.5</v>
      </c>
      <c r="L291" s="33">
        <v>1020</v>
      </c>
      <c r="M291" s="33">
        <v>92</v>
      </c>
      <c r="N291" s="33"/>
      <c r="O291" s="93">
        <f>IFERROR(IF(Readings[[#This Row],[Obs. X]]="","-",Readings[[#This Row],[Obs. X]]-_xlfn.XLOOKUP(Readings[[#This Row],[Sensor ID]],Table_Baseline[Sensor ID],Table_Baseline[Easting '[m']],"-")),"-")</f>
        <v>-1.0000000038417056E-3</v>
      </c>
      <c r="P291" s="93">
        <f>IFERROR(IF(Readings[[#This Row],[Obs. Y]]="","-",Readings[[#This Row],[Obs. Y]]-_xlfn.XLOOKUP(Readings[[#This Row],[Sensor ID]],Table_Baseline[Sensor ID],Table_Baseline[Northing '[m']],"-")),"-")</f>
        <v>9.9999993108212948E-4</v>
      </c>
      <c r="Q291" s="93">
        <f>IFERROR(IF(Readings[[#This Row],[Obs. Z]]="","-",Readings[[#This Row],[Obs. Z]]-_xlfn.XLOOKUP(Readings[[#This Row],[Sensor ID]],Table_Baseline[Sensor ID],Table_Baseline[Level '[m']],"-")),"-")</f>
        <v>0</v>
      </c>
      <c r="R291" s="93">
        <f>IFERROR(IF(Readings[[#This Row],[Reference Angle]]="-","-",(Readings[[#This Row],[Diff E]]*COS(RADIANS(Readings[[#This Row],[Reference Angle]]))-Readings[[#This Row],[Diff N]]*SIN(RADIANS(Readings[[#This Row],[Reference Angle]])))),"-")</f>
        <v>-1.0000000038417056E-3</v>
      </c>
      <c r="S291" s="93">
        <f>IFERROR(IF(Readings[[#This Row],[Reference Angle]]="-","-",(Readings[[#This Row],[Diff E]]*SIN(RADIANS(Readings[[#This Row],[Reference Angle]]))+Readings[[#This Row],[Diff N]]*COS(RADIANS(Readings[[#This Row],[Reference Angle]])))),"-")</f>
        <v>9.9999993108212948E-4</v>
      </c>
      <c r="T291" s="94">
        <f>IFERROR(VLOOKUP(Readings[[#This Row],[Sensor ID]],Table_Baseline[],COLUMNS(Table_Baseline[[#Headers],[Sensor ID]:[Reference Angle '[Deg']]]),FALSE),"-")</f>
        <v>0</v>
      </c>
      <c r="U291" s="95" t="str">
        <f>Readings[[#This Row],[Sensor ID]]&amp;"-"&amp;Readings[[#This Row],[Epoch]]</f>
        <v>250-RL-OP-11006-45784.2638888889</v>
      </c>
      <c r="V291" s="99">
        <f ca="1">IF(Readings[[#This Row],[Epoch]]=OFFSET(Readings[[#This Row],[Epoch]],-1,0),0,1)</f>
        <v>0</v>
      </c>
    </row>
    <row r="292" spans="4:22" x14ac:dyDescent="0.2">
      <c r="D292" s="32">
        <v>45784.263888888891</v>
      </c>
      <c r="E292" s="33" t="s">
        <v>178</v>
      </c>
      <c r="F292" s="34">
        <v>60043.758999999998</v>
      </c>
      <c r="G292" s="34">
        <v>363843.315</v>
      </c>
      <c r="H292" s="34">
        <v>18.774000000000001</v>
      </c>
      <c r="I292" s="33" t="s">
        <v>85</v>
      </c>
      <c r="J292" s="33" t="s">
        <v>90</v>
      </c>
      <c r="K292" s="33">
        <v>15.5</v>
      </c>
      <c r="L292" s="33">
        <v>1020</v>
      </c>
      <c r="M292" s="33">
        <v>92</v>
      </c>
      <c r="N292" s="33"/>
      <c r="O292" s="93">
        <f>IFERROR(IF(Readings[[#This Row],[Obs. X]]="","-",Readings[[#This Row],[Obs. X]]-_xlfn.XLOOKUP(Readings[[#This Row],[Sensor ID]],Table_Baseline[Sensor ID],Table_Baseline[Easting '[m']],"-")),"-")</f>
        <v>0</v>
      </c>
      <c r="P292" s="93">
        <f>IFERROR(IF(Readings[[#This Row],[Obs. Y]]="","-",Readings[[#This Row],[Obs. Y]]-_xlfn.XLOOKUP(Readings[[#This Row],[Sensor ID]],Table_Baseline[Sensor ID],Table_Baseline[Northing '[m']],"-")),"-")</f>
        <v>9.9999998928979039E-4</v>
      </c>
      <c r="Q292" s="93">
        <f>IFERROR(IF(Readings[[#This Row],[Obs. Z]]="","-",Readings[[#This Row],[Obs. Z]]-_xlfn.XLOOKUP(Readings[[#This Row],[Sensor ID]],Table_Baseline[Sensor ID],Table_Baseline[Level '[m']],"-")),"-")</f>
        <v>-9.9999999999766942E-5</v>
      </c>
      <c r="R292" s="93">
        <f>IFERROR(IF(Readings[[#This Row],[Reference Angle]]="-","-",(Readings[[#This Row],[Diff E]]*COS(RADIANS(Readings[[#This Row],[Reference Angle]]))-Readings[[#This Row],[Diff N]]*SIN(RADIANS(Readings[[#This Row],[Reference Angle]])))),"-")</f>
        <v>0</v>
      </c>
      <c r="S292" s="93">
        <f>IFERROR(IF(Readings[[#This Row],[Reference Angle]]="-","-",(Readings[[#This Row],[Diff E]]*SIN(RADIANS(Readings[[#This Row],[Reference Angle]]))+Readings[[#This Row],[Diff N]]*COS(RADIANS(Readings[[#This Row],[Reference Angle]])))),"-")</f>
        <v>9.9999998928979039E-4</v>
      </c>
      <c r="T292" s="94">
        <f>IFERROR(VLOOKUP(Readings[[#This Row],[Sensor ID]],Table_Baseline[],COLUMNS(Table_Baseline[[#Headers],[Sensor ID]:[Reference Angle '[Deg']]]),FALSE),"-")</f>
        <v>0</v>
      </c>
      <c r="U292" s="95" t="str">
        <f>Readings[[#This Row],[Sensor ID]]&amp;"-"&amp;Readings[[#This Row],[Epoch]]</f>
        <v>250-RL-OP-11007-45784.2638888889</v>
      </c>
      <c r="V292" s="99">
        <f ca="1">IF(Readings[[#This Row],[Epoch]]=OFFSET(Readings[[#This Row],[Epoch]],-1,0),0,1)</f>
        <v>0</v>
      </c>
    </row>
    <row r="293" spans="4:22" x14ac:dyDescent="0.2">
      <c r="D293" s="32">
        <v>45784.263888888891</v>
      </c>
      <c r="E293" s="33" t="s">
        <v>177</v>
      </c>
      <c r="F293" s="34">
        <v>60043.440999999999</v>
      </c>
      <c r="G293" s="34">
        <v>363842.04200000002</v>
      </c>
      <c r="H293" s="34">
        <v>18.768999999999998</v>
      </c>
      <c r="I293" s="33" t="s">
        <v>85</v>
      </c>
      <c r="J293" s="33" t="s">
        <v>90</v>
      </c>
      <c r="K293" s="33">
        <v>15.5</v>
      </c>
      <c r="L293" s="33">
        <v>1020</v>
      </c>
      <c r="M293" s="33">
        <v>92</v>
      </c>
      <c r="N293" s="33"/>
      <c r="O293" s="93">
        <f>IFERROR(IF(Readings[[#This Row],[Obs. X]]="","-",Readings[[#This Row],[Obs. X]]-_xlfn.XLOOKUP(Readings[[#This Row],[Sensor ID]],Table_Baseline[Sensor ID],Table_Baseline[Easting '[m']],"-")),"-")</f>
        <v>0</v>
      </c>
      <c r="P293" s="93">
        <f>IFERROR(IF(Readings[[#This Row],[Obs. Y]]="","-",Readings[[#This Row],[Obs. Y]]-_xlfn.XLOOKUP(Readings[[#This Row],[Sensor ID]],Table_Baseline[Sensor ID],Table_Baseline[Northing '[m']],"-")),"-")</f>
        <v>1.9999999785795808E-3</v>
      </c>
      <c r="Q293" s="93">
        <f>IFERROR(IF(Readings[[#This Row],[Obs. Z]]="","-",Readings[[#This Row],[Obs. Z]]-_xlfn.XLOOKUP(Readings[[#This Row],[Sensor ID]],Table_Baseline[Sensor ID],Table_Baseline[Level '[m']],"-")),"-")</f>
        <v>6.9999999999836859E-4</v>
      </c>
      <c r="R293" s="93">
        <f>IFERROR(IF(Readings[[#This Row],[Reference Angle]]="-","-",(Readings[[#This Row],[Diff E]]*COS(RADIANS(Readings[[#This Row],[Reference Angle]]))-Readings[[#This Row],[Diff N]]*SIN(RADIANS(Readings[[#This Row],[Reference Angle]])))),"-")</f>
        <v>0</v>
      </c>
      <c r="S293" s="93">
        <f>IFERROR(IF(Readings[[#This Row],[Reference Angle]]="-","-",(Readings[[#This Row],[Diff E]]*SIN(RADIANS(Readings[[#This Row],[Reference Angle]]))+Readings[[#This Row],[Diff N]]*COS(RADIANS(Readings[[#This Row],[Reference Angle]])))),"-")</f>
        <v>1.9999999785795808E-3</v>
      </c>
      <c r="T293" s="94">
        <f>IFERROR(VLOOKUP(Readings[[#This Row],[Sensor ID]],Table_Baseline[],COLUMNS(Table_Baseline[[#Headers],[Sensor ID]:[Reference Angle '[Deg']]]),FALSE),"-")</f>
        <v>0</v>
      </c>
      <c r="U293" s="95" t="str">
        <f>Readings[[#This Row],[Sensor ID]]&amp;"-"&amp;Readings[[#This Row],[Epoch]]</f>
        <v>250-RL-OP-11008-45784.2638888889</v>
      </c>
      <c r="V293" s="99">
        <f ca="1">IF(Readings[[#This Row],[Epoch]]=OFFSET(Readings[[#This Row],[Epoch]],-1,0),0,1)</f>
        <v>0</v>
      </c>
    </row>
    <row r="294" spans="4:22" x14ac:dyDescent="0.2">
      <c r="D294" s="32">
        <v>45784.263888888891</v>
      </c>
      <c r="E294" s="33" t="s">
        <v>180</v>
      </c>
      <c r="F294" s="34">
        <v>60046.633000000002</v>
      </c>
      <c r="G294" s="34">
        <v>363842.48600000003</v>
      </c>
      <c r="H294" s="34">
        <v>18.777000000000001</v>
      </c>
      <c r="I294" s="33" t="s">
        <v>85</v>
      </c>
      <c r="J294" s="33" t="s">
        <v>90</v>
      </c>
      <c r="K294" s="33">
        <v>15.5</v>
      </c>
      <c r="L294" s="33">
        <v>1020</v>
      </c>
      <c r="M294" s="33">
        <v>92</v>
      </c>
      <c r="N294" s="33"/>
      <c r="O294" s="93">
        <f>IFERROR(IF(Readings[[#This Row],[Obs. X]]="","-",Readings[[#This Row],[Obs. X]]-_xlfn.XLOOKUP(Readings[[#This Row],[Sensor ID]],Table_Baseline[Sensor ID],Table_Baseline[Easting '[m']],"-")),"-")</f>
        <v>0</v>
      </c>
      <c r="P294" s="93">
        <f>IFERROR(IF(Readings[[#This Row],[Obs. Y]]="","-",Readings[[#This Row],[Obs. Y]]-_xlfn.XLOOKUP(Readings[[#This Row],[Sensor ID]],Table_Baseline[Sensor ID],Table_Baseline[Northing '[m']],"-")),"-")</f>
        <v>1.0000000474974513E-3</v>
      </c>
      <c r="Q294" s="93">
        <f>IFERROR(IF(Readings[[#This Row],[Obs. Z]]="","-",Readings[[#This Row],[Obs. Z]]-_xlfn.XLOOKUP(Readings[[#This Row],[Sensor ID]],Table_Baseline[Sensor ID],Table_Baseline[Level '[m']],"-")),"-")</f>
        <v>-5.9999999999860165E-4</v>
      </c>
      <c r="R294" s="93">
        <f>IFERROR(IF(Readings[[#This Row],[Reference Angle]]="-","-",(Readings[[#This Row],[Diff E]]*COS(RADIANS(Readings[[#This Row],[Reference Angle]]))-Readings[[#This Row],[Diff N]]*SIN(RADIANS(Readings[[#This Row],[Reference Angle]])))),"-")</f>
        <v>0</v>
      </c>
      <c r="S294" s="93">
        <f>IFERROR(IF(Readings[[#This Row],[Reference Angle]]="-","-",(Readings[[#This Row],[Diff E]]*SIN(RADIANS(Readings[[#This Row],[Reference Angle]]))+Readings[[#This Row],[Diff N]]*COS(RADIANS(Readings[[#This Row],[Reference Angle]])))),"-")</f>
        <v>1.0000000474974513E-3</v>
      </c>
      <c r="T294" s="94">
        <f>IFERROR(VLOOKUP(Readings[[#This Row],[Sensor ID]],Table_Baseline[],COLUMNS(Table_Baseline[[#Headers],[Sensor ID]:[Reference Angle '[Deg']]]),FALSE),"-")</f>
        <v>0</v>
      </c>
      <c r="U294" s="95" t="str">
        <f>Readings[[#This Row],[Sensor ID]]&amp;"-"&amp;Readings[[#This Row],[Epoch]]</f>
        <v>250-RL-OP-11009-45784.2638888889</v>
      </c>
      <c r="V294" s="99">
        <f ca="1">IF(Readings[[#This Row],[Epoch]]=OFFSET(Readings[[#This Row],[Epoch]],-1,0),0,1)</f>
        <v>0</v>
      </c>
    </row>
    <row r="295" spans="4:22" x14ac:dyDescent="0.2">
      <c r="D295" s="32">
        <v>45784.263888888891</v>
      </c>
      <c r="E295" s="33" t="s">
        <v>179</v>
      </c>
      <c r="F295" s="34">
        <v>60046.25</v>
      </c>
      <c r="G295" s="34">
        <v>363841.22700000001</v>
      </c>
      <c r="H295" s="34">
        <v>18.77</v>
      </c>
      <c r="I295" s="33" t="s">
        <v>85</v>
      </c>
      <c r="J295" s="33" t="s">
        <v>90</v>
      </c>
      <c r="K295" s="33">
        <v>15.5</v>
      </c>
      <c r="L295" s="33">
        <v>1020</v>
      </c>
      <c r="M295" s="33">
        <v>92</v>
      </c>
      <c r="N295" s="33"/>
      <c r="O295" s="93">
        <f>IFERROR(IF(Readings[[#This Row],[Obs. X]]="","-",Readings[[#This Row],[Obs. X]]-_xlfn.XLOOKUP(Readings[[#This Row],[Sensor ID]],Table_Baseline[Sensor ID],Table_Baseline[Easting '[m']],"-")),"-")</f>
        <v>0</v>
      </c>
      <c r="P295" s="93">
        <f>IFERROR(IF(Readings[[#This Row],[Obs. Y]]="","-",Readings[[#This Row],[Obs. Y]]-_xlfn.XLOOKUP(Readings[[#This Row],[Sensor ID]],Table_Baseline[Sensor ID],Table_Baseline[Northing '[m']],"-")),"-")</f>
        <v>9.9999998928979039E-4</v>
      </c>
      <c r="Q295" s="93">
        <f>IFERROR(IF(Readings[[#This Row],[Obs. Z]]="","-",Readings[[#This Row],[Obs. Z]]-_xlfn.XLOOKUP(Readings[[#This Row],[Sensor ID]],Table_Baseline[Sensor ID],Table_Baseline[Level '[m']],"-")),"-")</f>
        <v>1.9999999999953388E-4</v>
      </c>
      <c r="R295" s="93">
        <f>IFERROR(IF(Readings[[#This Row],[Reference Angle]]="-","-",(Readings[[#This Row],[Diff E]]*COS(RADIANS(Readings[[#This Row],[Reference Angle]]))-Readings[[#This Row],[Diff N]]*SIN(RADIANS(Readings[[#This Row],[Reference Angle]])))),"-")</f>
        <v>0</v>
      </c>
      <c r="S295" s="93">
        <f>IFERROR(IF(Readings[[#This Row],[Reference Angle]]="-","-",(Readings[[#This Row],[Diff E]]*SIN(RADIANS(Readings[[#This Row],[Reference Angle]]))+Readings[[#This Row],[Diff N]]*COS(RADIANS(Readings[[#This Row],[Reference Angle]])))),"-")</f>
        <v>9.9999998928979039E-4</v>
      </c>
      <c r="T295" s="94">
        <f>IFERROR(VLOOKUP(Readings[[#This Row],[Sensor ID]],Table_Baseline[],COLUMNS(Table_Baseline[[#Headers],[Sensor ID]:[Reference Angle '[Deg']]]),FALSE),"-")</f>
        <v>0</v>
      </c>
      <c r="U295" s="95" t="str">
        <f>Readings[[#This Row],[Sensor ID]]&amp;"-"&amp;Readings[[#This Row],[Epoch]]</f>
        <v>250-RL-OP-11010-45784.2638888889</v>
      </c>
      <c r="V295" s="99">
        <f ca="1">IF(Readings[[#This Row],[Epoch]]=OFFSET(Readings[[#This Row],[Epoch]],-1,0),0,1)</f>
        <v>0</v>
      </c>
    </row>
    <row r="296" spans="4:22" x14ac:dyDescent="0.2">
      <c r="D296" s="32">
        <v>45784.263888888891</v>
      </c>
      <c r="E296" s="33" t="s">
        <v>182</v>
      </c>
      <c r="F296" s="34">
        <v>60049.398999999998</v>
      </c>
      <c r="G296" s="34">
        <v>363841.69900000002</v>
      </c>
      <c r="H296" s="34">
        <v>18.777999999999999</v>
      </c>
      <c r="I296" s="33" t="s">
        <v>85</v>
      </c>
      <c r="J296" s="33" t="s">
        <v>90</v>
      </c>
      <c r="K296" s="33">
        <v>15.5</v>
      </c>
      <c r="L296" s="33">
        <v>1020</v>
      </c>
      <c r="M296" s="33">
        <v>92</v>
      </c>
      <c r="N296" s="33"/>
      <c r="O296" s="93">
        <f>IFERROR(IF(Readings[[#This Row],[Obs. X]]="","-",Readings[[#This Row],[Obs. X]]-_xlfn.XLOOKUP(Readings[[#This Row],[Sensor ID]],Table_Baseline[Sensor ID],Table_Baseline[Easting '[m']],"-")),"-")</f>
        <v>0</v>
      </c>
      <c r="P296" s="93">
        <f>IFERROR(IF(Readings[[#This Row],[Obs. Y]]="","-",Readings[[#This Row],[Obs. Y]]-_xlfn.XLOOKUP(Readings[[#This Row],[Sensor ID]],Table_Baseline[Sensor ID],Table_Baseline[Northing '[m']],"-")),"-")</f>
        <v>1.0000000474974513E-3</v>
      </c>
      <c r="Q296" s="93">
        <f>IFERROR(IF(Readings[[#This Row],[Obs. Z]]="","-",Readings[[#This Row],[Obs. Z]]-_xlfn.XLOOKUP(Readings[[#This Row],[Sensor ID]],Table_Baseline[Sensor ID],Table_Baseline[Level '[m']],"-")),"-")</f>
        <v>0</v>
      </c>
      <c r="R296" s="93">
        <f>IFERROR(IF(Readings[[#This Row],[Reference Angle]]="-","-",(Readings[[#This Row],[Diff E]]*COS(RADIANS(Readings[[#This Row],[Reference Angle]]))-Readings[[#This Row],[Diff N]]*SIN(RADIANS(Readings[[#This Row],[Reference Angle]])))),"-")</f>
        <v>0</v>
      </c>
      <c r="S296" s="93">
        <f>IFERROR(IF(Readings[[#This Row],[Reference Angle]]="-","-",(Readings[[#This Row],[Diff E]]*SIN(RADIANS(Readings[[#This Row],[Reference Angle]]))+Readings[[#This Row],[Diff N]]*COS(RADIANS(Readings[[#This Row],[Reference Angle]])))),"-")</f>
        <v>1.0000000474974513E-3</v>
      </c>
      <c r="T296" s="94">
        <f>IFERROR(VLOOKUP(Readings[[#This Row],[Sensor ID]],Table_Baseline[],COLUMNS(Table_Baseline[[#Headers],[Sensor ID]:[Reference Angle '[Deg']]]),FALSE),"-")</f>
        <v>0</v>
      </c>
      <c r="U296" s="95" t="str">
        <f>Readings[[#This Row],[Sensor ID]]&amp;"-"&amp;Readings[[#This Row],[Epoch]]</f>
        <v>250-RL-OP-11011-45784.2638888889</v>
      </c>
      <c r="V296" s="99">
        <f ca="1">IF(Readings[[#This Row],[Epoch]]=OFFSET(Readings[[#This Row],[Epoch]],-1,0),0,1)</f>
        <v>0</v>
      </c>
    </row>
    <row r="297" spans="4:22" x14ac:dyDescent="0.2">
      <c r="D297" s="32">
        <v>45784.263888888891</v>
      </c>
      <c r="E297" s="33" t="s">
        <v>181</v>
      </c>
      <c r="F297" s="34">
        <v>60049.040999999997</v>
      </c>
      <c r="G297" s="34">
        <v>363840.435</v>
      </c>
      <c r="H297" s="34">
        <v>18.771000000000001</v>
      </c>
      <c r="I297" s="33" t="s">
        <v>85</v>
      </c>
      <c r="J297" s="33" t="s">
        <v>90</v>
      </c>
      <c r="K297" s="33">
        <v>15.5</v>
      </c>
      <c r="L297" s="33">
        <v>1020</v>
      </c>
      <c r="M297" s="33">
        <v>92</v>
      </c>
      <c r="N297" s="33"/>
      <c r="O297" s="93">
        <f>IFERROR(IF(Readings[[#This Row],[Obs. X]]="","-",Readings[[#This Row],[Obs. X]]-_xlfn.XLOOKUP(Readings[[#This Row],[Sensor ID]],Table_Baseline[Sensor ID],Table_Baseline[Easting '[m']],"-")),"-")</f>
        <v>0</v>
      </c>
      <c r="P297" s="93">
        <f>IFERROR(IF(Readings[[#This Row],[Obs. Y]]="","-",Readings[[#This Row],[Obs. Y]]-_xlfn.XLOOKUP(Readings[[#This Row],[Sensor ID]],Table_Baseline[Sensor ID],Table_Baseline[Northing '[m']],"-")),"-")</f>
        <v>2.0000000367872417E-3</v>
      </c>
      <c r="Q297" s="93">
        <f>IFERROR(IF(Readings[[#This Row],[Obs. Z]]="","-",Readings[[#This Row],[Obs. Z]]-_xlfn.XLOOKUP(Readings[[#This Row],[Sensor ID]],Table_Baseline[Sensor ID],Table_Baseline[Level '[m']],"-")),"-")</f>
        <v>-9.9999999999766942E-5</v>
      </c>
      <c r="R297" s="93">
        <f>IFERROR(IF(Readings[[#This Row],[Reference Angle]]="-","-",(Readings[[#This Row],[Diff E]]*COS(RADIANS(Readings[[#This Row],[Reference Angle]]))-Readings[[#This Row],[Diff N]]*SIN(RADIANS(Readings[[#This Row],[Reference Angle]])))),"-")</f>
        <v>0</v>
      </c>
      <c r="S297" s="93">
        <f>IFERROR(IF(Readings[[#This Row],[Reference Angle]]="-","-",(Readings[[#This Row],[Diff E]]*SIN(RADIANS(Readings[[#This Row],[Reference Angle]]))+Readings[[#This Row],[Diff N]]*COS(RADIANS(Readings[[#This Row],[Reference Angle]])))),"-")</f>
        <v>2.0000000367872417E-3</v>
      </c>
      <c r="T297" s="94">
        <f>IFERROR(VLOOKUP(Readings[[#This Row],[Sensor ID]],Table_Baseline[],COLUMNS(Table_Baseline[[#Headers],[Sensor ID]:[Reference Angle '[Deg']]]),FALSE),"-")</f>
        <v>0</v>
      </c>
      <c r="U297" s="95" t="str">
        <f>Readings[[#This Row],[Sensor ID]]&amp;"-"&amp;Readings[[#This Row],[Epoch]]</f>
        <v>250-RL-OP-11012-45784.2638888889</v>
      </c>
      <c r="V297" s="99">
        <f ca="1">IF(Readings[[#This Row],[Epoch]]=OFFSET(Readings[[#This Row],[Epoch]],-1,0),0,1)</f>
        <v>0</v>
      </c>
    </row>
    <row r="298" spans="4:22" x14ac:dyDescent="0.2">
      <c r="D298" s="32">
        <v>45784.263888888891</v>
      </c>
      <c r="E298" s="33" t="s">
        <v>184</v>
      </c>
      <c r="F298" s="34">
        <v>60052.292999999998</v>
      </c>
      <c r="G298" s="34">
        <v>363840.88699999999</v>
      </c>
      <c r="H298" s="34">
        <v>18.779</v>
      </c>
      <c r="I298" s="33" t="s">
        <v>85</v>
      </c>
      <c r="J298" s="33" t="s">
        <v>90</v>
      </c>
      <c r="K298" s="33">
        <v>15.5</v>
      </c>
      <c r="L298" s="33">
        <v>1020</v>
      </c>
      <c r="M298" s="33">
        <v>92</v>
      </c>
      <c r="N298" s="33"/>
      <c r="O298" s="93">
        <f>IFERROR(IF(Readings[[#This Row],[Obs. X]]="","-",Readings[[#This Row],[Obs. X]]-_xlfn.XLOOKUP(Readings[[#This Row],[Sensor ID]],Table_Baseline[Sensor ID],Table_Baseline[Easting '[m']],"-")),"-")</f>
        <v>0</v>
      </c>
      <c r="P298" s="93">
        <f>IFERROR(IF(Readings[[#This Row],[Obs. Y]]="","-",Readings[[#This Row],[Obs. Y]]-_xlfn.XLOOKUP(Readings[[#This Row],[Sensor ID]],Table_Baseline[Sensor ID],Table_Baseline[Northing '[m']],"-")),"-")</f>
        <v>1.9999999785795808E-3</v>
      </c>
      <c r="Q298" s="93">
        <f>IFERROR(IF(Readings[[#This Row],[Obs. Z]]="","-",Readings[[#This Row],[Obs. Z]]-_xlfn.XLOOKUP(Readings[[#This Row],[Sensor ID]],Table_Baseline[Sensor ID],Table_Baseline[Level '[m']],"-")),"-")</f>
        <v>0</v>
      </c>
      <c r="R298" s="93">
        <f>IFERROR(IF(Readings[[#This Row],[Reference Angle]]="-","-",(Readings[[#This Row],[Diff E]]*COS(RADIANS(Readings[[#This Row],[Reference Angle]]))-Readings[[#This Row],[Diff N]]*SIN(RADIANS(Readings[[#This Row],[Reference Angle]])))),"-")</f>
        <v>0</v>
      </c>
      <c r="S298" s="93">
        <f>IFERROR(IF(Readings[[#This Row],[Reference Angle]]="-","-",(Readings[[#This Row],[Diff E]]*SIN(RADIANS(Readings[[#This Row],[Reference Angle]]))+Readings[[#This Row],[Diff N]]*COS(RADIANS(Readings[[#This Row],[Reference Angle]])))),"-")</f>
        <v>1.9999999785795808E-3</v>
      </c>
      <c r="T298" s="94">
        <f>IFERROR(VLOOKUP(Readings[[#This Row],[Sensor ID]],Table_Baseline[],COLUMNS(Table_Baseline[[#Headers],[Sensor ID]:[Reference Angle '[Deg']]]),FALSE),"-")</f>
        <v>0</v>
      </c>
      <c r="U298" s="95" t="str">
        <f>Readings[[#This Row],[Sensor ID]]&amp;"-"&amp;Readings[[#This Row],[Epoch]]</f>
        <v>250-RL-OP-11013-45784.2638888889</v>
      </c>
      <c r="V298" s="99">
        <f ca="1">IF(Readings[[#This Row],[Epoch]]=OFFSET(Readings[[#This Row],[Epoch]],-1,0),0,1)</f>
        <v>0</v>
      </c>
    </row>
    <row r="299" spans="4:22" x14ac:dyDescent="0.2">
      <c r="D299" s="32">
        <v>45784.263888888891</v>
      </c>
      <c r="E299" s="33" t="s">
        <v>183</v>
      </c>
      <c r="F299" s="34">
        <v>60051.989000000001</v>
      </c>
      <c r="G299" s="34">
        <v>363839.60600000003</v>
      </c>
      <c r="H299" s="34">
        <v>18.77</v>
      </c>
      <c r="I299" s="33" t="s">
        <v>85</v>
      </c>
      <c r="J299" s="33" t="s">
        <v>90</v>
      </c>
      <c r="K299" s="33">
        <v>15.5</v>
      </c>
      <c r="L299" s="33">
        <v>1020</v>
      </c>
      <c r="M299" s="33">
        <v>92</v>
      </c>
      <c r="N299" s="33"/>
      <c r="O299" s="93">
        <f>IFERROR(IF(Readings[[#This Row],[Obs. X]]="","-",Readings[[#This Row],[Obs. X]]-_xlfn.XLOOKUP(Readings[[#This Row],[Sensor ID]],Table_Baseline[Sensor ID],Table_Baseline[Easting '[m']],"-")),"-")</f>
        <v>0</v>
      </c>
      <c r="P299" s="93">
        <f>IFERROR(IF(Readings[[#This Row],[Obs. Y]]="","-",Readings[[#This Row],[Obs. Y]]-_xlfn.XLOOKUP(Readings[[#This Row],[Sensor ID]],Table_Baseline[Sensor ID],Table_Baseline[Northing '[m']],"-")),"-")</f>
        <v>3.0000000260770321E-3</v>
      </c>
      <c r="Q299" s="93">
        <f>IFERROR(IF(Readings[[#This Row],[Obs. Z]]="","-",Readings[[#This Row],[Obs. Z]]-_xlfn.XLOOKUP(Readings[[#This Row],[Sensor ID]],Table_Baseline[Sensor ID],Table_Baseline[Level '[m']],"-")),"-")</f>
        <v>-9.9999999999766942E-5</v>
      </c>
      <c r="R299" s="93">
        <f>IFERROR(IF(Readings[[#This Row],[Reference Angle]]="-","-",(Readings[[#This Row],[Diff E]]*COS(RADIANS(Readings[[#This Row],[Reference Angle]]))-Readings[[#This Row],[Diff N]]*SIN(RADIANS(Readings[[#This Row],[Reference Angle]])))),"-")</f>
        <v>0</v>
      </c>
      <c r="S299" s="93">
        <f>IFERROR(IF(Readings[[#This Row],[Reference Angle]]="-","-",(Readings[[#This Row],[Diff E]]*SIN(RADIANS(Readings[[#This Row],[Reference Angle]]))+Readings[[#This Row],[Diff N]]*COS(RADIANS(Readings[[#This Row],[Reference Angle]])))),"-")</f>
        <v>3.0000000260770321E-3</v>
      </c>
      <c r="T299" s="94">
        <f>IFERROR(VLOOKUP(Readings[[#This Row],[Sensor ID]],Table_Baseline[],COLUMNS(Table_Baseline[[#Headers],[Sensor ID]:[Reference Angle '[Deg']]]),FALSE),"-")</f>
        <v>0</v>
      </c>
      <c r="U299" s="95" t="str">
        <f>Readings[[#This Row],[Sensor ID]]&amp;"-"&amp;Readings[[#This Row],[Epoch]]</f>
        <v>250-RL-OP-11014-45784.2638888889</v>
      </c>
      <c r="V299" s="99">
        <f ca="1">IF(Readings[[#This Row],[Epoch]]=OFFSET(Readings[[#This Row],[Epoch]],-1,0),0,1)</f>
        <v>0</v>
      </c>
    </row>
    <row r="300" spans="4:22" x14ac:dyDescent="0.2">
      <c r="D300" s="32">
        <v>45784.263888888891</v>
      </c>
      <c r="E300" s="33" t="s">
        <v>186</v>
      </c>
      <c r="F300" s="34">
        <v>60055.196000000004</v>
      </c>
      <c r="G300" s="34">
        <v>363840.09700000001</v>
      </c>
      <c r="H300" s="34">
        <v>18.78</v>
      </c>
      <c r="I300" s="33" t="s">
        <v>85</v>
      </c>
      <c r="J300" s="33" t="s">
        <v>90</v>
      </c>
      <c r="K300" s="33">
        <v>15.5</v>
      </c>
      <c r="L300" s="33">
        <v>1020</v>
      </c>
      <c r="M300" s="33">
        <v>92</v>
      </c>
      <c r="N300" s="33"/>
      <c r="O300" s="93">
        <f>IFERROR(IF(Readings[[#This Row],[Obs. X]]="","-",Readings[[#This Row],[Obs. X]]-_xlfn.XLOOKUP(Readings[[#This Row],[Sensor ID]],Table_Baseline[Sensor ID],Table_Baseline[Easting '[m']],"-")),"-")</f>
        <v>0</v>
      </c>
      <c r="P300" s="93">
        <f>IFERROR(IF(Readings[[#This Row],[Obs. Y]]="","-",Readings[[#This Row],[Obs. Y]]-_xlfn.XLOOKUP(Readings[[#This Row],[Sensor ID]],Table_Baseline[Sensor ID],Table_Baseline[Northing '[m']],"-")),"-")</f>
        <v>2.0000000367872417E-3</v>
      </c>
      <c r="Q300" s="93">
        <f>IFERROR(IF(Readings[[#This Row],[Obs. Z]]="","-",Readings[[#This Row],[Obs. Z]]-_xlfn.XLOOKUP(Readings[[#This Row],[Sensor ID]],Table_Baseline[Sensor ID],Table_Baseline[Level '[m']],"-")),"-")</f>
        <v>-8.9999999999790248E-4</v>
      </c>
      <c r="R300" s="93">
        <f>IFERROR(IF(Readings[[#This Row],[Reference Angle]]="-","-",(Readings[[#This Row],[Diff E]]*COS(RADIANS(Readings[[#This Row],[Reference Angle]]))-Readings[[#This Row],[Diff N]]*SIN(RADIANS(Readings[[#This Row],[Reference Angle]])))),"-")</f>
        <v>0</v>
      </c>
      <c r="S300" s="93">
        <f>IFERROR(IF(Readings[[#This Row],[Reference Angle]]="-","-",(Readings[[#This Row],[Diff E]]*SIN(RADIANS(Readings[[#This Row],[Reference Angle]]))+Readings[[#This Row],[Diff N]]*COS(RADIANS(Readings[[#This Row],[Reference Angle]])))),"-")</f>
        <v>2.0000000367872417E-3</v>
      </c>
      <c r="T300" s="94">
        <f>IFERROR(VLOOKUP(Readings[[#This Row],[Sensor ID]],Table_Baseline[],COLUMNS(Table_Baseline[[#Headers],[Sensor ID]:[Reference Angle '[Deg']]]),FALSE),"-")</f>
        <v>0</v>
      </c>
      <c r="U300" s="95" t="str">
        <f>Readings[[#This Row],[Sensor ID]]&amp;"-"&amp;Readings[[#This Row],[Epoch]]</f>
        <v>250-RL-OP-11015-45784.2638888889</v>
      </c>
      <c r="V300" s="99">
        <f ca="1">IF(Readings[[#This Row],[Epoch]]=OFFSET(Readings[[#This Row],[Epoch]],-1,0),0,1)</f>
        <v>0</v>
      </c>
    </row>
    <row r="301" spans="4:22" x14ac:dyDescent="0.2">
      <c r="D301" s="32">
        <v>45784.263888888891</v>
      </c>
      <c r="E301" s="33" t="s">
        <v>185</v>
      </c>
      <c r="F301" s="34">
        <v>60054.885000000002</v>
      </c>
      <c r="G301" s="34">
        <v>363838.80700000003</v>
      </c>
      <c r="H301" s="34">
        <v>18.773</v>
      </c>
      <c r="I301" s="33" t="s">
        <v>85</v>
      </c>
      <c r="J301" s="33" t="s">
        <v>90</v>
      </c>
      <c r="K301" s="33">
        <v>15.5</v>
      </c>
      <c r="L301" s="33">
        <v>1020</v>
      </c>
      <c r="M301" s="33">
        <v>92</v>
      </c>
      <c r="N301" s="33"/>
      <c r="O301" s="93">
        <f>IFERROR(IF(Readings[[#This Row],[Obs. X]]="","-",Readings[[#This Row],[Obs. X]]-_xlfn.XLOOKUP(Readings[[#This Row],[Sensor ID]],Table_Baseline[Sensor ID],Table_Baseline[Easting '[m']],"-")),"-")</f>
        <v>-9.9999999656574801E-4</v>
      </c>
      <c r="P301" s="93">
        <f>IFERROR(IF(Readings[[#This Row],[Obs. Y]]="","-",Readings[[#This Row],[Obs. Y]]-_xlfn.XLOOKUP(Readings[[#This Row],[Sensor ID]],Table_Baseline[Sensor ID],Table_Baseline[Northing '[m']],"-")),"-")</f>
        <v>2.0000000367872417E-3</v>
      </c>
      <c r="Q301" s="93">
        <f>IFERROR(IF(Readings[[#This Row],[Obs. Z]]="","-",Readings[[#This Row],[Obs. Z]]-_xlfn.XLOOKUP(Readings[[#This Row],[Sensor ID]],Table_Baseline[Sensor ID],Table_Baseline[Level '[m']],"-")),"-")</f>
        <v>-9.9999999999766942E-5</v>
      </c>
      <c r="R301" s="93">
        <f>IFERROR(IF(Readings[[#This Row],[Reference Angle]]="-","-",(Readings[[#This Row],[Diff E]]*COS(RADIANS(Readings[[#This Row],[Reference Angle]]))-Readings[[#This Row],[Diff N]]*SIN(RADIANS(Readings[[#This Row],[Reference Angle]])))),"-")</f>
        <v>-9.9999999656574801E-4</v>
      </c>
      <c r="S301" s="93">
        <f>IFERROR(IF(Readings[[#This Row],[Reference Angle]]="-","-",(Readings[[#This Row],[Diff E]]*SIN(RADIANS(Readings[[#This Row],[Reference Angle]]))+Readings[[#This Row],[Diff N]]*COS(RADIANS(Readings[[#This Row],[Reference Angle]])))),"-")</f>
        <v>2.0000000367872417E-3</v>
      </c>
      <c r="T301" s="94">
        <f>IFERROR(VLOOKUP(Readings[[#This Row],[Sensor ID]],Table_Baseline[],COLUMNS(Table_Baseline[[#Headers],[Sensor ID]:[Reference Angle '[Deg']]]),FALSE),"-")</f>
        <v>0</v>
      </c>
      <c r="U301" s="95" t="str">
        <f>Readings[[#This Row],[Sensor ID]]&amp;"-"&amp;Readings[[#This Row],[Epoch]]</f>
        <v>250-RL-OP-11016-45784.2638888889</v>
      </c>
      <c r="V301" s="99">
        <f ca="1">IF(Readings[[#This Row],[Epoch]]=OFFSET(Readings[[#This Row],[Epoch]],-1,0),0,1)</f>
        <v>0</v>
      </c>
    </row>
    <row r="302" spans="4:22" x14ac:dyDescent="0.2">
      <c r="D302" s="32">
        <v>45784.263888888891</v>
      </c>
      <c r="E302" s="33" t="s">
        <v>188</v>
      </c>
      <c r="F302" s="34">
        <v>60057.951999999997</v>
      </c>
      <c r="G302" s="34">
        <v>363839.36499999999</v>
      </c>
      <c r="H302" s="34">
        <v>18.786000000000001</v>
      </c>
      <c r="I302" s="33" t="s">
        <v>85</v>
      </c>
      <c r="J302" s="33" t="s">
        <v>90</v>
      </c>
      <c r="K302" s="33">
        <v>15.5</v>
      </c>
      <c r="L302" s="33">
        <v>1020</v>
      </c>
      <c r="M302" s="33">
        <v>92</v>
      </c>
      <c r="N302" s="33"/>
      <c r="O302" s="93">
        <f>IFERROR(IF(Readings[[#This Row],[Obs. X]]="","-",Readings[[#This Row],[Obs. X]]-_xlfn.XLOOKUP(Readings[[#This Row],[Sensor ID]],Table_Baseline[Sensor ID],Table_Baseline[Easting '[m']],"-")),"-")</f>
        <v>0</v>
      </c>
      <c r="P302" s="93">
        <f>IFERROR(IF(Readings[[#This Row],[Obs. Y]]="","-",Readings[[#This Row],[Obs. Y]]-_xlfn.XLOOKUP(Readings[[#This Row],[Sensor ID]],Table_Baseline[Sensor ID],Table_Baseline[Northing '[m']],"-")),"-")</f>
        <v>3.0000000260770321E-3</v>
      </c>
      <c r="Q302" s="93">
        <f>IFERROR(IF(Readings[[#This Row],[Obs. Z]]="","-",Readings[[#This Row],[Obs. Z]]-_xlfn.XLOOKUP(Readings[[#This Row],[Sensor ID]],Table_Baseline[Sensor ID],Table_Baseline[Level '[m']],"-")),"-")</f>
        <v>0</v>
      </c>
      <c r="R302" s="93">
        <f>IFERROR(IF(Readings[[#This Row],[Reference Angle]]="-","-",(Readings[[#This Row],[Diff E]]*COS(RADIANS(Readings[[#This Row],[Reference Angle]]))-Readings[[#This Row],[Diff N]]*SIN(RADIANS(Readings[[#This Row],[Reference Angle]])))),"-")</f>
        <v>0</v>
      </c>
      <c r="S302" s="93">
        <f>IFERROR(IF(Readings[[#This Row],[Reference Angle]]="-","-",(Readings[[#This Row],[Diff E]]*SIN(RADIANS(Readings[[#This Row],[Reference Angle]]))+Readings[[#This Row],[Diff N]]*COS(RADIANS(Readings[[#This Row],[Reference Angle]])))),"-")</f>
        <v>3.0000000260770321E-3</v>
      </c>
      <c r="T302" s="94">
        <f>IFERROR(VLOOKUP(Readings[[#This Row],[Sensor ID]],Table_Baseline[],COLUMNS(Table_Baseline[[#Headers],[Sensor ID]:[Reference Angle '[Deg']]]),FALSE),"-")</f>
        <v>0</v>
      </c>
      <c r="U302" s="95" t="str">
        <f>Readings[[#This Row],[Sensor ID]]&amp;"-"&amp;Readings[[#This Row],[Epoch]]</f>
        <v>250-RL-OP-11017-45784.2638888889</v>
      </c>
      <c r="V302" s="99">
        <f ca="1">IF(Readings[[#This Row],[Epoch]]=OFFSET(Readings[[#This Row],[Epoch]],-1,0),0,1)</f>
        <v>0</v>
      </c>
    </row>
    <row r="303" spans="4:22" x14ac:dyDescent="0.2">
      <c r="D303" s="32">
        <v>45784.263888888891</v>
      </c>
      <c r="E303" s="33" t="s">
        <v>187</v>
      </c>
      <c r="F303" s="34">
        <v>60057.578000000001</v>
      </c>
      <c r="G303" s="34">
        <v>363838.10100000002</v>
      </c>
      <c r="H303" s="34">
        <v>18.776</v>
      </c>
      <c r="I303" s="33" t="s">
        <v>85</v>
      </c>
      <c r="J303" s="33" t="s">
        <v>90</v>
      </c>
      <c r="K303" s="33">
        <v>15.5</v>
      </c>
      <c r="L303" s="33">
        <v>1020</v>
      </c>
      <c r="M303" s="33">
        <v>92</v>
      </c>
      <c r="N303" s="33"/>
      <c r="O303" s="93">
        <f>IFERROR(IF(Readings[[#This Row],[Obs. X]]="","-",Readings[[#This Row],[Obs. X]]-_xlfn.XLOOKUP(Readings[[#This Row],[Sensor ID]],Table_Baseline[Sensor ID],Table_Baseline[Easting '[m']],"-")),"-")</f>
        <v>-9.9999999656574801E-4</v>
      </c>
      <c r="P303" s="93">
        <f>IFERROR(IF(Readings[[#This Row],[Obs. Y]]="","-",Readings[[#This Row],[Obs. Y]]-_xlfn.XLOOKUP(Readings[[#This Row],[Sensor ID]],Table_Baseline[Sensor ID],Table_Baseline[Northing '[m']],"-")),"-")</f>
        <v>3.0000000260770321E-3</v>
      </c>
      <c r="Q303" s="93">
        <f>IFERROR(IF(Readings[[#This Row],[Obs. Z]]="","-",Readings[[#This Row],[Obs. Z]]-_xlfn.XLOOKUP(Readings[[#This Row],[Sensor ID]],Table_Baseline[Sensor ID],Table_Baseline[Level '[m']],"-")),"-")</f>
        <v>0</v>
      </c>
      <c r="R303" s="93">
        <f>IFERROR(IF(Readings[[#This Row],[Reference Angle]]="-","-",(Readings[[#This Row],[Diff E]]*COS(RADIANS(Readings[[#This Row],[Reference Angle]]))-Readings[[#This Row],[Diff N]]*SIN(RADIANS(Readings[[#This Row],[Reference Angle]])))),"-")</f>
        <v>-9.9999999656574801E-4</v>
      </c>
      <c r="S303" s="93">
        <f>IFERROR(IF(Readings[[#This Row],[Reference Angle]]="-","-",(Readings[[#This Row],[Diff E]]*SIN(RADIANS(Readings[[#This Row],[Reference Angle]]))+Readings[[#This Row],[Diff N]]*COS(RADIANS(Readings[[#This Row],[Reference Angle]])))),"-")</f>
        <v>3.0000000260770321E-3</v>
      </c>
      <c r="T303" s="94">
        <f>IFERROR(VLOOKUP(Readings[[#This Row],[Sensor ID]],Table_Baseline[],COLUMNS(Table_Baseline[[#Headers],[Sensor ID]:[Reference Angle '[Deg']]]),FALSE),"-")</f>
        <v>0</v>
      </c>
      <c r="U303" s="95" t="str">
        <f>Readings[[#This Row],[Sensor ID]]&amp;"-"&amp;Readings[[#This Row],[Epoch]]</f>
        <v>250-RL-OP-11018-45784.2638888889</v>
      </c>
      <c r="V303" s="99">
        <f ca="1">IF(Readings[[#This Row],[Epoch]]=OFFSET(Readings[[#This Row],[Epoch]],-1,0),0,1)</f>
        <v>0</v>
      </c>
    </row>
    <row r="304" spans="4:22" x14ac:dyDescent="0.2">
      <c r="D304" s="32">
        <v>45784.263888888891</v>
      </c>
      <c r="E304" s="33" t="s">
        <v>190</v>
      </c>
      <c r="F304" s="34">
        <v>60060.962</v>
      </c>
      <c r="G304" s="34">
        <v>363838.60399999999</v>
      </c>
      <c r="H304" s="34">
        <v>18.794</v>
      </c>
      <c r="I304" s="33" t="s">
        <v>85</v>
      </c>
      <c r="J304" s="33" t="s">
        <v>90</v>
      </c>
      <c r="K304" s="33">
        <v>15.5</v>
      </c>
      <c r="L304" s="33">
        <v>1020</v>
      </c>
      <c r="M304" s="33">
        <v>92</v>
      </c>
      <c r="N304" s="33"/>
      <c r="O304" s="93">
        <f>IFERROR(IF(Readings[[#This Row],[Obs. X]]="","-",Readings[[#This Row],[Obs. X]]-_xlfn.XLOOKUP(Readings[[#This Row],[Sensor ID]],Table_Baseline[Sensor ID],Table_Baseline[Easting '[m']],"-")),"-")</f>
        <v>-1.0000000038417056E-3</v>
      </c>
      <c r="P304" s="93">
        <f>IFERROR(IF(Readings[[#This Row],[Obs. Y]]="","-",Readings[[#This Row],[Obs. Y]]-_xlfn.XLOOKUP(Readings[[#This Row],[Sensor ID]],Table_Baseline[Sensor ID],Table_Baseline[Northing '[m']],"-")),"-")</f>
        <v>2.9999999678693712E-3</v>
      </c>
      <c r="Q304" s="93">
        <f>IFERROR(IF(Readings[[#This Row],[Obs. Z]]="","-",Readings[[#This Row],[Obs. Z]]-_xlfn.XLOOKUP(Readings[[#This Row],[Sensor ID]],Table_Baseline[Sensor ID],Table_Baseline[Level '[m']],"-")),"-")</f>
        <v>-5.9999999999860165E-4</v>
      </c>
      <c r="R304" s="93">
        <f>IFERROR(IF(Readings[[#This Row],[Reference Angle]]="-","-",(Readings[[#This Row],[Diff E]]*COS(RADIANS(Readings[[#This Row],[Reference Angle]]))-Readings[[#This Row],[Diff N]]*SIN(RADIANS(Readings[[#This Row],[Reference Angle]])))),"-")</f>
        <v>-1.0000000038417056E-3</v>
      </c>
      <c r="S304" s="93">
        <f>IFERROR(IF(Readings[[#This Row],[Reference Angle]]="-","-",(Readings[[#This Row],[Diff E]]*SIN(RADIANS(Readings[[#This Row],[Reference Angle]]))+Readings[[#This Row],[Diff N]]*COS(RADIANS(Readings[[#This Row],[Reference Angle]])))),"-")</f>
        <v>2.9999999678693712E-3</v>
      </c>
      <c r="T304" s="94">
        <f>IFERROR(VLOOKUP(Readings[[#This Row],[Sensor ID]],Table_Baseline[],COLUMNS(Table_Baseline[[#Headers],[Sensor ID]:[Reference Angle '[Deg']]]),FALSE),"-")</f>
        <v>0</v>
      </c>
      <c r="U304" s="95" t="str">
        <f>Readings[[#This Row],[Sensor ID]]&amp;"-"&amp;Readings[[#This Row],[Epoch]]</f>
        <v>250-RL-OP-11019-45784.2638888889</v>
      </c>
      <c r="V304" s="99">
        <f ca="1">IF(Readings[[#This Row],[Epoch]]=OFFSET(Readings[[#This Row],[Epoch]],-1,0),0,1)</f>
        <v>0</v>
      </c>
    </row>
    <row r="305" spans="4:22" x14ac:dyDescent="0.2">
      <c r="D305" s="32">
        <v>45784.263888888891</v>
      </c>
      <c r="E305" s="33" t="s">
        <v>189</v>
      </c>
      <c r="F305" s="34">
        <v>60060.639999999999</v>
      </c>
      <c r="G305" s="34">
        <v>363837.32500000001</v>
      </c>
      <c r="H305" s="34">
        <v>18.783000000000001</v>
      </c>
      <c r="I305" s="33" t="s">
        <v>85</v>
      </c>
      <c r="J305" s="33" t="s">
        <v>90</v>
      </c>
      <c r="K305" s="33">
        <v>15.5</v>
      </c>
      <c r="L305" s="33">
        <v>1020</v>
      </c>
      <c r="M305" s="33">
        <v>92</v>
      </c>
      <c r="N305" s="33"/>
      <c r="O305" s="93">
        <f>IFERROR(IF(Readings[[#This Row],[Obs. X]]="","-",Readings[[#This Row],[Obs. X]]-_xlfn.XLOOKUP(Readings[[#This Row],[Sensor ID]],Table_Baseline[Sensor ID],Table_Baseline[Easting '[m']],"-")),"-")</f>
        <v>0</v>
      </c>
      <c r="P305" s="93">
        <f>IFERROR(IF(Readings[[#This Row],[Obs. Y]]="","-",Readings[[#This Row],[Obs. Y]]-_xlfn.XLOOKUP(Readings[[#This Row],[Sensor ID]],Table_Baseline[Sensor ID],Table_Baseline[Northing '[m']],"-")),"-")</f>
        <v>3.0000000260770321E-3</v>
      </c>
      <c r="Q305" s="93">
        <f>IFERROR(IF(Readings[[#This Row],[Obs. Z]]="","-",Readings[[#This Row],[Obs. Z]]-_xlfn.XLOOKUP(Readings[[#This Row],[Sensor ID]],Table_Baseline[Sensor ID],Table_Baseline[Level '[m']],"-")),"-")</f>
        <v>-5.9999999999860165E-4</v>
      </c>
      <c r="R305" s="93">
        <f>IFERROR(IF(Readings[[#This Row],[Reference Angle]]="-","-",(Readings[[#This Row],[Diff E]]*COS(RADIANS(Readings[[#This Row],[Reference Angle]]))-Readings[[#This Row],[Diff N]]*SIN(RADIANS(Readings[[#This Row],[Reference Angle]])))),"-")</f>
        <v>0</v>
      </c>
      <c r="S305" s="93">
        <f>IFERROR(IF(Readings[[#This Row],[Reference Angle]]="-","-",(Readings[[#This Row],[Diff E]]*SIN(RADIANS(Readings[[#This Row],[Reference Angle]]))+Readings[[#This Row],[Diff N]]*COS(RADIANS(Readings[[#This Row],[Reference Angle]])))),"-")</f>
        <v>3.0000000260770321E-3</v>
      </c>
      <c r="T305" s="94">
        <f>IFERROR(VLOOKUP(Readings[[#This Row],[Sensor ID]],Table_Baseline[],COLUMNS(Table_Baseline[[#Headers],[Sensor ID]:[Reference Angle '[Deg']]]),FALSE),"-")</f>
        <v>0</v>
      </c>
      <c r="U305" s="95" t="str">
        <f>Readings[[#This Row],[Sensor ID]]&amp;"-"&amp;Readings[[#This Row],[Epoch]]</f>
        <v>250-RL-OP-11020-45784.2638888889</v>
      </c>
      <c r="V305" s="99">
        <f ca="1">IF(Readings[[#This Row],[Epoch]]=OFFSET(Readings[[#This Row],[Epoch]],-1,0),0,1)</f>
        <v>0</v>
      </c>
    </row>
    <row r="306" spans="4:22" x14ac:dyDescent="0.2">
      <c r="D306" s="32">
        <v>45784.263888888891</v>
      </c>
      <c r="E306" s="33" t="s">
        <v>192</v>
      </c>
      <c r="F306" s="34">
        <v>60063.75</v>
      </c>
      <c r="G306" s="34">
        <v>363837.92000000004</v>
      </c>
      <c r="H306" s="34">
        <v>18.808</v>
      </c>
      <c r="I306" s="33" t="s">
        <v>85</v>
      </c>
      <c r="J306" s="33" t="s">
        <v>90</v>
      </c>
      <c r="K306" s="33">
        <v>15.5</v>
      </c>
      <c r="L306" s="33">
        <v>1020</v>
      </c>
      <c r="M306" s="33">
        <v>92</v>
      </c>
      <c r="N306" s="33"/>
      <c r="O306" s="93">
        <f>IFERROR(IF(Readings[[#This Row],[Obs. X]]="","-",Readings[[#This Row],[Obs. X]]-_xlfn.XLOOKUP(Readings[[#This Row],[Sensor ID]],Table_Baseline[Sensor ID],Table_Baseline[Easting '[m']],"-")),"-")</f>
        <v>-9.9999999656574801E-4</v>
      </c>
      <c r="P306" s="93">
        <f>IFERROR(IF(Readings[[#This Row],[Obs. Y]]="","-",Readings[[#This Row],[Obs. Y]]-_xlfn.XLOOKUP(Readings[[#This Row],[Sensor ID]],Table_Baseline[Sensor ID],Table_Baseline[Northing '[m']],"-")),"-")</f>
        <v>2.0000000367872417E-3</v>
      </c>
      <c r="Q306" s="93">
        <f>IFERROR(IF(Readings[[#This Row],[Obs. Z]]="","-",Readings[[#This Row],[Obs. Z]]-_xlfn.XLOOKUP(Readings[[#This Row],[Sensor ID]],Table_Baseline[Sensor ID],Table_Baseline[Level '[m']],"-")),"-")</f>
        <v>-1.0000000000012221E-3</v>
      </c>
      <c r="R306" s="93">
        <f>IFERROR(IF(Readings[[#This Row],[Reference Angle]]="-","-",(Readings[[#This Row],[Diff E]]*COS(RADIANS(Readings[[#This Row],[Reference Angle]]))-Readings[[#This Row],[Diff N]]*SIN(RADIANS(Readings[[#This Row],[Reference Angle]])))),"-")</f>
        <v>-9.9999999656574801E-4</v>
      </c>
      <c r="S306" s="93">
        <f>IFERROR(IF(Readings[[#This Row],[Reference Angle]]="-","-",(Readings[[#This Row],[Diff E]]*SIN(RADIANS(Readings[[#This Row],[Reference Angle]]))+Readings[[#This Row],[Diff N]]*COS(RADIANS(Readings[[#This Row],[Reference Angle]])))),"-")</f>
        <v>2.0000000367872417E-3</v>
      </c>
      <c r="T306" s="94">
        <f>IFERROR(VLOOKUP(Readings[[#This Row],[Sensor ID]],Table_Baseline[],COLUMNS(Table_Baseline[[#Headers],[Sensor ID]:[Reference Angle '[Deg']]]),FALSE),"-")</f>
        <v>0</v>
      </c>
      <c r="U306" s="95" t="str">
        <f>Readings[[#This Row],[Sensor ID]]&amp;"-"&amp;Readings[[#This Row],[Epoch]]</f>
        <v>250-RL-OP-11021-45784.2638888889</v>
      </c>
      <c r="V306" s="99">
        <f ca="1">IF(Readings[[#This Row],[Epoch]]=OFFSET(Readings[[#This Row],[Epoch]],-1,0),0,1)</f>
        <v>0</v>
      </c>
    </row>
    <row r="307" spans="4:22" x14ac:dyDescent="0.2">
      <c r="D307" s="32">
        <v>45784.263888888891</v>
      </c>
      <c r="E307" s="151" t="s">
        <v>191</v>
      </c>
      <c r="F307" s="152">
        <v>60063.421000000002</v>
      </c>
      <c r="G307" s="152">
        <v>363836.63899999997</v>
      </c>
      <c r="H307" s="152">
        <v>18.794</v>
      </c>
      <c r="I307" s="33" t="s">
        <v>85</v>
      </c>
      <c r="J307" s="33" t="s">
        <v>90</v>
      </c>
      <c r="K307" s="33">
        <v>15.5</v>
      </c>
      <c r="L307" s="33">
        <v>1020</v>
      </c>
      <c r="M307" s="33">
        <v>92</v>
      </c>
      <c r="N307" s="151"/>
      <c r="O307" s="96">
        <f>IFERROR(IF(Readings[[#This Row],[Obs. X]]="","-",Readings[[#This Row],[Obs. X]]-_xlfn.XLOOKUP(Readings[[#This Row],[Sensor ID]],Table_Baseline[Sensor ID],Table_Baseline[Easting '[m']],"-")),"-")</f>
        <v>-9.9999999656574801E-4</v>
      </c>
      <c r="P307" s="96">
        <f>IFERROR(IF(Readings[[#This Row],[Obs. Y]]="","-",Readings[[#This Row],[Obs. Y]]-_xlfn.XLOOKUP(Readings[[#This Row],[Sensor ID]],Table_Baseline[Sensor ID],Table_Baseline[Northing '[m']],"-")),"-")</f>
        <v>2.9999999678693712E-3</v>
      </c>
      <c r="Q307" s="96">
        <f>IFERROR(IF(Readings[[#This Row],[Obs. Z]]="","-",Readings[[#This Row],[Obs. Z]]-_xlfn.XLOOKUP(Readings[[#This Row],[Sensor ID]],Table_Baseline[Sensor ID],Table_Baseline[Level '[m']],"-")),"-")</f>
        <v>-8.9999999999790248E-4</v>
      </c>
      <c r="R307" s="96">
        <f>IFERROR(IF(Readings[[#This Row],[Reference Angle]]="-","-",(Readings[[#This Row],[Diff E]]*COS(RADIANS(Readings[[#This Row],[Reference Angle]]))-Readings[[#This Row],[Diff N]]*SIN(RADIANS(Readings[[#This Row],[Reference Angle]])))),"-")</f>
        <v>-9.9999999656574801E-4</v>
      </c>
      <c r="S307" s="96">
        <f>IFERROR(IF(Readings[[#This Row],[Reference Angle]]="-","-",(Readings[[#This Row],[Diff E]]*SIN(RADIANS(Readings[[#This Row],[Reference Angle]]))+Readings[[#This Row],[Diff N]]*COS(RADIANS(Readings[[#This Row],[Reference Angle]])))),"-")</f>
        <v>2.9999999678693712E-3</v>
      </c>
      <c r="T307" s="97">
        <f>IFERROR(VLOOKUP(Readings[[#This Row],[Sensor ID]],Table_Baseline[],COLUMNS(Table_Baseline[[#Headers],[Sensor ID]:[Reference Angle '[Deg']]]),FALSE),"-")</f>
        <v>0</v>
      </c>
      <c r="U307" s="98" t="str">
        <f>Readings[[#This Row],[Sensor ID]]&amp;"-"&amp;Readings[[#This Row],[Epoch]]</f>
        <v>250-RL-OP-11022-45784.2638888889</v>
      </c>
      <c r="V307" s="100">
        <f ca="1">IF(Readings[[#This Row],[Epoch]]=OFFSET(Readings[[#This Row],[Epoch]],-1,0),0,1)</f>
        <v>0</v>
      </c>
    </row>
    <row r="308" spans="4:22" x14ac:dyDescent="0.2">
      <c r="D308" s="32">
        <v>45785.270833333336</v>
      </c>
      <c r="E308" s="33" t="s">
        <v>172</v>
      </c>
      <c r="F308" s="34">
        <v>60035.339</v>
      </c>
      <c r="G308" s="34">
        <v>363845.739</v>
      </c>
      <c r="H308" s="34">
        <v>18.783000000000001</v>
      </c>
      <c r="I308" s="33" t="s">
        <v>85</v>
      </c>
      <c r="J308" s="33" t="s">
        <v>90</v>
      </c>
      <c r="K308" s="33">
        <v>14.3</v>
      </c>
      <c r="L308" s="33">
        <v>1020</v>
      </c>
      <c r="M308" s="33">
        <v>92</v>
      </c>
      <c r="N308" s="33"/>
      <c r="O308" s="93">
        <f>IFERROR(IF(Readings[[#This Row],[Obs. X]]="","-",Readings[[#This Row],[Obs. X]]-_xlfn.XLOOKUP(Readings[[#This Row],[Sensor ID]],Table_Baseline[Sensor ID],Table_Baseline[Easting '[m']],"-")),"-")</f>
        <v>-9.9999999656574801E-4</v>
      </c>
      <c r="P308" s="93">
        <f>IFERROR(IF(Readings[[#This Row],[Obs. Y]]="","-",Readings[[#This Row],[Obs. Y]]-_xlfn.XLOOKUP(Readings[[#This Row],[Sensor ID]],Table_Baseline[Sensor ID],Table_Baseline[Northing '[m']],"-")),"-")</f>
        <v>0</v>
      </c>
      <c r="Q308" s="93">
        <f>IFERROR(IF(Readings[[#This Row],[Obs. Z]]="","-",Readings[[#This Row],[Obs. Z]]-_xlfn.XLOOKUP(Readings[[#This Row],[Sensor ID]],Table_Baseline[Sensor ID],Table_Baseline[Level '[m']],"-")),"-")</f>
        <v>1.0000000000012221E-3</v>
      </c>
      <c r="R308" s="93">
        <f>IFERROR(IF(Readings[[#This Row],[Reference Angle]]="-","-",(Readings[[#This Row],[Diff E]]*COS(RADIANS(Readings[[#This Row],[Reference Angle]]))-Readings[[#This Row],[Diff N]]*SIN(RADIANS(Readings[[#This Row],[Reference Angle]])))),"-")</f>
        <v>-9.9999999656574801E-4</v>
      </c>
      <c r="S308" s="93">
        <f>IFERROR(IF(Readings[[#This Row],[Reference Angle]]="-","-",(Readings[[#This Row],[Diff E]]*SIN(RADIANS(Readings[[#This Row],[Reference Angle]]))+Readings[[#This Row],[Diff N]]*COS(RADIANS(Readings[[#This Row],[Reference Angle]])))),"-")</f>
        <v>0</v>
      </c>
      <c r="T308" s="94">
        <f>IFERROR(VLOOKUP(Readings[[#This Row],[Sensor ID]],Table_Baseline[],COLUMNS(Table_Baseline[[#Headers],[Sensor ID]:[Reference Angle '[Deg']]]),FALSE),"-")</f>
        <v>0</v>
      </c>
      <c r="U308" s="95" t="str">
        <f>Readings[[#This Row],[Sensor ID]]&amp;"-"&amp;Readings[[#This Row],[Epoch]]</f>
        <v>250-RL-OP-11001-45785.2708333333</v>
      </c>
      <c r="V308" s="99">
        <f ca="1">IF(Readings[[#This Row],[Epoch]]=OFFSET(Readings[[#This Row],[Epoch]],-1,0),0,1)</f>
        <v>1</v>
      </c>
    </row>
    <row r="309" spans="4:22" x14ac:dyDescent="0.2">
      <c r="D309" s="32">
        <v>45785.270833333336</v>
      </c>
      <c r="E309" s="33" t="s">
        <v>171</v>
      </c>
      <c r="F309" s="34">
        <v>60034.959000000003</v>
      </c>
      <c r="G309" s="34">
        <v>363844.47100000002</v>
      </c>
      <c r="H309" s="34">
        <v>18.779</v>
      </c>
      <c r="I309" s="33" t="s">
        <v>85</v>
      </c>
      <c r="J309" s="33" t="s">
        <v>90</v>
      </c>
      <c r="K309" s="33">
        <v>14.3</v>
      </c>
      <c r="L309" s="33">
        <v>1020</v>
      </c>
      <c r="M309" s="33">
        <v>92</v>
      </c>
      <c r="N309" s="33"/>
      <c r="O309" s="93">
        <f>IFERROR(IF(Readings[[#This Row],[Obs. X]]="","-",Readings[[#This Row],[Obs. X]]-_xlfn.XLOOKUP(Readings[[#This Row],[Sensor ID]],Table_Baseline[Sensor ID],Table_Baseline[Easting '[m']],"-")),"-")</f>
        <v>0</v>
      </c>
      <c r="P309" s="93">
        <f>IFERROR(IF(Readings[[#This Row],[Obs. Y]]="","-",Readings[[#This Row],[Obs. Y]]-_xlfn.XLOOKUP(Readings[[#This Row],[Sensor ID]],Table_Baseline[Sensor ID],Table_Baseline[Northing '[m']],"-")),"-")</f>
        <v>0</v>
      </c>
      <c r="Q309" s="93">
        <f>IFERROR(IF(Readings[[#This Row],[Obs. Z]]="","-",Readings[[#This Row],[Obs. Z]]-_xlfn.XLOOKUP(Readings[[#This Row],[Sensor ID]],Table_Baseline[Sensor ID],Table_Baseline[Level '[m']],"-")),"-")</f>
        <v>9.0000000000145519E-4</v>
      </c>
      <c r="R309" s="93">
        <f>IFERROR(IF(Readings[[#This Row],[Reference Angle]]="-","-",(Readings[[#This Row],[Diff E]]*COS(RADIANS(Readings[[#This Row],[Reference Angle]]))-Readings[[#This Row],[Diff N]]*SIN(RADIANS(Readings[[#This Row],[Reference Angle]])))),"-")</f>
        <v>0</v>
      </c>
      <c r="S309" s="93">
        <f>IFERROR(IF(Readings[[#This Row],[Reference Angle]]="-","-",(Readings[[#This Row],[Diff E]]*SIN(RADIANS(Readings[[#This Row],[Reference Angle]]))+Readings[[#This Row],[Diff N]]*COS(RADIANS(Readings[[#This Row],[Reference Angle]])))),"-")</f>
        <v>0</v>
      </c>
      <c r="T309" s="94">
        <f>IFERROR(VLOOKUP(Readings[[#This Row],[Sensor ID]],Table_Baseline[],COLUMNS(Table_Baseline[[#Headers],[Sensor ID]:[Reference Angle '[Deg']]]),FALSE),"-")</f>
        <v>0</v>
      </c>
      <c r="U309" s="95" t="str">
        <f>Readings[[#This Row],[Sensor ID]]&amp;"-"&amp;Readings[[#This Row],[Epoch]]</f>
        <v>250-RL-OP-11002-45785.2708333333</v>
      </c>
      <c r="V309" s="99">
        <f ca="1">IF(Readings[[#This Row],[Epoch]]=OFFSET(Readings[[#This Row],[Epoch]],-1,0),0,1)</f>
        <v>0</v>
      </c>
    </row>
    <row r="310" spans="4:22" x14ac:dyDescent="0.2">
      <c r="D310" s="32">
        <v>45785.270833333336</v>
      </c>
      <c r="E310" s="33" t="s">
        <v>174</v>
      </c>
      <c r="F310" s="34">
        <v>60038.116999999998</v>
      </c>
      <c r="G310" s="34">
        <v>363844.94500000001</v>
      </c>
      <c r="H310" s="34">
        <v>18.779</v>
      </c>
      <c r="I310" s="33" t="s">
        <v>85</v>
      </c>
      <c r="J310" s="33" t="s">
        <v>90</v>
      </c>
      <c r="K310" s="33">
        <v>14.3</v>
      </c>
      <c r="L310" s="33">
        <v>1020</v>
      </c>
      <c r="M310" s="33">
        <v>92</v>
      </c>
      <c r="N310" s="33"/>
      <c r="O310" s="93">
        <f>IFERROR(IF(Readings[[#This Row],[Obs. X]]="","-",Readings[[#This Row],[Obs. X]]-_xlfn.XLOOKUP(Readings[[#This Row],[Sensor ID]],Table_Baseline[Sensor ID],Table_Baseline[Easting '[m']],"-")),"-")</f>
        <v>-1.0000000038417056E-3</v>
      </c>
      <c r="P310" s="93">
        <f>IFERROR(IF(Readings[[#This Row],[Obs. Y]]="","-",Readings[[#This Row],[Obs. Y]]-_xlfn.XLOOKUP(Readings[[#This Row],[Sensor ID]],Table_Baseline[Sensor ID],Table_Baseline[Northing '[m']],"-")),"-")</f>
        <v>0</v>
      </c>
      <c r="Q310" s="93">
        <f>IFERROR(IF(Readings[[#This Row],[Obs. Z]]="","-",Readings[[#This Row],[Obs. Z]]-_xlfn.XLOOKUP(Readings[[#This Row],[Sensor ID]],Table_Baseline[Sensor ID],Table_Baseline[Level '[m']],"-")),"-")</f>
        <v>1.9999999999953388E-4</v>
      </c>
      <c r="R310" s="93">
        <f>IFERROR(IF(Readings[[#This Row],[Reference Angle]]="-","-",(Readings[[#This Row],[Diff E]]*COS(RADIANS(Readings[[#This Row],[Reference Angle]]))-Readings[[#This Row],[Diff N]]*SIN(RADIANS(Readings[[#This Row],[Reference Angle]])))),"-")</f>
        <v>-1.0000000038417056E-3</v>
      </c>
      <c r="S310" s="93">
        <f>IFERROR(IF(Readings[[#This Row],[Reference Angle]]="-","-",(Readings[[#This Row],[Diff E]]*SIN(RADIANS(Readings[[#This Row],[Reference Angle]]))+Readings[[#This Row],[Diff N]]*COS(RADIANS(Readings[[#This Row],[Reference Angle]])))),"-")</f>
        <v>0</v>
      </c>
      <c r="T310" s="94">
        <f>IFERROR(VLOOKUP(Readings[[#This Row],[Sensor ID]],Table_Baseline[],COLUMNS(Table_Baseline[[#Headers],[Sensor ID]:[Reference Angle '[Deg']]]),FALSE),"-")</f>
        <v>0</v>
      </c>
      <c r="U310" s="95" t="str">
        <f>Readings[[#This Row],[Sensor ID]]&amp;"-"&amp;Readings[[#This Row],[Epoch]]</f>
        <v>250-RL-OP-11003-45785.2708333333</v>
      </c>
      <c r="V310" s="99">
        <f ca="1">IF(Readings[[#This Row],[Epoch]]=OFFSET(Readings[[#This Row],[Epoch]],-1,0),0,1)</f>
        <v>0</v>
      </c>
    </row>
    <row r="311" spans="4:22" x14ac:dyDescent="0.2">
      <c r="D311" s="32">
        <v>45785.270833333336</v>
      </c>
      <c r="E311" s="33" t="s">
        <v>173</v>
      </c>
      <c r="F311" s="34">
        <v>60037.803999999996</v>
      </c>
      <c r="G311" s="34">
        <v>363843.658</v>
      </c>
      <c r="H311" s="34">
        <v>18.779</v>
      </c>
      <c r="I311" s="33" t="s">
        <v>85</v>
      </c>
      <c r="J311" s="33" t="s">
        <v>90</v>
      </c>
      <c r="K311" s="33">
        <v>14.3</v>
      </c>
      <c r="L311" s="33">
        <v>1020</v>
      </c>
      <c r="M311" s="33">
        <v>92</v>
      </c>
      <c r="N311" s="33"/>
      <c r="O311" s="93">
        <f>IFERROR(IF(Readings[[#This Row],[Obs. X]]="","-",Readings[[#This Row],[Obs. X]]-_xlfn.XLOOKUP(Readings[[#This Row],[Sensor ID]],Table_Baseline[Sensor ID],Table_Baseline[Easting '[m']],"-")),"-")</f>
        <v>-1.0000000038417056E-3</v>
      </c>
      <c r="P311" s="93">
        <f>IFERROR(IF(Readings[[#This Row],[Obs. Y]]="","-",Readings[[#This Row],[Obs. Y]]-_xlfn.XLOOKUP(Readings[[#This Row],[Sensor ID]],Table_Baseline[Sensor ID],Table_Baseline[Northing '[m']],"-")),"-")</f>
        <v>9.9999998928979039E-4</v>
      </c>
      <c r="Q311" s="93">
        <f>IFERROR(IF(Readings[[#This Row],[Obs. Z]]="","-",Readings[[#This Row],[Obs. Z]]-_xlfn.XLOOKUP(Readings[[#This Row],[Sensor ID]],Table_Baseline[Sensor ID],Table_Baseline[Level '[m']],"-")),"-")</f>
        <v>4.9999999999883471E-4</v>
      </c>
      <c r="R311" s="93">
        <f>IFERROR(IF(Readings[[#This Row],[Reference Angle]]="-","-",(Readings[[#This Row],[Diff E]]*COS(RADIANS(Readings[[#This Row],[Reference Angle]]))-Readings[[#This Row],[Diff N]]*SIN(RADIANS(Readings[[#This Row],[Reference Angle]])))),"-")</f>
        <v>-1.0000000038417056E-3</v>
      </c>
      <c r="S311" s="93">
        <f>IFERROR(IF(Readings[[#This Row],[Reference Angle]]="-","-",(Readings[[#This Row],[Diff E]]*SIN(RADIANS(Readings[[#This Row],[Reference Angle]]))+Readings[[#This Row],[Diff N]]*COS(RADIANS(Readings[[#This Row],[Reference Angle]])))),"-")</f>
        <v>9.9999998928979039E-4</v>
      </c>
      <c r="T311" s="94">
        <f>IFERROR(VLOOKUP(Readings[[#This Row],[Sensor ID]],Table_Baseline[],COLUMNS(Table_Baseline[[#Headers],[Sensor ID]:[Reference Angle '[Deg']]]),FALSE),"-")</f>
        <v>0</v>
      </c>
      <c r="U311" s="95" t="str">
        <f>Readings[[#This Row],[Sensor ID]]&amp;"-"&amp;Readings[[#This Row],[Epoch]]</f>
        <v>250-RL-OP-11004-45785.2708333333</v>
      </c>
      <c r="V311" s="99">
        <f ca="1">IF(Readings[[#This Row],[Epoch]]=OFFSET(Readings[[#This Row],[Epoch]],-1,0),0,1)</f>
        <v>0</v>
      </c>
    </row>
    <row r="312" spans="4:22" x14ac:dyDescent="0.2">
      <c r="D312" s="32">
        <v>45785.270833333336</v>
      </c>
      <c r="E312" s="33" t="s">
        <v>176</v>
      </c>
      <c r="F312" s="34">
        <v>60040.968000000001</v>
      </c>
      <c r="G312" s="34">
        <v>363844.11800000002</v>
      </c>
      <c r="H312" s="34">
        <v>18.779</v>
      </c>
      <c r="I312" s="33" t="s">
        <v>85</v>
      </c>
      <c r="J312" s="33" t="s">
        <v>90</v>
      </c>
      <c r="K312" s="33">
        <v>14.3</v>
      </c>
      <c r="L312" s="33">
        <v>1020</v>
      </c>
      <c r="M312" s="33">
        <v>92</v>
      </c>
      <c r="N312" s="33"/>
      <c r="O312" s="93">
        <f>IFERROR(IF(Readings[[#This Row],[Obs. X]]="","-",Readings[[#This Row],[Obs. X]]-_xlfn.XLOOKUP(Readings[[#This Row],[Sensor ID]],Table_Baseline[Sensor ID],Table_Baseline[Easting '[m']],"-")),"-")</f>
        <v>-9.9999999656574801E-4</v>
      </c>
      <c r="P312" s="93">
        <f>IFERROR(IF(Readings[[#This Row],[Obs. Y]]="","-",Readings[[#This Row],[Obs. Y]]-_xlfn.XLOOKUP(Readings[[#This Row],[Sensor ID]],Table_Baseline[Sensor ID],Table_Baseline[Northing '[m']],"-")),"-")</f>
        <v>0</v>
      </c>
      <c r="Q312" s="93">
        <f>IFERROR(IF(Readings[[#This Row],[Obs. Z]]="","-",Readings[[#This Row],[Obs. Z]]-_xlfn.XLOOKUP(Readings[[#This Row],[Sensor ID]],Table_Baseline[Sensor ID],Table_Baseline[Level '[m']],"-")),"-")</f>
        <v>0</v>
      </c>
      <c r="R312" s="93">
        <f>IFERROR(IF(Readings[[#This Row],[Reference Angle]]="-","-",(Readings[[#This Row],[Diff E]]*COS(RADIANS(Readings[[#This Row],[Reference Angle]]))-Readings[[#This Row],[Diff N]]*SIN(RADIANS(Readings[[#This Row],[Reference Angle]])))),"-")</f>
        <v>-9.9999999656574801E-4</v>
      </c>
      <c r="S312" s="93">
        <f>IFERROR(IF(Readings[[#This Row],[Reference Angle]]="-","-",(Readings[[#This Row],[Diff E]]*SIN(RADIANS(Readings[[#This Row],[Reference Angle]]))+Readings[[#This Row],[Diff N]]*COS(RADIANS(Readings[[#This Row],[Reference Angle]])))),"-")</f>
        <v>0</v>
      </c>
      <c r="T312" s="94">
        <f>IFERROR(VLOOKUP(Readings[[#This Row],[Sensor ID]],Table_Baseline[],COLUMNS(Table_Baseline[[#Headers],[Sensor ID]:[Reference Angle '[Deg']]]),FALSE),"-")</f>
        <v>0</v>
      </c>
      <c r="U312" s="95" t="str">
        <f>Readings[[#This Row],[Sensor ID]]&amp;"-"&amp;Readings[[#This Row],[Epoch]]</f>
        <v>250-RL-OP-11005-45785.2708333333</v>
      </c>
      <c r="V312" s="99">
        <f ca="1">IF(Readings[[#This Row],[Epoch]]=OFFSET(Readings[[#This Row],[Epoch]],-1,0),0,1)</f>
        <v>0</v>
      </c>
    </row>
    <row r="313" spans="4:22" x14ac:dyDescent="0.2">
      <c r="D313" s="32">
        <v>45785.270833333336</v>
      </c>
      <c r="E313" s="33" t="s">
        <v>175</v>
      </c>
      <c r="F313" s="34">
        <v>60040.606</v>
      </c>
      <c r="G313" s="34">
        <v>363842.86199999996</v>
      </c>
      <c r="H313" s="34">
        <v>18.771999999999998</v>
      </c>
      <c r="I313" s="33" t="s">
        <v>85</v>
      </c>
      <c r="J313" s="33" t="s">
        <v>90</v>
      </c>
      <c r="K313" s="33">
        <v>14.3</v>
      </c>
      <c r="L313" s="33">
        <v>1020</v>
      </c>
      <c r="M313" s="33">
        <v>92</v>
      </c>
      <c r="N313" s="33"/>
      <c r="O313" s="93">
        <f>IFERROR(IF(Readings[[#This Row],[Obs. X]]="","-",Readings[[#This Row],[Obs. X]]-_xlfn.XLOOKUP(Readings[[#This Row],[Sensor ID]],Table_Baseline[Sensor ID],Table_Baseline[Easting '[m']],"-")),"-")</f>
        <v>-1.0000000038417056E-3</v>
      </c>
      <c r="P313" s="93">
        <f>IFERROR(IF(Readings[[#This Row],[Obs. Y]]="","-",Readings[[#This Row],[Obs. Y]]-_xlfn.XLOOKUP(Readings[[#This Row],[Sensor ID]],Table_Baseline[Sensor ID],Table_Baseline[Northing '[m']],"-")),"-")</f>
        <v>9.9999993108212948E-4</v>
      </c>
      <c r="Q313" s="93">
        <f>IFERROR(IF(Readings[[#This Row],[Obs. Z]]="","-",Readings[[#This Row],[Obs. Z]]-_xlfn.XLOOKUP(Readings[[#This Row],[Sensor ID]],Table_Baseline[Sensor ID],Table_Baseline[Level '[m']],"-")),"-")</f>
        <v>0</v>
      </c>
      <c r="R313" s="93">
        <f>IFERROR(IF(Readings[[#This Row],[Reference Angle]]="-","-",(Readings[[#This Row],[Diff E]]*COS(RADIANS(Readings[[#This Row],[Reference Angle]]))-Readings[[#This Row],[Diff N]]*SIN(RADIANS(Readings[[#This Row],[Reference Angle]])))),"-")</f>
        <v>-1.0000000038417056E-3</v>
      </c>
      <c r="S313" s="93">
        <f>IFERROR(IF(Readings[[#This Row],[Reference Angle]]="-","-",(Readings[[#This Row],[Diff E]]*SIN(RADIANS(Readings[[#This Row],[Reference Angle]]))+Readings[[#This Row],[Diff N]]*COS(RADIANS(Readings[[#This Row],[Reference Angle]])))),"-")</f>
        <v>9.9999993108212948E-4</v>
      </c>
      <c r="T313" s="94">
        <f>IFERROR(VLOOKUP(Readings[[#This Row],[Sensor ID]],Table_Baseline[],COLUMNS(Table_Baseline[[#Headers],[Sensor ID]:[Reference Angle '[Deg']]]),FALSE),"-")</f>
        <v>0</v>
      </c>
      <c r="U313" s="95" t="str">
        <f>Readings[[#This Row],[Sensor ID]]&amp;"-"&amp;Readings[[#This Row],[Epoch]]</f>
        <v>250-RL-OP-11006-45785.2708333333</v>
      </c>
      <c r="V313" s="99">
        <f ca="1">IF(Readings[[#This Row],[Epoch]]=OFFSET(Readings[[#This Row],[Epoch]],-1,0),0,1)</f>
        <v>0</v>
      </c>
    </row>
    <row r="314" spans="4:22" x14ac:dyDescent="0.2">
      <c r="D314" s="32">
        <v>45785.270833333336</v>
      </c>
      <c r="E314" s="33" t="s">
        <v>178</v>
      </c>
      <c r="F314" s="34">
        <v>60043.758000000002</v>
      </c>
      <c r="G314" s="34">
        <v>363843.315</v>
      </c>
      <c r="H314" s="34">
        <v>18.774000000000001</v>
      </c>
      <c r="I314" s="33" t="s">
        <v>85</v>
      </c>
      <c r="J314" s="33" t="s">
        <v>90</v>
      </c>
      <c r="K314" s="33">
        <v>14.3</v>
      </c>
      <c r="L314" s="33">
        <v>1020</v>
      </c>
      <c r="M314" s="33">
        <v>92</v>
      </c>
      <c r="N314" s="33"/>
      <c r="O314" s="93">
        <f>IFERROR(IF(Readings[[#This Row],[Obs. X]]="","-",Readings[[#This Row],[Obs. X]]-_xlfn.XLOOKUP(Readings[[#This Row],[Sensor ID]],Table_Baseline[Sensor ID],Table_Baseline[Easting '[m']],"-")),"-")</f>
        <v>-9.9999999656574801E-4</v>
      </c>
      <c r="P314" s="93">
        <f>IFERROR(IF(Readings[[#This Row],[Obs. Y]]="","-",Readings[[#This Row],[Obs. Y]]-_xlfn.XLOOKUP(Readings[[#This Row],[Sensor ID]],Table_Baseline[Sensor ID],Table_Baseline[Northing '[m']],"-")),"-")</f>
        <v>9.9999998928979039E-4</v>
      </c>
      <c r="Q314" s="93">
        <f>IFERROR(IF(Readings[[#This Row],[Obs. Z]]="","-",Readings[[#This Row],[Obs. Z]]-_xlfn.XLOOKUP(Readings[[#This Row],[Sensor ID]],Table_Baseline[Sensor ID],Table_Baseline[Level '[m']],"-")),"-")</f>
        <v>-9.9999999999766942E-5</v>
      </c>
      <c r="R314" s="93">
        <f>IFERROR(IF(Readings[[#This Row],[Reference Angle]]="-","-",(Readings[[#This Row],[Diff E]]*COS(RADIANS(Readings[[#This Row],[Reference Angle]]))-Readings[[#This Row],[Diff N]]*SIN(RADIANS(Readings[[#This Row],[Reference Angle]])))),"-")</f>
        <v>-9.9999999656574801E-4</v>
      </c>
      <c r="S314" s="93">
        <f>IFERROR(IF(Readings[[#This Row],[Reference Angle]]="-","-",(Readings[[#This Row],[Diff E]]*SIN(RADIANS(Readings[[#This Row],[Reference Angle]]))+Readings[[#This Row],[Diff N]]*COS(RADIANS(Readings[[#This Row],[Reference Angle]])))),"-")</f>
        <v>9.9999998928979039E-4</v>
      </c>
      <c r="T314" s="94">
        <f>IFERROR(VLOOKUP(Readings[[#This Row],[Sensor ID]],Table_Baseline[],COLUMNS(Table_Baseline[[#Headers],[Sensor ID]:[Reference Angle '[Deg']]]),FALSE),"-")</f>
        <v>0</v>
      </c>
      <c r="U314" s="95" t="str">
        <f>Readings[[#This Row],[Sensor ID]]&amp;"-"&amp;Readings[[#This Row],[Epoch]]</f>
        <v>250-RL-OP-11007-45785.2708333333</v>
      </c>
      <c r="V314" s="99">
        <f ca="1">IF(Readings[[#This Row],[Epoch]]=OFFSET(Readings[[#This Row],[Epoch]],-1,0),0,1)</f>
        <v>0</v>
      </c>
    </row>
    <row r="315" spans="4:22" x14ac:dyDescent="0.2">
      <c r="D315" s="32">
        <v>45785.270833333336</v>
      </c>
      <c r="E315" s="33" t="s">
        <v>177</v>
      </c>
      <c r="F315" s="34">
        <v>60043.440999999999</v>
      </c>
      <c r="G315" s="34">
        <v>363842.04099999997</v>
      </c>
      <c r="H315" s="34">
        <v>18.768999999999998</v>
      </c>
      <c r="I315" s="33" t="s">
        <v>85</v>
      </c>
      <c r="J315" s="33" t="s">
        <v>90</v>
      </c>
      <c r="K315" s="33">
        <v>14.3</v>
      </c>
      <c r="L315" s="33">
        <v>1020</v>
      </c>
      <c r="M315" s="33">
        <v>92</v>
      </c>
      <c r="N315" s="33"/>
      <c r="O315" s="93">
        <f>IFERROR(IF(Readings[[#This Row],[Obs. X]]="","-",Readings[[#This Row],[Obs. X]]-_xlfn.XLOOKUP(Readings[[#This Row],[Sensor ID]],Table_Baseline[Sensor ID],Table_Baseline[Easting '[m']],"-")),"-")</f>
        <v>0</v>
      </c>
      <c r="P315" s="93">
        <f>IFERROR(IF(Readings[[#This Row],[Obs. Y]]="","-",Readings[[#This Row],[Obs. Y]]-_xlfn.XLOOKUP(Readings[[#This Row],[Sensor ID]],Table_Baseline[Sensor ID],Table_Baseline[Northing '[m']],"-")),"-")</f>
        <v>9.9999993108212948E-4</v>
      </c>
      <c r="Q315" s="93">
        <f>IFERROR(IF(Readings[[#This Row],[Obs. Z]]="","-",Readings[[#This Row],[Obs. Z]]-_xlfn.XLOOKUP(Readings[[#This Row],[Sensor ID]],Table_Baseline[Sensor ID],Table_Baseline[Level '[m']],"-")),"-")</f>
        <v>6.9999999999836859E-4</v>
      </c>
      <c r="R315" s="93">
        <f>IFERROR(IF(Readings[[#This Row],[Reference Angle]]="-","-",(Readings[[#This Row],[Diff E]]*COS(RADIANS(Readings[[#This Row],[Reference Angle]]))-Readings[[#This Row],[Diff N]]*SIN(RADIANS(Readings[[#This Row],[Reference Angle]])))),"-")</f>
        <v>0</v>
      </c>
      <c r="S315" s="93">
        <f>IFERROR(IF(Readings[[#This Row],[Reference Angle]]="-","-",(Readings[[#This Row],[Diff E]]*SIN(RADIANS(Readings[[#This Row],[Reference Angle]]))+Readings[[#This Row],[Diff N]]*COS(RADIANS(Readings[[#This Row],[Reference Angle]])))),"-")</f>
        <v>9.9999993108212948E-4</v>
      </c>
      <c r="T315" s="94">
        <f>IFERROR(VLOOKUP(Readings[[#This Row],[Sensor ID]],Table_Baseline[],COLUMNS(Table_Baseline[[#Headers],[Sensor ID]:[Reference Angle '[Deg']]]),FALSE),"-")</f>
        <v>0</v>
      </c>
      <c r="U315" s="95" t="str">
        <f>Readings[[#This Row],[Sensor ID]]&amp;"-"&amp;Readings[[#This Row],[Epoch]]</f>
        <v>250-RL-OP-11008-45785.2708333333</v>
      </c>
      <c r="V315" s="99">
        <f ca="1">IF(Readings[[#This Row],[Epoch]]=OFFSET(Readings[[#This Row],[Epoch]],-1,0),0,1)</f>
        <v>0</v>
      </c>
    </row>
    <row r="316" spans="4:22" x14ac:dyDescent="0.2">
      <c r="D316" s="32">
        <v>45785.270833333336</v>
      </c>
      <c r="E316" s="33" t="s">
        <v>180</v>
      </c>
      <c r="F316" s="34">
        <v>60046.633000000002</v>
      </c>
      <c r="G316" s="34">
        <v>363842.48499999999</v>
      </c>
      <c r="H316" s="34">
        <v>18.777999999999999</v>
      </c>
      <c r="I316" s="33" t="s">
        <v>85</v>
      </c>
      <c r="J316" s="33" t="s">
        <v>90</v>
      </c>
      <c r="K316" s="33">
        <v>14.3</v>
      </c>
      <c r="L316" s="33">
        <v>1020</v>
      </c>
      <c r="M316" s="33">
        <v>92</v>
      </c>
      <c r="N316" s="33"/>
      <c r="O316" s="93">
        <f>IFERROR(IF(Readings[[#This Row],[Obs. X]]="","-",Readings[[#This Row],[Obs. X]]-_xlfn.XLOOKUP(Readings[[#This Row],[Sensor ID]],Table_Baseline[Sensor ID],Table_Baseline[Easting '[m']],"-")),"-")</f>
        <v>0</v>
      </c>
      <c r="P316" s="93">
        <f>IFERROR(IF(Readings[[#This Row],[Obs. Y]]="","-",Readings[[#This Row],[Obs. Y]]-_xlfn.XLOOKUP(Readings[[#This Row],[Sensor ID]],Table_Baseline[Sensor ID],Table_Baseline[Northing '[m']],"-")),"-")</f>
        <v>0</v>
      </c>
      <c r="Q316" s="93">
        <f>IFERROR(IF(Readings[[#This Row],[Obs. Z]]="","-",Readings[[#This Row],[Obs. Z]]-_xlfn.XLOOKUP(Readings[[#This Row],[Sensor ID]],Table_Baseline[Sensor ID],Table_Baseline[Level '[m']],"-")),"-")</f>
        <v>3.9999999999906777E-4</v>
      </c>
      <c r="R316" s="93">
        <f>IFERROR(IF(Readings[[#This Row],[Reference Angle]]="-","-",(Readings[[#This Row],[Diff E]]*COS(RADIANS(Readings[[#This Row],[Reference Angle]]))-Readings[[#This Row],[Diff N]]*SIN(RADIANS(Readings[[#This Row],[Reference Angle]])))),"-")</f>
        <v>0</v>
      </c>
      <c r="S316" s="93">
        <f>IFERROR(IF(Readings[[#This Row],[Reference Angle]]="-","-",(Readings[[#This Row],[Diff E]]*SIN(RADIANS(Readings[[#This Row],[Reference Angle]]))+Readings[[#This Row],[Diff N]]*COS(RADIANS(Readings[[#This Row],[Reference Angle]])))),"-")</f>
        <v>0</v>
      </c>
      <c r="T316" s="94">
        <f>IFERROR(VLOOKUP(Readings[[#This Row],[Sensor ID]],Table_Baseline[],COLUMNS(Table_Baseline[[#Headers],[Sensor ID]:[Reference Angle '[Deg']]]),FALSE),"-")</f>
        <v>0</v>
      </c>
      <c r="U316" s="95" t="str">
        <f>Readings[[#This Row],[Sensor ID]]&amp;"-"&amp;Readings[[#This Row],[Epoch]]</f>
        <v>250-RL-OP-11009-45785.2708333333</v>
      </c>
      <c r="V316" s="99">
        <f ca="1">IF(Readings[[#This Row],[Epoch]]=OFFSET(Readings[[#This Row],[Epoch]],-1,0),0,1)</f>
        <v>0</v>
      </c>
    </row>
    <row r="317" spans="4:22" x14ac:dyDescent="0.2">
      <c r="D317" s="32">
        <v>45785.270833333336</v>
      </c>
      <c r="E317" s="33" t="s">
        <v>179</v>
      </c>
      <c r="F317" s="34">
        <v>60046.249000000003</v>
      </c>
      <c r="G317" s="34">
        <v>363841.22700000001</v>
      </c>
      <c r="H317" s="34">
        <v>18.77</v>
      </c>
      <c r="I317" s="33" t="s">
        <v>85</v>
      </c>
      <c r="J317" s="33" t="s">
        <v>90</v>
      </c>
      <c r="K317" s="33">
        <v>14.3</v>
      </c>
      <c r="L317" s="33">
        <v>1020</v>
      </c>
      <c r="M317" s="33">
        <v>92</v>
      </c>
      <c r="N317" s="33"/>
      <c r="O317" s="93">
        <f>IFERROR(IF(Readings[[#This Row],[Obs. X]]="","-",Readings[[#This Row],[Obs. X]]-_xlfn.XLOOKUP(Readings[[#This Row],[Sensor ID]],Table_Baseline[Sensor ID],Table_Baseline[Easting '[m']],"-")),"-")</f>
        <v>-9.9999999656574801E-4</v>
      </c>
      <c r="P317" s="93">
        <f>IFERROR(IF(Readings[[#This Row],[Obs. Y]]="","-",Readings[[#This Row],[Obs. Y]]-_xlfn.XLOOKUP(Readings[[#This Row],[Sensor ID]],Table_Baseline[Sensor ID],Table_Baseline[Northing '[m']],"-")),"-")</f>
        <v>9.9999998928979039E-4</v>
      </c>
      <c r="Q317" s="93">
        <f>IFERROR(IF(Readings[[#This Row],[Obs. Z]]="","-",Readings[[#This Row],[Obs. Z]]-_xlfn.XLOOKUP(Readings[[#This Row],[Sensor ID]],Table_Baseline[Sensor ID],Table_Baseline[Level '[m']],"-")),"-")</f>
        <v>1.9999999999953388E-4</v>
      </c>
      <c r="R317" s="93">
        <f>IFERROR(IF(Readings[[#This Row],[Reference Angle]]="-","-",(Readings[[#This Row],[Diff E]]*COS(RADIANS(Readings[[#This Row],[Reference Angle]]))-Readings[[#This Row],[Diff N]]*SIN(RADIANS(Readings[[#This Row],[Reference Angle]])))),"-")</f>
        <v>-9.9999999656574801E-4</v>
      </c>
      <c r="S317" s="93">
        <f>IFERROR(IF(Readings[[#This Row],[Reference Angle]]="-","-",(Readings[[#This Row],[Diff E]]*SIN(RADIANS(Readings[[#This Row],[Reference Angle]]))+Readings[[#This Row],[Diff N]]*COS(RADIANS(Readings[[#This Row],[Reference Angle]])))),"-")</f>
        <v>9.9999998928979039E-4</v>
      </c>
      <c r="T317" s="94">
        <f>IFERROR(VLOOKUP(Readings[[#This Row],[Sensor ID]],Table_Baseline[],COLUMNS(Table_Baseline[[#Headers],[Sensor ID]:[Reference Angle '[Deg']]]),FALSE),"-")</f>
        <v>0</v>
      </c>
      <c r="U317" s="95" t="str">
        <f>Readings[[#This Row],[Sensor ID]]&amp;"-"&amp;Readings[[#This Row],[Epoch]]</f>
        <v>250-RL-OP-11010-45785.2708333333</v>
      </c>
      <c r="V317" s="99">
        <f ca="1">IF(Readings[[#This Row],[Epoch]]=OFFSET(Readings[[#This Row],[Epoch]],-1,0),0,1)</f>
        <v>0</v>
      </c>
    </row>
    <row r="318" spans="4:22" x14ac:dyDescent="0.2">
      <c r="D318" s="32">
        <v>45785.270833333336</v>
      </c>
      <c r="E318" s="33" t="s">
        <v>182</v>
      </c>
      <c r="F318" s="34">
        <v>60049.398000000001</v>
      </c>
      <c r="G318" s="34">
        <v>363841.69900000002</v>
      </c>
      <c r="H318" s="34">
        <v>18.777999999999999</v>
      </c>
      <c r="I318" s="33" t="s">
        <v>85</v>
      </c>
      <c r="J318" s="33" t="s">
        <v>90</v>
      </c>
      <c r="K318" s="33">
        <v>14.3</v>
      </c>
      <c r="L318" s="33">
        <v>1020</v>
      </c>
      <c r="M318" s="33">
        <v>92</v>
      </c>
      <c r="N318" s="33"/>
      <c r="O318" s="93">
        <f>IFERROR(IF(Readings[[#This Row],[Obs. X]]="","-",Readings[[#This Row],[Obs. X]]-_xlfn.XLOOKUP(Readings[[#This Row],[Sensor ID]],Table_Baseline[Sensor ID],Table_Baseline[Easting '[m']],"-")),"-")</f>
        <v>-9.9999999656574801E-4</v>
      </c>
      <c r="P318" s="93">
        <f>IFERROR(IF(Readings[[#This Row],[Obs. Y]]="","-",Readings[[#This Row],[Obs. Y]]-_xlfn.XLOOKUP(Readings[[#This Row],[Sensor ID]],Table_Baseline[Sensor ID],Table_Baseline[Northing '[m']],"-")),"-")</f>
        <v>1.0000000474974513E-3</v>
      </c>
      <c r="Q318" s="93">
        <f>IFERROR(IF(Readings[[#This Row],[Obs. Z]]="","-",Readings[[#This Row],[Obs. Z]]-_xlfn.XLOOKUP(Readings[[#This Row],[Sensor ID]],Table_Baseline[Sensor ID],Table_Baseline[Level '[m']],"-")),"-")</f>
        <v>0</v>
      </c>
      <c r="R318" s="93">
        <f>IFERROR(IF(Readings[[#This Row],[Reference Angle]]="-","-",(Readings[[#This Row],[Diff E]]*COS(RADIANS(Readings[[#This Row],[Reference Angle]]))-Readings[[#This Row],[Diff N]]*SIN(RADIANS(Readings[[#This Row],[Reference Angle]])))),"-")</f>
        <v>-9.9999999656574801E-4</v>
      </c>
      <c r="S318" s="93">
        <f>IFERROR(IF(Readings[[#This Row],[Reference Angle]]="-","-",(Readings[[#This Row],[Diff E]]*SIN(RADIANS(Readings[[#This Row],[Reference Angle]]))+Readings[[#This Row],[Diff N]]*COS(RADIANS(Readings[[#This Row],[Reference Angle]])))),"-")</f>
        <v>1.0000000474974513E-3</v>
      </c>
      <c r="T318" s="94">
        <f>IFERROR(VLOOKUP(Readings[[#This Row],[Sensor ID]],Table_Baseline[],COLUMNS(Table_Baseline[[#Headers],[Sensor ID]:[Reference Angle '[Deg']]]),FALSE),"-")</f>
        <v>0</v>
      </c>
      <c r="U318" s="95" t="str">
        <f>Readings[[#This Row],[Sensor ID]]&amp;"-"&amp;Readings[[#This Row],[Epoch]]</f>
        <v>250-RL-OP-11011-45785.2708333333</v>
      </c>
      <c r="V318" s="99">
        <f ca="1">IF(Readings[[#This Row],[Epoch]]=OFFSET(Readings[[#This Row],[Epoch]],-1,0),0,1)</f>
        <v>0</v>
      </c>
    </row>
    <row r="319" spans="4:22" x14ac:dyDescent="0.2">
      <c r="D319" s="32">
        <v>45785.270833333336</v>
      </c>
      <c r="E319" s="33" t="s">
        <v>181</v>
      </c>
      <c r="F319" s="34">
        <v>60049.04</v>
      </c>
      <c r="G319" s="34">
        <v>363840.435</v>
      </c>
      <c r="H319" s="34">
        <v>18.771000000000001</v>
      </c>
      <c r="I319" s="33" t="s">
        <v>85</v>
      </c>
      <c r="J319" s="33" t="s">
        <v>90</v>
      </c>
      <c r="K319" s="33">
        <v>14.3</v>
      </c>
      <c r="L319" s="33">
        <v>1020</v>
      </c>
      <c r="M319" s="33">
        <v>92</v>
      </c>
      <c r="N319" s="33"/>
      <c r="O319" s="93">
        <f>IFERROR(IF(Readings[[#This Row],[Obs. X]]="","-",Readings[[#This Row],[Obs. X]]-_xlfn.XLOOKUP(Readings[[#This Row],[Sensor ID]],Table_Baseline[Sensor ID],Table_Baseline[Easting '[m']],"-")),"-")</f>
        <v>-9.9999999656574801E-4</v>
      </c>
      <c r="P319" s="93">
        <f>IFERROR(IF(Readings[[#This Row],[Obs. Y]]="","-",Readings[[#This Row],[Obs. Y]]-_xlfn.XLOOKUP(Readings[[#This Row],[Sensor ID]],Table_Baseline[Sensor ID],Table_Baseline[Northing '[m']],"-")),"-")</f>
        <v>2.0000000367872417E-3</v>
      </c>
      <c r="Q319" s="93">
        <f>IFERROR(IF(Readings[[#This Row],[Obs. Z]]="","-",Readings[[#This Row],[Obs. Z]]-_xlfn.XLOOKUP(Readings[[#This Row],[Sensor ID]],Table_Baseline[Sensor ID],Table_Baseline[Level '[m']],"-")),"-")</f>
        <v>-9.9999999999766942E-5</v>
      </c>
      <c r="R319" s="93">
        <f>IFERROR(IF(Readings[[#This Row],[Reference Angle]]="-","-",(Readings[[#This Row],[Diff E]]*COS(RADIANS(Readings[[#This Row],[Reference Angle]]))-Readings[[#This Row],[Diff N]]*SIN(RADIANS(Readings[[#This Row],[Reference Angle]])))),"-")</f>
        <v>-9.9999999656574801E-4</v>
      </c>
      <c r="S319" s="93">
        <f>IFERROR(IF(Readings[[#This Row],[Reference Angle]]="-","-",(Readings[[#This Row],[Diff E]]*SIN(RADIANS(Readings[[#This Row],[Reference Angle]]))+Readings[[#This Row],[Diff N]]*COS(RADIANS(Readings[[#This Row],[Reference Angle]])))),"-")</f>
        <v>2.0000000367872417E-3</v>
      </c>
      <c r="T319" s="94">
        <f>IFERROR(VLOOKUP(Readings[[#This Row],[Sensor ID]],Table_Baseline[],COLUMNS(Table_Baseline[[#Headers],[Sensor ID]:[Reference Angle '[Deg']]]),FALSE),"-")</f>
        <v>0</v>
      </c>
      <c r="U319" s="95" t="str">
        <f>Readings[[#This Row],[Sensor ID]]&amp;"-"&amp;Readings[[#This Row],[Epoch]]</f>
        <v>250-RL-OP-11012-45785.2708333333</v>
      </c>
      <c r="V319" s="99">
        <f ca="1">IF(Readings[[#This Row],[Epoch]]=OFFSET(Readings[[#This Row],[Epoch]],-1,0),0,1)</f>
        <v>0</v>
      </c>
    </row>
    <row r="320" spans="4:22" x14ac:dyDescent="0.2">
      <c r="D320" s="32">
        <v>45785.270833333336</v>
      </c>
      <c r="E320" s="33" t="s">
        <v>184</v>
      </c>
      <c r="F320" s="34">
        <v>60052.292000000001</v>
      </c>
      <c r="G320" s="34">
        <v>363840.886</v>
      </c>
      <c r="H320" s="34">
        <v>18.779</v>
      </c>
      <c r="I320" s="33" t="s">
        <v>85</v>
      </c>
      <c r="J320" s="33" t="s">
        <v>90</v>
      </c>
      <c r="K320" s="33">
        <v>14.3</v>
      </c>
      <c r="L320" s="33">
        <v>1020</v>
      </c>
      <c r="M320" s="33">
        <v>92</v>
      </c>
      <c r="N320" s="33"/>
      <c r="O320" s="93">
        <f>IFERROR(IF(Readings[[#This Row],[Obs. X]]="","-",Readings[[#This Row],[Obs. X]]-_xlfn.XLOOKUP(Readings[[#This Row],[Sensor ID]],Table_Baseline[Sensor ID],Table_Baseline[Easting '[m']],"-")),"-")</f>
        <v>-9.9999999656574801E-4</v>
      </c>
      <c r="P320" s="93">
        <f>IFERROR(IF(Readings[[#This Row],[Obs. Y]]="","-",Readings[[#This Row],[Obs. Y]]-_xlfn.XLOOKUP(Readings[[#This Row],[Sensor ID]],Table_Baseline[Sensor ID],Table_Baseline[Northing '[m']],"-")),"-")</f>
        <v>9.9999998928979039E-4</v>
      </c>
      <c r="Q320" s="93">
        <f>IFERROR(IF(Readings[[#This Row],[Obs. Z]]="","-",Readings[[#This Row],[Obs. Z]]-_xlfn.XLOOKUP(Readings[[#This Row],[Sensor ID]],Table_Baseline[Sensor ID],Table_Baseline[Level '[m']],"-")),"-")</f>
        <v>0</v>
      </c>
      <c r="R320" s="93">
        <f>IFERROR(IF(Readings[[#This Row],[Reference Angle]]="-","-",(Readings[[#This Row],[Diff E]]*COS(RADIANS(Readings[[#This Row],[Reference Angle]]))-Readings[[#This Row],[Diff N]]*SIN(RADIANS(Readings[[#This Row],[Reference Angle]])))),"-")</f>
        <v>-9.9999999656574801E-4</v>
      </c>
      <c r="S320" s="93">
        <f>IFERROR(IF(Readings[[#This Row],[Reference Angle]]="-","-",(Readings[[#This Row],[Diff E]]*SIN(RADIANS(Readings[[#This Row],[Reference Angle]]))+Readings[[#This Row],[Diff N]]*COS(RADIANS(Readings[[#This Row],[Reference Angle]])))),"-")</f>
        <v>9.9999998928979039E-4</v>
      </c>
      <c r="T320" s="94">
        <f>IFERROR(VLOOKUP(Readings[[#This Row],[Sensor ID]],Table_Baseline[],COLUMNS(Table_Baseline[[#Headers],[Sensor ID]:[Reference Angle '[Deg']]]),FALSE),"-")</f>
        <v>0</v>
      </c>
      <c r="U320" s="95" t="str">
        <f>Readings[[#This Row],[Sensor ID]]&amp;"-"&amp;Readings[[#This Row],[Epoch]]</f>
        <v>250-RL-OP-11013-45785.2708333333</v>
      </c>
      <c r="V320" s="99">
        <f ca="1">IF(Readings[[#This Row],[Epoch]]=OFFSET(Readings[[#This Row],[Epoch]],-1,0),0,1)</f>
        <v>0</v>
      </c>
    </row>
    <row r="321" spans="4:22" x14ac:dyDescent="0.2">
      <c r="D321" s="32">
        <v>45785.270833333336</v>
      </c>
      <c r="E321" s="33" t="s">
        <v>183</v>
      </c>
      <c r="F321" s="34">
        <v>60051.989000000001</v>
      </c>
      <c r="G321" s="34">
        <v>363839.60499999998</v>
      </c>
      <c r="H321" s="34">
        <v>18.77</v>
      </c>
      <c r="I321" s="33" t="s">
        <v>85</v>
      </c>
      <c r="J321" s="33" t="s">
        <v>90</v>
      </c>
      <c r="K321" s="33">
        <v>14.3</v>
      </c>
      <c r="L321" s="33">
        <v>1020</v>
      </c>
      <c r="M321" s="33">
        <v>92</v>
      </c>
      <c r="N321" s="33"/>
      <c r="O321" s="93">
        <f>IFERROR(IF(Readings[[#This Row],[Obs. X]]="","-",Readings[[#This Row],[Obs. X]]-_xlfn.XLOOKUP(Readings[[#This Row],[Sensor ID]],Table_Baseline[Sensor ID],Table_Baseline[Easting '[m']],"-")),"-")</f>
        <v>0</v>
      </c>
      <c r="P321" s="93">
        <f>IFERROR(IF(Readings[[#This Row],[Obs. Y]]="","-",Readings[[#This Row],[Obs. Y]]-_xlfn.XLOOKUP(Readings[[#This Row],[Sensor ID]],Table_Baseline[Sensor ID],Table_Baseline[Northing '[m']],"-")),"-")</f>
        <v>1.9999999785795808E-3</v>
      </c>
      <c r="Q321" s="93">
        <f>IFERROR(IF(Readings[[#This Row],[Obs. Z]]="","-",Readings[[#This Row],[Obs. Z]]-_xlfn.XLOOKUP(Readings[[#This Row],[Sensor ID]],Table_Baseline[Sensor ID],Table_Baseline[Level '[m']],"-")),"-")</f>
        <v>-9.9999999999766942E-5</v>
      </c>
      <c r="R321" s="93">
        <f>IFERROR(IF(Readings[[#This Row],[Reference Angle]]="-","-",(Readings[[#This Row],[Diff E]]*COS(RADIANS(Readings[[#This Row],[Reference Angle]]))-Readings[[#This Row],[Diff N]]*SIN(RADIANS(Readings[[#This Row],[Reference Angle]])))),"-")</f>
        <v>0</v>
      </c>
      <c r="S321" s="93">
        <f>IFERROR(IF(Readings[[#This Row],[Reference Angle]]="-","-",(Readings[[#This Row],[Diff E]]*SIN(RADIANS(Readings[[#This Row],[Reference Angle]]))+Readings[[#This Row],[Diff N]]*COS(RADIANS(Readings[[#This Row],[Reference Angle]])))),"-")</f>
        <v>1.9999999785795808E-3</v>
      </c>
      <c r="T321" s="94">
        <f>IFERROR(VLOOKUP(Readings[[#This Row],[Sensor ID]],Table_Baseline[],COLUMNS(Table_Baseline[[#Headers],[Sensor ID]:[Reference Angle '[Deg']]]),FALSE),"-")</f>
        <v>0</v>
      </c>
      <c r="U321" s="95" t="str">
        <f>Readings[[#This Row],[Sensor ID]]&amp;"-"&amp;Readings[[#This Row],[Epoch]]</f>
        <v>250-RL-OP-11014-45785.2708333333</v>
      </c>
      <c r="V321" s="99">
        <f ca="1">IF(Readings[[#This Row],[Epoch]]=OFFSET(Readings[[#This Row],[Epoch]],-1,0),0,1)</f>
        <v>0</v>
      </c>
    </row>
    <row r="322" spans="4:22" x14ac:dyDescent="0.2">
      <c r="D322" s="32">
        <v>45785.270833333336</v>
      </c>
      <c r="E322" s="33" t="s">
        <v>186</v>
      </c>
      <c r="F322" s="34">
        <v>60055.196000000004</v>
      </c>
      <c r="G322" s="34">
        <v>363840.09600000002</v>
      </c>
      <c r="H322" s="34">
        <v>18.780999999999999</v>
      </c>
      <c r="I322" s="33" t="s">
        <v>85</v>
      </c>
      <c r="J322" s="33" t="s">
        <v>90</v>
      </c>
      <c r="K322" s="33">
        <v>14.3</v>
      </c>
      <c r="L322" s="33">
        <v>1020</v>
      </c>
      <c r="M322" s="33">
        <v>92</v>
      </c>
      <c r="N322" s="33"/>
      <c r="O322" s="93">
        <f>IFERROR(IF(Readings[[#This Row],[Obs. X]]="","-",Readings[[#This Row],[Obs. X]]-_xlfn.XLOOKUP(Readings[[#This Row],[Sensor ID]],Table_Baseline[Sensor ID],Table_Baseline[Easting '[m']],"-")),"-")</f>
        <v>0</v>
      </c>
      <c r="P322" s="93">
        <f>IFERROR(IF(Readings[[#This Row],[Obs. Y]]="","-",Readings[[#This Row],[Obs. Y]]-_xlfn.XLOOKUP(Readings[[#This Row],[Sensor ID]],Table_Baseline[Sensor ID],Table_Baseline[Northing '[m']],"-")),"-")</f>
        <v>1.0000000474974513E-3</v>
      </c>
      <c r="Q322" s="93">
        <f>IFERROR(IF(Readings[[#This Row],[Obs. Z]]="","-",Readings[[#This Row],[Obs. Z]]-_xlfn.XLOOKUP(Readings[[#This Row],[Sensor ID]],Table_Baseline[Sensor ID],Table_Baseline[Level '[m']],"-")),"-")</f>
        <v>9.9999999999766942E-5</v>
      </c>
      <c r="R322" s="93">
        <f>IFERROR(IF(Readings[[#This Row],[Reference Angle]]="-","-",(Readings[[#This Row],[Diff E]]*COS(RADIANS(Readings[[#This Row],[Reference Angle]]))-Readings[[#This Row],[Diff N]]*SIN(RADIANS(Readings[[#This Row],[Reference Angle]])))),"-")</f>
        <v>0</v>
      </c>
      <c r="S322" s="93">
        <f>IFERROR(IF(Readings[[#This Row],[Reference Angle]]="-","-",(Readings[[#This Row],[Diff E]]*SIN(RADIANS(Readings[[#This Row],[Reference Angle]]))+Readings[[#This Row],[Diff N]]*COS(RADIANS(Readings[[#This Row],[Reference Angle]])))),"-")</f>
        <v>1.0000000474974513E-3</v>
      </c>
      <c r="T322" s="94">
        <f>IFERROR(VLOOKUP(Readings[[#This Row],[Sensor ID]],Table_Baseline[],COLUMNS(Table_Baseline[[#Headers],[Sensor ID]:[Reference Angle '[Deg']]]),FALSE),"-")</f>
        <v>0</v>
      </c>
      <c r="U322" s="95" t="str">
        <f>Readings[[#This Row],[Sensor ID]]&amp;"-"&amp;Readings[[#This Row],[Epoch]]</f>
        <v>250-RL-OP-11015-45785.2708333333</v>
      </c>
      <c r="V322" s="99">
        <f ca="1">IF(Readings[[#This Row],[Epoch]]=OFFSET(Readings[[#This Row],[Epoch]],-1,0),0,1)</f>
        <v>0</v>
      </c>
    </row>
    <row r="323" spans="4:22" x14ac:dyDescent="0.2">
      <c r="D323" s="32">
        <v>45785.270833333336</v>
      </c>
      <c r="E323" s="33" t="s">
        <v>185</v>
      </c>
      <c r="F323" s="34">
        <v>60054.885000000002</v>
      </c>
      <c r="G323" s="34">
        <v>363838.80700000003</v>
      </c>
      <c r="H323" s="34">
        <v>18.773</v>
      </c>
      <c r="I323" s="33" t="s">
        <v>85</v>
      </c>
      <c r="J323" s="33" t="s">
        <v>90</v>
      </c>
      <c r="K323" s="33">
        <v>14.3</v>
      </c>
      <c r="L323" s="33">
        <v>1020</v>
      </c>
      <c r="M323" s="33">
        <v>92</v>
      </c>
      <c r="N323" s="33"/>
      <c r="O323" s="93">
        <f>IFERROR(IF(Readings[[#This Row],[Obs. X]]="","-",Readings[[#This Row],[Obs. X]]-_xlfn.XLOOKUP(Readings[[#This Row],[Sensor ID]],Table_Baseline[Sensor ID],Table_Baseline[Easting '[m']],"-")),"-")</f>
        <v>-9.9999999656574801E-4</v>
      </c>
      <c r="P323" s="93">
        <f>IFERROR(IF(Readings[[#This Row],[Obs. Y]]="","-",Readings[[#This Row],[Obs. Y]]-_xlfn.XLOOKUP(Readings[[#This Row],[Sensor ID]],Table_Baseline[Sensor ID],Table_Baseline[Northing '[m']],"-")),"-")</f>
        <v>2.0000000367872417E-3</v>
      </c>
      <c r="Q323" s="93">
        <f>IFERROR(IF(Readings[[#This Row],[Obs. Z]]="","-",Readings[[#This Row],[Obs. Z]]-_xlfn.XLOOKUP(Readings[[#This Row],[Sensor ID]],Table_Baseline[Sensor ID],Table_Baseline[Level '[m']],"-")),"-")</f>
        <v>-9.9999999999766942E-5</v>
      </c>
      <c r="R323" s="93">
        <f>IFERROR(IF(Readings[[#This Row],[Reference Angle]]="-","-",(Readings[[#This Row],[Diff E]]*COS(RADIANS(Readings[[#This Row],[Reference Angle]]))-Readings[[#This Row],[Diff N]]*SIN(RADIANS(Readings[[#This Row],[Reference Angle]])))),"-")</f>
        <v>-9.9999999656574801E-4</v>
      </c>
      <c r="S323" s="93">
        <f>IFERROR(IF(Readings[[#This Row],[Reference Angle]]="-","-",(Readings[[#This Row],[Diff E]]*SIN(RADIANS(Readings[[#This Row],[Reference Angle]]))+Readings[[#This Row],[Diff N]]*COS(RADIANS(Readings[[#This Row],[Reference Angle]])))),"-")</f>
        <v>2.0000000367872417E-3</v>
      </c>
      <c r="T323" s="94">
        <f>IFERROR(VLOOKUP(Readings[[#This Row],[Sensor ID]],Table_Baseline[],COLUMNS(Table_Baseline[[#Headers],[Sensor ID]:[Reference Angle '[Deg']]]),FALSE),"-")</f>
        <v>0</v>
      </c>
      <c r="U323" s="95" t="str">
        <f>Readings[[#This Row],[Sensor ID]]&amp;"-"&amp;Readings[[#This Row],[Epoch]]</f>
        <v>250-RL-OP-11016-45785.2708333333</v>
      </c>
      <c r="V323" s="99">
        <f ca="1">IF(Readings[[#This Row],[Epoch]]=OFFSET(Readings[[#This Row],[Epoch]],-1,0),0,1)</f>
        <v>0</v>
      </c>
    </row>
    <row r="324" spans="4:22" x14ac:dyDescent="0.2">
      <c r="D324" s="32">
        <v>45785.270833333336</v>
      </c>
      <c r="E324" s="33" t="s">
        <v>188</v>
      </c>
      <c r="F324" s="34">
        <v>60057.951999999997</v>
      </c>
      <c r="G324" s="34">
        <v>363839.364</v>
      </c>
      <c r="H324" s="34">
        <v>18.786000000000001</v>
      </c>
      <c r="I324" s="33" t="s">
        <v>85</v>
      </c>
      <c r="J324" s="33" t="s">
        <v>90</v>
      </c>
      <c r="K324" s="33">
        <v>14.3</v>
      </c>
      <c r="L324" s="33">
        <v>1020</v>
      </c>
      <c r="M324" s="33">
        <v>92</v>
      </c>
      <c r="N324" s="33"/>
      <c r="O324" s="93">
        <f>IFERROR(IF(Readings[[#This Row],[Obs. X]]="","-",Readings[[#This Row],[Obs. X]]-_xlfn.XLOOKUP(Readings[[#This Row],[Sensor ID]],Table_Baseline[Sensor ID],Table_Baseline[Easting '[m']],"-")),"-")</f>
        <v>0</v>
      </c>
      <c r="P324" s="93">
        <f>IFERROR(IF(Readings[[#This Row],[Obs. Y]]="","-",Readings[[#This Row],[Obs. Y]]-_xlfn.XLOOKUP(Readings[[#This Row],[Sensor ID]],Table_Baseline[Sensor ID],Table_Baseline[Northing '[m']],"-")),"-")</f>
        <v>2.0000000367872417E-3</v>
      </c>
      <c r="Q324" s="93">
        <f>IFERROR(IF(Readings[[#This Row],[Obs. Z]]="","-",Readings[[#This Row],[Obs. Z]]-_xlfn.XLOOKUP(Readings[[#This Row],[Sensor ID]],Table_Baseline[Sensor ID],Table_Baseline[Level '[m']],"-")),"-")</f>
        <v>0</v>
      </c>
      <c r="R324" s="93">
        <f>IFERROR(IF(Readings[[#This Row],[Reference Angle]]="-","-",(Readings[[#This Row],[Diff E]]*COS(RADIANS(Readings[[#This Row],[Reference Angle]]))-Readings[[#This Row],[Diff N]]*SIN(RADIANS(Readings[[#This Row],[Reference Angle]])))),"-")</f>
        <v>0</v>
      </c>
      <c r="S324" s="93">
        <f>IFERROR(IF(Readings[[#This Row],[Reference Angle]]="-","-",(Readings[[#This Row],[Diff E]]*SIN(RADIANS(Readings[[#This Row],[Reference Angle]]))+Readings[[#This Row],[Diff N]]*COS(RADIANS(Readings[[#This Row],[Reference Angle]])))),"-")</f>
        <v>2.0000000367872417E-3</v>
      </c>
      <c r="T324" s="94">
        <f>IFERROR(VLOOKUP(Readings[[#This Row],[Sensor ID]],Table_Baseline[],COLUMNS(Table_Baseline[[#Headers],[Sensor ID]:[Reference Angle '[Deg']]]),FALSE),"-")</f>
        <v>0</v>
      </c>
      <c r="U324" s="95" t="str">
        <f>Readings[[#This Row],[Sensor ID]]&amp;"-"&amp;Readings[[#This Row],[Epoch]]</f>
        <v>250-RL-OP-11017-45785.2708333333</v>
      </c>
      <c r="V324" s="99">
        <f ca="1">IF(Readings[[#This Row],[Epoch]]=OFFSET(Readings[[#This Row],[Epoch]],-1,0),0,1)</f>
        <v>0</v>
      </c>
    </row>
    <row r="325" spans="4:22" x14ac:dyDescent="0.2">
      <c r="D325" s="32">
        <v>45785.270833333336</v>
      </c>
      <c r="E325" s="33" t="s">
        <v>187</v>
      </c>
      <c r="F325" s="34">
        <v>60057.578000000001</v>
      </c>
      <c r="G325" s="34">
        <v>363838.1</v>
      </c>
      <c r="H325" s="34">
        <v>18.776</v>
      </c>
      <c r="I325" s="33" t="s">
        <v>85</v>
      </c>
      <c r="J325" s="33" t="s">
        <v>90</v>
      </c>
      <c r="K325" s="33">
        <v>14.3</v>
      </c>
      <c r="L325" s="33">
        <v>1020</v>
      </c>
      <c r="M325" s="33">
        <v>92</v>
      </c>
      <c r="N325" s="33"/>
      <c r="O325" s="93">
        <f>IFERROR(IF(Readings[[#This Row],[Obs. X]]="","-",Readings[[#This Row],[Obs. X]]-_xlfn.XLOOKUP(Readings[[#This Row],[Sensor ID]],Table_Baseline[Sensor ID],Table_Baseline[Easting '[m']],"-")),"-")</f>
        <v>-9.9999999656574801E-4</v>
      </c>
      <c r="P325" s="93">
        <f>IFERROR(IF(Readings[[#This Row],[Obs. Y]]="","-",Readings[[#This Row],[Obs. Y]]-_xlfn.XLOOKUP(Readings[[#This Row],[Sensor ID]],Table_Baseline[Sensor ID],Table_Baseline[Northing '[m']],"-")),"-")</f>
        <v>1.9999999785795808E-3</v>
      </c>
      <c r="Q325" s="93">
        <f>IFERROR(IF(Readings[[#This Row],[Obs. Z]]="","-",Readings[[#This Row],[Obs. Z]]-_xlfn.XLOOKUP(Readings[[#This Row],[Sensor ID]],Table_Baseline[Sensor ID],Table_Baseline[Level '[m']],"-")),"-")</f>
        <v>0</v>
      </c>
      <c r="R325" s="93">
        <f>IFERROR(IF(Readings[[#This Row],[Reference Angle]]="-","-",(Readings[[#This Row],[Diff E]]*COS(RADIANS(Readings[[#This Row],[Reference Angle]]))-Readings[[#This Row],[Diff N]]*SIN(RADIANS(Readings[[#This Row],[Reference Angle]])))),"-")</f>
        <v>-9.9999999656574801E-4</v>
      </c>
      <c r="S325" s="93">
        <f>IFERROR(IF(Readings[[#This Row],[Reference Angle]]="-","-",(Readings[[#This Row],[Diff E]]*SIN(RADIANS(Readings[[#This Row],[Reference Angle]]))+Readings[[#This Row],[Diff N]]*COS(RADIANS(Readings[[#This Row],[Reference Angle]])))),"-")</f>
        <v>1.9999999785795808E-3</v>
      </c>
      <c r="T325" s="94">
        <f>IFERROR(VLOOKUP(Readings[[#This Row],[Sensor ID]],Table_Baseline[],COLUMNS(Table_Baseline[[#Headers],[Sensor ID]:[Reference Angle '[Deg']]]),FALSE),"-")</f>
        <v>0</v>
      </c>
      <c r="U325" s="95" t="str">
        <f>Readings[[#This Row],[Sensor ID]]&amp;"-"&amp;Readings[[#This Row],[Epoch]]</f>
        <v>250-RL-OP-11018-45785.2708333333</v>
      </c>
      <c r="V325" s="99">
        <f ca="1">IF(Readings[[#This Row],[Epoch]]=OFFSET(Readings[[#This Row],[Epoch]],-1,0),0,1)</f>
        <v>0</v>
      </c>
    </row>
    <row r="326" spans="4:22" x14ac:dyDescent="0.2">
      <c r="D326" s="32">
        <v>45785.270833333336</v>
      </c>
      <c r="E326" s="33" t="s">
        <v>190</v>
      </c>
      <c r="F326" s="34">
        <v>60060.962</v>
      </c>
      <c r="G326" s="34">
        <v>363838.603</v>
      </c>
      <c r="H326" s="34">
        <v>18.794</v>
      </c>
      <c r="I326" s="33" t="s">
        <v>85</v>
      </c>
      <c r="J326" s="33" t="s">
        <v>90</v>
      </c>
      <c r="K326" s="33">
        <v>14.3</v>
      </c>
      <c r="L326" s="33">
        <v>1020</v>
      </c>
      <c r="M326" s="33">
        <v>92</v>
      </c>
      <c r="N326" s="33"/>
      <c r="O326" s="93">
        <f>IFERROR(IF(Readings[[#This Row],[Obs. X]]="","-",Readings[[#This Row],[Obs. X]]-_xlfn.XLOOKUP(Readings[[#This Row],[Sensor ID]],Table_Baseline[Sensor ID],Table_Baseline[Easting '[m']],"-")),"-")</f>
        <v>-1.0000000038417056E-3</v>
      </c>
      <c r="P326" s="93">
        <f>IFERROR(IF(Readings[[#This Row],[Obs. Y]]="","-",Readings[[#This Row],[Obs. Y]]-_xlfn.XLOOKUP(Readings[[#This Row],[Sensor ID]],Table_Baseline[Sensor ID],Table_Baseline[Northing '[m']],"-")),"-")</f>
        <v>1.9999999785795808E-3</v>
      </c>
      <c r="Q326" s="93">
        <f>IFERROR(IF(Readings[[#This Row],[Obs. Z]]="","-",Readings[[#This Row],[Obs. Z]]-_xlfn.XLOOKUP(Readings[[#This Row],[Sensor ID]],Table_Baseline[Sensor ID],Table_Baseline[Level '[m']],"-")),"-")</f>
        <v>-5.9999999999860165E-4</v>
      </c>
      <c r="R326" s="93">
        <f>IFERROR(IF(Readings[[#This Row],[Reference Angle]]="-","-",(Readings[[#This Row],[Diff E]]*COS(RADIANS(Readings[[#This Row],[Reference Angle]]))-Readings[[#This Row],[Diff N]]*SIN(RADIANS(Readings[[#This Row],[Reference Angle]])))),"-")</f>
        <v>-1.0000000038417056E-3</v>
      </c>
      <c r="S326" s="93">
        <f>IFERROR(IF(Readings[[#This Row],[Reference Angle]]="-","-",(Readings[[#This Row],[Diff E]]*SIN(RADIANS(Readings[[#This Row],[Reference Angle]]))+Readings[[#This Row],[Diff N]]*COS(RADIANS(Readings[[#This Row],[Reference Angle]])))),"-")</f>
        <v>1.9999999785795808E-3</v>
      </c>
      <c r="T326" s="94">
        <f>IFERROR(VLOOKUP(Readings[[#This Row],[Sensor ID]],Table_Baseline[],COLUMNS(Table_Baseline[[#Headers],[Sensor ID]:[Reference Angle '[Deg']]]),FALSE),"-")</f>
        <v>0</v>
      </c>
      <c r="U326" s="95" t="str">
        <f>Readings[[#This Row],[Sensor ID]]&amp;"-"&amp;Readings[[#This Row],[Epoch]]</f>
        <v>250-RL-OP-11019-45785.2708333333</v>
      </c>
      <c r="V326" s="99">
        <f ca="1">IF(Readings[[#This Row],[Epoch]]=OFFSET(Readings[[#This Row],[Epoch]],-1,0),0,1)</f>
        <v>0</v>
      </c>
    </row>
    <row r="327" spans="4:22" x14ac:dyDescent="0.2">
      <c r="D327" s="32">
        <v>45785.270833333336</v>
      </c>
      <c r="E327" s="33" t="s">
        <v>189</v>
      </c>
      <c r="F327" s="34">
        <v>60060.639999999999</v>
      </c>
      <c r="G327" s="34">
        <v>363837.32400000002</v>
      </c>
      <c r="H327" s="34">
        <v>18.783000000000001</v>
      </c>
      <c r="I327" s="33" t="s">
        <v>85</v>
      </c>
      <c r="J327" s="33" t="s">
        <v>90</v>
      </c>
      <c r="K327" s="33">
        <v>14.3</v>
      </c>
      <c r="L327" s="33">
        <v>1020</v>
      </c>
      <c r="M327" s="33">
        <v>92</v>
      </c>
      <c r="N327" s="33"/>
      <c r="O327" s="93">
        <f>IFERROR(IF(Readings[[#This Row],[Obs. X]]="","-",Readings[[#This Row],[Obs. X]]-_xlfn.XLOOKUP(Readings[[#This Row],[Sensor ID]],Table_Baseline[Sensor ID],Table_Baseline[Easting '[m']],"-")),"-")</f>
        <v>0</v>
      </c>
      <c r="P327" s="93">
        <f>IFERROR(IF(Readings[[#This Row],[Obs. Y]]="","-",Readings[[#This Row],[Obs. Y]]-_xlfn.XLOOKUP(Readings[[#This Row],[Sensor ID]],Table_Baseline[Sensor ID],Table_Baseline[Northing '[m']],"-")),"-")</f>
        <v>2.0000000367872417E-3</v>
      </c>
      <c r="Q327" s="93">
        <f>IFERROR(IF(Readings[[#This Row],[Obs. Z]]="","-",Readings[[#This Row],[Obs. Z]]-_xlfn.XLOOKUP(Readings[[#This Row],[Sensor ID]],Table_Baseline[Sensor ID],Table_Baseline[Level '[m']],"-")),"-")</f>
        <v>-5.9999999999860165E-4</v>
      </c>
      <c r="R327" s="93">
        <f>IFERROR(IF(Readings[[#This Row],[Reference Angle]]="-","-",(Readings[[#This Row],[Diff E]]*COS(RADIANS(Readings[[#This Row],[Reference Angle]]))-Readings[[#This Row],[Diff N]]*SIN(RADIANS(Readings[[#This Row],[Reference Angle]])))),"-")</f>
        <v>0</v>
      </c>
      <c r="S327" s="93">
        <f>IFERROR(IF(Readings[[#This Row],[Reference Angle]]="-","-",(Readings[[#This Row],[Diff E]]*SIN(RADIANS(Readings[[#This Row],[Reference Angle]]))+Readings[[#This Row],[Diff N]]*COS(RADIANS(Readings[[#This Row],[Reference Angle]])))),"-")</f>
        <v>2.0000000367872417E-3</v>
      </c>
      <c r="T327" s="94">
        <f>IFERROR(VLOOKUP(Readings[[#This Row],[Sensor ID]],Table_Baseline[],COLUMNS(Table_Baseline[[#Headers],[Sensor ID]:[Reference Angle '[Deg']]]),FALSE),"-")</f>
        <v>0</v>
      </c>
      <c r="U327" s="95" t="str">
        <f>Readings[[#This Row],[Sensor ID]]&amp;"-"&amp;Readings[[#This Row],[Epoch]]</f>
        <v>250-RL-OP-11020-45785.2708333333</v>
      </c>
      <c r="V327" s="99">
        <f ca="1">IF(Readings[[#This Row],[Epoch]]=OFFSET(Readings[[#This Row],[Epoch]],-1,0),0,1)</f>
        <v>0</v>
      </c>
    </row>
    <row r="328" spans="4:22" x14ac:dyDescent="0.2">
      <c r="D328" s="32">
        <v>45785.270833333336</v>
      </c>
      <c r="E328" s="33" t="s">
        <v>192</v>
      </c>
      <c r="F328" s="34">
        <v>60063.75</v>
      </c>
      <c r="G328" s="34">
        <v>363837.91899999999</v>
      </c>
      <c r="H328" s="34">
        <v>18.809000000000001</v>
      </c>
      <c r="I328" s="33" t="s">
        <v>85</v>
      </c>
      <c r="J328" s="33" t="s">
        <v>90</v>
      </c>
      <c r="K328" s="33">
        <v>14.3</v>
      </c>
      <c r="L328" s="33">
        <v>1020</v>
      </c>
      <c r="M328" s="33">
        <v>92</v>
      </c>
      <c r="N328" s="33"/>
      <c r="O328" s="93">
        <f>IFERROR(IF(Readings[[#This Row],[Obs. X]]="","-",Readings[[#This Row],[Obs. X]]-_xlfn.XLOOKUP(Readings[[#This Row],[Sensor ID]],Table_Baseline[Sensor ID],Table_Baseline[Easting '[m']],"-")),"-")</f>
        <v>-9.9999999656574801E-4</v>
      </c>
      <c r="P328" s="93">
        <f>IFERROR(IF(Readings[[#This Row],[Obs. Y]]="","-",Readings[[#This Row],[Obs. Y]]-_xlfn.XLOOKUP(Readings[[#This Row],[Sensor ID]],Table_Baseline[Sensor ID],Table_Baseline[Northing '[m']],"-")),"-")</f>
        <v>9.9999998928979039E-4</v>
      </c>
      <c r="Q328" s="93">
        <f>IFERROR(IF(Readings[[#This Row],[Obs. Z]]="","-",Readings[[#This Row],[Obs. Z]]-_xlfn.XLOOKUP(Readings[[#This Row],[Sensor ID]],Table_Baseline[Sensor ID],Table_Baseline[Level '[m']],"-")),"-")</f>
        <v>0</v>
      </c>
      <c r="R328" s="93">
        <f>IFERROR(IF(Readings[[#This Row],[Reference Angle]]="-","-",(Readings[[#This Row],[Diff E]]*COS(RADIANS(Readings[[#This Row],[Reference Angle]]))-Readings[[#This Row],[Diff N]]*SIN(RADIANS(Readings[[#This Row],[Reference Angle]])))),"-")</f>
        <v>-9.9999999656574801E-4</v>
      </c>
      <c r="S328" s="93">
        <f>IFERROR(IF(Readings[[#This Row],[Reference Angle]]="-","-",(Readings[[#This Row],[Diff E]]*SIN(RADIANS(Readings[[#This Row],[Reference Angle]]))+Readings[[#This Row],[Diff N]]*COS(RADIANS(Readings[[#This Row],[Reference Angle]])))),"-")</f>
        <v>9.9999998928979039E-4</v>
      </c>
      <c r="T328" s="94">
        <f>IFERROR(VLOOKUP(Readings[[#This Row],[Sensor ID]],Table_Baseline[],COLUMNS(Table_Baseline[[#Headers],[Sensor ID]:[Reference Angle '[Deg']]]),FALSE),"-")</f>
        <v>0</v>
      </c>
      <c r="U328" s="95" t="str">
        <f>Readings[[#This Row],[Sensor ID]]&amp;"-"&amp;Readings[[#This Row],[Epoch]]</f>
        <v>250-RL-OP-11021-45785.2708333333</v>
      </c>
      <c r="V328" s="99">
        <f ca="1">IF(Readings[[#This Row],[Epoch]]=OFFSET(Readings[[#This Row],[Epoch]],-1,0),0,1)</f>
        <v>0</v>
      </c>
    </row>
    <row r="329" spans="4:22" x14ac:dyDescent="0.2">
      <c r="D329" s="32">
        <v>45785.270833333336</v>
      </c>
      <c r="E329" s="33" t="s">
        <v>191</v>
      </c>
      <c r="F329" s="34">
        <v>60063.421000000002</v>
      </c>
      <c r="G329" s="34">
        <v>363836.63800000004</v>
      </c>
      <c r="H329" s="34">
        <v>18.794</v>
      </c>
      <c r="I329" s="33" t="s">
        <v>85</v>
      </c>
      <c r="J329" s="33" t="s">
        <v>90</v>
      </c>
      <c r="K329" s="33">
        <v>14.3</v>
      </c>
      <c r="L329" s="33">
        <v>1020</v>
      </c>
      <c r="M329" s="33">
        <v>92</v>
      </c>
      <c r="N329" s="33"/>
      <c r="O329" s="93">
        <f>IFERROR(IF(Readings[[#This Row],[Obs. X]]="","-",Readings[[#This Row],[Obs. X]]-_xlfn.XLOOKUP(Readings[[#This Row],[Sensor ID]],Table_Baseline[Sensor ID],Table_Baseline[Easting '[m']],"-")),"-")</f>
        <v>-9.9999999656574801E-4</v>
      </c>
      <c r="P329" s="93">
        <f>IFERROR(IF(Readings[[#This Row],[Obs. Y]]="","-",Readings[[#This Row],[Obs. Y]]-_xlfn.XLOOKUP(Readings[[#This Row],[Sensor ID]],Table_Baseline[Sensor ID],Table_Baseline[Northing '[m']],"-")),"-")</f>
        <v>2.0000000367872417E-3</v>
      </c>
      <c r="Q329" s="93">
        <f>IFERROR(IF(Readings[[#This Row],[Obs. Z]]="","-",Readings[[#This Row],[Obs. Z]]-_xlfn.XLOOKUP(Readings[[#This Row],[Sensor ID]],Table_Baseline[Sensor ID],Table_Baseline[Level '[m']],"-")),"-")</f>
        <v>-8.9999999999790248E-4</v>
      </c>
      <c r="R329" s="93">
        <f>IFERROR(IF(Readings[[#This Row],[Reference Angle]]="-","-",(Readings[[#This Row],[Diff E]]*COS(RADIANS(Readings[[#This Row],[Reference Angle]]))-Readings[[#This Row],[Diff N]]*SIN(RADIANS(Readings[[#This Row],[Reference Angle]])))),"-")</f>
        <v>-9.9999999656574801E-4</v>
      </c>
      <c r="S329" s="93">
        <f>IFERROR(IF(Readings[[#This Row],[Reference Angle]]="-","-",(Readings[[#This Row],[Diff E]]*SIN(RADIANS(Readings[[#This Row],[Reference Angle]]))+Readings[[#This Row],[Diff N]]*COS(RADIANS(Readings[[#This Row],[Reference Angle]])))),"-")</f>
        <v>2.0000000367872417E-3</v>
      </c>
      <c r="T329" s="94">
        <f>IFERROR(VLOOKUP(Readings[[#This Row],[Sensor ID]],Table_Baseline[],COLUMNS(Table_Baseline[[#Headers],[Sensor ID]:[Reference Angle '[Deg']]]),FALSE),"-")</f>
        <v>0</v>
      </c>
      <c r="U329" s="95" t="str">
        <f>Readings[[#This Row],[Sensor ID]]&amp;"-"&amp;Readings[[#This Row],[Epoch]]</f>
        <v>250-RL-OP-11022-45785.2708333333</v>
      </c>
      <c r="V329" s="99">
        <f ca="1">IF(Readings[[#This Row],[Epoch]]=OFFSET(Readings[[#This Row],[Epoch]],-1,0),0,1)</f>
        <v>0</v>
      </c>
    </row>
    <row r="330" spans="4:22" x14ac:dyDescent="0.2">
      <c r="D330" s="32">
        <v>45785.270833333336</v>
      </c>
      <c r="E330" s="33" t="s">
        <v>165</v>
      </c>
      <c r="F330" s="34">
        <v>60034.538999999997</v>
      </c>
      <c r="G330" s="34">
        <v>363843.38300000003</v>
      </c>
      <c r="H330" s="34">
        <v>19.332000000000001</v>
      </c>
      <c r="I330" s="33" t="s">
        <v>85</v>
      </c>
      <c r="J330" s="33" t="s">
        <v>90</v>
      </c>
      <c r="K330" s="33">
        <v>14.3</v>
      </c>
      <c r="L330" s="33">
        <v>1020</v>
      </c>
      <c r="M330" s="33">
        <v>92</v>
      </c>
      <c r="N330" s="33"/>
      <c r="O330" s="93" t="str">
        <f>IFERROR(IF(Readings[[#This Row],[Obs. X]]="","-",Readings[[#This Row],[Obs. X]]-_xlfn.XLOOKUP(Readings[[#This Row],[Sensor ID]],Table_Baseline[Sensor ID],Table_Baseline[Easting '[m']],"-")),"-")</f>
        <v>-</v>
      </c>
      <c r="P330" s="93" t="str">
        <f>IFERROR(IF(Readings[[#This Row],[Obs. Y]]="","-",Readings[[#This Row],[Obs. Y]]-_xlfn.XLOOKUP(Readings[[#This Row],[Sensor ID]],Table_Baseline[Sensor ID],Table_Baseline[Northing '[m']],"-")),"-")</f>
        <v>-</v>
      </c>
      <c r="Q330" s="93" t="str">
        <f>IFERROR(IF(Readings[[#This Row],[Obs. Z]]="","-",Readings[[#This Row],[Obs. Z]]-_xlfn.XLOOKUP(Readings[[#This Row],[Sensor ID]],Table_Baseline[Sensor ID],Table_Baseline[Level '[m']],"-")),"-")</f>
        <v>-</v>
      </c>
      <c r="R330" s="93" t="str">
        <f>IFERROR(IF(Readings[[#This Row],[Reference Angle]]="-","-",(Readings[[#This Row],[Diff E]]*COS(RADIANS(Readings[[#This Row],[Reference Angle]]))-Readings[[#This Row],[Diff N]]*SIN(RADIANS(Readings[[#This Row],[Reference Angle]])))),"-")</f>
        <v>-</v>
      </c>
      <c r="S330" s="93" t="str">
        <f>IFERROR(IF(Readings[[#This Row],[Reference Angle]]="-","-",(Readings[[#This Row],[Diff E]]*SIN(RADIANS(Readings[[#This Row],[Reference Angle]]))+Readings[[#This Row],[Diff N]]*COS(RADIANS(Readings[[#This Row],[Reference Angle]])))),"-")</f>
        <v>-</v>
      </c>
      <c r="T330" s="94" t="str">
        <f>IFERROR(VLOOKUP(Readings[[#This Row],[Sensor ID]],Table_Baseline[],COLUMNS(Table_Baseline[[#Headers],[Sensor ID]:[Reference Angle '[Deg']]]),FALSE),"-")</f>
        <v>-</v>
      </c>
      <c r="U330" s="95" t="str">
        <f>Readings[[#This Row],[Sensor ID]]&amp;"-"&amp;Readings[[#This Row],[Epoch]]</f>
        <v>250-ST-OP-500-45785.2708333333</v>
      </c>
      <c r="V330" s="99">
        <f ca="1">IF(Readings[[#This Row],[Epoch]]=OFFSET(Readings[[#This Row],[Epoch]],-1,0),0,1)</f>
        <v>0</v>
      </c>
    </row>
    <row r="331" spans="4:22" x14ac:dyDescent="0.2">
      <c r="D331" s="32">
        <v>45785.270833333336</v>
      </c>
      <c r="E331" s="33" t="s">
        <v>166</v>
      </c>
      <c r="F331" s="34">
        <v>60040.286</v>
      </c>
      <c r="G331" s="34">
        <v>363841.73100000003</v>
      </c>
      <c r="H331" s="34">
        <v>19.321999999999999</v>
      </c>
      <c r="I331" s="33" t="s">
        <v>85</v>
      </c>
      <c r="J331" s="33" t="s">
        <v>90</v>
      </c>
      <c r="K331" s="33">
        <v>14.3</v>
      </c>
      <c r="L331" s="33">
        <v>1020</v>
      </c>
      <c r="M331" s="33">
        <v>92</v>
      </c>
      <c r="N331" s="33"/>
      <c r="O331" s="93" t="str">
        <f>IFERROR(IF(Readings[[#This Row],[Obs. X]]="","-",Readings[[#This Row],[Obs. X]]-_xlfn.XLOOKUP(Readings[[#This Row],[Sensor ID]],Table_Baseline[Sensor ID],Table_Baseline[Easting '[m']],"-")),"-")</f>
        <v>-</v>
      </c>
      <c r="P331" s="93" t="str">
        <f>IFERROR(IF(Readings[[#This Row],[Obs. Y]]="","-",Readings[[#This Row],[Obs. Y]]-_xlfn.XLOOKUP(Readings[[#This Row],[Sensor ID]],Table_Baseline[Sensor ID],Table_Baseline[Northing '[m']],"-")),"-")</f>
        <v>-</v>
      </c>
      <c r="Q331" s="93" t="str">
        <f>IFERROR(IF(Readings[[#This Row],[Obs. Z]]="","-",Readings[[#This Row],[Obs. Z]]-_xlfn.XLOOKUP(Readings[[#This Row],[Sensor ID]],Table_Baseline[Sensor ID],Table_Baseline[Level '[m']],"-")),"-")</f>
        <v>-</v>
      </c>
      <c r="R331" s="93" t="str">
        <f>IFERROR(IF(Readings[[#This Row],[Reference Angle]]="-","-",(Readings[[#This Row],[Diff E]]*COS(RADIANS(Readings[[#This Row],[Reference Angle]]))-Readings[[#This Row],[Diff N]]*SIN(RADIANS(Readings[[#This Row],[Reference Angle]])))),"-")</f>
        <v>-</v>
      </c>
      <c r="S331" s="93" t="str">
        <f>IFERROR(IF(Readings[[#This Row],[Reference Angle]]="-","-",(Readings[[#This Row],[Diff E]]*SIN(RADIANS(Readings[[#This Row],[Reference Angle]]))+Readings[[#This Row],[Diff N]]*COS(RADIANS(Readings[[#This Row],[Reference Angle]])))),"-")</f>
        <v>-</v>
      </c>
      <c r="T331" s="94" t="str">
        <f>IFERROR(VLOOKUP(Readings[[#This Row],[Sensor ID]],Table_Baseline[],COLUMNS(Table_Baseline[[#Headers],[Sensor ID]:[Reference Angle '[Deg']]]),FALSE),"-")</f>
        <v>-</v>
      </c>
      <c r="U331" s="95" t="str">
        <f>Readings[[#This Row],[Sensor ID]]&amp;"-"&amp;Readings[[#This Row],[Epoch]]</f>
        <v>250-ST-OP-501-45785.2708333333</v>
      </c>
      <c r="V331" s="99">
        <f ca="1">IF(Readings[[#This Row],[Epoch]]=OFFSET(Readings[[#This Row],[Epoch]],-1,0),0,1)</f>
        <v>0</v>
      </c>
    </row>
    <row r="332" spans="4:22" x14ac:dyDescent="0.2">
      <c r="D332" s="32">
        <v>45785.270833333336</v>
      </c>
      <c r="E332" s="33" t="s">
        <v>167</v>
      </c>
      <c r="F332" s="34">
        <v>60045.921000000002</v>
      </c>
      <c r="G332" s="34">
        <v>363840.10100000002</v>
      </c>
      <c r="H332" s="34">
        <v>19.334</v>
      </c>
      <c r="I332" s="33" t="s">
        <v>85</v>
      </c>
      <c r="J332" s="33" t="s">
        <v>90</v>
      </c>
      <c r="K332" s="33">
        <v>14.3</v>
      </c>
      <c r="L332" s="33">
        <v>1020</v>
      </c>
      <c r="M332" s="33">
        <v>92</v>
      </c>
      <c r="N332" s="33"/>
      <c r="O332" s="93" t="str">
        <f>IFERROR(IF(Readings[[#This Row],[Obs. X]]="","-",Readings[[#This Row],[Obs. X]]-_xlfn.XLOOKUP(Readings[[#This Row],[Sensor ID]],Table_Baseline[Sensor ID],Table_Baseline[Easting '[m']],"-")),"-")</f>
        <v>-</v>
      </c>
      <c r="P332" s="93" t="str">
        <f>IFERROR(IF(Readings[[#This Row],[Obs. Y]]="","-",Readings[[#This Row],[Obs. Y]]-_xlfn.XLOOKUP(Readings[[#This Row],[Sensor ID]],Table_Baseline[Sensor ID],Table_Baseline[Northing '[m']],"-")),"-")</f>
        <v>-</v>
      </c>
      <c r="Q332" s="93" t="str">
        <f>IFERROR(IF(Readings[[#This Row],[Obs. Z]]="","-",Readings[[#This Row],[Obs. Z]]-_xlfn.XLOOKUP(Readings[[#This Row],[Sensor ID]],Table_Baseline[Sensor ID],Table_Baseline[Level '[m']],"-")),"-")</f>
        <v>-</v>
      </c>
      <c r="R332" s="93" t="str">
        <f>IFERROR(IF(Readings[[#This Row],[Reference Angle]]="-","-",(Readings[[#This Row],[Diff E]]*COS(RADIANS(Readings[[#This Row],[Reference Angle]]))-Readings[[#This Row],[Diff N]]*SIN(RADIANS(Readings[[#This Row],[Reference Angle]])))),"-")</f>
        <v>-</v>
      </c>
      <c r="S332" s="93" t="str">
        <f>IFERROR(IF(Readings[[#This Row],[Reference Angle]]="-","-",(Readings[[#This Row],[Diff E]]*SIN(RADIANS(Readings[[#This Row],[Reference Angle]]))+Readings[[#This Row],[Diff N]]*COS(RADIANS(Readings[[#This Row],[Reference Angle]])))),"-")</f>
        <v>-</v>
      </c>
      <c r="T332" s="94" t="str">
        <f>IFERROR(VLOOKUP(Readings[[#This Row],[Sensor ID]],Table_Baseline[],COLUMNS(Table_Baseline[[#Headers],[Sensor ID]:[Reference Angle '[Deg']]]),FALSE),"-")</f>
        <v>-</v>
      </c>
      <c r="U332" s="95" t="str">
        <f>Readings[[#This Row],[Sensor ID]]&amp;"-"&amp;Readings[[#This Row],[Epoch]]</f>
        <v>250-ST-OP-502-45785.2708333333</v>
      </c>
      <c r="V332" s="99">
        <f ca="1">IF(Readings[[#This Row],[Epoch]]=OFFSET(Readings[[#This Row],[Epoch]],-1,0),0,1)</f>
        <v>0</v>
      </c>
    </row>
    <row r="333" spans="4:22" x14ac:dyDescent="0.2">
      <c r="D333" s="32">
        <v>45785.270833333336</v>
      </c>
      <c r="E333" s="33" t="s">
        <v>168</v>
      </c>
      <c r="F333" s="34">
        <v>60049.767</v>
      </c>
      <c r="G333" s="34">
        <v>363838.99400000001</v>
      </c>
      <c r="H333" s="34">
        <v>19.344999999999999</v>
      </c>
      <c r="I333" s="33" t="s">
        <v>85</v>
      </c>
      <c r="J333" s="33" t="s">
        <v>90</v>
      </c>
      <c r="K333" s="33">
        <v>14.3</v>
      </c>
      <c r="L333" s="33">
        <v>1020</v>
      </c>
      <c r="M333" s="33">
        <v>92</v>
      </c>
      <c r="N333" s="33"/>
      <c r="O333" s="93" t="str">
        <f>IFERROR(IF(Readings[[#This Row],[Obs. X]]="","-",Readings[[#This Row],[Obs. X]]-_xlfn.XLOOKUP(Readings[[#This Row],[Sensor ID]],Table_Baseline[Sensor ID],Table_Baseline[Easting '[m']],"-")),"-")</f>
        <v>-</v>
      </c>
      <c r="P333" s="93" t="str">
        <f>IFERROR(IF(Readings[[#This Row],[Obs. Y]]="","-",Readings[[#This Row],[Obs. Y]]-_xlfn.XLOOKUP(Readings[[#This Row],[Sensor ID]],Table_Baseline[Sensor ID],Table_Baseline[Northing '[m']],"-")),"-")</f>
        <v>-</v>
      </c>
      <c r="Q333" s="93" t="str">
        <f>IFERROR(IF(Readings[[#This Row],[Obs. Z]]="","-",Readings[[#This Row],[Obs. Z]]-_xlfn.XLOOKUP(Readings[[#This Row],[Sensor ID]],Table_Baseline[Sensor ID],Table_Baseline[Level '[m']],"-")),"-")</f>
        <v>-</v>
      </c>
      <c r="R333" s="93" t="str">
        <f>IFERROR(IF(Readings[[#This Row],[Reference Angle]]="-","-",(Readings[[#This Row],[Diff E]]*COS(RADIANS(Readings[[#This Row],[Reference Angle]]))-Readings[[#This Row],[Diff N]]*SIN(RADIANS(Readings[[#This Row],[Reference Angle]])))),"-")</f>
        <v>-</v>
      </c>
      <c r="S333" s="93" t="str">
        <f>IFERROR(IF(Readings[[#This Row],[Reference Angle]]="-","-",(Readings[[#This Row],[Diff E]]*SIN(RADIANS(Readings[[#This Row],[Reference Angle]]))+Readings[[#This Row],[Diff N]]*COS(RADIANS(Readings[[#This Row],[Reference Angle]])))),"-")</f>
        <v>-</v>
      </c>
      <c r="T333" s="94" t="str">
        <f>IFERROR(VLOOKUP(Readings[[#This Row],[Sensor ID]],Table_Baseline[],COLUMNS(Table_Baseline[[#Headers],[Sensor ID]:[Reference Angle '[Deg']]]),FALSE),"-")</f>
        <v>-</v>
      </c>
      <c r="U333" s="95" t="str">
        <f>Readings[[#This Row],[Sensor ID]]&amp;"-"&amp;Readings[[#This Row],[Epoch]]</f>
        <v>250-ST-OP-503-45785.2708333333</v>
      </c>
      <c r="V333" s="99">
        <f ca="1">IF(Readings[[#This Row],[Epoch]]=OFFSET(Readings[[#This Row],[Epoch]],-1,0),0,1)</f>
        <v>0</v>
      </c>
    </row>
    <row r="334" spans="4:22" x14ac:dyDescent="0.2">
      <c r="D334" s="32">
        <v>45785.270833333336</v>
      </c>
      <c r="E334" s="33" t="s">
        <v>169</v>
      </c>
      <c r="F334" s="34">
        <v>60053.608999999997</v>
      </c>
      <c r="G334" s="34">
        <v>363837.88300000003</v>
      </c>
      <c r="H334" s="34">
        <v>19.356999999999999</v>
      </c>
      <c r="I334" s="33" t="s">
        <v>85</v>
      </c>
      <c r="J334" s="33" t="s">
        <v>90</v>
      </c>
      <c r="K334" s="33">
        <v>14.3</v>
      </c>
      <c r="L334" s="33">
        <v>1020</v>
      </c>
      <c r="M334" s="33">
        <v>92</v>
      </c>
      <c r="N334" s="33"/>
      <c r="O334" s="93" t="str">
        <f>IFERROR(IF(Readings[[#This Row],[Obs. X]]="","-",Readings[[#This Row],[Obs. X]]-_xlfn.XLOOKUP(Readings[[#This Row],[Sensor ID]],Table_Baseline[Sensor ID],Table_Baseline[Easting '[m']],"-")),"-")</f>
        <v>-</v>
      </c>
      <c r="P334" s="93" t="str">
        <f>IFERROR(IF(Readings[[#This Row],[Obs. Y]]="","-",Readings[[#This Row],[Obs. Y]]-_xlfn.XLOOKUP(Readings[[#This Row],[Sensor ID]],Table_Baseline[Sensor ID],Table_Baseline[Northing '[m']],"-")),"-")</f>
        <v>-</v>
      </c>
      <c r="Q334" s="93" t="str">
        <f>IFERROR(IF(Readings[[#This Row],[Obs. Z]]="","-",Readings[[#This Row],[Obs. Z]]-_xlfn.XLOOKUP(Readings[[#This Row],[Sensor ID]],Table_Baseline[Sensor ID],Table_Baseline[Level '[m']],"-")),"-")</f>
        <v>-</v>
      </c>
      <c r="R334" s="93" t="str">
        <f>IFERROR(IF(Readings[[#This Row],[Reference Angle]]="-","-",(Readings[[#This Row],[Diff E]]*COS(RADIANS(Readings[[#This Row],[Reference Angle]]))-Readings[[#This Row],[Diff N]]*SIN(RADIANS(Readings[[#This Row],[Reference Angle]])))),"-")</f>
        <v>-</v>
      </c>
      <c r="S334" s="93" t="str">
        <f>IFERROR(IF(Readings[[#This Row],[Reference Angle]]="-","-",(Readings[[#This Row],[Diff E]]*SIN(RADIANS(Readings[[#This Row],[Reference Angle]]))+Readings[[#This Row],[Diff N]]*COS(RADIANS(Readings[[#This Row],[Reference Angle]])))),"-")</f>
        <v>-</v>
      </c>
      <c r="T334" s="94" t="str">
        <f>IFERROR(VLOOKUP(Readings[[#This Row],[Sensor ID]],Table_Baseline[],COLUMNS(Table_Baseline[[#Headers],[Sensor ID]:[Reference Angle '[Deg']]]),FALSE),"-")</f>
        <v>-</v>
      </c>
      <c r="U334" s="95" t="str">
        <f>Readings[[#This Row],[Sensor ID]]&amp;"-"&amp;Readings[[#This Row],[Epoch]]</f>
        <v>250-ST-OP-504-45785.2708333333</v>
      </c>
      <c r="V334" s="99">
        <f ca="1">IF(Readings[[#This Row],[Epoch]]=OFFSET(Readings[[#This Row],[Epoch]],-1,0),0,1)</f>
        <v>0</v>
      </c>
    </row>
    <row r="335" spans="4:22" x14ac:dyDescent="0.2">
      <c r="D335" s="32">
        <v>45785.270833333336</v>
      </c>
      <c r="E335" s="151" t="s">
        <v>170</v>
      </c>
      <c r="F335" s="152">
        <v>60060.065000000002</v>
      </c>
      <c r="G335" s="152">
        <v>363836.02399999998</v>
      </c>
      <c r="H335" s="152">
        <v>19.356999999999999</v>
      </c>
      <c r="I335" s="33" t="s">
        <v>85</v>
      </c>
      <c r="J335" s="33" t="s">
        <v>90</v>
      </c>
      <c r="K335" s="33">
        <v>14.3</v>
      </c>
      <c r="L335" s="33">
        <v>1020</v>
      </c>
      <c r="M335" s="33">
        <v>92</v>
      </c>
      <c r="N335" s="151"/>
      <c r="O335" s="96" t="str">
        <f>IFERROR(IF(Readings[[#This Row],[Obs. X]]="","-",Readings[[#This Row],[Obs. X]]-_xlfn.XLOOKUP(Readings[[#This Row],[Sensor ID]],Table_Baseline[Sensor ID],Table_Baseline[Easting '[m']],"-")),"-")</f>
        <v>-</v>
      </c>
      <c r="P335" s="96" t="str">
        <f>IFERROR(IF(Readings[[#This Row],[Obs. Y]]="","-",Readings[[#This Row],[Obs. Y]]-_xlfn.XLOOKUP(Readings[[#This Row],[Sensor ID]],Table_Baseline[Sensor ID],Table_Baseline[Northing '[m']],"-")),"-")</f>
        <v>-</v>
      </c>
      <c r="Q335" s="96" t="str">
        <f>IFERROR(IF(Readings[[#This Row],[Obs. Z]]="","-",Readings[[#This Row],[Obs. Z]]-_xlfn.XLOOKUP(Readings[[#This Row],[Sensor ID]],Table_Baseline[Sensor ID],Table_Baseline[Level '[m']],"-")),"-")</f>
        <v>-</v>
      </c>
      <c r="R335" s="96" t="str">
        <f>IFERROR(IF(Readings[[#This Row],[Reference Angle]]="-","-",(Readings[[#This Row],[Diff E]]*COS(RADIANS(Readings[[#This Row],[Reference Angle]]))-Readings[[#This Row],[Diff N]]*SIN(RADIANS(Readings[[#This Row],[Reference Angle]])))),"-")</f>
        <v>-</v>
      </c>
      <c r="S335" s="96" t="str">
        <f>IFERROR(IF(Readings[[#This Row],[Reference Angle]]="-","-",(Readings[[#This Row],[Diff E]]*SIN(RADIANS(Readings[[#This Row],[Reference Angle]]))+Readings[[#This Row],[Diff N]]*COS(RADIANS(Readings[[#This Row],[Reference Angle]])))),"-")</f>
        <v>-</v>
      </c>
      <c r="T335" s="97" t="str">
        <f>IFERROR(VLOOKUP(Readings[[#This Row],[Sensor ID]],Table_Baseline[],COLUMNS(Table_Baseline[[#Headers],[Sensor ID]:[Reference Angle '[Deg']]]),FALSE),"-")</f>
        <v>-</v>
      </c>
      <c r="U335" s="98" t="str">
        <f>Readings[[#This Row],[Sensor ID]]&amp;"-"&amp;Readings[[#This Row],[Epoch]]</f>
        <v>250-ST-OP-505-45785.2708333333</v>
      </c>
      <c r="V335" s="100">
        <f ca="1">IF(Readings[[#This Row],[Epoch]]=OFFSET(Readings[[#This Row],[Epoch]],-1,0),0,1)</f>
        <v>0</v>
      </c>
    </row>
    <row r="336" spans="4:22" x14ac:dyDescent="0.2">
      <c r="D336" s="32">
        <v>45786.284722222219</v>
      </c>
      <c r="E336" s="33" t="s">
        <v>172</v>
      </c>
      <c r="F336" s="34">
        <v>60035.339</v>
      </c>
      <c r="G336" s="34">
        <v>363845.739</v>
      </c>
      <c r="H336" s="34">
        <v>18.783000000000001</v>
      </c>
      <c r="I336" s="33" t="s">
        <v>85</v>
      </c>
      <c r="J336" s="33" t="s">
        <v>90</v>
      </c>
      <c r="K336" s="33">
        <v>14.3</v>
      </c>
      <c r="L336" s="33">
        <v>1020</v>
      </c>
      <c r="M336" s="33">
        <v>92</v>
      </c>
      <c r="N336" s="33"/>
      <c r="O336" s="93">
        <f>IFERROR(IF(Readings[[#This Row],[Obs. X]]="","-",Readings[[#This Row],[Obs. X]]-_xlfn.XLOOKUP(Readings[[#This Row],[Sensor ID]],Table_Baseline[Sensor ID],Table_Baseline[Easting '[m']],"-")),"-")</f>
        <v>-9.9999999656574801E-4</v>
      </c>
      <c r="P336" s="93">
        <f>IFERROR(IF(Readings[[#This Row],[Obs. Y]]="","-",Readings[[#This Row],[Obs. Y]]-_xlfn.XLOOKUP(Readings[[#This Row],[Sensor ID]],Table_Baseline[Sensor ID],Table_Baseline[Northing '[m']],"-")),"-")</f>
        <v>0</v>
      </c>
      <c r="Q336" s="93">
        <f>IFERROR(IF(Readings[[#This Row],[Obs. Z]]="","-",Readings[[#This Row],[Obs. Z]]-_xlfn.XLOOKUP(Readings[[#This Row],[Sensor ID]],Table_Baseline[Sensor ID],Table_Baseline[Level '[m']],"-")),"-")</f>
        <v>1.0000000000012221E-3</v>
      </c>
      <c r="R336" s="93">
        <f>IFERROR(IF(Readings[[#This Row],[Reference Angle]]="-","-",(Readings[[#This Row],[Diff E]]*COS(RADIANS(Readings[[#This Row],[Reference Angle]]))-Readings[[#This Row],[Diff N]]*SIN(RADIANS(Readings[[#This Row],[Reference Angle]])))),"-")</f>
        <v>-9.9999999656574801E-4</v>
      </c>
      <c r="S336" s="93">
        <f>IFERROR(IF(Readings[[#This Row],[Reference Angle]]="-","-",(Readings[[#This Row],[Diff E]]*SIN(RADIANS(Readings[[#This Row],[Reference Angle]]))+Readings[[#This Row],[Diff N]]*COS(RADIANS(Readings[[#This Row],[Reference Angle]])))),"-")</f>
        <v>0</v>
      </c>
      <c r="T336" s="94">
        <f>IFERROR(VLOOKUP(Readings[[#This Row],[Sensor ID]],Table_Baseline[],COLUMNS(Table_Baseline[[#Headers],[Sensor ID]:[Reference Angle '[Deg']]]),FALSE),"-")</f>
        <v>0</v>
      </c>
      <c r="U336" s="95" t="str">
        <f>Readings[[#This Row],[Sensor ID]]&amp;"-"&amp;Readings[[#This Row],[Epoch]]</f>
        <v>250-RL-OP-11001-45786.2847222222</v>
      </c>
      <c r="V336" s="99">
        <f ca="1">IF(Readings[[#This Row],[Epoch]]=OFFSET(Readings[[#This Row],[Epoch]],-1,0),0,1)</f>
        <v>1</v>
      </c>
    </row>
    <row r="337" spans="4:22" x14ac:dyDescent="0.2">
      <c r="D337" s="32">
        <v>45786.284722222219</v>
      </c>
      <c r="E337" s="33" t="s">
        <v>171</v>
      </c>
      <c r="F337" s="34">
        <v>60034.959000000003</v>
      </c>
      <c r="G337" s="34">
        <v>363844.47100000002</v>
      </c>
      <c r="H337" s="34">
        <v>18.777999999999999</v>
      </c>
      <c r="I337" s="33" t="s">
        <v>85</v>
      </c>
      <c r="J337" s="33" t="s">
        <v>90</v>
      </c>
      <c r="K337" s="33">
        <v>14.3</v>
      </c>
      <c r="L337" s="33">
        <v>1020</v>
      </c>
      <c r="M337" s="33">
        <v>92</v>
      </c>
      <c r="N337" s="33"/>
      <c r="O337" s="93">
        <f>IFERROR(IF(Readings[[#This Row],[Obs. X]]="","-",Readings[[#This Row],[Obs. X]]-_xlfn.XLOOKUP(Readings[[#This Row],[Sensor ID]],Table_Baseline[Sensor ID],Table_Baseline[Easting '[m']],"-")),"-")</f>
        <v>0</v>
      </c>
      <c r="P337" s="93">
        <f>IFERROR(IF(Readings[[#This Row],[Obs. Y]]="","-",Readings[[#This Row],[Obs. Y]]-_xlfn.XLOOKUP(Readings[[#This Row],[Sensor ID]],Table_Baseline[Sensor ID],Table_Baseline[Northing '[m']],"-")),"-")</f>
        <v>0</v>
      </c>
      <c r="Q337" s="93">
        <f>IFERROR(IF(Readings[[#This Row],[Obs. Z]]="","-",Readings[[#This Row],[Obs. Z]]-_xlfn.XLOOKUP(Readings[[#This Row],[Sensor ID]],Table_Baseline[Sensor ID],Table_Baseline[Level '[m']],"-")),"-")</f>
        <v>-9.9999999999766942E-5</v>
      </c>
      <c r="R337" s="93">
        <f>IFERROR(IF(Readings[[#This Row],[Reference Angle]]="-","-",(Readings[[#This Row],[Diff E]]*COS(RADIANS(Readings[[#This Row],[Reference Angle]]))-Readings[[#This Row],[Diff N]]*SIN(RADIANS(Readings[[#This Row],[Reference Angle]])))),"-")</f>
        <v>0</v>
      </c>
      <c r="S337" s="93">
        <f>IFERROR(IF(Readings[[#This Row],[Reference Angle]]="-","-",(Readings[[#This Row],[Diff E]]*SIN(RADIANS(Readings[[#This Row],[Reference Angle]]))+Readings[[#This Row],[Diff N]]*COS(RADIANS(Readings[[#This Row],[Reference Angle]])))),"-")</f>
        <v>0</v>
      </c>
      <c r="T337" s="94">
        <f>IFERROR(VLOOKUP(Readings[[#This Row],[Sensor ID]],Table_Baseline[],COLUMNS(Table_Baseline[[#Headers],[Sensor ID]:[Reference Angle '[Deg']]]),FALSE),"-")</f>
        <v>0</v>
      </c>
      <c r="U337" s="95" t="str">
        <f>Readings[[#This Row],[Sensor ID]]&amp;"-"&amp;Readings[[#This Row],[Epoch]]</f>
        <v>250-RL-OP-11002-45786.2847222222</v>
      </c>
      <c r="V337" s="99">
        <f ca="1">IF(Readings[[#This Row],[Epoch]]=OFFSET(Readings[[#This Row],[Epoch]],-1,0),0,1)</f>
        <v>0</v>
      </c>
    </row>
    <row r="338" spans="4:22" x14ac:dyDescent="0.2">
      <c r="D338" s="32">
        <v>45786.284722222219</v>
      </c>
      <c r="E338" s="33" t="s">
        <v>174</v>
      </c>
      <c r="F338" s="34">
        <v>60038.116999999998</v>
      </c>
      <c r="G338" s="34">
        <v>363844.946</v>
      </c>
      <c r="H338" s="34">
        <v>18.779</v>
      </c>
      <c r="I338" s="33" t="s">
        <v>85</v>
      </c>
      <c r="J338" s="33" t="s">
        <v>90</v>
      </c>
      <c r="K338" s="33">
        <v>14.3</v>
      </c>
      <c r="L338" s="33">
        <v>1020</v>
      </c>
      <c r="M338" s="33">
        <v>92</v>
      </c>
      <c r="N338" s="33"/>
      <c r="O338" s="93">
        <f>IFERROR(IF(Readings[[#This Row],[Obs. X]]="","-",Readings[[#This Row],[Obs. X]]-_xlfn.XLOOKUP(Readings[[#This Row],[Sensor ID]],Table_Baseline[Sensor ID],Table_Baseline[Easting '[m']],"-")),"-")</f>
        <v>-1.0000000038417056E-3</v>
      </c>
      <c r="P338" s="93">
        <f>IFERROR(IF(Readings[[#This Row],[Obs. Y]]="","-",Readings[[#This Row],[Obs. Y]]-_xlfn.XLOOKUP(Readings[[#This Row],[Sensor ID]],Table_Baseline[Sensor ID],Table_Baseline[Northing '[m']],"-")),"-")</f>
        <v>9.9999998928979039E-4</v>
      </c>
      <c r="Q338" s="93">
        <f>IFERROR(IF(Readings[[#This Row],[Obs. Z]]="","-",Readings[[#This Row],[Obs. Z]]-_xlfn.XLOOKUP(Readings[[#This Row],[Sensor ID]],Table_Baseline[Sensor ID],Table_Baseline[Level '[m']],"-")),"-")</f>
        <v>1.9999999999953388E-4</v>
      </c>
      <c r="R338" s="93">
        <f>IFERROR(IF(Readings[[#This Row],[Reference Angle]]="-","-",(Readings[[#This Row],[Diff E]]*COS(RADIANS(Readings[[#This Row],[Reference Angle]]))-Readings[[#This Row],[Diff N]]*SIN(RADIANS(Readings[[#This Row],[Reference Angle]])))),"-")</f>
        <v>-1.0000000038417056E-3</v>
      </c>
      <c r="S338" s="93">
        <f>IFERROR(IF(Readings[[#This Row],[Reference Angle]]="-","-",(Readings[[#This Row],[Diff E]]*SIN(RADIANS(Readings[[#This Row],[Reference Angle]]))+Readings[[#This Row],[Diff N]]*COS(RADIANS(Readings[[#This Row],[Reference Angle]])))),"-")</f>
        <v>9.9999998928979039E-4</v>
      </c>
      <c r="T338" s="94">
        <f>IFERROR(VLOOKUP(Readings[[#This Row],[Sensor ID]],Table_Baseline[],COLUMNS(Table_Baseline[[#Headers],[Sensor ID]:[Reference Angle '[Deg']]]),FALSE),"-")</f>
        <v>0</v>
      </c>
      <c r="U338" s="95" t="str">
        <f>Readings[[#This Row],[Sensor ID]]&amp;"-"&amp;Readings[[#This Row],[Epoch]]</f>
        <v>250-RL-OP-11003-45786.2847222222</v>
      </c>
      <c r="V338" s="99">
        <f ca="1">IF(Readings[[#This Row],[Epoch]]=OFFSET(Readings[[#This Row],[Epoch]],-1,0),0,1)</f>
        <v>0</v>
      </c>
    </row>
    <row r="339" spans="4:22" x14ac:dyDescent="0.2">
      <c r="D339" s="32">
        <v>45786.284722222219</v>
      </c>
      <c r="E339" s="33" t="s">
        <v>173</v>
      </c>
      <c r="F339" s="34">
        <v>60037.803999999996</v>
      </c>
      <c r="G339" s="34">
        <v>363843.658</v>
      </c>
      <c r="H339" s="34">
        <v>18.779</v>
      </c>
      <c r="I339" s="33" t="s">
        <v>85</v>
      </c>
      <c r="J339" s="33" t="s">
        <v>90</v>
      </c>
      <c r="K339" s="33">
        <v>14.3</v>
      </c>
      <c r="L339" s="33">
        <v>1020</v>
      </c>
      <c r="M339" s="33">
        <v>92</v>
      </c>
      <c r="N339" s="33"/>
      <c r="O339" s="93">
        <f>IFERROR(IF(Readings[[#This Row],[Obs. X]]="","-",Readings[[#This Row],[Obs. X]]-_xlfn.XLOOKUP(Readings[[#This Row],[Sensor ID]],Table_Baseline[Sensor ID],Table_Baseline[Easting '[m']],"-")),"-")</f>
        <v>-1.0000000038417056E-3</v>
      </c>
      <c r="P339" s="93">
        <f>IFERROR(IF(Readings[[#This Row],[Obs. Y]]="","-",Readings[[#This Row],[Obs. Y]]-_xlfn.XLOOKUP(Readings[[#This Row],[Sensor ID]],Table_Baseline[Sensor ID],Table_Baseline[Northing '[m']],"-")),"-")</f>
        <v>9.9999998928979039E-4</v>
      </c>
      <c r="Q339" s="93">
        <f>IFERROR(IF(Readings[[#This Row],[Obs. Z]]="","-",Readings[[#This Row],[Obs. Z]]-_xlfn.XLOOKUP(Readings[[#This Row],[Sensor ID]],Table_Baseline[Sensor ID],Table_Baseline[Level '[m']],"-")),"-")</f>
        <v>4.9999999999883471E-4</v>
      </c>
      <c r="R339" s="93">
        <f>IFERROR(IF(Readings[[#This Row],[Reference Angle]]="-","-",(Readings[[#This Row],[Diff E]]*COS(RADIANS(Readings[[#This Row],[Reference Angle]]))-Readings[[#This Row],[Diff N]]*SIN(RADIANS(Readings[[#This Row],[Reference Angle]])))),"-")</f>
        <v>-1.0000000038417056E-3</v>
      </c>
      <c r="S339" s="93">
        <f>IFERROR(IF(Readings[[#This Row],[Reference Angle]]="-","-",(Readings[[#This Row],[Diff E]]*SIN(RADIANS(Readings[[#This Row],[Reference Angle]]))+Readings[[#This Row],[Diff N]]*COS(RADIANS(Readings[[#This Row],[Reference Angle]])))),"-")</f>
        <v>9.9999998928979039E-4</v>
      </c>
      <c r="T339" s="94">
        <f>IFERROR(VLOOKUP(Readings[[#This Row],[Sensor ID]],Table_Baseline[],COLUMNS(Table_Baseline[[#Headers],[Sensor ID]:[Reference Angle '[Deg']]]),FALSE),"-")</f>
        <v>0</v>
      </c>
      <c r="U339" s="95" t="str">
        <f>Readings[[#This Row],[Sensor ID]]&amp;"-"&amp;Readings[[#This Row],[Epoch]]</f>
        <v>250-RL-OP-11004-45786.2847222222</v>
      </c>
      <c r="V339" s="99">
        <f ca="1">IF(Readings[[#This Row],[Epoch]]=OFFSET(Readings[[#This Row],[Epoch]],-1,0),0,1)</f>
        <v>0</v>
      </c>
    </row>
    <row r="340" spans="4:22" x14ac:dyDescent="0.2">
      <c r="D340" s="32">
        <v>45786.284722222219</v>
      </c>
      <c r="E340" s="33" t="s">
        <v>176</v>
      </c>
      <c r="F340" s="34">
        <v>60040.968000000001</v>
      </c>
      <c r="G340" s="34">
        <v>363844.11800000002</v>
      </c>
      <c r="H340" s="34">
        <v>18.779</v>
      </c>
      <c r="I340" s="33" t="s">
        <v>85</v>
      </c>
      <c r="J340" s="33" t="s">
        <v>90</v>
      </c>
      <c r="K340" s="33">
        <v>14.3</v>
      </c>
      <c r="L340" s="33">
        <v>1020</v>
      </c>
      <c r="M340" s="33">
        <v>92</v>
      </c>
      <c r="N340" s="33"/>
      <c r="O340" s="93">
        <f>IFERROR(IF(Readings[[#This Row],[Obs. X]]="","-",Readings[[#This Row],[Obs. X]]-_xlfn.XLOOKUP(Readings[[#This Row],[Sensor ID]],Table_Baseline[Sensor ID],Table_Baseline[Easting '[m']],"-")),"-")</f>
        <v>-9.9999999656574801E-4</v>
      </c>
      <c r="P340" s="93">
        <f>IFERROR(IF(Readings[[#This Row],[Obs. Y]]="","-",Readings[[#This Row],[Obs. Y]]-_xlfn.XLOOKUP(Readings[[#This Row],[Sensor ID]],Table_Baseline[Sensor ID],Table_Baseline[Northing '[m']],"-")),"-")</f>
        <v>0</v>
      </c>
      <c r="Q340" s="93">
        <f>IFERROR(IF(Readings[[#This Row],[Obs. Z]]="","-",Readings[[#This Row],[Obs. Z]]-_xlfn.XLOOKUP(Readings[[#This Row],[Sensor ID]],Table_Baseline[Sensor ID],Table_Baseline[Level '[m']],"-")),"-")</f>
        <v>0</v>
      </c>
      <c r="R340" s="93">
        <f>IFERROR(IF(Readings[[#This Row],[Reference Angle]]="-","-",(Readings[[#This Row],[Diff E]]*COS(RADIANS(Readings[[#This Row],[Reference Angle]]))-Readings[[#This Row],[Diff N]]*SIN(RADIANS(Readings[[#This Row],[Reference Angle]])))),"-")</f>
        <v>-9.9999999656574801E-4</v>
      </c>
      <c r="S340" s="93">
        <f>IFERROR(IF(Readings[[#This Row],[Reference Angle]]="-","-",(Readings[[#This Row],[Diff E]]*SIN(RADIANS(Readings[[#This Row],[Reference Angle]]))+Readings[[#This Row],[Diff N]]*COS(RADIANS(Readings[[#This Row],[Reference Angle]])))),"-")</f>
        <v>0</v>
      </c>
      <c r="T340" s="94">
        <f>IFERROR(VLOOKUP(Readings[[#This Row],[Sensor ID]],Table_Baseline[],COLUMNS(Table_Baseline[[#Headers],[Sensor ID]:[Reference Angle '[Deg']]]),FALSE),"-")</f>
        <v>0</v>
      </c>
      <c r="U340" s="95" t="str">
        <f>Readings[[#This Row],[Sensor ID]]&amp;"-"&amp;Readings[[#This Row],[Epoch]]</f>
        <v>250-RL-OP-11005-45786.2847222222</v>
      </c>
      <c r="V340" s="99">
        <f ca="1">IF(Readings[[#This Row],[Epoch]]=OFFSET(Readings[[#This Row],[Epoch]],-1,0),0,1)</f>
        <v>0</v>
      </c>
    </row>
    <row r="341" spans="4:22" x14ac:dyDescent="0.2">
      <c r="D341" s="32">
        <v>45786.284722222219</v>
      </c>
      <c r="E341" s="33" t="s">
        <v>175</v>
      </c>
      <c r="F341" s="34">
        <v>60040.606</v>
      </c>
      <c r="G341" s="34">
        <v>363842.86199999996</v>
      </c>
      <c r="H341" s="34">
        <v>18.771999999999998</v>
      </c>
      <c r="I341" s="33" t="s">
        <v>85</v>
      </c>
      <c r="J341" s="33" t="s">
        <v>90</v>
      </c>
      <c r="K341" s="33">
        <v>14.3</v>
      </c>
      <c r="L341" s="33">
        <v>1020</v>
      </c>
      <c r="M341" s="33">
        <v>92</v>
      </c>
      <c r="N341" s="33"/>
      <c r="O341" s="93">
        <f>IFERROR(IF(Readings[[#This Row],[Obs. X]]="","-",Readings[[#This Row],[Obs. X]]-_xlfn.XLOOKUP(Readings[[#This Row],[Sensor ID]],Table_Baseline[Sensor ID],Table_Baseline[Easting '[m']],"-")),"-")</f>
        <v>-1.0000000038417056E-3</v>
      </c>
      <c r="P341" s="93">
        <f>IFERROR(IF(Readings[[#This Row],[Obs. Y]]="","-",Readings[[#This Row],[Obs. Y]]-_xlfn.XLOOKUP(Readings[[#This Row],[Sensor ID]],Table_Baseline[Sensor ID],Table_Baseline[Northing '[m']],"-")),"-")</f>
        <v>9.9999993108212948E-4</v>
      </c>
      <c r="Q341" s="93">
        <f>IFERROR(IF(Readings[[#This Row],[Obs. Z]]="","-",Readings[[#This Row],[Obs. Z]]-_xlfn.XLOOKUP(Readings[[#This Row],[Sensor ID]],Table_Baseline[Sensor ID],Table_Baseline[Level '[m']],"-")),"-")</f>
        <v>0</v>
      </c>
      <c r="R341" s="93">
        <f>IFERROR(IF(Readings[[#This Row],[Reference Angle]]="-","-",(Readings[[#This Row],[Diff E]]*COS(RADIANS(Readings[[#This Row],[Reference Angle]]))-Readings[[#This Row],[Diff N]]*SIN(RADIANS(Readings[[#This Row],[Reference Angle]])))),"-")</f>
        <v>-1.0000000038417056E-3</v>
      </c>
      <c r="S341" s="93">
        <f>IFERROR(IF(Readings[[#This Row],[Reference Angle]]="-","-",(Readings[[#This Row],[Diff E]]*SIN(RADIANS(Readings[[#This Row],[Reference Angle]]))+Readings[[#This Row],[Diff N]]*COS(RADIANS(Readings[[#This Row],[Reference Angle]])))),"-")</f>
        <v>9.9999993108212948E-4</v>
      </c>
      <c r="T341" s="94">
        <f>IFERROR(VLOOKUP(Readings[[#This Row],[Sensor ID]],Table_Baseline[],COLUMNS(Table_Baseline[[#Headers],[Sensor ID]:[Reference Angle '[Deg']]]),FALSE),"-")</f>
        <v>0</v>
      </c>
      <c r="U341" s="95" t="str">
        <f>Readings[[#This Row],[Sensor ID]]&amp;"-"&amp;Readings[[#This Row],[Epoch]]</f>
        <v>250-RL-OP-11006-45786.2847222222</v>
      </c>
      <c r="V341" s="99">
        <f ca="1">IF(Readings[[#This Row],[Epoch]]=OFFSET(Readings[[#This Row],[Epoch]],-1,0),0,1)</f>
        <v>0</v>
      </c>
    </row>
    <row r="342" spans="4:22" x14ac:dyDescent="0.2">
      <c r="D342" s="32">
        <v>45786.284722222219</v>
      </c>
      <c r="E342" s="33" t="s">
        <v>178</v>
      </c>
      <c r="F342" s="34">
        <v>60043.758000000002</v>
      </c>
      <c r="G342" s="34">
        <v>363843.31599999999</v>
      </c>
      <c r="H342" s="34">
        <v>18.774000000000001</v>
      </c>
      <c r="I342" s="33" t="s">
        <v>85</v>
      </c>
      <c r="J342" s="33" t="s">
        <v>90</v>
      </c>
      <c r="K342" s="33">
        <v>14.3</v>
      </c>
      <c r="L342" s="33">
        <v>1020</v>
      </c>
      <c r="M342" s="33">
        <v>92</v>
      </c>
      <c r="N342" s="33"/>
      <c r="O342" s="93">
        <f>IFERROR(IF(Readings[[#This Row],[Obs. X]]="","-",Readings[[#This Row],[Obs. X]]-_xlfn.XLOOKUP(Readings[[#This Row],[Sensor ID]],Table_Baseline[Sensor ID],Table_Baseline[Easting '[m']],"-")),"-")</f>
        <v>-9.9999999656574801E-4</v>
      </c>
      <c r="P342" s="93">
        <f>IFERROR(IF(Readings[[#This Row],[Obs. Y]]="","-",Readings[[#This Row],[Obs. Y]]-_xlfn.XLOOKUP(Readings[[#This Row],[Sensor ID]],Table_Baseline[Sensor ID],Table_Baseline[Northing '[m']],"-")),"-")</f>
        <v>1.9999999785795808E-3</v>
      </c>
      <c r="Q342" s="93">
        <f>IFERROR(IF(Readings[[#This Row],[Obs. Z]]="","-",Readings[[#This Row],[Obs. Z]]-_xlfn.XLOOKUP(Readings[[#This Row],[Sensor ID]],Table_Baseline[Sensor ID],Table_Baseline[Level '[m']],"-")),"-")</f>
        <v>-9.9999999999766942E-5</v>
      </c>
      <c r="R342" s="93">
        <f>IFERROR(IF(Readings[[#This Row],[Reference Angle]]="-","-",(Readings[[#This Row],[Diff E]]*COS(RADIANS(Readings[[#This Row],[Reference Angle]]))-Readings[[#This Row],[Diff N]]*SIN(RADIANS(Readings[[#This Row],[Reference Angle]])))),"-")</f>
        <v>-9.9999999656574801E-4</v>
      </c>
      <c r="S342" s="93">
        <f>IFERROR(IF(Readings[[#This Row],[Reference Angle]]="-","-",(Readings[[#This Row],[Diff E]]*SIN(RADIANS(Readings[[#This Row],[Reference Angle]]))+Readings[[#This Row],[Diff N]]*COS(RADIANS(Readings[[#This Row],[Reference Angle]])))),"-")</f>
        <v>1.9999999785795808E-3</v>
      </c>
      <c r="T342" s="94">
        <f>IFERROR(VLOOKUP(Readings[[#This Row],[Sensor ID]],Table_Baseline[],COLUMNS(Table_Baseline[[#Headers],[Sensor ID]:[Reference Angle '[Deg']]]),FALSE),"-")</f>
        <v>0</v>
      </c>
      <c r="U342" s="95" t="str">
        <f>Readings[[#This Row],[Sensor ID]]&amp;"-"&amp;Readings[[#This Row],[Epoch]]</f>
        <v>250-RL-OP-11007-45786.2847222222</v>
      </c>
      <c r="V342" s="99">
        <f ca="1">IF(Readings[[#This Row],[Epoch]]=OFFSET(Readings[[#This Row],[Epoch]],-1,0),0,1)</f>
        <v>0</v>
      </c>
    </row>
    <row r="343" spans="4:22" x14ac:dyDescent="0.2">
      <c r="D343" s="32">
        <v>45786.284722222219</v>
      </c>
      <c r="E343" s="33" t="s">
        <v>177</v>
      </c>
      <c r="F343" s="34">
        <v>60043.440999999999</v>
      </c>
      <c r="G343" s="34">
        <v>363842.04200000002</v>
      </c>
      <c r="H343" s="34">
        <v>18.768999999999998</v>
      </c>
      <c r="I343" s="33" t="s">
        <v>85</v>
      </c>
      <c r="J343" s="33" t="s">
        <v>90</v>
      </c>
      <c r="K343" s="33">
        <v>14.3</v>
      </c>
      <c r="L343" s="33">
        <v>1020</v>
      </c>
      <c r="M343" s="33">
        <v>92</v>
      </c>
      <c r="N343" s="33"/>
      <c r="O343" s="93">
        <f>IFERROR(IF(Readings[[#This Row],[Obs. X]]="","-",Readings[[#This Row],[Obs. X]]-_xlfn.XLOOKUP(Readings[[#This Row],[Sensor ID]],Table_Baseline[Sensor ID],Table_Baseline[Easting '[m']],"-")),"-")</f>
        <v>0</v>
      </c>
      <c r="P343" s="93">
        <f>IFERROR(IF(Readings[[#This Row],[Obs. Y]]="","-",Readings[[#This Row],[Obs. Y]]-_xlfn.XLOOKUP(Readings[[#This Row],[Sensor ID]],Table_Baseline[Sensor ID],Table_Baseline[Northing '[m']],"-")),"-")</f>
        <v>1.9999999785795808E-3</v>
      </c>
      <c r="Q343" s="93">
        <f>IFERROR(IF(Readings[[#This Row],[Obs. Z]]="","-",Readings[[#This Row],[Obs. Z]]-_xlfn.XLOOKUP(Readings[[#This Row],[Sensor ID]],Table_Baseline[Sensor ID],Table_Baseline[Level '[m']],"-")),"-")</f>
        <v>6.9999999999836859E-4</v>
      </c>
      <c r="R343" s="93">
        <f>IFERROR(IF(Readings[[#This Row],[Reference Angle]]="-","-",(Readings[[#This Row],[Diff E]]*COS(RADIANS(Readings[[#This Row],[Reference Angle]]))-Readings[[#This Row],[Diff N]]*SIN(RADIANS(Readings[[#This Row],[Reference Angle]])))),"-")</f>
        <v>0</v>
      </c>
      <c r="S343" s="93">
        <f>IFERROR(IF(Readings[[#This Row],[Reference Angle]]="-","-",(Readings[[#This Row],[Diff E]]*SIN(RADIANS(Readings[[#This Row],[Reference Angle]]))+Readings[[#This Row],[Diff N]]*COS(RADIANS(Readings[[#This Row],[Reference Angle]])))),"-")</f>
        <v>1.9999999785795808E-3</v>
      </c>
      <c r="T343" s="94">
        <f>IFERROR(VLOOKUP(Readings[[#This Row],[Sensor ID]],Table_Baseline[],COLUMNS(Table_Baseline[[#Headers],[Sensor ID]:[Reference Angle '[Deg']]]),FALSE),"-")</f>
        <v>0</v>
      </c>
      <c r="U343" s="95" t="str">
        <f>Readings[[#This Row],[Sensor ID]]&amp;"-"&amp;Readings[[#This Row],[Epoch]]</f>
        <v>250-RL-OP-11008-45786.2847222222</v>
      </c>
      <c r="V343" s="99">
        <f ca="1">IF(Readings[[#This Row],[Epoch]]=OFFSET(Readings[[#This Row],[Epoch]],-1,0),0,1)</f>
        <v>0</v>
      </c>
    </row>
    <row r="344" spans="4:22" x14ac:dyDescent="0.2">
      <c r="D344" s="32">
        <v>45786.284722222219</v>
      </c>
      <c r="E344" s="33" t="s">
        <v>180</v>
      </c>
      <c r="F344" s="34">
        <v>60046.633000000002</v>
      </c>
      <c r="G344" s="34">
        <v>363842.48600000003</v>
      </c>
      <c r="H344" s="34">
        <v>18.777999999999999</v>
      </c>
      <c r="I344" s="33" t="s">
        <v>85</v>
      </c>
      <c r="J344" s="33" t="s">
        <v>90</v>
      </c>
      <c r="K344" s="33">
        <v>14.3</v>
      </c>
      <c r="L344" s="33">
        <v>1020</v>
      </c>
      <c r="M344" s="33">
        <v>92</v>
      </c>
      <c r="N344" s="33"/>
      <c r="O344" s="93">
        <f>IFERROR(IF(Readings[[#This Row],[Obs. X]]="","-",Readings[[#This Row],[Obs. X]]-_xlfn.XLOOKUP(Readings[[#This Row],[Sensor ID]],Table_Baseline[Sensor ID],Table_Baseline[Easting '[m']],"-")),"-")</f>
        <v>0</v>
      </c>
      <c r="P344" s="93">
        <f>IFERROR(IF(Readings[[#This Row],[Obs. Y]]="","-",Readings[[#This Row],[Obs. Y]]-_xlfn.XLOOKUP(Readings[[#This Row],[Sensor ID]],Table_Baseline[Sensor ID],Table_Baseline[Northing '[m']],"-")),"-")</f>
        <v>1.0000000474974513E-3</v>
      </c>
      <c r="Q344" s="93">
        <f>IFERROR(IF(Readings[[#This Row],[Obs. Z]]="","-",Readings[[#This Row],[Obs. Z]]-_xlfn.XLOOKUP(Readings[[#This Row],[Sensor ID]],Table_Baseline[Sensor ID],Table_Baseline[Level '[m']],"-")),"-")</f>
        <v>3.9999999999906777E-4</v>
      </c>
      <c r="R344" s="93">
        <f>IFERROR(IF(Readings[[#This Row],[Reference Angle]]="-","-",(Readings[[#This Row],[Diff E]]*COS(RADIANS(Readings[[#This Row],[Reference Angle]]))-Readings[[#This Row],[Diff N]]*SIN(RADIANS(Readings[[#This Row],[Reference Angle]])))),"-")</f>
        <v>0</v>
      </c>
      <c r="S344" s="93">
        <f>IFERROR(IF(Readings[[#This Row],[Reference Angle]]="-","-",(Readings[[#This Row],[Diff E]]*SIN(RADIANS(Readings[[#This Row],[Reference Angle]]))+Readings[[#This Row],[Diff N]]*COS(RADIANS(Readings[[#This Row],[Reference Angle]])))),"-")</f>
        <v>1.0000000474974513E-3</v>
      </c>
      <c r="T344" s="94">
        <f>IFERROR(VLOOKUP(Readings[[#This Row],[Sensor ID]],Table_Baseline[],COLUMNS(Table_Baseline[[#Headers],[Sensor ID]:[Reference Angle '[Deg']]]),FALSE),"-")</f>
        <v>0</v>
      </c>
      <c r="U344" s="95" t="str">
        <f>Readings[[#This Row],[Sensor ID]]&amp;"-"&amp;Readings[[#This Row],[Epoch]]</f>
        <v>250-RL-OP-11009-45786.2847222222</v>
      </c>
      <c r="V344" s="99">
        <f ca="1">IF(Readings[[#This Row],[Epoch]]=OFFSET(Readings[[#This Row],[Epoch]],-1,0),0,1)</f>
        <v>0</v>
      </c>
    </row>
    <row r="345" spans="4:22" x14ac:dyDescent="0.2">
      <c r="D345" s="32">
        <v>45786.284722222219</v>
      </c>
      <c r="E345" s="33" t="s">
        <v>179</v>
      </c>
      <c r="F345" s="34">
        <v>60046.249000000003</v>
      </c>
      <c r="G345" s="34">
        <v>363841.22700000001</v>
      </c>
      <c r="H345" s="34">
        <v>18.77</v>
      </c>
      <c r="I345" s="33" t="s">
        <v>85</v>
      </c>
      <c r="J345" s="33" t="s">
        <v>90</v>
      </c>
      <c r="K345" s="33">
        <v>14.3</v>
      </c>
      <c r="L345" s="33">
        <v>1020</v>
      </c>
      <c r="M345" s="33">
        <v>92</v>
      </c>
      <c r="N345" s="33"/>
      <c r="O345" s="93">
        <f>IFERROR(IF(Readings[[#This Row],[Obs. X]]="","-",Readings[[#This Row],[Obs. X]]-_xlfn.XLOOKUP(Readings[[#This Row],[Sensor ID]],Table_Baseline[Sensor ID],Table_Baseline[Easting '[m']],"-")),"-")</f>
        <v>-9.9999999656574801E-4</v>
      </c>
      <c r="P345" s="93">
        <f>IFERROR(IF(Readings[[#This Row],[Obs. Y]]="","-",Readings[[#This Row],[Obs. Y]]-_xlfn.XLOOKUP(Readings[[#This Row],[Sensor ID]],Table_Baseline[Sensor ID],Table_Baseline[Northing '[m']],"-")),"-")</f>
        <v>9.9999998928979039E-4</v>
      </c>
      <c r="Q345" s="93">
        <f>IFERROR(IF(Readings[[#This Row],[Obs. Z]]="","-",Readings[[#This Row],[Obs. Z]]-_xlfn.XLOOKUP(Readings[[#This Row],[Sensor ID]],Table_Baseline[Sensor ID],Table_Baseline[Level '[m']],"-")),"-")</f>
        <v>1.9999999999953388E-4</v>
      </c>
      <c r="R345" s="93">
        <f>IFERROR(IF(Readings[[#This Row],[Reference Angle]]="-","-",(Readings[[#This Row],[Diff E]]*COS(RADIANS(Readings[[#This Row],[Reference Angle]]))-Readings[[#This Row],[Diff N]]*SIN(RADIANS(Readings[[#This Row],[Reference Angle]])))),"-")</f>
        <v>-9.9999999656574801E-4</v>
      </c>
      <c r="S345" s="93">
        <f>IFERROR(IF(Readings[[#This Row],[Reference Angle]]="-","-",(Readings[[#This Row],[Diff E]]*SIN(RADIANS(Readings[[#This Row],[Reference Angle]]))+Readings[[#This Row],[Diff N]]*COS(RADIANS(Readings[[#This Row],[Reference Angle]])))),"-")</f>
        <v>9.9999998928979039E-4</v>
      </c>
      <c r="T345" s="94">
        <f>IFERROR(VLOOKUP(Readings[[#This Row],[Sensor ID]],Table_Baseline[],COLUMNS(Table_Baseline[[#Headers],[Sensor ID]:[Reference Angle '[Deg']]]),FALSE),"-")</f>
        <v>0</v>
      </c>
      <c r="U345" s="95" t="str">
        <f>Readings[[#This Row],[Sensor ID]]&amp;"-"&amp;Readings[[#This Row],[Epoch]]</f>
        <v>250-RL-OP-11010-45786.2847222222</v>
      </c>
      <c r="V345" s="99">
        <f ca="1">IF(Readings[[#This Row],[Epoch]]=OFFSET(Readings[[#This Row],[Epoch]],-1,0),0,1)</f>
        <v>0</v>
      </c>
    </row>
    <row r="346" spans="4:22" x14ac:dyDescent="0.2">
      <c r="D346" s="32">
        <v>45786.284722222219</v>
      </c>
      <c r="E346" s="33" t="s">
        <v>182</v>
      </c>
      <c r="F346" s="34">
        <v>60049.398000000001</v>
      </c>
      <c r="G346" s="34">
        <v>363841.69900000002</v>
      </c>
      <c r="H346" s="34">
        <v>18.777999999999999</v>
      </c>
      <c r="I346" s="33" t="s">
        <v>85</v>
      </c>
      <c r="J346" s="33" t="s">
        <v>90</v>
      </c>
      <c r="K346" s="33">
        <v>14.3</v>
      </c>
      <c r="L346" s="33">
        <v>1020</v>
      </c>
      <c r="M346" s="33">
        <v>92</v>
      </c>
      <c r="N346" s="33"/>
      <c r="O346" s="93">
        <f>IFERROR(IF(Readings[[#This Row],[Obs. X]]="","-",Readings[[#This Row],[Obs. X]]-_xlfn.XLOOKUP(Readings[[#This Row],[Sensor ID]],Table_Baseline[Sensor ID],Table_Baseline[Easting '[m']],"-")),"-")</f>
        <v>-9.9999999656574801E-4</v>
      </c>
      <c r="P346" s="93">
        <f>IFERROR(IF(Readings[[#This Row],[Obs. Y]]="","-",Readings[[#This Row],[Obs. Y]]-_xlfn.XLOOKUP(Readings[[#This Row],[Sensor ID]],Table_Baseline[Sensor ID],Table_Baseline[Northing '[m']],"-")),"-")</f>
        <v>1.0000000474974513E-3</v>
      </c>
      <c r="Q346" s="93">
        <f>IFERROR(IF(Readings[[#This Row],[Obs. Z]]="","-",Readings[[#This Row],[Obs. Z]]-_xlfn.XLOOKUP(Readings[[#This Row],[Sensor ID]],Table_Baseline[Sensor ID],Table_Baseline[Level '[m']],"-")),"-")</f>
        <v>0</v>
      </c>
      <c r="R346" s="93">
        <f>IFERROR(IF(Readings[[#This Row],[Reference Angle]]="-","-",(Readings[[#This Row],[Diff E]]*COS(RADIANS(Readings[[#This Row],[Reference Angle]]))-Readings[[#This Row],[Diff N]]*SIN(RADIANS(Readings[[#This Row],[Reference Angle]])))),"-")</f>
        <v>-9.9999999656574801E-4</v>
      </c>
      <c r="S346" s="93">
        <f>IFERROR(IF(Readings[[#This Row],[Reference Angle]]="-","-",(Readings[[#This Row],[Diff E]]*SIN(RADIANS(Readings[[#This Row],[Reference Angle]]))+Readings[[#This Row],[Diff N]]*COS(RADIANS(Readings[[#This Row],[Reference Angle]])))),"-")</f>
        <v>1.0000000474974513E-3</v>
      </c>
      <c r="T346" s="94">
        <f>IFERROR(VLOOKUP(Readings[[#This Row],[Sensor ID]],Table_Baseline[],COLUMNS(Table_Baseline[[#Headers],[Sensor ID]:[Reference Angle '[Deg']]]),FALSE),"-")</f>
        <v>0</v>
      </c>
      <c r="U346" s="95" t="str">
        <f>Readings[[#This Row],[Sensor ID]]&amp;"-"&amp;Readings[[#This Row],[Epoch]]</f>
        <v>250-RL-OP-11011-45786.2847222222</v>
      </c>
      <c r="V346" s="99">
        <f ca="1">IF(Readings[[#This Row],[Epoch]]=OFFSET(Readings[[#This Row],[Epoch]],-1,0),0,1)</f>
        <v>0</v>
      </c>
    </row>
    <row r="347" spans="4:22" x14ac:dyDescent="0.2">
      <c r="D347" s="32">
        <v>45786.284722222219</v>
      </c>
      <c r="E347" s="33" t="s">
        <v>181</v>
      </c>
      <c r="F347" s="34">
        <v>60049.04</v>
      </c>
      <c r="G347" s="34">
        <v>363840.43599999999</v>
      </c>
      <c r="H347" s="34">
        <v>18.771000000000001</v>
      </c>
      <c r="I347" s="33" t="s">
        <v>85</v>
      </c>
      <c r="J347" s="33" t="s">
        <v>90</v>
      </c>
      <c r="K347" s="33">
        <v>14.3</v>
      </c>
      <c r="L347" s="33">
        <v>1020</v>
      </c>
      <c r="M347" s="33">
        <v>92</v>
      </c>
      <c r="N347" s="33"/>
      <c r="O347" s="93">
        <f>IFERROR(IF(Readings[[#This Row],[Obs. X]]="","-",Readings[[#This Row],[Obs. X]]-_xlfn.XLOOKUP(Readings[[#This Row],[Sensor ID]],Table_Baseline[Sensor ID],Table_Baseline[Easting '[m']],"-")),"-")</f>
        <v>-9.9999999656574801E-4</v>
      </c>
      <c r="P347" s="93">
        <f>IFERROR(IF(Readings[[#This Row],[Obs. Y]]="","-",Readings[[#This Row],[Obs. Y]]-_xlfn.XLOOKUP(Readings[[#This Row],[Sensor ID]],Table_Baseline[Sensor ID],Table_Baseline[Northing '[m']],"-")),"-")</f>
        <v>3.0000000260770321E-3</v>
      </c>
      <c r="Q347" s="93">
        <f>IFERROR(IF(Readings[[#This Row],[Obs. Z]]="","-",Readings[[#This Row],[Obs. Z]]-_xlfn.XLOOKUP(Readings[[#This Row],[Sensor ID]],Table_Baseline[Sensor ID],Table_Baseline[Level '[m']],"-")),"-")</f>
        <v>-9.9999999999766942E-5</v>
      </c>
      <c r="R347" s="93">
        <f>IFERROR(IF(Readings[[#This Row],[Reference Angle]]="-","-",(Readings[[#This Row],[Diff E]]*COS(RADIANS(Readings[[#This Row],[Reference Angle]]))-Readings[[#This Row],[Diff N]]*SIN(RADIANS(Readings[[#This Row],[Reference Angle]])))),"-")</f>
        <v>-9.9999999656574801E-4</v>
      </c>
      <c r="S347" s="93">
        <f>IFERROR(IF(Readings[[#This Row],[Reference Angle]]="-","-",(Readings[[#This Row],[Diff E]]*SIN(RADIANS(Readings[[#This Row],[Reference Angle]]))+Readings[[#This Row],[Diff N]]*COS(RADIANS(Readings[[#This Row],[Reference Angle]])))),"-")</f>
        <v>3.0000000260770321E-3</v>
      </c>
      <c r="T347" s="94">
        <f>IFERROR(VLOOKUP(Readings[[#This Row],[Sensor ID]],Table_Baseline[],COLUMNS(Table_Baseline[[#Headers],[Sensor ID]:[Reference Angle '[Deg']]]),FALSE),"-")</f>
        <v>0</v>
      </c>
      <c r="U347" s="95" t="str">
        <f>Readings[[#This Row],[Sensor ID]]&amp;"-"&amp;Readings[[#This Row],[Epoch]]</f>
        <v>250-RL-OP-11012-45786.2847222222</v>
      </c>
      <c r="V347" s="99">
        <f ca="1">IF(Readings[[#This Row],[Epoch]]=OFFSET(Readings[[#This Row],[Epoch]],-1,0),0,1)</f>
        <v>0</v>
      </c>
    </row>
    <row r="348" spans="4:22" x14ac:dyDescent="0.2">
      <c r="D348" s="32">
        <v>45786.284722222219</v>
      </c>
      <c r="E348" s="33" t="s">
        <v>184</v>
      </c>
      <c r="F348" s="34">
        <v>60052.292000000001</v>
      </c>
      <c r="G348" s="34">
        <v>363840.88699999999</v>
      </c>
      <c r="H348" s="34">
        <v>18.779</v>
      </c>
      <c r="I348" s="33" t="s">
        <v>85</v>
      </c>
      <c r="J348" s="33" t="s">
        <v>90</v>
      </c>
      <c r="K348" s="33">
        <v>14.3</v>
      </c>
      <c r="L348" s="33">
        <v>1020</v>
      </c>
      <c r="M348" s="33">
        <v>92</v>
      </c>
      <c r="N348" s="33"/>
      <c r="O348" s="93">
        <f>IFERROR(IF(Readings[[#This Row],[Obs. X]]="","-",Readings[[#This Row],[Obs. X]]-_xlfn.XLOOKUP(Readings[[#This Row],[Sensor ID]],Table_Baseline[Sensor ID],Table_Baseline[Easting '[m']],"-")),"-")</f>
        <v>-9.9999999656574801E-4</v>
      </c>
      <c r="P348" s="93">
        <f>IFERROR(IF(Readings[[#This Row],[Obs. Y]]="","-",Readings[[#This Row],[Obs. Y]]-_xlfn.XLOOKUP(Readings[[#This Row],[Sensor ID]],Table_Baseline[Sensor ID],Table_Baseline[Northing '[m']],"-")),"-")</f>
        <v>1.9999999785795808E-3</v>
      </c>
      <c r="Q348" s="93">
        <f>IFERROR(IF(Readings[[#This Row],[Obs. Z]]="","-",Readings[[#This Row],[Obs. Z]]-_xlfn.XLOOKUP(Readings[[#This Row],[Sensor ID]],Table_Baseline[Sensor ID],Table_Baseline[Level '[m']],"-")),"-")</f>
        <v>0</v>
      </c>
      <c r="R348" s="93">
        <f>IFERROR(IF(Readings[[#This Row],[Reference Angle]]="-","-",(Readings[[#This Row],[Diff E]]*COS(RADIANS(Readings[[#This Row],[Reference Angle]]))-Readings[[#This Row],[Diff N]]*SIN(RADIANS(Readings[[#This Row],[Reference Angle]])))),"-")</f>
        <v>-9.9999999656574801E-4</v>
      </c>
      <c r="S348" s="93">
        <f>IFERROR(IF(Readings[[#This Row],[Reference Angle]]="-","-",(Readings[[#This Row],[Diff E]]*SIN(RADIANS(Readings[[#This Row],[Reference Angle]]))+Readings[[#This Row],[Diff N]]*COS(RADIANS(Readings[[#This Row],[Reference Angle]])))),"-")</f>
        <v>1.9999999785795808E-3</v>
      </c>
      <c r="T348" s="94">
        <f>IFERROR(VLOOKUP(Readings[[#This Row],[Sensor ID]],Table_Baseline[],COLUMNS(Table_Baseline[[#Headers],[Sensor ID]:[Reference Angle '[Deg']]]),FALSE),"-")</f>
        <v>0</v>
      </c>
      <c r="U348" s="95" t="str">
        <f>Readings[[#This Row],[Sensor ID]]&amp;"-"&amp;Readings[[#This Row],[Epoch]]</f>
        <v>250-RL-OP-11013-45786.2847222222</v>
      </c>
      <c r="V348" s="99">
        <f ca="1">IF(Readings[[#This Row],[Epoch]]=OFFSET(Readings[[#This Row],[Epoch]],-1,0),0,1)</f>
        <v>0</v>
      </c>
    </row>
    <row r="349" spans="4:22" x14ac:dyDescent="0.2">
      <c r="D349" s="32">
        <v>45786.284722222219</v>
      </c>
      <c r="E349" s="33" t="s">
        <v>183</v>
      </c>
      <c r="F349" s="34">
        <v>60051.989000000001</v>
      </c>
      <c r="G349" s="34">
        <v>363839.60600000003</v>
      </c>
      <c r="H349" s="34">
        <v>18.77</v>
      </c>
      <c r="I349" s="33" t="s">
        <v>85</v>
      </c>
      <c r="J349" s="33" t="s">
        <v>90</v>
      </c>
      <c r="K349" s="33">
        <v>14.3</v>
      </c>
      <c r="L349" s="33">
        <v>1020</v>
      </c>
      <c r="M349" s="33">
        <v>92</v>
      </c>
      <c r="N349" s="33"/>
      <c r="O349" s="93">
        <f>IFERROR(IF(Readings[[#This Row],[Obs. X]]="","-",Readings[[#This Row],[Obs. X]]-_xlfn.XLOOKUP(Readings[[#This Row],[Sensor ID]],Table_Baseline[Sensor ID],Table_Baseline[Easting '[m']],"-")),"-")</f>
        <v>0</v>
      </c>
      <c r="P349" s="93">
        <f>IFERROR(IF(Readings[[#This Row],[Obs. Y]]="","-",Readings[[#This Row],[Obs. Y]]-_xlfn.XLOOKUP(Readings[[#This Row],[Sensor ID]],Table_Baseline[Sensor ID],Table_Baseline[Northing '[m']],"-")),"-")</f>
        <v>3.0000000260770321E-3</v>
      </c>
      <c r="Q349" s="93">
        <f>IFERROR(IF(Readings[[#This Row],[Obs. Z]]="","-",Readings[[#This Row],[Obs. Z]]-_xlfn.XLOOKUP(Readings[[#This Row],[Sensor ID]],Table_Baseline[Sensor ID],Table_Baseline[Level '[m']],"-")),"-")</f>
        <v>-9.9999999999766942E-5</v>
      </c>
      <c r="R349" s="93">
        <f>IFERROR(IF(Readings[[#This Row],[Reference Angle]]="-","-",(Readings[[#This Row],[Diff E]]*COS(RADIANS(Readings[[#This Row],[Reference Angle]]))-Readings[[#This Row],[Diff N]]*SIN(RADIANS(Readings[[#This Row],[Reference Angle]])))),"-")</f>
        <v>0</v>
      </c>
      <c r="S349" s="93">
        <f>IFERROR(IF(Readings[[#This Row],[Reference Angle]]="-","-",(Readings[[#This Row],[Diff E]]*SIN(RADIANS(Readings[[#This Row],[Reference Angle]]))+Readings[[#This Row],[Diff N]]*COS(RADIANS(Readings[[#This Row],[Reference Angle]])))),"-")</f>
        <v>3.0000000260770321E-3</v>
      </c>
      <c r="T349" s="94">
        <f>IFERROR(VLOOKUP(Readings[[#This Row],[Sensor ID]],Table_Baseline[],COLUMNS(Table_Baseline[[#Headers],[Sensor ID]:[Reference Angle '[Deg']]]),FALSE),"-")</f>
        <v>0</v>
      </c>
      <c r="U349" s="95" t="str">
        <f>Readings[[#This Row],[Sensor ID]]&amp;"-"&amp;Readings[[#This Row],[Epoch]]</f>
        <v>250-RL-OP-11014-45786.2847222222</v>
      </c>
      <c r="V349" s="99">
        <f ca="1">IF(Readings[[#This Row],[Epoch]]=OFFSET(Readings[[#This Row],[Epoch]],-1,0),0,1)</f>
        <v>0</v>
      </c>
    </row>
    <row r="350" spans="4:22" x14ac:dyDescent="0.2">
      <c r="D350" s="32">
        <v>45786.284722222219</v>
      </c>
      <c r="E350" s="33" t="s">
        <v>186</v>
      </c>
      <c r="F350" s="34">
        <v>60055.196000000004</v>
      </c>
      <c r="G350" s="34">
        <v>363840.09700000001</v>
      </c>
      <c r="H350" s="34">
        <v>18.780999999999999</v>
      </c>
      <c r="I350" s="33" t="s">
        <v>85</v>
      </c>
      <c r="J350" s="33" t="s">
        <v>90</v>
      </c>
      <c r="K350" s="33">
        <v>14.3</v>
      </c>
      <c r="L350" s="33">
        <v>1020</v>
      </c>
      <c r="M350" s="33">
        <v>92</v>
      </c>
      <c r="N350" s="33"/>
      <c r="O350" s="93">
        <f>IFERROR(IF(Readings[[#This Row],[Obs. X]]="","-",Readings[[#This Row],[Obs. X]]-_xlfn.XLOOKUP(Readings[[#This Row],[Sensor ID]],Table_Baseline[Sensor ID],Table_Baseline[Easting '[m']],"-")),"-")</f>
        <v>0</v>
      </c>
      <c r="P350" s="93">
        <f>IFERROR(IF(Readings[[#This Row],[Obs. Y]]="","-",Readings[[#This Row],[Obs. Y]]-_xlfn.XLOOKUP(Readings[[#This Row],[Sensor ID]],Table_Baseline[Sensor ID],Table_Baseline[Northing '[m']],"-")),"-")</f>
        <v>2.0000000367872417E-3</v>
      </c>
      <c r="Q350" s="93">
        <f>IFERROR(IF(Readings[[#This Row],[Obs. Z]]="","-",Readings[[#This Row],[Obs. Z]]-_xlfn.XLOOKUP(Readings[[#This Row],[Sensor ID]],Table_Baseline[Sensor ID],Table_Baseline[Level '[m']],"-")),"-")</f>
        <v>9.9999999999766942E-5</v>
      </c>
      <c r="R350" s="93">
        <f>IFERROR(IF(Readings[[#This Row],[Reference Angle]]="-","-",(Readings[[#This Row],[Diff E]]*COS(RADIANS(Readings[[#This Row],[Reference Angle]]))-Readings[[#This Row],[Diff N]]*SIN(RADIANS(Readings[[#This Row],[Reference Angle]])))),"-")</f>
        <v>0</v>
      </c>
      <c r="S350" s="93">
        <f>IFERROR(IF(Readings[[#This Row],[Reference Angle]]="-","-",(Readings[[#This Row],[Diff E]]*SIN(RADIANS(Readings[[#This Row],[Reference Angle]]))+Readings[[#This Row],[Diff N]]*COS(RADIANS(Readings[[#This Row],[Reference Angle]])))),"-")</f>
        <v>2.0000000367872417E-3</v>
      </c>
      <c r="T350" s="94">
        <f>IFERROR(VLOOKUP(Readings[[#This Row],[Sensor ID]],Table_Baseline[],COLUMNS(Table_Baseline[[#Headers],[Sensor ID]:[Reference Angle '[Deg']]]),FALSE),"-")</f>
        <v>0</v>
      </c>
      <c r="U350" s="95" t="str">
        <f>Readings[[#This Row],[Sensor ID]]&amp;"-"&amp;Readings[[#This Row],[Epoch]]</f>
        <v>250-RL-OP-11015-45786.2847222222</v>
      </c>
      <c r="V350" s="99">
        <f ca="1">IF(Readings[[#This Row],[Epoch]]=OFFSET(Readings[[#This Row],[Epoch]],-1,0),0,1)</f>
        <v>0</v>
      </c>
    </row>
    <row r="351" spans="4:22" x14ac:dyDescent="0.2">
      <c r="D351" s="32">
        <v>45786.284722222219</v>
      </c>
      <c r="E351" s="33" t="s">
        <v>185</v>
      </c>
      <c r="F351" s="34">
        <v>60054.885000000002</v>
      </c>
      <c r="G351" s="34">
        <v>363838.80700000003</v>
      </c>
      <c r="H351" s="34">
        <v>18.773</v>
      </c>
      <c r="I351" s="33" t="s">
        <v>85</v>
      </c>
      <c r="J351" s="33" t="s">
        <v>90</v>
      </c>
      <c r="K351" s="33">
        <v>14.3</v>
      </c>
      <c r="L351" s="33">
        <v>1020</v>
      </c>
      <c r="M351" s="33">
        <v>92</v>
      </c>
      <c r="N351" s="33"/>
      <c r="O351" s="93">
        <f>IFERROR(IF(Readings[[#This Row],[Obs. X]]="","-",Readings[[#This Row],[Obs. X]]-_xlfn.XLOOKUP(Readings[[#This Row],[Sensor ID]],Table_Baseline[Sensor ID],Table_Baseline[Easting '[m']],"-")),"-")</f>
        <v>-9.9999999656574801E-4</v>
      </c>
      <c r="P351" s="93">
        <f>IFERROR(IF(Readings[[#This Row],[Obs. Y]]="","-",Readings[[#This Row],[Obs. Y]]-_xlfn.XLOOKUP(Readings[[#This Row],[Sensor ID]],Table_Baseline[Sensor ID],Table_Baseline[Northing '[m']],"-")),"-")</f>
        <v>2.0000000367872417E-3</v>
      </c>
      <c r="Q351" s="93">
        <f>IFERROR(IF(Readings[[#This Row],[Obs. Z]]="","-",Readings[[#This Row],[Obs. Z]]-_xlfn.XLOOKUP(Readings[[#This Row],[Sensor ID]],Table_Baseline[Sensor ID],Table_Baseline[Level '[m']],"-")),"-")</f>
        <v>-9.9999999999766942E-5</v>
      </c>
      <c r="R351" s="93">
        <f>IFERROR(IF(Readings[[#This Row],[Reference Angle]]="-","-",(Readings[[#This Row],[Diff E]]*COS(RADIANS(Readings[[#This Row],[Reference Angle]]))-Readings[[#This Row],[Diff N]]*SIN(RADIANS(Readings[[#This Row],[Reference Angle]])))),"-")</f>
        <v>-9.9999999656574801E-4</v>
      </c>
      <c r="S351" s="93">
        <f>IFERROR(IF(Readings[[#This Row],[Reference Angle]]="-","-",(Readings[[#This Row],[Diff E]]*SIN(RADIANS(Readings[[#This Row],[Reference Angle]]))+Readings[[#This Row],[Diff N]]*COS(RADIANS(Readings[[#This Row],[Reference Angle]])))),"-")</f>
        <v>2.0000000367872417E-3</v>
      </c>
      <c r="T351" s="94">
        <f>IFERROR(VLOOKUP(Readings[[#This Row],[Sensor ID]],Table_Baseline[],COLUMNS(Table_Baseline[[#Headers],[Sensor ID]:[Reference Angle '[Deg']]]),FALSE),"-")</f>
        <v>0</v>
      </c>
      <c r="U351" s="95" t="str">
        <f>Readings[[#This Row],[Sensor ID]]&amp;"-"&amp;Readings[[#This Row],[Epoch]]</f>
        <v>250-RL-OP-11016-45786.2847222222</v>
      </c>
      <c r="V351" s="99">
        <f ca="1">IF(Readings[[#This Row],[Epoch]]=OFFSET(Readings[[#This Row],[Epoch]],-1,0),0,1)</f>
        <v>0</v>
      </c>
    </row>
    <row r="352" spans="4:22" x14ac:dyDescent="0.2">
      <c r="D352" s="32">
        <v>45786.284722222219</v>
      </c>
      <c r="E352" s="33" t="s">
        <v>188</v>
      </c>
      <c r="F352" s="34">
        <v>60057.951999999997</v>
      </c>
      <c r="G352" s="34">
        <v>363839.36499999999</v>
      </c>
      <c r="H352" s="34">
        <v>18.786000000000001</v>
      </c>
      <c r="I352" s="33" t="s">
        <v>85</v>
      </c>
      <c r="J352" s="33" t="s">
        <v>90</v>
      </c>
      <c r="K352" s="33">
        <v>14.3</v>
      </c>
      <c r="L352" s="33">
        <v>1020</v>
      </c>
      <c r="M352" s="33">
        <v>92</v>
      </c>
      <c r="N352" s="33"/>
      <c r="O352" s="93">
        <f>IFERROR(IF(Readings[[#This Row],[Obs. X]]="","-",Readings[[#This Row],[Obs. X]]-_xlfn.XLOOKUP(Readings[[#This Row],[Sensor ID]],Table_Baseline[Sensor ID],Table_Baseline[Easting '[m']],"-")),"-")</f>
        <v>0</v>
      </c>
      <c r="P352" s="93">
        <f>IFERROR(IF(Readings[[#This Row],[Obs. Y]]="","-",Readings[[#This Row],[Obs. Y]]-_xlfn.XLOOKUP(Readings[[#This Row],[Sensor ID]],Table_Baseline[Sensor ID],Table_Baseline[Northing '[m']],"-")),"-")</f>
        <v>3.0000000260770321E-3</v>
      </c>
      <c r="Q352" s="93">
        <f>IFERROR(IF(Readings[[#This Row],[Obs. Z]]="","-",Readings[[#This Row],[Obs. Z]]-_xlfn.XLOOKUP(Readings[[#This Row],[Sensor ID]],Table_Baseline[Sensor ID],Table_Baseline[Level '[m']],"-")),"-")</f>
        <v>0</v>
      </c>
      <c r="R352" s="93">
        <f>IFERROR(IF(Readings[[#This Row],[Reference Angle]]="-","-",(Readings[[#This Row],[Diff E]]*COS(RADIANS(Readings[[#This Row],[Reference Angle]]))-Readings[[#This Row],[Diff N]]*SIN(RADIANS(Readings[[#This Row],[Reference Angle]])))),"-")</f>
        <v>0</v>
      </c>
      <c r="S352" s="93">
        <f>IFERROR(IF(Readings[[#This Row],[Reference Angle]]="-","-",(Readings[[#This Row],[Diff E]]*SIN(RADIANS(Readings[[#This Row],[Reference Angle]]))+Readings[[#This Row],[Diff N]]*COS(RADIANS(Readings[[#This Row],[Reference Angle]])))),"-")</f>
        <v>3.0000000260770321E-3</v>
      </c>
      <c r="T352" s="94">
        <f>IFERROR(VLOOKUP(Readings[[#This Row],[Sensor ID]],Table_Baseline[],COLUMNS(Table_Baseline[[#Headers],[Sensor ID]:[Reference Angle '[Deg']]]),FALSE),"-")</f>
        <v>0</v>
      </c>
      <c r="U352" s="95" t="str">
        <f>Readings[[#This Row],[Sensor ID]]&amp;"-"&amp;Readings[[#This Row],[Epoch]]</f>
        <v>250-RL-OP-11017-45786.2847222222</v>
      </c>
      <c r="V352" s="99">
        <f ca="1">IF(Readings[[#This Row],[Epoch]]=OFFSET(Readings[[#This Row],[Epoch]],-1,0),0,1)</f>
        <v>0</v>
      </c>
    </row>
    <row r="353" spans="4:22" x14ac:dyDescent="0.2">
      <c r="D353" s="32">
        <v>45786.284722222219</v>
      </c>
      <c r="E353" s="33" t="s">
        <v>187</v>
      </c>
      <c r="F353" s="34">
        <v>60057.578000000001</v>
      </c>
      <c r="G353" s="34">
        <v>363838.10100000002</v>
      </c>
      <c r="H353" s="34">
        <v>18.776</v>
      </c>
      <c r="I353" s="33" t="s">
        <v>85</v>
      </c>
      <c r="J353" s="33" t="s">
        <v>90</v>
      </c>
      <c r="K353" s="33">
        <v>14.3</v>
      </c>
      <c r="L353" s="33">
        <v>1020</v>
      </c>
      <c r="M353" s="33">
        <v>92</v>
      </c>
      <c r="N353" s="33"/>
      <c r="O353" s="93">
        <f>IFERROR(IF(Readings[[#This Row],[Obs. X]]="","-",Readings[[#This Row],[Obs. X]]-_xlfn.XLOOKUP(Readings[[#This Row],[Sensor ID]],Table_Baseline[Sensor ID],Table_Baseline[Easting '[m']],"-")),"-")</f>
        <v>-9.9999999656574801E-4</v>
      </c>
      <c r="P353" s="93">
        <f>IFERROR(IF(Readings[[#This Row],[Obs. Y]]="","-",Readings[[#This Row],[Obs. Y]]-_xlfn.XLOOKUP(Readings[[#This Row],[Sensor ID]],Table_Baseline[Sensor ID],Table_Baseline[Northing '[m']],"-")),"-")</f>
        <v>3.0000000260770321E-3</v>
      </c>
      <c r="Q353" s="93">
        <f>IFERROR(IF(Readings[[#This Row],[Obs. Z]]="","-",Readings[[#This Row],[Obs. Z]]-_xlfn.XLOOKUP(Readings[[#This Row],[Sensor ID]],Table_Baseline[Sensor ID],Table_Baseline[Level '[m']],"-")),"-")</f>
        <v>0</v>
      </c>
      <c r="R353" s="93">
        <f>IFERROR(IF(Readings[[#This Row],[Reference Angle]]="-","-",(Readings[[#This Row],[Diff E]]*COS(RADIANS(Readings[[#This Row],[Reference Angle]]))-Readings[[#This Row],[Diff N]]*SIN(RADIANS(Readings[[#This Row],[Reference Angle]])))),"-")</f>
        <v>-9.9999999656574801E-4</v>
      </c>
      <c r="S353" s="93">
        <f>IFERROR(IF(Readings[[#This Row],[Reference Angle]]="-","-",(Readings[[#This Row],[Diff E]]*SIN(RADIANS(Readings[[#This Row],[Reference Angle]]))+Readings[[#This Row],[Diff N]]*COS(RADIANS(Readings[[#This Row],[Reference Angle]])))),"-")</f>
        <v>3.0000000260770321E-3</v>
      </c>
      <c r="T353" s="94">
        <f>IFERROR(VLOOKUP(Readings[[#This Row],[Sensor ID]],Table_Baseline[],COLUMNS(Table_Baseline[[#Headers],[Sensor ID]:[Reference Angle '[Deg']]]),FALSE),"-")</f>
        <v>0</v>
      </c>
      <c r="U353" s="95" t="str">
        <f>Readings[[#This Row],[Sensor ID]]&amp;"-"&amp;Readings[[#This Row],[Epoch]]</f>
        <v>250-RL-OP-11018-45786.2847222222</v>
      </c>
      <c r="V353" s="99">
        <f ca="1">IF(Readings[[#This Row],[Epoch]]=OFFSET(Readings[[#This Row],[Epoch]],-1,0),0,1)</f>
        <v>0</v>
      </c>
    </row>
    <row r="354" spans="4:22" x14ac:dyDescent="0.2">
      <c r="D354" s="32">
        <v>45786.284722222219</v>
      </c>
      <c r="E354" s="33" t="s">
        <v>190</v>
      </c>
      <c r="F354" s="34">
        <v>60060.962</v>
      </c>
      <c r="G354" s="34">
        <v>363838.60399999999</v>
      </c>
      <c r="H354" s="34">
        <v>18.794</v>
      </c>
      <c r="I354" s="33" t="s">
        <v>85</v>
      </c>
      <c r="J354" s="33" t="s">
        <v>90</v>
      </c>
      <c r="K354" s="33">
        <v>14.3</v>
      </c>
      <c r="L354" s="33">
        <v>1020</v>
      </c>
      <c r="M354" s="33">
        <v>92</v>
      </c>
      <c r="N354" s="33"/>
      <c r="O354" s="93">
        <f>IFERROR(IF(Readings[[#This Row],[Obs. X]]="","-",Readings[[#This Row],[Obs. X]]-_xlfn.XLOOKUP(Readings[[#This Row],[Sensor ID]],Table_Baseline[Sensor ID],Table_Baseline[Easting '[m']],"-")),"-")</f>
        <v>-1.0000000038417056E-3</v>
      </c>
      <c r="P354" s="93">
        <f>IFERROR(IF(Readings[[#This Row],[Obs. Y]]="","-",Readings[[#This Row],[Obs. Y]]-_xlfn.XLOOKUP(Readings[[#This Row],[Sensor ID]],Table_Baseline[Sensor ID],Table_Baseline[Northing '[m']],"-")),"-")</f>
        <v>2.9999999678693712E-3</v>
      </c>
      <c r="Q354" s="93">
        <f>IFERROR(IF(Readings[[#This Row],[Obs. Z]]="","-",Readings[[#This Row],[Obs. Z]]-_xlfn.XLOOKUP(Readings[[#This Row],[Sensor ID]],Table_Baseline[Sensor ID],Table_Baseline[Level '[m']],"-")),"-")</f>
        <v>-5.9999999999860165E-4</v>
      </c>
      <c r="R354" s="93">
        <f>IFERROR(IF(Readings[[#This Row],[Reference Angle]]="-","-",(Readings[[#This Row],[Diff E]]*COS(RADIANS(Readings[[#This Row],[Reference Angle]]))-Readings[[#This Row],[Diff N]]*SIN(RADIANS(Readings[[#This Row],[Reference Angle]])))),"-")</f>
        <v>-1.0000000038417056E-3</v>
      </c>
      <c r="S354" s="93">
        <f>IFERROR(IF(Readings[[#This Row],[Reference Angle]]="-","-",(Readings[[#This Row],[Diff E]]*SIN(RADIANS(Readings[[#This Row],[Reference Angle]]))+Readings[[#This Row],[Diff N]]*COS(RADIANS(Readings[[#This Row],[Reference Angle]])))),"-")</f>
        <v>2.9999999678693712E-3</v>
      </c>
      <c r="T354" s="94">
        <f>IFERROR(VLOOKUP(Readings[[#This Row],[Sensor ID]],Table_Baseline[],COLUMNS(Table_Baseline[[#Headers],[Sensor ID]:[Reference Angle '[Deg']]]),FALSE),"-")</f>
        <v>0</v>
      </c>
      <c r="U354" s="95" t="str">
        <f>Readings[[#This Row],[Sensor ID]]&amp;"-"&amp;Readings[[#This Row],[Epoch]]</f>
        <v>250-RL-OP-11019-45786.2847222222</v>
      </c>
      <c r="V354" s="99">
        <f ca="1">IF(Readings[[#This Row],[Epoch]]=OFFSET(Readings[[#This Row],[Epoch]],-1,0),0,1)</f>
        <v>0</v>
      </c>
    </row>
    <row r="355" spans="4:22" x14ac:dyDescent="0.2">
      <c r="D355" s="32">
        <v>45786.284722222219</v>
      </c>
      <c r="E355" s="33" t="s">
        <v>189</v>
      </c>
      <c r="F355" s="34">
        <v>60060.639999999999</v>
      </c>
      <c r="G355" s="34">
        <v>363837.32500000001</v>
      </c>
      <c r="H355" s="34">
        <v>18.783000000000001</v>
      </c>
      <c r="I355" s="33" t="s">
        <v>85</v>
      </c>
      <c r="J355" s="33" t="s">
        <v>90</v>
      </c>
      <c r="K355" s="33">
        <v>14.3</v>
      </c>
      <c r="L355" s="33">
        <v>1020</v>
      </c>
      <c r="M355" s="33">
        <v>92</v>
      </c>
      <c r="N355" s="33"/>
      <c r="O355" s="93">
        <f>IFERROR(IF(Readings[[#This Row],[Obs. X]]="","-",Readings[[#This Row],[Obs. X]]-_xlfn.XLOOKUP(Readings[[#This Row],[Sensor ID]],Table_Baseline[Sensor ID],Table_Baseline[Easting '[m']],"-")),"-")</f>
        <v>0</v>
      </c>
      <c r="P355" s="93">
        <f>IFERROR(IF(Readings[[#This Row],[Obs. Y]]="","-",Readings[[#This Row],[Obs. Y]]-_xlfn.XLOOKUP(Readings[[#This Row],[Sensor ID]],Table_Baseline[Sensor ID],Table_Baseline[Northing '[m']],"-")),"-")</f>
        <v>3.0000000260770321E-3</v>
      </c>
      <c r="Q355" s="93">
        <f>IFERROR(IF(Readings[[#This Row],[Obs. Z]]="","-",Readings[[#This Row],[Obs. Z]]-_xlfn.XLOOKUP(Readings[[#This Row],[Sensor ID]],Table_Baseline[Sensor ID],Table_Baseline[Level '[m']],"-")),"-")</f>
        <v>-5.9999999999860165E-4</v>
      </c>
      <c r="R355" s="93">
        <f>IFERROR(IF(Readings[[#This Row],[Reference Angle]]="-","-",(Readings[[#This Row],[Diff E]]*COS(RADIANS(Readings[[#This Row],[Reference Angle]]))-Readings[[#This Row],[Diff N]]*SIN(RADIANS(Readings[[#This Row],[Reference Angle]])))),"-")</f>
        <v>0</v>
      </c>
      <c r="S355" s="93">
        <f>IFERROR(IF(Readings[[#This Row],[Reference Angle]]="-","-",(Readings[[#This Row],[Diff E]]*SIN(RADIANS(Readings[[#This Row],[Reference Angle]]))+Readings[[#This Row],[Diff N]]*COS(RADIANS(Readings[[#This Row],[Reference Angle]])))),"-")</f>
        <v>3.0000000260770321E-3</v>
      </c>
      <c r="T355" s="94">
        <f>IFERROR(VLOOKUP(Readings[[#This Row],[Sensor ID]],Table_Baseline[],COLUMNS(Table_Baseline[[#Headers],[Sensor ID]:[Reference Angle '[Deg']]]),FALSE),"-")</f>
        <v>0</v>
      </c>
      <c r="U355" s="95" t="str">
        <f>Readings[[#This Row],[Sensor ID]]&amp;"-"&amp;Readings[[#This Row],[Epoch]]</f>
        <v>250-RL-OP-11020-45786.2847222222</v>
      </c>
      <c r="V355" s="99">
        <f ca="1">IF(Readings[[#This Row],[Epoch]]=OFFSET(Readings[[#This Row],[Epoch]],-1,0),0,1)</f>
        <v>0</v>
      </c>
    </row>
    <row r="356" spans="4:22" x14ac:dyDescent="0.2">
      <c r="D356" s="32">
        <v>45786.284722222219</v>
      </c>
      <c r="E356" s="33" t="s">
        <v>192</v>
      </c>
      <c r="F356" s="34">
        <v>60063.75</v>
      </c>
      <c r="G356" s="34">
        <v>363837.92000000004</v>
      </c>
      <c r="H356" s="34">
        <v>18.808</v>
      </c>
      <c r="I356" s="33" t="s">
        <v>85</v>
      </c>
      <c r="J356" s="33" t="s">
        <v>90</v>
      </c>
      <c r="K356" s="33">
        <v>14.3</v>
      </c>
      <c r="L356" s="33">
        <v>1020</v>
      </c>
      <c r="M356" s="33">
        <v>92</v>
      </c>
      <c r="N356" s="33"/>
      <c r="O356" s="93">
        <f>IFERROR(IF(Readings[[#This Row],[Obs. X]]="","-",Readings[[#This Row],[Obs. X]]-_xlfn.XLOOKUP(Readings[[#This Row],[Sensor ID]],Table_Baseline[Sensor ID],Table_Baseline[Easting '[m']],"-")),"-")</f>
        <v>-9.9999999656574801E-4</v>
      </c>
      <c r="P356" s="93">
        <f>IFERROR(IF(Readings[[#This Row],[Obs. Y]]="","-",Readings[[#This Row],[Obs. Y]]-_xlfn.XLOOKUP(Readings[[#This Row],[Sensor ID]],Table_Baseline[Sensor ID],Table_Baseline[Northing '[m']],"-")),"-")</f>
        <v>2.0000000367872417E-3</v>
      </c>
      <c r="Q356" s="93">
        <f>IFERROR(IF(Readings[[#This Row],[Obs. Z]]="","-",Readings[[#This Row],[Obs. Z]]-_xlfn.XLOOKUP(Readings[[#This Row],[Sensor ID]],Table_Baseline[Sensor ID],Table_Baseline[Level '[m']],"-")),"-")</f>
        <v>-1.0000000000012221E-3</v>
      </c>
      <c r="R356" s="93">
        <f>IFERROR(IF(Readings[[#This Row],[Reference Angle]]="-","-",(Readings[[#This Row],[Diff E]]*COS(RADIANS(Readings[[#This Row],[Reference Angle]]))-Readings[[#This Row],[Diff N]]*SIN(RADIANS(Readings[[#This Row],[Reference Angle]])))),"-")</f>
        <v>-9.9999999656574801E-4</v>
      </c>
      <c r="S356" s="93">
        <f>IFERROR(IF(Readings[[#This Row],[Reference Angle]]="-","-",(Readings[[#This Row],[Diff E]]*SIN(RADIANS(Readings[[#This Row],[Reference Angle]]))+Readings[[#This Row],[Diff N]]*COS(RADIANS(Readings[[#This Row],[Reference Angle]])))),"-")</f>
        <v>2.0000000367872417E-3</v>
      </c>
      <c r="T356" s="94">
        <f>IFERROR(VLOOKUP(Readings[[#This Row],[Sensor ID]],Table_Baseline[],COLUMNS(Table_Baseline[[#Headers],[Sensor ID]:[Reference Angle '[Deg']]]),FALSE),"-")</f>
        <v>0</v>
      </c>
      <c r="U356" s="95" t="str">
        <f>Readings[[#This Row],[Sensor ID]]&amp;"-"&amp;Readings[[#This Row],[Epoch]]</f>
        <v>250-RL-OP-11021-45786.2847222222</v>
      </c>
      <c r="V356" s="99">
        <f ca="1">IF(Readings[[#This Row],[Epoch]]=OFFSET(Readings[[#This Row],[Epoch]],-1,0),0,1)</f>
        <v>0</v>
      </c>
    </row>
    <row r="357" spans="4:22" x14ac:dyDescent="0.2">
      <c r="D357" s="32">
        <v>45786.284722222219</v>
      </c>
      <c r="E357" s="33" t="s">
        <v>191</v>
      </c>
      <c r="F357" s="34">
        <v>60063.421000000002</v>
      </c>
      <c r="G357" s="34">
        <v>363836.63899999997</v>
      </c>
      <c r="H357" s="34">
        <v>18.794</v>
      </c>
      <c r="I357" s="33" t="s">
        <v>85</v>
      </c>
      <c r="J357" s="33" t="s">
        <v>90</v>
      </c>
      <c r="K357" s="33">
        <v>14.3</v>
      </c>
      <c r="L357" s="33">
        <v>1020</v>
      </c>
      <c r="M357" s="33">
        <v>92</v>
      </c>
      <c r="N357" s="33"/>
      <c r="O357" s="93">
        <f>IFERROR(IF(Readings[[#This Row],[Obs. X]]="","-",Readings[[#This Row],[Obs. X]]-_xlfn.XLOOKUP(Readings[[#This Row],[Sensor ID]],Table_Baseline[Sensor ID],Table_Baseline[Easting '[m']],"-")),"-")</f>
        <v>-9.9999999656574801E-4</v>
      </c>
      <c r="P357" s="93">
        <f>IFERROR(IF(Readings[[#This Row],[Obs. Y]]="","-",Readings[[#This Row],[Obs. Y]]-_xlfn.XLOOKUP(Readings[[#This Row],[Sensor ID]],Table_Baseline[Sensor ID],Table_Baseline[Northing '[m']],"-")),"-")</f>
        <v>2.9999999678693712E-3</v>
      </c>
      <c r="Q357" s="93">
        <f>IFERROR(IF(Readings[[#This Row],[Obs. Z]]="","-",Readings[[#This Row],[Obs. Z]]-_xlfn.XLOOKUP(Readings[[#This Row],[Sensor ID]],Table_Baseline[Sensor ID],Table_Baseline[Level '[m']],"-")),"-")</f>
        <v>-8.9999999999790248E-4</v>
      </c>
      <c r="R357" s="93">
        <f>IFERROR(IF(Readings[[#This Row],[Reference Angle]]="-","-",(Readings[[#This Row],[Diff E]]*COS(RADIANS(Readings[[#This Row],[Reference Angle]]))-Readings[[#This Row],[Diff N]]*SIN(RADIANS(Readings[[#This Row],[Reference Angle]])))),"-")</f>
        <v>-9.9999999656574801E-4</v>
      </c>
      <c r="S357" s="93">
        <f>IFERROR(IF(Readings[[#This Row],[Reference Angle]]="-","-",(Readings[[#This Row],[Diff E]]*SIN(RADIANS(Readings[[#This Row],[Reference Angle]]))+Readings[[#This Row],[Diff N]]*COS(RADIANS(Readings[[#This Row],[Reference Angle]])))),"-")</f>
        <v>2.9999999678693712E-3</v>
      </c>
      <c r="T357" s="94">
        <f>IFERROR(VLOOKUP(Readings[[#This Row],[Sensor ID]],Table_Baseline[],COLUMNS(Table_Baseline[[#Headers],[Sensor ID]:[Reference Angle '[Deg']]]),FALSE),"-")</f>
        <v>0</v>
      </c>
      <c r="U357" s="95" t="str">
        <f>Readings[[#This Row],[Sensor ID]]&amp;"-"&amp;Readings[[#This Row],[Epoch]]</f>
        <v>250-RL-OP-11022-45786.2847222222</v>
      </c>
      <c r="V357" s="99">
        <f ca="1">IF(Readings[[#This Row],[Epoch]]=OFFSET(Readings[[#This Row],[Epoch]],-1,0),0,1)</f>
        <v>0</v>
      </c>
    </row>
    <row r="358" spans="4:22" x14ac:dyDescent="0.2">
      <c r="D358" s="32">
        <v>45786.284722222219</v>
      </c>
      <c r="E358" s="33" t="s">
        <v>165</v>
      </c>
      <c r="F358" s="34">
        <v>60034.538999999997</v>
      </c>
      <c r="G358" s="34">
        <v>363843.38300000003</v>
      </c>
      <c r="H358" s="34">
        <v>19.332000000000001</v>
      </c>
      <c r="I358" s="33" t="s">
        <v>85</v>
      </c>
      <c r="J358" s="33" t="s">
        <v>90</v>
      </c>
      <c r="K358" s="33">
        <v>14.3</v>
      </c>
      <c r="L358" s="33">
        <v>1020</v>
      </c>
      <c r="M358" s="33">
        <v>92</v>
      </c>
      <c r="N358" s="33"/>
      <c r="O358" s="93" t="str">
        <f>IFERROR(IF(Readings[[#This Row],[Obs. X]]="","-",Readings[[#This Row],[Obs. X]]-_xlfn.XLOOKUP(Readings[[#This Row],[Sensor ID]],Table_Baseline[Sensor ID],Table_Baseline[Easting '[m']],"-")),"-")</f>
        <v>-</v>
      </c>
      <c r="P358" s="93" t="str">
        <f>IFERROR(IF(Readings[[#This Row],[Obs. Y]]="","-",Readings[[#This Row],[Obs. Y]]-_xlfn.XLOOKUP(Readings[[#This Row],[Sensor ID]],Table_Baseline[Sensor ID],Table_Baseline[Northing '[m']],"-")),"-")</f>
        <v>-</v>
      </c>
      <c r="Q358" s="93" t="str">
        <f>IFERROR(IF(Readings[[#This Row],[Obs. Z]]="","-",Readings[[#This Row],[Obs. Z]]-_xlfn.XLOOKUP(Readings[[#This Row],[Sensor ID]],Table_Baseline[Sensor ID],Table_Baseline[Level '[m']],"-")),"-")</f>
        <v>-</v>
      </c>
      <c r="R358" s="93" t="str">
        <f>IFERROR(IF(Readings[[#This Row],[Reference Angle]]="-","-",(Readings[[#This Row],[Diff E]]*COS(RADIANS(Readings[[#This Row],[Reference Angle]]))-Readings[[#This Row],[Diff N]]*SIN(RADIANS(Readings[[#This Row],[Reference Angle]])))),"-")</f>
        <v>-</v>
      </c>
      <c r="S358" s="93" t="str">
        <f>IFERROR(IF(Readings[[#This Row],[Reference Angle]]="-","-",(Readings[[#This Row],[Diff E]]*SIN(RADIANS(Readings[[#This Row],[Reference Angle]]))+Readings[[#This Row],[Diff N]]*COS(RADIANS(Readings[[#This Row],[Reference Angle]])))),"-")</f>
        <v>-</v>
      </c>
      <c r="T358" s="94" t="str">
        <f>IFERROR(VLOOKUP(Readings[[#This Row],[Sensor ID]],Table_Baseline[],COLUMNS(Table_Baseline[[#Headers],[Sensor ID]:[Reference Angle '[Deg']]]),FALSE),"-")</f>
        <v>-</v>
      </c>
      <c r="U358" s="95" t="str">
        <f>Readings[[#This Row],[Sensor ID]]&amp;"-"&amp;Readings[[#This Row],[Epoch]]</f>
        <v>250-ST-OP-500-45786.2847222222</v>
      </c>
      <c r="V358" s="99">
        <f ca="1">IF(Readings[[#This Row],[Epoch]]=OFFSET(Readings[[#This Row],[Epoch]],-1,0),0,1)</f>
        <v>0</v>
      </c>
    </row>
    <row r="359" spans="4:22" x14ac:dyDescent="0.2">
      <c r="D359" s="32">
        <v>45786.284722222219</v>
      </c>
      <c r="E359" s="33" t="s">
        <v>166</v>
      </c>
      <c r="F359" s="34">
        <v>60040.286</v>
      </c>
      <c r="G359" s="34">
        <v>363841.73100000003</v>
      </c>
      <c r="H359" s="34">
        <v>19.321999999999999</v>
      </c>
      <c r="I359" s="33" t="s">
        <v>85</v>
      </c>
      <c r="J359" s="33" t="s">
        <v>90</v>
      </c>
      <c r="K359" s="33">
        <v>14.3</v>
      </c>
      <c r="L359" s="33">
        <v>1020</v>
      </c>
      <c r="M359" s="33">
        <v>92</v>
      </c>
      <c r="N359" s="33"/>
      <c r="O359" s="93" t="str">
        <f>IFERROR(IF(Readings[[#This Row],[Obs. X]]="","-",Readings[[#This Row],[Obs. X]]-_xlfn.XLOOKUP(Readings[[#This Row],[Sensor ID]],Table_Baseline[Sensor ID],Table_Baseline[Easting '[m']],"-")),"-")</f>
        <v>-</v>
      </c>
      <c r="P359" s="93" t="str">
        <f>IFERROR(IF(Readings[[#This Row],[Obs. Y]]="","-",Readings[[#This Row],[Obs. Y]]-_xlfn.XLOOKUP(Readings[[#This Row],[Sensor ID]],Table_Baseline[Sensor ID],Table_Baseline[Northing '[m']],"-")),"-")</f>
        <v>-</v>
      </c>
      <c r="Q359" s="93" t="str">
        <f>IFERROR(IF(Readings[[#This Row],[Obs. Z]]="","-",Readings[[#This Row],[Obs. Z]]-_xlfn.XLOOKUP(Readings[[#This Row],[Sensor ID]],Table_Baseline[Sensor ID],Table_Baseline[Level '[m']],"-")),"-")</f>
        <v>-</v>
      </c>
      <c r="R359" s="93" t="str">
        <f>IFERROR(IF(Readings[[#This Row],[Reference Angle]]="-","-",(Readings[[#This Row],[Diff E]]*COS(RADIANS(Readings[[#This Row],[Reference Angle]]))-Readings[[#This Row],[Diff N]]*SIN(RADIANS(Readings[[#This Row],[Reference Angle]])))),"-")</f>
        <v>-</v>
      </c>
      <c r="S359" s="93" t="str">
        <f>IFERROR(IF(Readings[[#This Row],[Reference Angle]]="-","-",(Readings[[#This Row],[Diff E]]*SIN(RADIANS(Readings[[#This Row],[Reference Angle]]))+Readings[[#This Row],[Diff N]]*COS(RADIANS(Readings[[#This Row],[Reference Angle]])))),"-")</f>
        <v>-</v>
      </c>
      <c r="T359" s="94" t="str">
        <f>IFERROR(VLOOKUP(Readings[[#This Row],[Sensor ID]],Table_Baseline[],COLUMNS(Table_Baseline[[#Headers],[Sensor ID]:[Reference Angle '[Deg']]]),FALSE),"-")</f>
        <v>-</v>
      </c>
      <c r="U359" s="95" t="str">
        <f>Readings[[#This Row],[Sensor ID]]&amp;"-"&amp;Readings[[#This Row],[Epoch]]</f>
        <v>250-ST-OP-501-45786.2847222222</v>
      </c>
      <c r="V359" s="99">
        <f ca="1">IF(Readings[[#This Row],[Epoch]]=OFFSET(Readings[[#This Row],[Epoch]],-1,0),0,1)</f>
        <v>0</v>
      </c>
    </row>
    <row r="360" spans="4:22" x14ac:dyDescent="0.2">
      <c r="D360" s="32">
        <v>45786.284722222219</v>
      </c>
      <c r="E360" s="33" t="s">
        <v>167</v>
      </c>
      <c r="F360" s="34">
        <v>60045.921000000002</v>
      </c>
      <c r="G360" s="34">
        <v>363840.10100000002</v>
      </c>
      <c r="H360" s="34">
        <v>19.334</v>
      </c>
      <c r="I360" s="33" t="s">
        <v>85</v>
      </c>
      <c r="J360" s="33" t="s">
        <v>90</v>
      </c>
      <c r="K360" s="33">
        <v>14.3</v>
      </c>
      <c r="L360" s="33">
        <v>1020</v>
      </c>
      <c r="M360" s="33">
        <v>92</v>
      </c>
      <c r="N360" s="33"/>
      <c r="O360" s="93" t="str">
        <f>IFERROR(IF(Readings[[#This Row],[Obs. X]]="","-",Readings[[#This Row],[Obs. X]]-_xlfn.XLOOKUP(Readings[[#This Row],[Sensor ID]],Table_Baseline[Sensor ID],Table_Baseline[Easting '[m']],"-")),"-")</f>
        <v>-</v>
      </c>
      <c r="P360" s="93" t="str">
        <f>IFERROR(IF(Readings[[#This Row],[Obs. Y]]="","-",Readings[[#This Row],[Obs. Y]]-_xlfn.XLOOKUP(Readings[[#This Row],[Sensor ID]],Table_Baseline[Sensor ID],Table_Baseline[Northing '[m']],"-")),"-")</f>
        <v>-</v>
      </c>
      <c r="Q360" s="93" t="str">
        <f>IFERROR(IF(Readings[[#This Row],[Obs. Z]]="","-",Readings[[#This Row],[Obs. Z]]-_xlfn.XLOOKUP(Readings[[#This Row],[Sensor ID]],Table_Baseline[Sensor ID],Table_Baseline[Level '[m']],"-")),"-")</f>
        <v>-</v>
      </c>
      <c r="R360" s="93" t="str">
        <f>IFERROR(IF(Readings[[#This Row],[Reference Angle]]="-","-",(Readings[[#This Row],[Diff E]]*COS(RADIANS(Readings[[#This Row],[Reference Angle]]))-Readings[[#This Row],[Diff N]]*SIN(RADIANS(Readings[[#This Row],[Reference Angle]])))),"-")</f>
        <v>-</v>
      </c>
      <c r="S360" s="93" t="str">
        <f>IFERROR(IF(Readings[[#This Row],[Reference Angle]]="-","-",(Readings[[#This Row],[Diff E]]*SIN(RADIANS(Readings[[#This Row],[Reference Angle]]))+Readings[[#This Row],[Diff N]]*COS(RADIANS(Readings[[#This Row],[Reference Angle]])))),"-")</f>
        <v>-</v>
      </c>
      <c r="T360" s="94" t="str">
        <f>IFERROR(VLOOKUP(Readings[[#This Row],[Sensor ID]],Table_Baseline[],COLUMNS(Table_Baseline[[#Headers],[Sensor ID]:[Reference Angle '[Deg']]]),FALSE),"-")</f>
        <v>-</v>
      </c>
      <c r="U360" s="95" t="str">
        <f>Readings[[#This Row],[Sensor ID]]&amp;"-"&amp;Readings[[#This Row],[Epoch]]</f>
        <v>250-ST-OP-502-45786.2847222222</v>
      </c>
      <c r="V360" s="99">
        <f ca="1">IF(Readings[[#This Row],[Epoch]]=OFFSET(Readings[[#This Row],[Epoch]],-1,0),0,1)</f>
        <v>0</v>
      </c>
    </row>
    <row r="361" spans="4:22" x14ac:dyDescent="0.2">
      <c r="D361" s="32">
        <v>45786.284722222219</v>
      </c>
      <c r="E361" s="33" t="s">
        <v>168</v>
      </c>
      <c r="F361" s="34">
        <v>60049.767</v>
      </c>
      <c r="G361" s="34">
        <v>363838.995</v>
      </c>
      <c r="H361" s="34">
        <v>19.344999999999999</v>
      </c>
      <c r="I361" s="33" t="s">
        <v>85</v>
      </c>
      <c r="J361" s="33" t="s">
        <v>90</v>
      </c>
      <c r="K361" s="33">
        <v>14.3</v>
      </c>
      <c r="L361" s="33">
        <v>1020</v>
      </c>
      <c r="M361" s="33">
        <v>92</v>
      </c>
      <c r="N361" s="33"/>
      <c r="O361" s="93" t="str">
        <f>IFERROR(IF(Readings[[#This Row],[Obs. X]]="","-",Readings[[#This Row],[Obs. X]]-_xlfn.XLOOKUP(Readings[[#This Row],[Sensor ID]],Table_Baseline[Sensor ID],Table_Baseline[Easting '[m']],"-")),"-")</f>
        <v>-</v>
      </c>
      <c r="P361" s="93" t="str">
        <f>IFERROR(IF(Readings[[#This Row],[Obs. Y]]="","-",Readings[[#This Row],[Obs. Y]]-_xlfn.XLOOKUP(Readings[[#This Row],[Sensor ID]],Table_Baseline[Sensor ID],Table_Baseline[Northing '[m']],"-")),"-")</f>
        <v>-</v>
      </c>
      <c r="Q361" s="93" t="str">
        <f>IFERROR(IF(Readings[[#This Row],[Obs. Z]]="","-",Readings[[#This Row],[Obs. Z]]-_xlfn.XLOOKUP(Readings[[#This Row],[Sensor ID]],Table_Baseline[Sensor ID],Table_Baseline[Level '[m']],"-")),"-")</f>
        <v>-</v>
      </c>
      <c r="R361" s="93" t="str">
        <f>IFERROR(IF(Readings[[#This Row],[Reference Angle]]="-","-",(Readings[[#This Row],[Diff E]]*COS(RADIANS(Readings[[#This Row],[Reference Angle]]))-Readings[[#This Row],[Diff N]]*SIN(RADIANS(Readings[[#This Row],[Reference Angle]])))),"-")</f>
        <v>-</v>
      </c>
      <c r="S361" s="93" t="str">
        <f>IFERROR(IF(Readings[[#This Row],[Reference Angle]]="-","-",(Readings[[#This Row],[Diff E]]*SIN(RADIANS(Readings[[#This Row],[Reference Angle]]))+Readings[[#This Row],[Diff N]]*COS(RADIANS(Readings[[#This Row],[Reference Angle]])))),"-")</f>
        <v>-</v>
      </c>
      <c r="T361" s="94" t="str">
        <f>IFERROR(VLOOKUP(Readings[[#This Row],[Sensor ID]],Table_Baseline[],COLUMNS(Table_Baseline[[#Headers],[Sensor ID]:[Reference Angle '[Deg']]]),FALSE),"-")</f>
        <v>-</v>
      </c>
      <c r="U361" s="95" t="str">
        <f>Readings[[#This Row],[Sensor ID]]&amp;"-"&amp;Readings[[#This Row],[Epoch]]</f>
        <v>250-ST-OP-503-45786.2847222222</v>
      </c>
      <c r="V361" s="99">
        <f ca="1">IF(Readings[[#This Row],[Epoch]]=OFFSET(Readings[[#This Row],[Epoch]],-1,0),0,1)</f>
        <v>0</v>
      </c>
    </row>
    <row r="362" spans="4:22" x14ac:dyDescent="0.2">
      <c r="D362" s="32">
        <v>45786.284722222219</v>
      </c>
      <c r="E362" s="33" t="s">
        <v>169</v>
      </c>
      <c r="F362" s="34">
        <v>60053.608999999997</v>
      </c>
      <c r="G362" s="34">
        <v>363837.88300000003</v>
      </c>
      <c r="H362" s="34">
        <v>19.356999999999999</v>
      </c>
      <c r="I362" s="33" t="s">
        <v>85</v>
      </c>
      <c r="J362" s="33" t="s">
        <v>90</v>
      </c>
      <c r="K362" s="33">
        <v>14.3</v>
      </c>
      <c r="L362" s="33">
        <v>1020</v>
      </c>
      <c r="M362" s="33">
        <v>92</v>
      </c>
      <c r="N362" s="33"/>
      <c r="O362" s="93" t="str">
        <f>IFERROR(IF(Readings[[#This Row],[Obs. X]]="","-",Readings[[#This Row],[Obs. X]]-_xlfn.XLOOKUP(Readings[[#This Row],[Sensor ID]],Table_Baseline[Sensor ID],Table_Baseline[Easting '[m']],"-")),"-")</f>
        <v>-</v>
      </c>
      <c r="P362" s="93" t="str">
        <f>IFERROR(IF(Readings[[#This Row],[Obs. Y]]="","-",Readings[[#This Row],[Obs. Y]]-_xlfn.XLOOKUP(Readings[[#This Row],[Sensor ID]],Table_Baseline[Sensor ID],Table_Baseline[Northing '[m']],"-")),"-")</f>
        <v>-</v>
      </c>
      <c r="Q362" s="93" t="str">
        <f>IFERROR(IF(Readings[[#This Row],[Obs. Z]]="","-",Readings[[#This Row],[Obs. Z]]-_xlfn.XLOOKUP(Readings[[#This Row],[Sensor ID]],Table_Baseline[Sensor ID],Table_Baseline[Level '[m']],"-")),"-")</f>
        <v>-</v>
      </c>
      <c r="R362" s="93" t="str">
        <f>IFERROR(IF(Readings[[#This Row],[Reference Angle]]="-","-",(Readings[[#This Row],[Diff E]]*COS(RADIANS(Readings[[#This Row],[Reference Angle]]))-Readings[[#This Row],[Diff N]]*SIN(RADIANS(Readings[[#This Row],[Reference Angle]])))),"-")</f>
        <v>-</v>
      </c>
      <c r="S362" s="93" t="str">
        <f>IFERROR(IF(Readings[[#This Row],[Reference Angle]]="-","-",(Readings[[#This Row],[Diff E]]*SIN(RADIANS(Readings[[#This Row],[Reference Angle]]))+Readings[[#This Row],[Diff N]]*COS(RADIANS(Readings[[#This Row],[Reference Angle]])))),"-")</f>
        <v>-</v>
      </c>
      <c r="T362" s="94" t="str">
        <f>IFERROR(VLOOKUP(Readings[[#This Row],[Sensor ID]],Table_Baseline[],COLUMNS(Table_Baseline[[#Headers],[Sensor ID]:[Reference Angle '[Deg']]]),FALSE),"-")</f>
        <v>-</v>
      </c>
      <c r="U362" s="95" t="str">
        <f>Readings[[#This Row],[Sensor ID]]&amp;"-"&amp;Readings[[#This Row],[Epoch]]</f>
        <v>250-ST-OP-504-45786.2847222222</v>
      </c>
      <c r="V362" s="99">
        <f ca="1">IF(Readings[[#This Row],[Epoch]]=OFFSET(Readings[[#This Row],[Epoch]],-1,0),0,1)</f>
        <v>0</v>
      </c>
    </row>
    <row r="363" spans="4:22" x14ac:dyDescent="0.2">
      <c r="D363" s="204">
        <v>45786.284722222219</v>
      </c>
      <c r="E363" s="151" t="s">
        <v>170</v>
      </c>
      <c r="F363" s="152">
        <v>60060.065000000002</v>
      </c>
      <c r="G363" s="152">
        <v>363836.02500000002</v>
      </c>
      <c r="H363" s="152">
        <v>19.356999999999999</v>
      </c>
      <c r="I363" s="151" t="s">
        <v>85</v>
      </c>
      <c r="J363" s="151" t="s">
        <v>90</v>
      </c>
      <c r="K363" s="151">
        <v>14.3</v>
      </c>
      <c r="L363" s="151">
        <v>1020</v>
      </c>
      <c r="M363" s="151">
        <v>92</v>
      </c>
      <c r="N363" s="151"/>
      <c r="O363" s="96" t="str">
        <f>IFERROR(IF(Readings[[#This Row],[Obs. X]]="","-",Readings[[#This Row],[Obs. X]]-_xlfn.XLOOKUP(Readings[[#This Row],[Sensor ID]],Table_Baseline[Sensor ID],Table_Baseline[Easting '[m']],"-")),"-")</f>
        <v>-</v>
      </c>
      <c r="P363" s="96" t="str">
        <f>IFERROR(IF(Readings[[#This Row],[Obs. Y]]="","-",Readings[[#This Row],[Obs. Y]]-_xlfn.XLOOKUP(Readings[[#This Row],[Sensor ID]],Table_Baseline[Sensor ID],Table_Baseline[Northing '[m']],"-")),"-")</f>
        <v>-</v>
      </c>
      <c r="Q363" s="96" t="str">
        <f>IFERROR(IF(Readings[[#This Row],[Obs. Z]]="","-",Readings[[#This Row],[Obs. Z]]-_xlfn.XLOOKUP(Readings[[#This Row],[Sensor ID]],Table_Baseline[Sensor ID],Table_Baseline[Level '[m']],"-")),"-")</f>
        <v>-</v>
      </c>
      <c r="R363" s="96" t="str">
        <f>IFERROR(IF(Readings[[#This Row],[Reference Angle]]="-","-",(Readings[[#This Row],[Diff E]]*COS(RADIANS(Readings[[#This Row],[Reference Angle]]))-Readings[[#This Row],[Diff N]]*SIN(RADIANS(Readings[[#This Row],[Reference Angle]])))),"-")</f>
        <v>-</v>
      </c>
      <c r="S363" s="96" t="str">
        <f>IFERROR(IF(Readings[[#This Row],[Reference Angle]]="-","-",(Readings[[#This Row],[Diff E]]*SIN(RADIANS(Readings[[#This Row],[Reference Angle]]))+Readings[[#This Row],[Diff N]]*COS(RADIANS(Readings[[#This Row],[Reference Angle]])))),"-")</f>
        <v>-</v>
      </c>
      <c r="T363" s="97" t="str">
        <f>IFERROR(VLOOKUP(Readings[[#This Row],[Sensor ID]],Table_Baseline[],COLUMNS(Table_Baseline[[#Headers],[Sensor ID]:[Reference Angle '[Deg']]]),FALSE),"-")</f>
        <v>-</v>
      </c>
      <c r="U363" s="98" t="str">
        <f>Readings[[#This Row],[Sensor ID]]&amp;"-"&amp;Readings[[#This Row],[Epoch]]</f>
        <v>250-ST-OP-505-45786.2847222222</v>
      </c>
      <c r="V363" s="100">
        <f ca="1">IF(Readings[[#This Row],[Epoch]]=OFFSET(Readings[[#This Row],[Epoch]],-1,0),0,1)</f>
        <v>0</v>
      </c>
    </row>
    <row r="364" spans="4:22" x14ac:dyDescent="0.2">
      <c r="D364" s="32">
        <v>45789.263888888891</v>
      </c>
      <c r="E364" s="33" t="s">
        <v>172</v>
      </c>
      <c r="F364" s="34">
        <v>60035.339</v>
      </c>
      <c r="G364" s="34">
        <v>363845.739</v>
      </c>
      <c r="H364" s="34">
        <v>18.782</v>
      </c>
      <c r="I364" s="33" t="s">
        <v>85</v>
      </c>
      <c r="J364" s="33" t="s">
        <v>90</v>
      </c>
      <c r="K364" s="33">
        <v>14.3</v>
      </c>
      <c r="L364" s="33">
        <v>1020</v>
      </c>
      <c r="M364" s="33">
        <v>92</v>
      </c>
      <c r="N364" s="33"/>
      <c r="O364" s="93">
        <f>IFERROR(IF(Readings[[#This Row],[Obs. X]]="","-",Readings[[#This Row],[Obs. X]]-_xlfn.XLOOKUP(Readings[[#This Row],[Sensor ID]],Table_Baseline[Sensor ID],Table_Baseline[Easting '[m']],"-")),"-")</f>
        <v>-9.9999999656574801E-4</v>
      </c>
      <c r="P364" s="93">
        <f>IFERROR(IF(Readings[[#This Row],[Obs. Y]]="","-",Readings[[#This Row],[Obs. Y]]-_xlfn.XLOOKUP(Readings[[#This Row],[Sensor ID]],Table_Baseline[Sensor ID],Table_Baseline[Northing '[m']],"-")),"-")</f>
        <v>0</v>
      </c>
      <c r="Q364" s="93">
        <f>IFERROR(IF(Readings[[#This Row],[Obs. Z]]="","-",Readings[[#This Row],[Obs. Z]]-_xlfn.XLOOKUP(Readings[[#This Row],[Sensor ID]],Table_Baseline[Sensor ID],Table_Baseline[Level '[m']],"-")),"-")</f>
        <v>0</v>
      </c>
      <c r="R364" s="93">
        <f>IFERROR(IF(Readings[[#This Row],[Reference Angle]]="-","-",(Readings[[#This Row],[Diff E]]*COS(RADIANS(Readings[[#This Row],[Reference Angle]]))-Readings[[#This Row],[Diff N]]*SIN(RADIANS(Readings[[#This Row],[Reference Angle]])))),"-")</f>
        <v>-9.9999999656574801E-4</v>
      </c>
      <c r="S364" s="93">
        <f>IFERROR(IF(Readings[[#This Row],[Reference Angle]]="-","-",(Readings[[#This Row],[Diff E]]*SIN(RADIANS(Readings[[#This Row],[Reference Angle]]))+Readings[[#This Row],[Diff N]]*COS(RADIANS(Readings[[#This Row],[Reference Angle]])))),"-")</f>
        <v>0</v>
      </c>
      <c r="T364" s="94">
        <f>IFERROR(VLOOKUP(Readings[[#This Row],[Sensor ID]],Table_Baseline[],COLUMNS(Table_Baseline[[#Headers],[Sensor ID]:[Reference Angle '[Deg']]]),FALSE),"-")</f>
        <v>0</v>
      </c>
      <c r="U364" s="95" t="str">
        <f>Readings[[#This Row],[Sensor ID]]&amp;"-"&amp;Readings[[#This Row],[Epoch]]</f>
        <v>250-RL-OP-11001-45789.2638888889</v>
      </c>
      <c r="V364" s="99">
        <f ca="1">IF(Readings[[#This Row],[Epoch]]=OFFSET(Readings[[#This Row],[Epoch]],-1,0),0,1)</f>
        <v>1</v>
      </c>
    </row>
    <row r="365" spans="4:22" x14ac:dyDescent="0.2">
      <c r="D365" s="32">
        <v>45789.263888888891</v>
      </c>
      <c r="E365" s="33" t="s">
        <v>171</v>
      </c>
      <c r="F365" s="34">
        <v>60034.957999999999</v>
      </c>
      <c r="G365" s="34">
        <v>363844.47100000002</v>
      </c>
      <c r="H365" s="34">
        <v>18.777999999999999</v>
      </c>
      <c r="I365" s="33" t="s">
        <v>85</v>
      </c>
      <c r="J365" s="33" t="s">
        <v>90</v>
      </c>
      <c r="K365" s="33">
        <v>14.3</v>
      </c>
      <c r="L365" s="33">
        <v>1020</v>
      </c>
      <c r="M365" s="33">
        <v>92</v>
      </c>
      <c r="N365" s="33"/>
      <c r="O365" s="93">
        <f>IFERROR(IF(Readings[[#This Row],[Obs. X]]="","-",Readings[[#This Row],[Obs. X]]-_xlfn.XLOOKUP(Readings[[#This Row],[Sensor ID]],Table_Baseline[Sensor ID],Table_Baseline[Easting '[m']],"-")),"-")</f>
        <v>-1.0000000038417056E-3</v>
      </c>
      <c r="P365" s="93">
        <f>IFERROR(IF(Readings[[#This Row],[Obs. Y]]="","-",Readings[[#This Row],[Obs. Y]]-_xlfn.XLOOKUP(Readings[[#This Row],[Sensor ID]],Table_Baseline[Sensor ID],Table_Baseline[Northing '[m']],"-")),"-")</f>
        <v>0</v>
      </c>
      <c r="Q365" s="93">
        <f>IFERROR(IF(Readings[[#This Row],[Obs. Z]]="","-",Readings[[#This Row],[Obs. Z]]-_xlfn.XLOOKUP(Readings[[#This Row],[Sensor ID]],Table_Baseline[Sensor ID],Table_Baseline[Level '[m']],"-")),"-")</f>
        <v>-9.9999999999766942E-5</v>
      </c>
      <c r="R365" s="93">
        <f>IFERROR(IF(Readings[[#This Row],[Reference Angle]]="-","-",(Readings[[#This Row],[Diff E]]*COS(RADIANS(Readings[[#This Row],[Reference Angle]]))-Readings[[#This Row],[Diff N]]*SIN(RADIANS(Readings[[#This Row],[Reference Angle]])))),"-")</f>
        <v>-1.0000000038417056E-3</v>
      </c>
      <c r="S365" s="93">
        <f>IFERROR(IF(Readings[[#This Row],[Reference Angle]]="-","-",(Readings[[#This Row],[Diff E]]*SIN(RADIANS(Readings[[#This Row],[Reference Angle]]))+Readings[[#This Row],[Diff N]]*COS(RADIANS(Readings[[#This Row],[Reference Angle]])))),"-")</f>
        <v>0</v>
      </c>
      <c r="T365" s="94">
        <f>IFERROR(VLOOKUP(Readings[[#This Row],[Sensor ID]],Table_Baseline[],COLUMNS(Table_Baseline[[#Headers],[Sensor ID]:[Reference Angle '[Deg']]]),FALSE),"-")</f>
        <v>0</v>
      </c>
      <c r="U365" s="95" t="str">
        <f>Readings[[#This Row],[Sensor ID]]&amp;"-"&amp;Readings[[#This Row],[Epoch]]</f>
        <v>250-RL-OP-11002-45789.2638888889</v>
      </c>
      <c r="V365" s="99">
        <f ca="1">IF(Readings[[#This Row],[Epoch]]=OFFSET(Readings[[#This Row],[Epoch]],-1,0),0,1)</f>
        <v>0</v>
      </c>
    </row>
    <row r="366" spans="4:22" x14ac:dyDescent="0.2">
      <c r="D366" s="32">
        <v>45789.263888888891</v>
      </c>
      <c r="E366" s="33" t="s">
        <v>174</v>
      </c>
      <c r="F366" s="34">
        <v>60038.116999999998</v>
      </c>
      <c r="G366" s="34">
        <v>363844.94500000001</v>
      </c>
      <c r="H366" s="34">
        <v>18.779</v>
      </c>
      <c r="I366" s="33" t="s">
        <v>85</v>
      </c>
      <c r="J366" s="33" t="s">
        <v>90</v>
      </c>
      <c r="K366" s="33">
        <v>14.3</v>
      </c>
      <c r="L366" s="33">
        <v>1020</v>
      </c>
      <c r="M366" s="33">
        <v>92</v>
      </c>
      <c r="N366" s="33"/>
      <c r="O366" s="93">
        <f>IFERROR(IF(Readings[[#This Row],[Obs. X]]="","-",Readings[[#This Row],[Obs. X]]-_xlfn.XLOOKUP(Readings[[#This Row],[Sensor ID]],Table_Baseline[Sensor ID],Table_Baseline[Easting '[m']],"-")),"-")</f>
        <v>-1.0000000038417056E-3</v>
      </c>
      <c r="P366" s="93">
        <f>IFERROR(IF(Readings[[#This Row],[Obs. Y]]="","-",Readings[[#This Row],[Obs. Y]]-_xlfn.XLOOKUP(Readings[[#This Row],[Sensor ID]],Table_Baseline[Sensor ID],Table_Baseline[Northing '[m']],"-")),"-")</f>
        <v>0</v>
      </c>
      <c r="Q366" s="93">
        <f>IFERROR(IF(Readings[[#This Row],[Obs. Z]]="","-",Readings[[#This Row],[Obs. Z]]-_xlfn.XLOOKUP(Readings[[#This Row],[Sensor ID]],Table_Baseline[Sensor ID],Table_Baseline[Level '[m']],"-")),"-")</f>
        <v>1.9999999999953388E-4</v>
      </c>
      <c r="R366" s="93">
        <f>IFERROR(IF(Readings[[#This Row],[Reference Angle]]="-","-",(Readings[[#This Row],[Diff E]]*COS(RADIANS(Readings[[#This Row],[Reference Angle]]))-Readings[[#This Row],[Diff N]]*SIN(RADIANS(Readings[[#This Row],[Reference Angle]])))),"-")</f>
        <v>-1.0000000038417056E-3</v>
      </c>
      <c r="S366" s="93">
        <f>IFERROR(IF(Readings[[#This Row],[Reference Angle]]="-","-",(Readings[[#This Row],[Diff E]]*SIN(RADIANS(Readings[[#This Row],[Reference Angle]]))+Readings[[#This Row],[Diff N]]*COS(RADIANS(Readings[[#This Row],[Reference Angle]])))),"-")</f>
        <v>0</v>
      </c>
      <c r="T366" s="94">
        <f>IFERROR(VLOOKUP(Readings[[#This Row],[Sensor ID]],Table_Baseline[],COLUMNS(Table_Baseline[[#Headers],[Sensor ID]:[Reference Angle '[Deg']]]),FALSE),"-")</f>
        <v>0</v>
      </c>
      <c r="U366" s="95" t="str">
        <f>Readings[[#This Row],[Sensor ID]]&amp;"-"&amp;Readings[[#This Row],[Epoch]]</f>
        <v>250-RL-OP-11003-45789.2638888889</v>
      </c>
      <c r="V366" s="99">
        <f ca="1">IF(Readings[[#This Row],[Epoch]]=OFFSET(Readings[[#This Row],[Epoch]],-1,0),0,1)</f>
        <v>0</v>
      </c>
    </row>
    <row r="367" spans="4:22" x14ac:dyDescent="0.2">
      <c r="D367" s="32">
        <v>45789.263888888891</v>
      </c>
      <c r="E367" s="33" t="s">
        <v>173</v>
      </c>
      <c r="F367" s="34">
        <v>60037.803999999996</v>
      </c>
      <c r="G367" s="34">
        <v>363843.658</v>
      </c>
      <c r="H367" s="34">
        <v>18.779</v>
      </c>
      <c r="I367" s="33" t="s">
        <v>85</v>
      </c>
      <c r="J367" s="33" t="s">
        <v>90</v>
      </c>
      <c r="K367" s="33">
        <v>14.3</v>
      </c>
      <c r="L367" s="33">
        <v>1020</v>
      </c>
      <c r="M367" s="33">
        <v>92</v>
      </c>
      <c r="N367" s="33"/>
      <c r="O367" s="93">
        <f>IFERROR(IF(Readings[[#This Row],[Obs. X]]="","-",Readings[[#This Row],[Obs. X]]-_xlfn.XLOOKUP(Readings[[#This Row],[Sensor ID]],Table_Baseline[Sensor ID],Table_Baseline[Easting '[m']],"-")),"-")</f>
        <v>-1.0000000038417056E-3</v>
      </c>
      <c r="P367" s="93">
        <f>IFERROR(IF(Readings[[#This Row],[Obs. Y]]="","-",Readings[[#This Row],[Obs. Y]]-_xlfn.XLOOKUP(Readings[[#This Row],[Sensor ID]],Table_Baseline[Sensor ID],Table_Baseline[Northing '[m']],"-")),"-")</f>
        <v>9.9999998928979039E-4</v>
      </c>
      <c r="Q367" s="93">
        <f>IFERROR(IF(Readings[[#This Row],[Obs. Z]]="","-",Readings[[#This Row],[Obs. Z]]-_xlfn.XLOOKUP(Readings[[#This Row],[Sensor ID]],Table_Baseline[Sensor ID],Table_Baseline[Level '[m']],"-")),"-")</f>
        <v>4.9999999999883471E-4</v>
      </c>
      <c r="R367" s="93">
        <f>IFERROR(IF(Readings[[#This Row],[Reference Angle]]="-","-",(Readings[[#This Row],[Diff E]]*COS(RADIANS(Readings[[#This Row],[Reference Angle]]))-Readings[[#This Row],[Diff N]]*SIN(RADIANS(Readings[[#This Row],[Reference Angle]])))),"-")</f>
        <v>-1.0000000038417056E-3</v>
      </c>
      <c r="S367" s="93">
        <f>IFERROR(IF(Readings[[#This Row],[Reference Angle]]="-","-",(Readings[[#This Row],[Diff E]]*SIN(RADIANS(Readings[[#This Row],[Reference Angle]]))+Readings[[#This Row],[Diff N]]*COS(RADIANS(Readings[[#This Row],[Reference Angle]])))),"-")</f>
        <v>9.9999998928979039E-4</v>
      </c>
      <c r="T367" s="94">
        <f>IFERROR(VLOOKUP(Readings[[#This Row],[Sensor ID]],Table_Baseline[],COLUMNS(Table_Baseline[[#Headers],[Sensor ID]:[Reference Angle '[Deg']]]),FALSE),"-")</f>
        <v>0</v>
      </c>
      <c r="U367" s="95" t="str">
        <f>Readings[[#This Row],[Sensor ID]]&amp;"-"&amp;Readings[[#This Row],[Epoch]]</f>
        <v>250-RL-OP-11004-45789.2638888889</v>
      </c>
      <c r="V367" s="99">
        <f ca="1">IF(Readings[[#This Row],[Epoch]]=OFFSET(Readings[[#This Row],[Epoch]],-1,0),0,1)</f>
        <v>0</v>
      </c>
    </row>
    <row r="368" spans="4:22" x14ac:dyDescent="0.2">
      <c r="D368" s="32">
        <v>45789.263888888891</v>
      </c>
      <c r="E368" s="33" t="s">
        <v>176</v>
      </c>
      <c r="F368" s="34">
        <v>60040.968000000001</v>
      </c>
      <c r="G368" s="34">
        <v>363844.11800000002</v>
      </c>
      <c r="H368" s="34">
        <v>18.779</v>
      </c>
      <c r="I368" s="33" t="s">
        <v>85</v>
      </c>
      <c r="J368" s="33" t="s">
        <v>90</v>
      </c>
      <c r="K368" s="33">
        <v>14.3</v>
      </c>
      <c r="L368" s="33">
        <v>1020</v>
      </c>
      <c r="M368" s="33">
        <v>92</v>
      </c>
      <c r="N368" s="33"/>
      <c r="O368" s="93">
        <f>IFERROR(IF(Readings[[#This Row],[Obs. X]]="","-",Readings[[#This Row],[Obs. X]]-_xlfn.XLOOKUP(Readings[[#This Row],[Sensor ID]],Table_Baseline[Sensor ID],Table_Baseline[Easting '[m']],"-")),"-")</f>
        <v>-9.9999999656574801E-4</v>
      </c>
      <c r="P368" s="93">
        <f>IFERROR(IF(Readings[[#This Row],[Obs. Y]]="","-",Readings[[#This Row],[Obs. Y]]-_xlfn.XLOOKUP(Readings[[#This Row],[Sensor ID]],Table_Baseline[Sensor ID],Table_Baseline[Northing '[m']],"-")),"-")</f>
        <v>0</v>
      </c>
      <c r="Q368" s="93">
        <f>IFERROR(IF(Readings[[#This Row],[Obs. Z]]="","-",Readings[[#This Row],[Obs. Z]]-_xlfn.XLOOKUP(Readings[[#This Row],[Sensor ID]],Table_Baseline[Sensor ID],Table_Baseline[Level '[m']],"-")),"-")</f>
        <v>0</v>
      </c>
      <c r="R368" s="93">
        <f>IFERROR(IF(Readings[[#This Row],[Reference Angle]]="-","-",(Readings[[#This Row],[Diff E]]*COS(RADIANS(Readings[[#This Row],[Reference Angle]]))-Readings[[#This Row],[Diff N]]*SIN(RADIANS(Readings[[#This Row],[Reference Angle]])))),"-")</f>
        <v>-9.9999999656574801E-4</v>
      </c>
      <c r="S368" s="93">
        <f>IFERROR(IF(Readings[[#This Row],[Reference Angle]]="-","-",(Readings[[#This Row],[Diff E]]*SIN(RADIANS(Readings[[#This Row],[Reference Angle]]))+Readings[[#This Row],[Diff N]]*COS(RADIANS(Readings[[#This Row],[Reference Angle]])))),"-")</f>
        <v>0</v>
      </c>
      <c r="T368" s="94">
        <f>IFERROR(VLOOKUP(Readings[[#This Row],[Sensor ID]],Table_Baseline[],COLUMNS(Table_Baseline[[#Headers],[Sensor ID]:[Reference Angle '[Deg']]]),FALSE),"-")</f>
        <v>0</v>
      </c>
      <c r="U368" s="95" t="str">
        <f>Readings[[#This Row],[Sensor ID]]&amp;"-"&amp;Readings[[#This Row],[Epoch]]</f>
        <v>250-RL-OP-11005-45789.2638888889</v>
      </c>
      <c r="V368" s="99">
        <f ca="1">IF(Readings[[#This Row],[Epoch]]=OFFSET(Readings[[#This Row],[Epoch]],-1,0),0,1)</f>
        <v>0</v>
      </c>
    </row>
    <row r="369" spans="4:22" x14ac:dyDescent="0.2">
      <c r="D369" s="32">
        <v>45789.263888888891</v>
      </c>
      <c r="E369" s="33" t="s">
        <v>175</v>
      </c>
      <c r="F369" s="34">
        <v>60040.606</v>
      </c>
      <c r="G369" s="34">
        <v>363842.86199999996</v>
      </c>
      <c r="H369" s="34">
        <v>18.771999999999998</v>
      </c>
      <c r="I369" s="33" t="s">
        <v>85</v>
      </c>
      <c r="J369" s="33" t="s">
        <v>90</v>
      </c>
      <c r="K369" s="33">
        <v>14.3</v>
      </c>
      <c r="L369" s="33">
        <v>1020</v>
      </c>
      <c r="M369" s="33">
        <v>92</v>
      </c>
      <c r="N369" s="33"/>
      <c r="O369" s="93">
        <f>IFERROR(IF(Readings[[#This Row],[Obs. X]]="","-",Readings[[#This Row],[Obs. X]]-_xlfn.XLOOKUP(Readings[[#This Row],[Sensor ID]],Table_Baseline[Sensor ID],Table_Baseline[Easting '[m']],"-")),"-")</f>
        <v>-1.0000000038417056E-3</v>
      </c>
      <c r="P369" s="93">
        <f>IFERROR(IF(Readings[[#This Row],[Obs. Y]]="","-",Readings[[#This Row],[Obs. Y]]-_xlfn.XLOOKUP(Readings[[#This Row],[Sensor ID]],Table_Baseline[Sensor ID],Table_Baseline[Northing '[m']],"-")),"-")</f>
        <v>9.9999993108212948E-4</v>
      </c>
      <c r="Q369" s="93">
        <f>IFERROR(IF(Readings[[#This Row],[Obs. Z]]="","-",Readings[[#This Row],[Obs. Z]]-_xlfn.XLOOKUP(Readings[[#This Row],[Sensor ID]],Table_Baseline[Sensor ID],Table_Baseline[Level '[m']],"-")),"-")</f>
        <v>0</v>
      </c>
      <c r="R369" s="93">
        <f>IFERROR(IF(Readings[[#This Row],[Reference Angle]]="-","-",(Readings[[#This Row],[Diff E]]*COS(RADIANS(Readings[[#This Row],[Reference Angle]]))-Readings[[#This Row],[Diff N]]*SIN(RADIANS(Readings[[#This Row],[Reference Angle]])))),"-")</f>
        <v>-1.0000000038417056E-3</v>
      </c>
      <c r="S369" s="93">
        <f>IFERROR(IF(Readings[[#This Row],[Reference Angle]]="-","-",(Readings[[#This Row],[Diff E]]*SIN(RADIANS(Readings[[#This Row],[Reference Angle]]))+Readings[[#This Row],[Diff N]]*COS(RADIANS(Readings[[#This Row],[Reference Angle]])))),"-")</f>
        <v>9.9999993108212948E-4</v>
      </c>
      <c r="T369" s="94">
        <f>IFERROR(VLOOKUP(Readings[[#This Row],[Sensor ID]],Table_Baseline[],COLUMNS(Table_Baseline[[#Headers],[Sensor ID]:[Reference Angle '[Deg']]]),FALSE),"-")</f>
        <v>0</v>
      </c>
      <c r="U369" s="95" t="str">
        <f>Readings[[#This Row],[Sensor ID]]&amp;"-"&amp;Readings[[#This Row],[Epoch]]</f>
        <v>250-RL-OP-11006-45789.2638888889</v>
      </c>
      <c r="V369" s="99">
        <f ca="1">IF(Readings[[#This Row],[Epoch]]=OFFSET(Readings[[#This Row],[Epoch]],-1,0),0,1)</f>
        <v>0</v>
      </c>
    </row>
    <row r="370" spans="4:22" x14ac:dyDescent="0.2">
      <c r="D370" s="32">
        <v>45789.263888888891</v>
      </c>
      <c r="E370" s="33" t="s">
        <v>178</v>
      </c>
      <c r="F370" s="34">
        <v>60043.758000000002</v>
      </c>
      <c r="G370" s="34">
        <v>363843.315</v>
      </c>
      <c r="H370" s="34">
        <v>18.774000000000001</v>
      </c>
      <c r="I370" s="33" t="s">
        <v>85</v>
      </c>
      <c r="J370" s="33" t="s">
        <v>90</v>
      </c>
      <c r="K370" s="33">
        <v>14.3</v>
      </c>
      <c r="L370" s="33">
        <v>1020</v>
      </c>
      <c r="M370" s="33">
        <v>92</v>
      </c>
      <c r="N370" s="33"/>
      <c r="O370" s="93">
        <f>IFERROR(IF(Readings[[#This Row],[Obs. X]]="","-",Readings[[#This Row],[Obs. X]]-_xlfn.XLOOKUP(Readings[[#This Row],[Sensor ID]],Table_Baseline[Sensor ID],Table_Baseline[Easting '[m']],"-")),"-")</f>
        <v>-9.9999999656574801E-4</v>
      </c>
      <c r="P370" s="93">
        <f>IFERROR(IF(Readings[[#This Row],[Obs. Y]]="","-",Readings[[#This Row],[Obs. Y]]-_xlfn.XLOOKUP(Readings[[#This Row],[Sensor ID]],Table_Baseline[Sensor ID],Table_Baseline[Northing '[m']],"-")),"-")</f>
        <v>9.9999998928979039E-4</v>
      </c>
      <c r="Q370" s="93">
        <f>IFERROR(IF(Readings[[#This Row],[Obs. Z]]="","-",Readings[[#This Row],[Obs. Z]]-_xlfn.XLOOKUP(Readings[[#This Row],[Sensor ID]],Table_Baseline[Sensor ID],Table_Baseline[Level '[m']],"-")),"-")</f>
        <v>-9.9999999999766942E-5</v>
      </c>
      <c r="R370" s="93">
        <f>IFERROR(IF(Readings[[#This Row],[Reference Angle]]="-","-",(Readings[[#This Row],[Diff E]]*COS(RADIANS(Readings[[#This Row],[Reference Angle]]))-Readings[[#This Row],[Diff N]]*SIN(RADIANS(Readings[[#This Row],[Reference Angle]])))),"-")</f>
        <v>-9.9999999656574801E-4</v>
      </c>
      <c r="S370" s="93">
        <f>IFERROR(IF(Readings[[#This Row],[Reference Angle]]="-","-",(Readings[[#This Row],[Diff E]]*SIN(RADIANS(Readings[[#This Row],[Reference Angle]]))+Readings[[#This Row],[Diff N]]*COS(RADIANS(Readings[[#This Row],[Reference Angle]])))),"-")</f>
        <v>9.9999998928979039E-4</v>
      </c>
      <c r="T370" s="94">
        <f>IFERROR(VLOOKUP(Readings[[#This Row],[Sensor ID]],Table_Baseline[],COLUMNS(Table_Baseline[[#Headers],[Sensor ID]:[Reference Angle '[Deg']]]),FALSE),"-")</f>
        <v>0</v>
      </c>
      <c r="U370" s="95" t="str">
        <f>Readings[[#This Row],[Sensor ID]]&amp;"-"&amp;Readings[[#This Row],[Epoch]]</f>
        <v>250-RL-OP-11007-45789.2638888889</v>
      </c>
      <c r="V370" s="99">
        <f ca="1">IF(Readings[[#This Row],[Epoch]]=OFFSET(Readings[[#This Row],[Epoch]],-1,0),0,1)</f>
        <v>0</v>
      </c>
    </row>
    <row r="371" spans="4:22" x14ac:dyDescent="0.2">
      <c r="D371" s="32">
        <v>45789.263888888891</v>
      </c>
      <c r="E371" s="33" t="s">
        <v>177</v>
      </c>
      <c r="F371" s="34">
        <v>60043.44</v>
      </c>
      <c r="G371" s="34">
        <v>363842.04200000002</v>
      </c>
      <c r="H371" s="34">
        <v>18.768999999999998</v>
      </c>
      <c r="I371" s="33" t="s">
        <v>85</v>
      </c>
      <c r="J371" s="33" t="s">
        <v>90</v>
      </c>
      <c r="K371" s="33">
        <v>14.3</v>
      </c>
      <c r="L371" s="33">
        <v>1020</v>
      </c>
      <c r="M371" s="33">
        <v>92</v>
      </c>
      <c r="N371" s="33"/>
      <c r="O371" s="93">
        <f>IFERROR(IF(Readings[[#This Row],[Obs. X]]="","-",Readings[[#This Row],[Obs. X]]-_xlfn.XLOOKUP(Readings[[#This Row],[Sensor ID]],Table_Baseline[Sensor ID],Table_Baseline[Easting '[m']],"-")),"-")</f>
        <v>-9.9999999656574801E-4</v>
      </c>
      <c r="P371" s="93">
        <f>IFERROR(IF(Readings[[#This Row],[Obs. Y]]="","-",Readings[[#This Row],[Obs. Y]]-_xlfn.XLOOKUP(Readings[[#This Row],[Sensor ID]],Table_Baseline[Sensor ID],Table_Baseline[Northing '[m']],"-")),"-")</f>
        <v>1.9999999785795808E-3</v>
      </c>
      <c r="Q371" s="93">
        <f>IFERROR(IF(Readings[[#This Row],[Obs. Z]]="","-",Readings[[#This Row],[Obs. Z]]-_xlfn.XLOOKUP(Readings[[#This Row],[Sensor ID]],Table_Baseline[Sensor ID],Table_Baseline[Level '[m']],"-")),"-")</f>
        <v>6.9999999999836859E-4</v>
      </c>
      <c r="R371" s="93">
        <f>IFERROR(IF(Readings[[#This Row],[Reference Angle]]="-","-",(Readings[[#This Row],[Diff E]]*COS(RADIANS(Readings[[#This Row],[Reference Angle]]))-Readings[[#This Row],[Diff N]]*SIN(RADIANS(Readings[[#This Row],[Reference Angle]])))),"-")</f>
        <v>-9.9999999656574801E-4</v>
      </c>
      <c r="S371" s="93">
        <f>IFERROR(IF(Readings[[#This Row],[Reference Angle]]="-","-",(Readings[[#This Row],[Diff E]]*SIN(RADIANS(Readings[[#This Row],[Reference Angle]]))+Readings[[#This Row],[Diff N]]*COS(RADIANS(Readings[[#This Row],[Reference Angle]])))),"-")</f>
        <v>1.9999999785795808E-3</v>
      </c>
      <c r="T371" s="94">
        <f>IFERROR(VLOOKUP(Readings[[#This Row],[Sensor ID]],Table_Baseline[],COLUMNS(Table_Baseline[[#Headers],[Sensor ID]:[Reference Angle '[Deg']]]),FALSE),"-")</f>
        <v>0</v>
      </c>
      <c r="U371" s="95" t="str">
        <f>Readings[[#This Row],[Sensor ID]]&amp;"-"&amp;Readings[[#This Row],[Epoch]]</f>
        <v>250-RL-OP-11008-45789.2638888889</v>
      </c>
      <c r="V371" s="99">
        <f ca="1">IF(Readings[[#This Row],[Epoch]]=OFFSET(Readings[[#This Row],[Epoch]],-1,0),0,1)</f>
        <v>0</v>
      </c>
    </row>
    <row r="372" spans="4:22" x14ac:dyDescent="0.2">
      <c r="D372" s="32">
        <v>45789.263888888891</v>
      </c>
      <c r="E372" s="33" t="s">
        <v>180</v>
      </c>
      <c r="F372" s="34">
        <v>60046.631999999998</v>
      </c>
      <c r="G372" s="34">
        <v>363842.48600000003</v>
      </c>
      <c r="H372" s="34">
        <v>18.777000000000001</v>
      </c>
      <c r="I372" s="33" t="s">
        <v>85</v>
      </c>
      <c r="J372" s="33" t="s">
        <v>90</v>
      </c>
      <c r="K372" s="33">
        <v>14.3</v>
      </c>
      <c r="L372" s="33">
        <v>1020</v>
      </c>
      <c r="M372" s="33">
        <v>92</v>
      </c>
      <c r="N372" s="33"/>
      <c r="O372" s="93">
        <f>IFERROR(IF(Readings[[#This Row],[Obs. X]]="","-",Readings[[#This Row],[Obs. X]]-_xlfn.XLOOKUP(Readings[[#This Row],[Sensor ID]],Table_Baseline[Sensor ID],Table_Baseline[Easting '[m']],"-")),"-")</f>
        <v>-1.0000000038417056E-3</v>
      </c>
      <c r="P372" s="93">
        <f>IFERROR(IF(Readings[[#This Row],[Obs. Y]]="","-",Readings[[#This Row],[Obs. Y]]-_xlfn.XLOOKUP(Readings[[#This Row],[Sensor ID]],Table_Baseline[Sensor ID],Table_Baseline[Northing '[m']],"-")),"-")</f>
        <v>1.0000000474974513E-3</v>
      </c>
      <c r="Q372" s="93">
        <f>IFERROR(IF(Readings[[#This Row],[Obs. Z]]="","-",Readings[[#This Row],[Obs. Z]]-_xlfn.XLOOKUP(Readings[[#This Row],[Sensor ID]],Table_Baseline[Sensor ID],Table_Baseline[Level '[m']],"-")),"-")</f>
        <v>-5.9999999999860165E-4</v>
      </c>
      <c r="R372" s="93">
        <f>IFERROR(IF(Readings[[#This Row],[Reference Angle]]="-","-",(Readings[[#This Row],[Diff E]]*COS(RADIANS(Readings[[#This Row],[Reference Angle]]))-Readings[[#This Row],[Diff N]]*SIN(RADIANS(Readings[[#This Row],[Reference Angle]])))),"-")</f>
        <v>-1.0000000038417056E-3</v>
      </c>
      <c r="S372" s="93">
        <f>IFERROR(IF(Readings[[#This Row],[Reference Angle]]="-","-",(Readings[[#This Row],[Diff E]]*SIN(RADIANS(Readings[[#This Row],[Reference Angle]]))+Readings[[#This Row],[Diff N]]*COS(RADIANS(Readings[[#This Row],[Reference Angle]])))),"-")</f>
        <v>1.0000000474974513E-3</v>
      </c>
      <c r="T372" s="94">
        <f>IFERROR(VLOOKUP(Readings[[#This Row],[Sensor ID]],Table_Baseline[],COLUMNS(Table_Baseline[[#Headers],[Sensor ID]:[Reference Angle '[Deg']]]),FALSE),"-")</f>
        <v>0</v>
      </c>
      <c r="U372" s="95" t="str">
        <f>Readings[[#This Row],[Sensor ID]]&amp;"-"&amp;Readings[[#This Row],[Epoch]]</f>
        <v>250-RL-OP-11009-45789.2638888889</v>
      </c>
      <c r="V372" s="99">
        <f ca="1">IF(Readings[[#This Row],[Epoch]]=OFFSET(Readings[[#This Row],[Epoch]],-1,0),0,1)</f>
        <v>0</v>
      </c>
    </row>
    <row r="373" spans="4:22" x14ac:dyDescent="0.2">
      <c r="D373" s="32">
        <v>45789.263888888891</v>
      </c>
      <c r="E373" s="33" t="s">
        <v>179</v>
      </c>
      <c r="F373" s="34">
        <v>60046.249000000003</v>
      </c>
      <c r="G373" s="34">
        <v>363841.22700000001</v>
      </c>
      <c r="H373" s="34">
        <v>18.77</v>
      </c>
      <c r="I373" s="33" t="s">
        <v>85</v>
      </c>
      <c r="J373" s="33" t="s">
        <v>90</v>
      </c>
      <c r="K373" s="33">
        <v>14.3</v>
      </c>
      <c r="L373" s="33">
        <v>1020</v>
      </c>
      <c r="M373" s="33">
        <v>92</v>
      </c>
      <c r="N373" s="33"/>
      <c r="O373" s="93">
        <f>IFERROR(IF(Readings[[#This Row],[Obs. X]]="","-",Readings[[#This Row],[Obs. X]]-_xlfn.XLOOKUP(Readings[[#This Row],[Sensor ID]],Table_Baseline[Sensor ID],Table_Baseline[Easting '[m']],"-")),"-")</f>
        <v>-9.9999999656574801E-4</v>
      </c>
      <c r="P373" s="93">
        <f>IFERROR(IF(Readings[[#This Row],[Obs. Y]]="","-",Readings[[#This Row],[Obs. Y]]-_xlfn.XLOOKUP(Readings[[#This Row],[Sensor ID]],Table_Baseline[Sensor ID],Table_Baseline[Northing '[m']],"-")),"-")</f>
        <v>9.9999998928979039E-4</v>
      </c>
      <c r="Q373" s="93">
        <f>IFERROR(IF(Readings[[#This Row],[Obs. Z]]="","-",Readings[[#This Row],[Obs. Z]]-_xlfn.XLOOKUP(Readings[[#This Row],[Sensor ID]],Table_Baseline[Sensor ID],Table_Baseline[Level '[m']],"-")),"-")</f>
        <v>1.9999999999953388E-4</v>
      </c>
      <c r="R373" s="93">
        <f>IFERROR(IF(Readings[[#This Row],[Reference Angle]]="-","-",(Readings[[#This Row],[Diff E]]*COS(RADIANS(Readings[[#This Row],[Reference Angle]]))-Readings[[#This Row],[Diff N]]*SIN(RADIANS(Readings[[#This Row],[Reference Angle]])))),"-")</f>
        <v>-9.9999999656574801E-4</v>
      </c>
      <c r="S373" s="93">
        <f>IFERROR(IF(Readings[[#This Row],[Reference Angle]]="-","-",(Readings[[#This Row],[Diff E]]*SIN(RADIANS(Readings[[#This Row],[Reference Angle]]))+Readings[[#This Row],[Diff N]]*COS(RADIANS(Readings[[#This Row],[Reference Angle]])))),"-")</f>
        <v>9.9999998928979039E-4</v>
      </c>
      <c r="T373" s="94">
        <f>IFERROR(VLOOKUP(Readings[[#This Row],[Sensor ID]],Table_Baseline[],COLUMNS(Table_Baseline[[#Headers],[Sensor ID]:[Reference Angle '[Deg']]]),FALSE),"-")</f>
        <v>0</v>
      </c>
      <c r="U373" s="95" t="str">
        <f>Readings[[#This Row],[Sensor ID]]&amp;"-"&amp;Readings[[#This Row],[Epoch]]</f>
        <v>250-RL-OP-11010-45789.2638888889</v>
      </c>
      <c r="V373" s="99">
        <f ca="1">IF(Readings[[#This Row],[Epoch]]=OFFSET(Readings[[#This Row],[Epoch]],-1,0),0,1)</f>
        <v>0</v>
      </c>
    </row>
    <row r="374" spans="4:22" x14ac:dyDescent="0.2">
      <c r="D374" s="32">
        <v>45789.263888888891</v>
      </c>
      <c r="E374" s="33" t="s">
        <v>182</v>
      </c>
      <c r="F374" s="34">
        <v>60049.398000000001</v>
      </c>
      <c r="G374" s="34">
        <v>363841.69900000002</v>
      </c>
      <c r="H374" s="34">
        <v>18.777999999999999</v>
      </c>
      <c r="I374" s="33" t="s">
        <v>85</v>
      </c>
      <c r="J374" s="33" t="s">
        <v>90</v>
      </c>
      <c r="K374" s="33">
        <v>14.3</v>
      </c>
      <c r="L374" s="33">
        <v>1020</v>
      </c>
      <c r="M374" s="33">
        <v>92</v>
      </c>
      <c r="N374" s="33"/>
      <c r="O374" s="93">
        <f>IFERROR(IF(Readings[[#This Row],[Obs. X]]="","-",Readings[[#This Row],[Obs. X]]-_xlfn.XLOOKUP(Readings[[#This Row],[Sensor ID]],Table_Baseline[Sensor ID],Table_Baseline[Easting '[m']],"-")),"-")</f>
        <v>-9.9999999656574801E-4</v>
      </c>
      <c r="P374" s="93">
        <f>IFERROR(IF(Readings[[#This Row],[Obs. Y]]="","-",Readings[[#This Row],[Obs. Y]]-_xlfn.XLOOKUP(Readings[[#This Row],[Sensor ID]],Table_Baseline[Sensor ID],Table_Baseline[Northing '[m']],"-")),"-")</f>
        <v>1.0000000474974513E-3</v>
      </c>
      <c r="Q374" s="93">
        <f>IFERROR(IF(Readings[[#This Row],[Obs. Z]]="","-",Readings[[#This Row],[Obs. Z]]-_xlfn.XLOOKUP(Readings[[#This Row],[Sensor ID]],Table_Baseline[Sensor ID],Table_Baseline[Level '[m']],"-")),"-")</f>
        <v>0</v>
      </c>
      <c r="R374" s="93">
        <f>IFERROR(IF(Readings[[#This Row],[Reference Angle]]="-","-",(Readings[[#This Row],[Diff E]]*COS(RADIANS(Readings[[#This Row],[Reference Angle]]))-Readings[[#This Row],[Diff N]]*SIN(RADIANS(Readings[[#This Row],[Reference Angle]])))),"-")</f>
        <v>-9.9999999656574801E-4</v>
      </c>
      <c r="S374" s="93">
        <f>IFERROR(IF(Readings[[#This Row],[Reference Angle]]="-","-",(Readings[[#This Row],[Diff E]]*SIN(RADIANS(Readings[[#This Row],[Reference Angle]]))+Readings[[#This Row],[Diff N]]*COS(RADIANS(Readings[[#This Row],[Reference Angle]])))),"-")</f>
        <v>1.0000000474974513E-3</v>
      </c>
      <c r="T374" s="94">
        <f>IFERROR(VLOOKUP(Readings[[#This Row],[Sensor ID]],Table_Baseline[],COLUMNS(Table_Baseline[[#Headers],[Sensor ID]:[Reference Angle '[Deg']]]),FALSE),"-")</f>
        <v>0</v>
      </c>
      <c r="U374" s="95" t="str">
        <f>Readings[[#This Row],[Sensor ID]]&amp;"-"&amp;Readings[[#This Row],[Epoch]]</f>
        <v>250-RL-OP-11011-45789.2638888889</v>
      </c>
      <c r="V374" s="99">
        <f ca="1">IF(Readings[[#This Row],[Epoch]]=OFFSET(Readings[[#This Row],[Epoch]],-1,0),0,1)</f>
        <v>0</v>
      </c>
    </row>
    <row r="375" spans="4:22" x14ac:dyDescent="0.2">
      <c r="D375" s="32">
        <v>45789.263888888891</v>
      </c>
      <c r="E375" s="33" t="s">
        <v>181</v>
      </c>
      <c r="F375" s="34">
        <v>60049.04</v>
      </c>
      <c r="G375" s="34">
        <v>363840.435</v>
      </c>
      <c r="H375" s="34">
        <v>18.771000000000001</v>
      </c>
      <c r="I375" s="33" t="s">
        <v>85</v>
      </c>
      <c r="J375" s="33" t="s">
        <v>90</v>
      </c>
      <c r="K375" s="33">
        <v>14.3</v>
      </c>
      <c r="L375" s="33">
        <v>1020</v>
      </c>
      <c r="M375" s="33">
        <v>92</v>
      </c>
      <c r="N375" s="33"/>
      <c r="O375" s="93">
        <f>IFERROR(IF(Readings[[#This Row],[Obs. X]]="","-",Readings[[#This Row],[Obs. X]]-_xlfn.XLOOKUP(Readings[[#This Row],[Sensor ID]],Table_Baseline[Sensor ID],Table_Baseline[Easting '[m']],"-")),"-")</f>
        <v>-9.9999999656574801E-4</v>
      </c>
      <c r="P375" s="93">
        <f>IFERROR(IF(Readings[[#This Row],[Obs. Y]]="","-",Readings[[#This Row],[Obs. Y]]-_xlfn.XLOOKUP(Readings[[#This Row],[Sensor ID]],Table_Baseline[Sensor ID],Table_Baseline[Northing '[m']],"-")),"-")</f>
        <v>2.0000000367872417E-3</v>
      </c>
      <c r="Q375" s="93">
        <f>IFERROR(IF(Readings[[#This Row],[Obs. Z]]="","-",Readings[[#This Row],[Obs. Z]]-_xlfn.XLOOKUP(Readings[[#This Row],[Sensor ID]],Table_Baseline[Sensor ID],Table_Baseline[Level '[m']],"-")),"-")</f>
        <v>-9.9999999999766942E-5</v>
      </c>
      <c r="R375" s="93">
        <f>IFERROR(IF(Readings[[#This Row],[Reference Angle]]="-","-",(Readings[[#This Row],[Diff E]]*COS(RADIANS(Readings[[#This Row],[Reference Angle]]))-Readings[[#This Row],[Diff N]]*SIN(RADIANS(Readings[[#This Row],[Reference Angle]])))),"-")</f>
        <v>-9.9999999656574801E-4</v>
      </c>
      <c r="S375" s="93">
        <f>IFERROR(IF(Readings[[#This Row],[Reference Angle]]="-","-",(Readings[[#This Row],[Diff E]]*SIN(RADIANS(Readings[[#This Row],[Reference Angle]]))+Readings[[#This Row],[Diff N]]*COS(RADIANS(Readings[[#This Row],[Reference Angle]])))),"-")</f>
        <v>2.0000000367872417E-3</v>
      </c>
      <c r="T375" s="94">
        <f>IFERROR(VLOOKUP(Readings[[#This Row],[Sensor ID]],Table_Baseline[],COLUMNS(Table_Baseline[[#Headers],[Sensor ID]:[Reference Angle '[Deg']]]),FALSE),"-")</f>
        <v>0</v>
      </c>
      <c r="U375" s="95" t="str">
        <f>Readings[[#This Row],[Sensor ID]]&amp;"-"&amp;Readings[[#This Row],[Epoch]]</f>
        <v>250-RL-OP-11012-45789.2638888889</v>
      </c>
      <c r="V375" s="99">
        <f ca="1">IF(Readings[[#This Row],[Epoch]]=OFFSET(Readings[[#This Row],[Epoch]],-1,0),0,1)</f>
        <v>0</v>
      </c>
    </row>
    <row r="376" spans="4:22" x14ac:dyDescent="0.2">
      <c r="D376" s="32">
        <v>45789.263888888891</v>
      </c>
      <c r="E376" s="33" t="s">
        <v>184</v>
      </c>
      <c r="F376" s="34">
        <v>60052.292000000001</v>
      </c>
      <c r="G376" s="34">
        <v>363840.88699999999</v>
      </c>
      <c r="H376" s="34">
        <v>18.779</v>
      </c>
      <c r="I376" s="33" t="s">
        <v>85</v>
      </c>
      <c r="J376" s="33" t="s">
        <v>90</v>
      </c>
      <c r="K376" s="33">
        <v>14.3</v>
      </c>
      <c r="L376" s="33">
        <v>1020</v>
      </c>
      <c r="M376" s="33">
        <v>92</v>
      </c>
      <c r="N376" s="33"/>
      <c r="O376" s="93">
        <f>IFERROR(IF(Readings[[#This Row],[Obs. X]]="","-",Readings[[#This Row],[Obs. X]]-_xlfn.XLOOKUP(Readings[[#This Row],[Sensor ID]],Table_Baseline[Sensor ID],Table_Baseline[Easting '[m']],"-")),"-")</f>
        <v>-9.9999999656574801E-4</v>
      </c>
      <c r="P376" s="93">
        <f>IFERROR(IF(Readings[[#This Row],[Obs. Y]]="","-",Readings[[#This Row],[Obs. Y]]-_xlfn.XLOOKUP(Readings[[#This Row],[Sensor ID]],Table_Baseline[Sensor ID],Table_Baseline[Northing '[m']],"-")),"-")</f>
        <v>1.9999999785795808E-3</v>
      </c>
      <c r="Q376" s="93">
        <f>IFERROR(IF(Readings[[#This Row],[Obs. Z]]="","-",Readings[[#This Row],[Obs. Z]]-_xlfn.XLOOKUP(Readings[[#This Row],[Sensor ID]],Table_Baseline[Sensor ID],Table_Baseline[Level '[m']],"-")),"-")</f>
        <v>0</v>
      </c>
      <c r="R376" s="93">
        <f>IFERROR(IF(Readings[[#This Row],[Reference Angle]]="-","-",(Readings[[#This Row],[Diff E]]*COS(RADIANS(Readings[[#This Row],[Reference Angle]]))-Readings[[#This Row],[Diff N]]*SIN(RADIANS(Readings[[#This Row],[Reference Angle]])))),"-")</f>
        <v>-9.9999999656574801E-4</v>
      </c>
      <c r="S376" s="93">
        <f>IFERROR(IF(Readings[[#This Row],[Reference Angle]]="-","-",(Readings[[#This Row],[Diff E]]*SIN(RADIANS(Readings[[#This Row],[Reference Angle]]))+Readings[[#This Row],[Diff N]]*COS(RADIANS(Readings[[#This Row],[Reference Angle]])))),"-")</f>
        <v>1.9999999785795808E-3</v>
      </c>
      <c r="T376" s="94">
        <f>IFERROR(VLOOKUP(Readings[[#This Row],[Sensor ID]],Table_Baseline[],COLUMNS(Table_Baseline[[#Headers],[Sensor ID]:[Reference Angle '[Deg']]]),FALSE),"-")</f>
        <v>0</v>
      </c>
      <c r="U376" s="95" t="str">
        <f>Readings[[#This Row],[Sensor ID]]&amp;"-"&amp;Readings[[#This Row],[Epoch]]</f>
        <v>250-RL-OP-11013-45789.2638888889</v>
      </c>
      <c r="V376" s="99">
        <f ca="1">IF(Readings[[#This Row],[Epoch]]=OFFSET(Readings[[#This Row],[Epoch]],-1,0),0,1)</f>
        <v>0</v>
      </c>
    </row>
    <row r="377" spans="4:22" x14ac:dyDescent="0.2">
      <c r="D377" s="32">
        <v>45789.263888888891</v>
      </c>
      <c r="E377" s="33" t="s">
        <v>183</v>
      </c>
      <c r="F377" s="34">
        <v>60051.987999999998</v>
      </c>
      <c r="G377" s="34">
        <v>363839.60600000003</v>
      </c>
      <c r="H377" s="34">
        <v>18.77</v>
      </c>
      <c r="I377" s="33" t="s">
        <v>85</v>
      </c>
      <c r="J377" s="33" t="s">
        <v>90</v>
      </c>
      <c r="K377" s="33">
        <v>14.3</v>
      </c>
      <c r="L377" s="33">
        <v>1020</v>
      </c>
      <c r="M377" s="33">
        <v>92</v>
      </c>
      <c r="N377" s="33"/>
      <c r="O377" s="93">
        <f>IFERROR(IF(Readings[[#This Row],[Obs. X]]="","-",Readings[[#This Row],[Obs. X]]-_xlfn.XLOOKUP(Readings[[#This Row],[Sensor ID]],Table_Baseline[Sensor ID],Table_Baseline[Easting '[m']],"-")),"-")</f>
        <v>-1.0000000038417056E-3</v>
      </c>
      <c r="P377" s="93">
        <f>IFERROR(IF(Readings[[#This Row],[Obs. Y]]="","-",Readings[[#This Row],[Obs. Y]]-_xlfn.XLOOKUP(Readings[[#This Row],[Sensor ID]],Table_Baseline[Sensor ID],Table_Baseline[Northing '[m']],"-")),"-")</f>
        <v>3.0000000260770321E-3</v>
      </c>
      <c r="Q377" s="93">
        <f>IFERROR(IF(Readings[[#This Row],[Obs. Z]]="","-",Readings[[#This Row],[Obs. Z]]-_xlfn.XLOOKUP(Readings[[#This Row],[Sensor ID]],Table_Baseline[Sensor ID],Table_Baseline[Level '[m']],"-")),"-")</f>
        <v>-9.9999999999766942E-5</v>
      </c>
      <c r="R377" s="93">
        <f>IFERROR(IF(Readings[[#This Row],[Reference Angle]]="-","-",(Readings[[#This Row],[Diff E]]*COS(RADIANS(Readings[[#This Row],[Reference Angle]]))-Readings[[#This Row],[Diff N]]*SIN(RADIANS(Readings[[#This Row],[Reference Angle]])))),"-")</f>
        <v>-1.0000000038417056E-3</v>
      </c>
      <c r="S377" s="93">
        <f>IFERROR(IF(Readings[[#This Row],[Reference Angle]]="-","-",(Readings[[#This Row],[Diff E]]*SIN(RADIANS(Readings[[#This Row],[Reference Angle]]))+Readings[[#This Row],[Diff N]]*COS(RADIANS(Readings[[#This Row],[Reference Angle]])))),"-")</f>
        <v>3.0000000260770321E-3</v>
      </c>
      <c r="T377" s="94">
        <f>IFERROR(VLOOKUP(Readings[[#This Row],[Sensor ID]],Table_Baseline[],COLUMNS(Table_Baseline[[#Headers],[Sensor ID]:[Reference Angle '[Deg']]]),FALSE),"-")</f>
        <v>0</v>
      </c>
      <c r="U377" s="95" t="str">
        <f>Readings[[#This Row],[Sensor ID]]&amp;"-"&amp;Readings[[#This Row],[Epoch]]</f>
        <v>250-RL-OP-11014-45789.2638888889</v>
      </c>
      <c r="V377" s="99">
        <f ca="1">IF(Readings[[#This Row],[Epoch]]=OFFSET(Readings[[#This Row],[Epoch]],-1,0),0,1)</f>
        <v>0</v>
      </c>
    </row>
    <row r="378" spans="4:22" x14ac:dyDescent="0.2">
      <c r="D378" s="32">
        <v>45789.263888888891</v>
      </c>
      <c r="E378" s="33" t="s">
        <v>186</v>
      </c>
      <c r="F378" s="34">
        <v>60055.196000000004</v>
      </c>
      <c r="G378" s="34">
        <v>363840.09700000001</v>
      </c>
      <c r="H378" s="34">
        <v>18.78</v>
      </c>
      <c r="I378" s="33" t="s">
        <v>85</v>
      </c>
      <c r="J378" s="33" t="s">
        <v>90</v>
      </c>
      <c r="K378" s="33">
        <v>14.3</v>
      </c>
      <c r="L378" s="33">
        <v>1020</v>
      </c>
      <c r="M378" s="33">
        <v>92</v>
      </c>
      <c r="N378" s="33"/>
      <c r="O378" s="93">
        <f>IFERROR(IF(Readings[[#This Row],[Obs. X]]="","-",Readings[[#This Row],[Obs. X]]-_xlfn.XLOOKUP(Readings[[#This Row],[Sensor ID]],Table_Baseline[Sensor ID],Table_Baseline[Easting '[m']],"-")),"-")</f>
        <v>0</v>
      </c>
      <c r="P378" s="93">
        <f>IFERROR(IF(Readings[[#This Row],[Obs. Y]]="","-",Readings[[#This Row],[Obs. Y]]-_xlfn.XLOOKUP(Readings[[#This Row],[Sensor ID]],Table_Baseline[Sensor ID],Table_Baseline[Northing '[m']],"-")),"-")</f>
        <v>2.0000000367872417E-3</v>
      </c>
      <c r="Q378" s="93">
        <f>IFERROR(IF(Readings[[#This Row],[Obs. Z]]="","-",Readings[[#This Row],[Obs. Z]]-_xlfn.XLOOKUP(Readings[[#This Row],[Sensor ID]],Table_Baseline[Sensor ID],Table_Baseline[Level '[m']],"-")),"-")</f>
        <v>-8.9999999999790248E-4</v>
      </c>
      <c r="R378" s="93">
        <f>IFERROR(IF(Readings[[#This Row],[Reference Angle]]="-","-",(Readings[[#This Row],[Diff E]]*COS(RADIANS(Readings[[#This Row],[Reference Angle]]))-Readings[[#This Row],[Diff N]]*SIN(RADIANS(Readings[[#This Row],[Reference Angle]])))),"-")</f>
        <v>0</v>
      </c>
      <c r="S378" s="93">
        <f>IFERROR(IF(Readings[[#This Row],[Reference Angle]]="-","-",(Readings[[#This Row],[Diff E]]*SIN(RADIANS(Readings[[#This Row],[Reference Angle]]))+Readings[[#This Row],[Diff N]]*COS(RADIANS(Readings[[#This Row],[Reference Angle]])))),"-")</f>
        <v>2.0000000367872417E-3</v>
      </c>
      <c r="T378" s="94">
        <f>IFERROR(VLOOKUP(Readings[[#This Row],[Sensor ID]],Table_Baseline[],COLUMNS(Table_Baseline[[#Headers],[Sensor ID]:[Reference Angle '[Deg']]]),FALSE),"-")</f>
        <v>0</v>
      </c>
      <c r="U378" s="95" t="str">
        <f>Readings[[#This Row],[Sensor ID]]&amp;"-"&amp;Readings[[#This Row],[Epoch]]</f>
        <v>250-RL-OP-11015-45789.2638888889</v>
      </c>
      <c r="V378" s="99">
        <f ca="1">IF(Readings[[#This Row],[Epoch]]=OFFSET(Readings[[#This Row],[Epoch]],-1,0),0,1)</f>
        <v>0</v>
      </c>
    </row>
    <row r="379" spans="4:22" x14ac:dyDescent="0.2">
      <c r="D379" s="32">
        <v>45789.263888888891</v>
      </c>
      <c r="E379" s="33" t="s">
        <v>185</v>
      </c>
      <c r="F379" s="34">
        <v>60054.883999999998</v>
      </c>
      <c r="G379" s="34">
        <v>363838.80700000003</v>
      </c>
      <c r="H379" s="34">
        <v>18.773</v>
      </c>
      <c r="I379" s="33" t="s">
        <v>85</v>
      </c>
      <c r="J379" s="33" t="s">
        <v>90</v>
      </c>
      <c r="K379" s="33">
        <v>14.3</v>
      </c>
      <c r="L379" s="33">
        <v>1020</v>
      </c>
      <c r="M379" s="33">
        <v>92</v>
      </c>
      <c r="N379" s="33"/>
      <c r="O379" s="93">
        <f>IFERROR(IF(Readings[[#This Row],[Obs. X]]="","-",Readings[[#This Row],[Obs. X]]-_xlfn.XLOOKUP(Readings[[#This Row],[Sensor ID]],Table_Baseline[Sensor ID],Table_Baseline[Easting '[m']],"-")),"-")</f>
        <v>-2.0000000004074536E-3</v>
      </c>
      <c r="P379" s="93">
        <f>IFERROR(IF(Readings[[#This Row],[Obs. Y]]="","-",Readings[[#This Row],[Obs. Y]]-_xlfn.XLOOKUP(Readings[[#This Row],[Sensor ID]],Table_Baseline[Sensor ID],Table_Baseline[Northing '[m']],"-")),"-")</f>
        <v>2.0000000367872417E-3</v>
      </c>
      <c r="Q379" s="93">
        <f>IFERROR(IF(Readings[[#This Row],[Obs. Z]]="","-",Readings[[#This Row],[Obs. Z]]-_xlfn.XLOOKUP(Readings[[#This Row],[Sensor ID]],Table_Baseline[Sensor ID],Table_Baseline[Level '[m']],"-")),"-")</f>
        <v>-9.9999999999766942E-5</v>
      </c>
      <c r="R379" s="93">
        <f>IFERROR(IF(Readings[[#This Row],[Reference Angle]]="-","-",(Readings[[#This Row],[Diff E]]*COS(RADIANS(Readings[[#This Row],[Reference Angle]]))-Readings[[#This Row],[Diff N]]*SIN(RADIANS(Readings[[#This Row],[Reference Angle]])))),"-")</f>
        <v>-2.0000000004074536E-3</v>
      </c>
      <c r="S379" s="93">
        <f>IFERROR(IF(Readings[[#This Row],[Reference Angle]]="-","-",(Readings[[#This Row],[Diff E]]*SIN(RADIANS(Readings[[#This Row],[Reference Angle]]))+Readings[[#This Row],[Diff N]]*COS(RADIANS(Readings[[#This Row],[Reference Angle]])))),"-")</f>
        <v>2.0000000367872417E-3</v>
      </c>
      <c r="T379" s="94">
        <f>IFERROR(VLOOKUP(Readings[[#This Row],[Sensor ID]],Table_Baseline[],COLUMNS(Table_Baseline[[#Headers],[Sensor ID]:[Reference Angle '[Deg']]]),FALSE),"-")</f>
        <v>0</v>
      </c>
      <c r="U379" s="95" t="str">
        <f>Readings[[#This Row],[Sensor ID]]&amp;"-"&amp;Readings[[#This Row],[Epoch]]</f>
        <v>250-RL-OP-11016-45789.2638888889</v>
      </c>
      <c r="V379" s="99">
        <f ca="1">IF(Readings[[#This Row],[Epoch]]=OFFSET(Readings[[#This Row],[Epoch]],-1,0),0,1)</f>
        <v>0</v>
      </c>
    </row>
    <row r="380" spans="4:22" x14ac:dyDescent="0.2">
      <c r="D380" s="32">
        <v>45789.263888888891</v>
      </c>
      <c r="E380" s="33" t="s">
        <v>188</v>
      </c>
      <c r="F380" s="34">
        <v>60057.951999999997</v>
      </c>
      <c r="G380" s="34">
        <v>363839.36499999999</v>
      </c>
      <c r="H380" s="34">
        <v>18.786000000000001</v>
      </c>
      <c r="I380" s="33" t="s">
        <v>85</v>
      </c>
      <c r="J380" s="33" t="s">
        <v>90</v>
      </c>
      <c r="K380" s="33">
        <v>14.3</v>
      </c>
      <c r="L380" s="33">
        <v>1020</v>
      </c>
      <c r="M380" s="33">
        <v>92</v>
      </c>
      <c r="N380" s="33"/>
      <c r="O380" s="93">
        <f>IFERROR(IF(Readings[[#This Row],[Obs. X]]="","-",Readings[[#This Row],[Obs. X]]-_xlfn.XLOOKUP(Readings[[#This Row],[Sensor ID]],Table_Baseline[Sensor ID],Table_Baseline[Easting '[m']],"-")),"-")</f>
        <v>0</v>
      </c>
      <c r="P380" s="93">
        <f>IFERROR(IF(Readings[[#This Row],[Obs. Y]]="","-",Readings[[#This Row],[Obs. Y]]-_xlfn.XLOOKUP(Readings[[#This Row],[Sensor ID]],Table_Baseline[Sensor ID],Table_Baseline[Northing '[m']],"-")),"-")</f>
        <v>3.0000000260770321E-3</v>
      </c>
      <c r="Q380" s="93">
        <f>IFERROR(IF(Readings[[#This Row],[Obs. Z]]="","-",Readings[[#This Row],[Obs. Z]]-_xlfn.XLOOKUP(Readings[[#This Row],[Sensor ID]],Table_Baseline[Sensor ID],Table_Baseline[Level '[m']],"-")),"-")</f>
        <v>0</v>
      </c>
      <c r="R380" s="93">
        <f>IFERROR(IF(Readings[[#This Row],[Reference Angle]]="-","-",(Readings[[#This Row],[Diff E]]*COS(RADIANS(Readings[[#This Row],[Reference Angle]]))-Readings[[#This Row],[Diff N]]*SIN(RADIANS(Readings[[#This Row],[Reference Angle]])))),"-")</f>
        <v>0</v>
      </c>
      <c r="S380" s="93">
        <f>IFERROR(IF(Readings[[#This Row],[Reference Angle]]="-","-",(Readings[[#This Row],[Diff E]]*SIN(RADIANS(Readings[[#This Row],[Reference Angle]]))+Readings[[#This Row],[Diff N]]*COS(RADIANS(Readings[[#This Row],[Reference Angle]])))),"-")</f>
        <v>3.0000000260770321E-3</v>
      </c>
      <c r="T380" s="94">
        <f>IFERROR(VLOOKUP(Readings[[#This Row],[Sensor ID]],Table_Baseline[],COLUMNS(Table_Baseline[[#Headers],[Sensor ID]:[Reference Angle '[Deg']]]),FALSE),"-")</f>
        <v>0</v>
      </c>
      <c r="U380" s="95" t="str">
        <f>Readings[[#This Row],[Sensor ID]]&amp;"-"&amp;Readings[[#This Row],[Epoch]]</f>
        <v>250-RL-OP-11017-45789.2638888889</v>
      </c>
      <c r="V380" s="99">
        <f ca="1">IF(Readings[[#This Row],[Epoch]]=OFFSET(Readings[[#This Row],[Epoch]],-1,0),0,1)</f>
        <v>0</v>
      </c>
    </row>
    <row r="381" spans="4:22" x14ac:dyDescent="0.2">
      <c r="D381" s="32">
        <v>45789.263888888891</v>
      </c>
      <c r="E381" s="33" t="s">
        <v>187</v>
      </c>
      <c r="F381" s="34">
        <v>60057.578000000001</v>
      </c>
      <c r="G381" s="34">
        <v>363838.10100000002</v>
      </c>
      <c r="H381" s="34">
        <v>18.776</v>
      </c>
      <c r="I381" s="33" t="s">
        <v>85</v>
      </c>
      <c r="J381" s="33" t="s">
        <v>90</v>
      </c>
      <c r="K381" s="33">
        <v>14.3</v>
      </c>
      <c r="L381" s="33">
        <v>1020</v>
      </c>
      <c r="M381" s="33">
        <v>92</v>
      </c>
      <c r="N381" s="33"/>
      <c r="O381" s="93">
        <f>IFERROR(IF(Readings[[#This Row],[Obs. X]]="","-",Readings[[#This Row],[Obs. X]]-_xlfn.XLOOKUP(Readings[[#This Row],[Sensor ID]],Table_Baseline[Sensor ID],Table_Baseline[Easting '[m']],"-")),"-")</f>
        <v>-9.9999999656574801E-4</v>
      </c>
      <c r="P381" s="93">
        <f>IFERROR(IF(Readings[[#This Row],[Obs. Y]]="","-",Readings[[#This Row],[Obs. Y]]-_xlfn.XLOOKUP(Readings[[#This Row],[Sensor ID]],Table_Baseline[Sensor ID],Table_Baseline[Northing '[m']],"-")),"-")</f>
        <v>3.0000000260770321E-3</v>
      </c>
      <c r="Q381" s="93">
        <f>IFERROR(IF(Readings[[#This Row],[Obs. Z]]="","-",Readings[[#This Row],[Obs. Z]]-_xlfn.XLOOKUP(Readings[[#This Row],[Sensor ID]],Table_Baseline[Sensor ID],Table_Baseline[Level '[m']],"-")),"-")</f>
        <v>0</v>
      </c>
      <c r="R381" s="93">
        <f>IFERROR(IF(Readings[[#This Row],[Reference Angle]]="-","-",(Readings[[#This Row],[Diff E]]*COS(RADIANS(Readings[[#This Row],[Reference Angle]]))-Readings[[#This Row],[Diff N]]*SIN(RADIANS(Readings[[#This Row],[Reference Angle]])))),"-")</f>
        <v>-9.9999999656574801E-4</v>
      </c>
      <c r="S381" s="93">
        <f>IFERROR(IF(Readings[[#This Row],[Reference Angle]]="-","-",(Readings[[#This Row],[Diff E]]*SIN(RADIANS(Readings[[#This Row],[Reference Angle]]))+Readings[[#This Row],[Diff N]]*COS(RADIANS(Readings[[#This Row],[Reference Angle]])))),"-")</f>
        <v>3.0000000260770321E-3</v>
      </c>
      <c r="T381" s="94">
        <f>IFERROR(VLOOKUP(Readings[[#This Row],[Sensor ID]],Table_Baseline[],COLUMNS(Table_Baseline[[#Headers],[Sensor ID]:[Reference Angle '[Deg']]]),FALSE),"-")</f>
        <v>0</v>
      </c>
      <c r="U381" s="95" t="str">
        <f>Readings[[#This Row],[Sensor ID]]&amp;"-"&amp;Readings[[#This Row],[Epoch]]</f>
        <v>250-RL-OP-11018-45789.2638888889</v>
      </c>
      <c r="V381" s="99">
        <f ca="1">IF(Readings[[#This Row],[Epoch]]=OFFSET(Readings[[#This Row],[Epoch]],-1,0),0,1)</f>
        <v>0</v>
      </c>
    </row>
    <row r="382" spans="4:22" x14ac:dyDescent="0.2">
      <c r="D382" s="32">
        <v>45789.263888888891</v>
      </c>
      <c r="E382" s="33" t="s">
        <v>190</v>
      </c>
      <c r="F382" s="34">
        <v>60060.962</v>
      </c>
      <c r="G382" s="34">
        <v>363838.603</v>
      </c>
      <c r="H382" s="34">
        <v>18.794</v>
      </c>
      <c r="I382" s="33" t="s">
        <v>85</v>
      </c>
      <c r="J382" s="33" t="s">
        <v>90</v>
      </c>
      <c r="K382" s="33">
        <v>14.3</v>
      </c>
      <c r="L382" s="33">
        <v>1020</v>
      </c>
      <c r="M382" s="33">
        <v>92</v>
      </c>
      <c r="N382" s="33"/>
      <c r="O382" s="93">
        <f>IFERROR(IF(Readings[[#This Row],[Obs. X]]="","-",Readings[[#This Row],[Obs. X]]-_xlfn.XLOOKUP(Readings[[#This Row],[Sensor ID]],Table_Baseline[Sensor ID],Table_Baseline[Easting '[m']],"-")),"-")</f>
        <v>-1.0000000038417056E-3</v>
      </c>
      <c r="P382" s="93">
        <f>IFERROR(IF(Readings[[#This Row],[Obs. Y]]="","-",Readings[[#This Row],[Obs. Y]]-_xlfn.XLOOKUP(Readings[[#This Row],[Sensor ID]],Table_Baseline[Sensor ID],Table_Baseline[Northing '[m']],"-")),"-")</f>
        <v>1.9999999785795808E-3</v>
      </c>
      <c r="Q382" s="93">
        <f>IFERROR(IF(Readings[[#This Row],[Obs. Z]]="","-",Readings[[#This Row],[Obs. Z]]-_xlfn.XLOOKUP(Readings[[#This Row],[Sensor ID]],Table_Baseline[Sensor ID],Table_Baseline[Level '[m']],"-")),"-")</f>
        <v>-5.9999999999860165E-4</v>
      </c>
      <c r="R382" s="93">
        <f>IFERROR(IF(Readings[[#This Row],[Reference Angle]]="-","-",(Readings[[#This Row],[Diff E]]*COS(RADIANS(Readings[[#This Row],[Reference Angle]]))-Readings[[#This Row],[Diff N]]*SIN(RADIANS(Readings[[#This Row],[Reference Angle]])))),"-")</f>
        <v>-1.0000000038417056E-3</v>
      </c>
      <c r="S382" s="93">
        <f>IFERROR(IF(Readings[[#This Row],[Reference Angle]]="-","-",(Readings[[#This Row],[Diff E]]*SIN(RADIANS(Readings[[#This Row],[Reference Angle]]))+Readings[[#This Row],[Diff N]]*COS(RADIANS(Readings[[#This Row],[Reference Angle]])))),"-")</f>
        <v>1.9999999785795808E-3</v>
      </c>
      <c r="T382" s="94">
        <f>IFERROR(VLOOKUP(Readings[[#This Row],[Sensor ID]],Table_Baseline[],COLUMNS(Table_Baseline[[#Headers],[Sensor ID]:[Reference Angle '[Deg']]]),FALSE),"-")</f>
        <v>0</v>
      </c>
      <c r="U382" s="95" t="str">
        <f>Readings[[#This Row],[Sensor ID]]&amp;"-"&amp;Readings[[#This Row],[Epoch]]</f>
        <v>250-RL-OP-11019-45789.2638888889</v>
      </c>
      <c r="V382" s="99">
        <f ca="1">IF(Readings[[#This Row],[Epoch]]=OFFSET(Readings[[#This Row],[Epoch]],-1,0),0,1)</f>
        <v>0</v>
      </c>
    </row>
    <row r="383" spans="4:22" x14ac:dyDescent="0.2">
      <c r="D383" s="32">
        <v>45789.263888888891</v>
      </c>
      <c r="E383" s="33" t="s">
        <v>189</v>
      </c>
      <c r="F383" s="34">
        <v>60060.639999999999</v>
      </c>
      <c r="G383" s="34">
        <v>363837.32500000001</v>
      </c>
      <c r="H383" s="34">
        <v>18.783000000000001</v>
      </c>
      <c r="I383" s="33" t="s">
        <v>85</v>
      </c>
      <c r="J383" s="33" t="s">
        <v>90</v>
      </c>
      <c r="K383" s="33">
        <v>14.3</v>
      </c>
      <c r="L383" s="33">
        <v>1020</v>
      </c>
      <c r="M383" s="33">
        <v>92</v>
      </c>
      <c r="N383" s="33"/>
      <c r="O383" s="93">
        <f>IFERROR(IF(Readings[[#This Row],[Obs. X]]="","-",Readings[[#This Row],[Obs. X]]-_xlfn.XLOOKUP(Readings[[#This Row],[Sensor ID]],Table_Baseline[Sensor ID],Table_Baseline[Easting '[m']],"-")),"-")</f>
        <v>0</v>
      </c>
      <c r="P383" s="93">
        <f>IFERROR(IF(Readings[[#This Row],[Obs. Y]]="","-",Readings[[#This Row],[Obs. Y]]-_xlfn.XLOOKUP(Readings[[#This Row],[Sensor ID]],Table_Baseline[Sensor ID],Table_Baseline[Northing '[m']],"-")),"-")</f>
        <v>3.0000000260770321E-3</v>
      </c>
      <c r="Q383" s="93">
        <f>IFERROR(IF(Readings[[#This Row],[Obs. Z]]="","-",Readings[[#This Row],[Obs. Z]]-_xlfn.XLOOKUP(Readings[[#This Row],[Sensor ID]],Table_Baseline[Sensor ID],Table_Baseline[Level '[m']],"-")),"-")</f>
        <v>-5.9999999999860165E-4</v>
      </c>
      <c r="R383" s="93">
        <f>IFERROR(IF(Readings[[#This Row],[Reference Angle]]="-","-",(Readings[[#This Row],[Diff E]]*COS(RADIANS(Readings[[#This Row],[Reference Angle]]))-Readings[[#This Row],[Diff N]]*SIN(RADIANS(Readings[[#This Row],[Reference Angle]])))),"-")</f>
        <v>0</v>
      </c>
      <c r="S383" s="93">
        <f>IFERROR(IF(Readings[[#This Row],[Reference Angle]]="-","-",(Readings[[#This Row],[Diff E]]*SIN(RADIANS(Readings[[#This Row],[Reference Angle]]))+Readings[[#This Row],[Diff N]]*COS(RADIANS(Readings[[#This Row],[Reference Angle]])))),"-")</f>
        <v>3.0000000260770321E-3</v>
      </c>
      <c r="T383" s="94">
        <f>IFERROR(VLOOKUP(Readings[[#This Row],[Sensor ID]],Table_Baseline[],COLUMNS(Table_Baseline[[#Headers],[Sensor ID]:[Reference Angle '[Deg']]]),FALSE),"-")</f>
        <v>0</v>
      </c>
      <c r="U383" s="95" t="str">
        <f>Readings[[#This Row],[Sensor ID]]&amp;"-"&amp;Readings[[#This Row],[Epoch]]</f>
        <v>250-RL-OP-11020-45789.2638888889</v>
      </c>
      <c r="V383" s="99">
        <f ca="1">IF(Readings[[#This Row],[Epoch]]=OFFSET(Readings[[#This Row],[Epoch]],-1,0),0,1)</f>
        <v>0</v>
      </c>
    </row>
    <row r="384" spans="4:22" x14ac:dyDescent="0.2">
      <c r="D384" s="32">
        <v>45789.263888888891</v>
      </c>
      <c r="E384" s="33" t="s">
        <v>192</v>
      </c>
      <c r="F384" s="34">
        <v>60063.75</v>
      </c>
      <c r="G384" s="34">
        <v>363837.92000000004</v>
      </c>
      <c r="H384" s="34">
        <v>18.808</v>
      </c>
      <c r="I384" s="33" t="s">
        <v>85</v>
      </c>
      <c r="J384" s="33" t="s">
        <v>90</v>
      </c>
      <c r="K384" s="33">
        <v>14.3</v>
      </c>
      <c r="L384" s="33">
        <v>1020</v>
      </c>
      <c r="M384" s="33">
        <v>92</v>
      </c>
      <c r="N384" s="33"/>
      <c r="O384" s="93">
        <f>IFERROR(IF(Readings[[#This Row],[Obs. X]]="","-",Readings[[#This Row],[Obs. X]]-_xlfn.XLOOKUP(Readings[[#This Row],[Sensor ID]],Table_Baseline[Sensor ID],Table_Baseline[Easting '[m']],"-")),"-")</f>
        <v>-9.9999999656574801E-4</v>
      </c>
      <c r="P384" s="93">
        <f>IFERROR(IF(Readings[[#This Row],[Obs. Y]]="","-",Readings[[#This Row],[Obs. Y]]-_xlfn.XLOOKUP(Readings[[#This Row],[Sensor ID]],Table_Baseline[Sensor ID],Table_Baseline[Northing '[m']],"-")),"-")</f>
        <v>2.0000000367872417E-3</v>
      </c>
      <c r="Q384" s="93">
        <f>IFERROR(IF(Readings[[#This Row],[Obs. Z]]="","-",Readings[[#This Row],[Obs. Z]]-_xlfn.XLOOKUP(Readings[[#This Row],[Sensor ID]],Table_Baseline[Sensor ID],Table_Baseline[Level '[m']],"-")),"-")</f>
        <v>-1.0000000000012221E-3</v>
      </c>
      <c r="R384" s="93">
        <f>IFERROR(IF(Readings[[#This Row],[Reference Angle]]="-","-",(Readings[[#This Row],[Diff E]]*COS(RADIANS(Readings[[#This Row],[Reference Angle]]))-Readings[[#This Row],[Diff N]]*SIN(RADIANS(Readings[[#This Row],[Reference Angle]])))),"-")</f>
        <v>-9.9999999656574801E-4</v>
      </c>
      <c r="S384" s="93">
        <f>IFERROR(IF(Readings[[#This Row],[Reference Angle]]="-","-",(Readings[[#This Row],[Diff E]]*SIN(RADIANS(Readings[[#This Row],[Reference Angle]]))+Readings[[#This Row],[Diff N]]*COS(RADIANS(Readings[[#This Row],[Reference Angle]])))),"-")</f>
        <v>2.0000000367872417E-3</v>
      </c>
      <c r="T384" s="94">
        <f>IFERROR(VLOOKUP(Readings[[#This Row],[Sensor ID]],Table_Baseline[],COLUMNS(Table_Baseline[[#Headers],[Sensor ID]:[Reference Angle '[Deg']]]),FALSE),"-")</f>
        <v>0</v>
      </c>
      <c r="U384" s="95" t="str">
        <f>Readings[[#This Row],[Sensor ID]]&amp;"-"&amp;Readings[[#This Row],[Epoch]]</f>
        <v>250-RL-OP-11021-45789.2638888889</v>
      </c>
      <c r="V384" s="99">
        <f ca="1">IF(Readings[[#This Row],[Epoch]]=OFFSET(Readings[[#This Row],[Epoch]],-1,0),0,1)</f>
        <v>0</v>
      </c>
    </row>
    <row r="385" spans="4:22" x14ac:dyDescent="0.2">
      <c r="D385" s="32">
        <v>45789.263888888891</v>
      </c>
      <c r="E385" s="33" t="s">
        <v>191</v>
      </c>
      <c r="F385" s="34">
        <v>60063.421000000002</v>
      </c>
      <c r="G385" s="34">
        <v>363836.63899999997</v>
      </c>
      <c r="H385" s="34">
        <v>18.794</v>
      </c>
      <c r="I385" s="33" t="s">
        <v>85</v>
      </c>
      <c r="J385" s="33" t="s">
        <v>90</v>
      </c>
      <c r="K385" s="33">
        <v>14.3</v>
      </c>
      <c r="L385" s="33">
        <v>1020</v>
      </c>
      <c r="M385" s="33">
        <v>92</v>
      </c>
      <c r="N385" s="33"/>
      <c r="O385" s="93">
        <f>IFERROR(IF(Readings[[#This Row],[Obs. X]]="","-",Readings[[#This Row],[Obs. X]]-_xlfn.XLOOKUP(Readings[[#This Row],[Sensor ID]],Table_Baseline[Sensor ID],Table_Baseline[Easting '[m']],"-")),"-")</f>
        <v>-9.9999999656574801E-4</v>
      </c>
      <c r="P385" s="93">
        <f>IFERROR(IF(Readings[[#This Row],[Obs. Y]]="","-",Readings[[#This Row],[Obs. Y]]-_xlfn.XLOOKUP(Readings[[#This Row],[Sensor ID]],Table_Baseline[Sensor ID],Table_Baseline[Northing '[m']],"-")),"-")</f>
        <v>2.9999999678693712E-3</v>
      </c>
      <c r="Q385" s="93">
        <f>IFERROR(IF(Readings[[#This Row],[Obs. Z]]="","-",Readings[[#This Row],[Obs. Z]]-_xlfn.XLOOKUP(Readings[[#This Row],[Sensor ID]],Table_Baseline[Sensor ID],Table_Baseline[Level '[m']],"-")),"-")</f>
        <v>-8.9999999999790248E-4</v>
      </c>
      <c r="R385" s="93">
        <f>IFERROR(IF(Readings[[#This Row],[Reference Angle]]="-","-",(Readings[[#This Row],[Diff E]]*COS(RADIANS(Readings[[#This Row],[Reference Angle]]))-Readings[[#This Row],[Diff N]]*SIN(RADIANS(Readings[[#This Row],[Reference Angle]])))),"-")</f>
        <v>-9.9999999656574801E-4</v>
      </c>
      <c r="S385" s="93">
        <f>IFERROR(IF(Readings[[#This Row],[Reference Angle]]="-","-",(Readings[[#This Row],[Diff E]]*SIN(RADIANS(Readings[[#This Row],[Reference Angle]]))+Readings[[#This Row],[Diff N]]*COS(RADIANS(Readings[[#This Row],[Reference Angle]])))),"-")</f>
        <v>2.9999999678693712E-3</v>
      </c>
      <c r="T385" s="94">
        <f>IFERROR(VLOOKUP(Readings[[#This Row],[Sensor ID]],Table_Baseline[],COLUMNS(Table_Baseline[[#Headers],[Sensor ID]:[Reference Angle '[Deg']]]),FALSE),"-")</f>
        <v>0</v>
      </c>
      <c r="U385" s="95" t="str">
        <f>Readings[[#This Row],[Sensor ID]]&amp;"-"&amp;Readings[[#This Row],[Epoch]]</f>
        <v>250-RL-OP-11022-45789.2638888889</v>
      </c>
      <c r="V385" s="99">
        <f ca="1">IF(Readings[[#This Row],[Epoch]]=OFFSET(Readings[[#This Row],[Epoch]],-1,0),0,1)</f>
        <v>0</v>
      </c>
    </row>
    <row r="386" spans="4:22" x14ac:dyDescent="0.2">
      <c r="D386" s="32">
        <v>45789.263888888891</v>
      </c>
      <c r="E386" s="33" t="s">
        <v>165</v>
      </c>
      <c r="F386" s="34">
        <v>60034.538999999997</v>
      </c>
      <c r="G386" s="34">
        <v>363843.38199999998</v>
      </c>
      <c r="H386" s="34">
        <v>19.332000000000001</v>
      </c>
      <c r="I386" s="33" t="s">
        <v>85</v>
      </c>
      <c r="J386" s="33" t="s">
        <v>90</v>
      </c>
      <c r="K386" s="33">
        <v>14.3</v>
      </c>
      <c r="L386" s="33">
        <v>1020</v>
      </c>
      <c r="M386" s="33">
        <v>92</v>
      </c>
      <c r="N386" s="33"/>
      <c r="O386" s="93" t="str">
        <f>IFERROR(IF(Readings[[#This Row],[Obs. X]]="","-",Readings[[#This Row],[Obs. X]]-_xlfn.XLOOKUP(Readings[[#This Row],[Sensor ID]],Table_Baseline[Sensor ID],Table_Baseline[Easting '[m']],"-")),"-")</f>
        <v>-</v>
      </c>
      <c r="P386" s="93" t="str">
        <f>IFERROR(IF(Readings[[#This Row],[Obs. Y]]="","-",Readings[[#This Row],[Obs. Y]]-_xlfn.XLOOKUP(Readings[[#This Row],[Sensor ID]],Table_Baseline[Sensor ID],Table_Baseline[Northing '[m']],"-")),"-")</f>
        <v>-</v>
      </c>
      <c r="Q386" s="93" t="str">
        <f>IFERROR(IF(Readings[[#This Row],[Obs. Z]]="","-",Readings[[#This Row],[Obs. Z]]-_xlfn.XLOOKUP(Readings[[#This Row],[Sensor ID]],Table_Baseline[Sensor ID],Table_Baseline[Level '[m']],"-")),"-")</f>
        <v>-</v>
      </c>
      <c r="R386" s="93" t="str">
        <f>IFERROR(IF(Readings[[#This Row],[Reference Angle]]="-","-",(Readings[[#This Row],[Diff E]]*COS(RADIANS(Readings[[#This Row],[Reference Angle]]))-Readings[[#This Row],[Diff N]]*SIN(RADIANS(Readings[[#This Row],[Reference Angle]])))),"-")</f>
        <v>-</v>
      </c>
      <c r="S386" s="93" t="str">
        <f>IFERROR(IF(Readings[[#This Row],[Reference Angle]]="-","-",(Readings[[#This Row],[Diff E]]*SIN(RADIANS(Readings[[#This Row],[Reference Angle]]))+Readings[[#This Row],[Diff N]]*COS(RADIANS(Readings[[#This Row],[Reference Angle]])))),"-")</f>
        <v>-</v>
      </c>
      <c r="T386" s="94" t="str">
        <f>IFERROR(VLOOKUP(Readings[[#This Row],[Sensor ID]],Table_Baseline[],COLUMNS(Table_Baseline[[#Headers],[Sensor ID]:[Reference Angle '[Deg']]]),FALSE),"-")</f>
        <v>-</v>
      </c>
      <c r="U386" s="95" t="str">
        <f>Readings[[#This Row],[Sensor ID]]&amp;"-"&amp;Readings[[#This Row],[Epoch]]</f>
        <v>250-ST-OP-500-45789.2638888889</v>
      </c>
      <c r="V386" s="99">
        <f ca="1">IF(Readings[[#This Row],[Epoch]]=OFFSET(Readings[[#This Row],[Epoch]],-1,0),0,1)</f>
        <v>0</v>
      </c>
    </row>
    <row r="387" spans="4:22" x14ac:dyDescent="0.2">
      <c r="D387" s="32">
        <v>45789.263888888891</v>
      </c>
      <c r="E387" s="33" t="s">
        <v>166</v>
      </c>
      <c r="F387" s="34">
        <v>60040.286</v>
      </c>
      <c r="G387" s="34">
        <v>363841.73100000003</v>
      </c>
      <c r="H387" s="34">
        <v>19.321999999999999</v>
      </c>
      <c r="I387" s="33" t="s">
        <v>85</v>
      </c>
      <c r="J387" s="33" t="s">
        <v>90</v>
      </c>
      <c r="K387" s="33">
        <v>14.3</v>
      </c>
      <c r="L387" s="33">
        <v>1020</v>
      </c>
      <c r="M387" s="33">
        <v>92</v>
      </c>
      <c r="N387" s="33"/>
      <c r="O387" s="93" t="str">
        <f>IFERROR(IF(Readings[[#This Row],[Obs. X]]="","-",Readings[[#This Row],[Obs. X]]-_xlfn.XLOOKUP(Readings[[#This Row],[Sensor ID]],Table_Baseline[Sensor ID],Table_Baseline[Easting '[m']],"-")),"-")</f>
        <v>-</v>
      </c>
      <c r="P387" s="93" t="str">
        <f>IFERROR(IF(Readings[[#This Row],[Obs. Y]]="","-",Readings[[#This Row],[Obs. Y]]-_xlfn.XLOOKUP(Readings[[#This Row],[Sensor ID]],Table_Baseline[Sensor ID],Table_Baseline[Northing '[m']],"-")),"-")</f>
        <v>-</v>
      </c>
      <c r="Q387" s="93" t="str">
        <f>IFERROR(IF(Readings[[#This Row],[Obs. Z]]="","-",Readings[[#This Row],[Obs. Z]]-_xlfn.XLOOKUP(Readings[[#This Row],[Sensor ID]],Table_Baseline[Sensor ID],Table_Baseline[Level '[m']],"-")),"-")</f>
        <v>-</v>
      </c>
      <c r="R387" s="93" t="str">
        <f>IFERROR(IF(Readings[[#This Row],[Reference Angle]]="-","-",(Readings[[#This Row],[Diff E]]*COS(RADIANS(Readings[[#This Row],[Reference Angle]]))-Readings[[#This Row],[Diff N]]*SIN(RADIANS(Readings[[#This Row],[Reference Angle]])))),"-")</f>
        <v>-</v>
      </c>
      <c r="S387" s="93" t="str">
        <f>IFERROR(IF(Readings[[#This Row],[Reference Angle]]="-","-",(Readings[[#This Row],[Diff E]]*SIN(RADIANS(Readings[[#This Row],[Reference Angle]]))+Readings[[#This Row],[Diff N]]*COS(RADIANS(Readings[[#This Row],[Reference Angle]])))),"-")</f>
        <v>-</v>
      </c>
      <c r="T387" s="94" t="str">
        <f>IFERROR(VLOOKUP(Readings[[#This Row],[Sensor ID]],Table_Baseline[],COLUMNS(Table_Baseline[[#Headers],[Sensor ID]:[Reference Angle '[Deg']]]),FALSE),"-")</f>
        <v>-</v>
      </c>
      <c r="U387" s="95" t="str">
        <f>Readings[[#This Row],[Sensor ID]]&amp;"-"&amp;Readings[[#This Row],[Epoch]]</f>
        <v>250-ST-OP-501-45789.2638888889</v>
      </c>
      <c r="V387" s="99">
        <f ca="1">IF(Readings[[#This Row],[Epoch]]=OFFSET(Readings[[#This Row],[Epoch]],-1,0),0,1)</f>
        <v>0</v>
      </c>
    </row>
    <row r="388" spans="4:22" x14ac:dyDescent="0.2">
      <c r="D388" s="32">
        <v>45789.263888888891</v>
      </c>
      <c r="E388" s="33" t="s">
        <v>167</v>
      </c>
      <c r="F388" s="34">
        <v>60045.921000000002</v>
      </c>
      <c r="G388" s="34">
        <v>363840.10100000002</v>
      </c>
      <c r="H388" s="34">
        <v>19.334</v>
      </c>
      <c r="I388" s="33" t="s">
        <v>85</v>
      </c>
      <c r="J388" s="33" t="s">
        <v>90</v>
      </c>
      <c r="K388" s="33">
        <v>14.3</v>
      </c>
      <c r="L388" s="33">
        <v>1020</v>
      </c>
      <c r="M388" s="33">
        <v>92</v>
      </c>
      <c r="N388" s="33"/>
      <c r="O388" s="93" t="str">
        <f>IFERROR(IF(Readings[[#This Row],[Obs. X]]="","-",Readings[[#This Row],[Obs. X]]-_xlfn.XLOOKUP(Readings[[#This Row],[Sensor ID]],Table_Baseline[Sensor ID],Table_Baseline[Easting '[m']],"-")),"-")</f>
        <v>-</v>
      </c>
      <c r="P388" s="93" t="str">
        <f>IFERROR(IF(Readings[[#This Row],[Obs. Y]]="","-",Readings[[#This Row],[Obs. Y]]-_xlfn.XLOOKUP(Readings[[#This Row],[Sensor ID]],Table_Baseline[Sensor ID],Table_Baseline[Northing '[m']],"-")),"-")</f>
        <v>-</v>
      </c>
      <c r="Q388" s="93" t="str">
        <f>IFERROR(IF(Readings[[#This Row],[Obs. Z]]="","-",Readings[[#This Row],[Obs. Z]]-_xlfn.XLOOKUP(Readings[[#This Row],[Sensor ID]],Table_Baseline[Sensor ID],Table_Baseline[Level '[m']],"-")),"-")</f>
        <v>-</v>
      </c>
      <c r="R388" s="93" t="str">
        <f>IFERROR(IF(Readings[[#This Row],[Reference Angle]]="-","-",(Readings[[#This Row],[Diff E]]*COS(RADIANS(Readings[[#This Row],[Reference Angle]]))-Readings[[#This Row],[Diff N]]*SIN(RADIANS(Readings[[#This Row],[Reference Angle]])))),"-")</f>
        <v>-</v>
      </c>
      <c r="S388" s="93" t="str">
        <f>IFERROR(IF(Readings[[#This Row],[Reference Angle]]="-","-",(Readings[[#This Row],[Diff E]]*SIN(RADIANS(Readings[[#This Row],[Reference Angle]]))+Readings[[#This Row],[Diff N]]*COS(RADIANS(Readings[[#This Row],[Reference Angle]])))),"-")</f>
        <v>-</v>
      </c>
      <c r="T388" s="94" t="str">
        <f>IFERROR(VLOOKUP(Readings[[#This Row],[Sensor ID]],Table_Baseline[],COLUMNS(Table_Baseline[[#Headers],[Sensor ID]:[Reference Angle '[Deg']]]),FALSE),"-")</f>
        <v>-</v>
      </c>
      <c r="U388" s="95" t="str">
        <f>Readings[[#This Row],[Sensor ID]]&amp;"-"&amp;Readings[[#This Row],[Epoch]]</f>
        <v>250-ST-OP-502-45789.2638888889</v>
      </c>
      <c r="V388" s="99">
        <f ca="1">IF(Readings[[#This Row],[Epoch]]=OFFSET(Readings[[#This Row],[Epoch]],-1,0),0,1)</f>
        <v>0</v>
      </c>
    </row>
    <row r="389" spans="4:22" x14ac:dyDescent="0.2">
      <c r="D389" s="32">
        <v>45789.263888888891</v>
      </c>
      <c r="E389" s="33" t="s">
        <v>168</v>
      </c>
      <c r="F389" s="34">
        <v>60049.767</v>
      </c>
      <c r="G389" s="34">
        <v>363838.99400000001</v>
      </c>
      <c r="H389" s="34">
        <v>19.344999999999999</v>
      </c>
      <c r="I389" s="33" t="s">
        <v>85</v>
      </c>
      <c r="J389" s="33" t="s">
        <v>90</v>
      </c>
      <c r="K389" s="33">
        <v>14.3</v>
      </c>
      <c r="L389" s="33">
        <v>1020</v>
      </c>
      <c r="M389" s="33">
        <v>92</v>
      </c>
      <c r="N389" s="33"/>
      <c r="O389" s="93" t="str">
        <f>IFERROR(IF(Readings[[#This Row],[Obs. X]]="","-",Readings[[#This Row],[Obs. X]]-_xlfn.XLOOKUP(Readings[[#This Row],[Sensor ID]],Table_Baseline[Sensor ID],Table_Baseline[Easting '[m']],"-")),"-")</f>
        <v>-</v>
      </c>
      <c r="P389" s="93" t="str">
        <f>IFERROR(IF(Readings[[#This Row],[Obs. Y]]="","-",Readings[[#This Row],[Obs. Y]]-_xlfn.XLOOKUP(Readings[[#This Row],[Sensor ID]],Table_Baseline[Sensor ID],Table_Baseline[Northing '[m']],"-")),"-")</f>
        <v>-</v>
      </c>
      <c r="Q389" s="93" t="str">
        <f>IFERROR(IF(Readings[[#This Row],[Obs. Z]]="","-",Readings[[#This Row],[Obs. Z]]-_xlfn.XLOOKUP(Readings[[#This Row],[Sensor ID]],Table_Baseline[Sensor ID],Table_Baseline[Level '[m']],"-")),"-")</f>
        <v>-</v>
      </c>
      <c r="R389" s="93" t="str">
        <f>IFERROR(IF(Readings[[#This Row],[Reference Angle]]="-","-",(Readings[[#This Row],[Diff E]]*COS(RADIANS(Readings[[#This Row],[Reference Angle]]))-Readings[[#This Row],[Diff N]]*SIN(RADIANS(Readings[[#This Row],[Reference Angle]])))),"-")</f>
        <v>-</v>
      </c>
      <c r="S389" s="93" t="str">
        <f>IFERROR(IF(Readings[[#This Row],[Reference Angle]]="-","-",(Readings[[#This Row],[Diff E]]*SIN(RADIANS(Readings[[#This Row],[Reference Angle]]))+Readings[[#This Row],[Diff N]]*COS(RADIANS(Readings[[#This Row],[Reference Angle]])))),"-")</f>
        <v>-</v>
      </c>
      <c r="T389" s="94" t="str">
        <f>IFERROR(VLOOKUP(Readings[[#This Row],[Sensor ID]],Table_Baseline[],COLUMNS(Table_Baseline[[#Headers],[Sensor ID]:[Reference Angle '[Deg']]]),FALSE),"-")</f>
        <v>-</v>
      </c>
      <c r="U389" s="95" t="str">
        <f>Readings[[#This Row],[Sensor ID]]&amp;"-"&amp;Readings[[#This Row],[Epoch]]</f>
        <v>250-ST-OP-503-45789.2638888889</v>
      </c>
      <c r="V389" s="99">
        <f ca="1">IF(Readings[[#This Row],[Epoch]]=OFFSET(Readings[[#This Row],[Epoch]],-1,0),0,1)</f>
        <v>0</v>
      </c>
    </row>
    <row r="390" spans="4:22" x14ac:dyDescent="0.2">
      <c r="D390" s="32">
        <v>45789.263888888891</v>
      </c>
      <c r="E390" s="33" t="s">
        <v>169</v>
      </c>
      <c r="F390" s="34">
        <v>60053.608999999997</v>
      </c>
      <c r="G390" s="34">
        <v>363837.88300000003</v>
      </c>
      <c r="H390" s="34">
        <v>19.356999999999999</v>
      </c>
      <c r="I390" s="33" t="s">
        <v>85</v>
      </c>
      <c r="J390" s="33" t="s">
        <v>90</v>
      </c>
      <c r="K390" s="33">
        <v>14.3</v>
      </c>
      <c r="L390" s="33">
        <v>1020</v>
      </c>
      <c r="M390" s="33">
        <v>92</v>
      </c>
      <c r="N390" s="33"/>
      <c r="O390" s="93" t="str">
        <f>IFERROR(IF(Readings[[#This Row],[Obs. X]]="","-",Readings[[#This Row],[Obs. X]]-_xlfn.XLOOKUP(Readings[[#This Row],[Sensor ID]],Table_Baseline[Sensor ID],Table_Baseline[Easting '[m']],"-")),"-")</f>
        <v>-</v>
      </c>
      <c r="P390" s="93" t="str">
        <f>IFERROR(IF(Readings[[#This Row],[Obs. Y]]="","-",Readings[[#This Row],[Obs. Y]]-_xlfn.XLOOKUP(Readings[[#This Row],[Sensor ID]],Table_Baseline[Sensor ID],Table_Baseline[Northing '[m']],"-")),"-")</f>
        <v>-</v>
      </c>
      <c r="Q390" s="93" t="str">
        <f>IFERROR(IF(Readings[[#This Row],[Obs. Z]]="","-",Readings[[#This Row],[Obs. Z]]-_xlfn.XLOOKUP(Readings[[#This Row],[Sensor ID]],Table_Baseline[Sensor ID],Table_Baseline[Level '[m']],"-")),"-")</f>
        <v>-</v>
      </c>
      <c r="R390" s="93" t="str">
        <f>IFERROR(IF(Readings[[#This Row],[Reference Angle]]="-","-",(Readings[[#This Row],[Diff E]]*COS(RADIANS(Readings[[#This Row],[Reference Angle]]))-Readings[[#This Row],[Diff N]]*SIN(RADIANS(Readings[[#This Row],[Reference Angle]])))),"-")</f>
        <v>-</v>
      </c>
      <c r="S390" s="93" t="str">
        <f>IFERROR(IF(Readings[[#This Row],[Reference Angle]]="-","-",(Readings[[#This Row],[Diff E]]*SIN(RADIANS(Readings[[#This Row],[Reference Angle]]))+Readings[[#This Row],[Diff N]]*COS(RADIANS(Readings[[#This Row],[Reference Angle]])))),"-")</f>
        <v>-</v>
      </c>
      <c r="T390" s="94" t="str">
        <f>IFERROR(VLOOKUP(Readings[[#This Row],[Sensor ID]],Table_Baseline[],COLUMNS(Table_Baseline[[#Headers],[Sensor ID]:[Reference Angle '[Deg']]]),FALSE),"-")</f>
        <v>-</v>
      </c>
      <c r="U390" s="95" t="str">
        <f>Readings[[#This Row],[Sensor ID]]&amp;"-"&amp;Readings[[#This Row],[Epoch]]</f>
        <v>250-ST-OP-504-45789.2638888889</v>
      </c>
      <c r="V390" s="99">
        <f ca="1">IF(Readings[[#This Row],[Epoch]]=OFFSET(Readings[[#This Row],[Epoch]],-1,0),0,1)</f>
        <v>0</v>
      </c>
    </row>
    <row r="391" spans="4:22" x14ac:dyDescent="0.2">
      <c r="D391" s="204">
        <v>45789.263888888891</v>
      </c>
      <c r="E391" s="151" t="s">
        <v>170</v>
      </c>
      <c r="F391" s="152">
        <v>60060.065000000002</v>
      </c>
      <c r="G391" s="152">
        <v>363836.02399999998</v>
      </c>
      <c r="H391" s="152">
        <v>19.356999999999999</v>
      </c>
      <c r="I391" s="151" t="s">
        <v>85</v>
      </c>
      <c r="J391" s="151" t="s">
        <v>90</v>
      </c>
      <c r="K391" s="151">
        <v>14.3</v>
      </c>
      <c r="L391" s="151">
        <v>1020</v>
      </c>
      <c r="M391" s="151">
        <v>92</v>
      </c>
      <c r="N391" s="151"/>
      <c r="O391" s="96" t="str">
        <f>IFERROR(IF(Readings[[#This Row],[Obs. X]]="","-",Readings[[#This Row],[Obs. X]]-_xlfn.XLOOKUP(Readings[[#This Row],[Sensor ID]],Table_Baseline[Sensor ID],Table_Baseline[Easting '[m']],"-")),"-")</f>
        <v>-</v>
      </c>
      <c r="P391" s="96" t="str">
        <f>IFERROR(IF(Readings[[#This Row],[Obs. Y]]="","-",Readings[[#This Row],[Obs. Y]]-_xlfn.XLOOKUP(Readings[[#This Row],[Sensor ID]],Table_Baseline[Sensor ID],Table_Baseline[Northing '[m']],"-")),"-")</f>
        <v>-</v>
      </c>
      <c r="Q391" s="96" t="str">
        <f>IFERROR(IF(Readings[[#This Row],[Obs. Z]]="","-",Readings[[#This Row],[Obs. Z]]-_xlfn.XLOOKUP(Readings[[#This Row],[Sensor ID]],Table_Baseline[Sensor ID],Table_Baseline[Level '[m']],"-")),"-")</f>
        <v>-</v>
      </c>
      <c r="R391" s="96" t="str">
        <f>IFERROR(IF(Readings[[#This Row],[Reference Angle]]="-","-",(Readings[[#This Row],[Diff E]]*COS(RADIANS(Readings[[#This Row],[Reference Angle]]))-Readings[[#This Row],[Diff N]]*SIN(RADIANS(Readings[[#This Row],[Reference Angle]])))),"-")</f>
        <v>-</v>
      </c>
      <c r="S391" s="96" t="str">
        <f>IFERROR(IF(Readings[[#This Row],[Reference Angle]]="-","-",(Readings[[#This Row],[Diff E]]*SIN(RADIANS(Readings[[#This Row],[Reference Angle]]))+Readings[[#This Row],[Diff N]]*COS(RADIANS(Readings[[#This Row],[Reference Angle]])))),"-")</f>
        <v>-</v>
      </c>
      <c r="T391" s="97" t="str">
        <f>IFERROR(VLOOKUP(Readings[[#This Row],[Sensor ID]],Table_Baseline[],COLUMNS(Table_Baseline[[#Headers],[Sensor ID]:[Reference Angle '[Deg']]]),FALSE),"-")</f>
        <v>-</v>
      </c>
      <c r="U391" s="98" t="str">
        <f>Readings[[#This Row],[Sensor ID]]&amp;"-"&amp;Readings[[#This Row],[Epoch]]</f>
        <v>250-ST-OP-505-45789.2638888889</v>
      </c>
      <c r="V391" s="100">
        <f ca="1">IF(Readings[[#This Row],[Epoch]]=OFFSET(Readings[[#This Row],[Epoch]],-1,0),0,1)</f>
        <v>0</v>
      </c>
    </row>
    <row r="392" spans="4:22" x14ac:dyDescent="0.2">
      <c r="D392" s="32">
        <v>45790.270833333336</v>
      </c>
      <c r="E392" s="33" t="s">
        <v>172</v>
      </c>
      <c r="F392" s="34">
        <v>60035.339</v>
      </c>
      <c r="G392" s="34">
        <v>363845.73800000001</v>
      </c>
      <c r="H392" s="34">
        <v>18.783000000000001</v>
      </c>
      <c r="I392" s="33" t="s">
        <v>85</v>
      </c>
      <c r="J392" s="33" t="s">
        <v>90</v>
      </c>
      <c r="K392" s="33">
        <v>14.3</v>
      </c>
      <c r="L392" s="33">
        <v>1020</v>
      </c>
      <c r="M392" s="33">
        <v>92</v>
      </c>
      <c r="N392" s="33"/>
      <c r="O392" s="93">
        <f>IFERROR(IF(Readings[[#This Row],[Obs. X]]="","-",Readings[[#This Row],[Obs. X]]-_xlfn.XLOOKUP(Readings[[#This Row],[Sensor ID]],Table_Baseline[Sensor ID],Table_Baseline[Easting '[m']],"-")),"-")</f>
        <v>-9.9999999656574801E-4</v>
      </c>
      <c r="P392" s="93">
        <f>IFERROR(IF(Readings[[#This Row],[Obs. Y]]="","-",Readings[[#This Row],[Obs. Y]]-_xlfn.XLOOKUP(Readings[[#This Row],[Sensor ID]],Table_Baseline[Sensor ID],Table_Baseline[Northing '[m']],"-")),"-")</f>
        <v>-9.9999998928979039E-4</v>
      </c>
      <c r="Q392" s="93">
        <f>IFERROR(IF(Readings[[#This Row],[Obs. Z]]="","-",Readings[[#This Row],[Obs. Z]]-_xlfn.XLOOKUP(Readings[[#This Row],[Sensor ID]],Table_Baseline[Sensor ID],Table_Baseline[Level '[m']],"-")),"-")</f>
        <v>1.0000000000012221E-3</v>
      </c>
      <c r="R392" s="93">
        <f>IFERROR(IF(Readings[[#This Row],[Reference Angle]]="-","-",(Readings[[#This Row],[Diff E]]*COS(RADIANS(Readings[[#This Row],[Reference Angle]]))-Readings[[#This Row],[Diff N]]*SIN(RADIANS(Readings[[#This Row],[Reference Angle]])))),"-")</f>
        <v>-9.9999999656574801E-4</v>
      </c>
      <c r="S392" s="93">
        <f>IFERROR(IF(Readings[[#This Row],[Reference Angle]]="-","-",(Readings[[#This Row],[Diff E]]*SIN(RADIANS(Readings[[#This Row],[Reference Angle]]))+Readings[[#This Row],[Diff N]]*COS(RADIANS(Readings[[#This Row],[Reference Angle]])))),"-")</f>
        <v>-9.9999998928979039E-4</v>
      </c>
      <c r="T392" s="94">
        <f>IFERROR(VLOOKUP(Readings[[#This Row],[Sensor ID]],Table_Baseline[],COLUMNS(Table_Baseline[[#Headers],[Sensor ID]:[Reference Angle '[Deg']]]),FALSE),"-")</f>
        <v>0</v>
      </c>
      <c r="U392" s="95" t="str">
        <f>Readings[[#This Row],[Sensor ID]]&amp;"-"&amp;Readings[[#This Row],[Epoch]]</f>
        <v>250-RL-OP-11001-45790.2708333333</v>
      </c>
      <c r="V392" s="99">
        <f ca="1">IF(Readings[[#This Row],[Epoch]]=OFFSET(Readings[[#This Row],[Epoch]],-1,0),0,1)</f>
        <v>1</v>
      </c>
    </row>
    <row r="393" spans="4:22" x14ac:dyDescent="0.2">
      <c r="D393" s="32">
        <v>45790.270833333336</v>
      </c>
      <c r="E393" s="33" t="s">
        <v>171</v>
      </c>
      <c r="F393" s="34">
        <v>60034.957999999999</v>
      </c>
      <c r="G393" s="34">
        <v>363844.47100000002</v>
      </c>
      <c r="H393" s="34">
        <v>18.777999999999999</v>
      </c>
      <c r="I393" s="33" t="s">
        <v>85</v>
      </c>
      <c r="J393" s="33" t="s">
        <v>90</v>
      </c>
      <c r="K393" s="33">
        <v>14.3</v>
      </c>
      <c r="L393" s="33">
        <v>1020</v>
      </c>
      <c r="M393" s="33">
        <v>92</v>
      </c>
      <c r="N393" s="33"/>
      <c r="O393" s="93">
        <f>IFERROR(IF(Readings[[#This Row],[Obs. X]]="","-",Readings[[#This Row],[Obs. X]]-_xlfn.XLOOKUP(Readings[[#This Row],[Sensor ID]],Table_Baseline[Sensor ID],Table_Baseline[Easting '[m']],"-")),"-")</f>
        <v>-1.0000000038417056E-3</v>
      </c>
      <c r="P393" s="93">
        <f>IFERROR(IF(Readings[[#This Row],[Obs. Y]]="","-",Readings[[#This Row],[Obs. Y]]-_xlfn.XLOOKUP(Readings[[#This Row],[Sensor ID]],Table_Baseline[Sensor ID],Table_Baseline[Northing '[m']],"-")),"-")</f>
        <v>0</v>
      </c>
      <c r="Q393" s="93">
        <f>IFERROR(IF(Readings[[#This Row],[Obs. Z]]="","-",Readings[[#This Row],[Obs. Z]]-_xlfn.XLOOKUP(Readings[[#This Row],[Sensor ID]],Table_Baseline[Sensor ID],Table_Baseline[Level '[m']],"-")),"-")</f>
        <v>-9.9999999999766942E-5</v>
      </c>
      <c r="R393" s="93">
        <f>IFERROR(IF(Readings[[#This Row],[Reference Angle]]="-","-",(Readings[[#This Row],[Diff E]]*COS(RADIANS(Readings[[#This Row],[Reference Angle]]))-Readings[[#This Row],[Diff N]]*SIN(RADIANS(Readings[[#This Row],[Reference Angle]])))),"-")</f>
        <v>-1.0000000038417056E-3</v>
      </c>
      <c r="S393" s="93">
        <f>IFERROR(IF(Readings[[#This Row],[Reference Angle]]="-","-",(Readings[[#This Row],[Diff E]]*SIN(RADIANS(Readings[[#This Row],[Reference Angle]]))+Readings[[#This Row],[Diff N]]*COS(RADIANS(Readings[[#This Row],[Reference Angle]])))),"-")</f>
        <v>0</v>
      </c>
      <c r="T393" s="94">
        <f>IFERROR(VLOOKUP(Readings[[#This Row],[Sensor ID]],Table_Baseline[],COLUMNS(Table_Baseline[[#Headers],[Sensor ID]:[Reference Angle '[Deg']]]),FALSE),"-")</f>
        <v>0</v>
      </c>
      <c r="U393" s="95" t="str">
        <f>Readings[[#This Row],[Sensor ID]]&amp;"-"&amp;Readings[[#This Row],[Epoch]]</f>
        <v>250-RL-OP-11002-45790.2708333333</v>
      </c>
      <c r="V393" s="99">
        <f ca="1">IF(Readings[[#This Row],[Epoch]]=OFFSET(Readings[[#This Row],[Epoch]],-1,0),0,1)</f>
        <v>0</v>
      </c>
    </row>
    <row r="394" spans="4:22" x14ac:dyDescent="0.2">
      <c r="D394" s="32">
        <v>45790.270833333336</v>
      </c>
      <c r="E394" s="33" t="s">
        <v>174</v>
      </c>
      <c r="F394" s="34">
        <v>60038.116999999998</v>
      </c>
      <c r="G394" s="34">
        <v>363844.94500000001</v>
      </c>
      <c r="H394" s="34">
        <v>18.779</v>
      </c>
      <c r="I394" s="33" t="s">
        <v>85</v>
      </c>
      <c r="J394" s="33" t="s">
        <v>90</v>
      </c>
      <c r="K394" s="33">
        <v>14.3</v>
      </c>
      <c r="L394" s="33">
        <v>1020</v>
      </c>
      <c r="M394" s="33">
        <v>92</v>
      </c>
      <c r="N394" s="33"/>
      <c r="O394" s="93">
        <f>IFERROR(IF(Readings[[#This Row],[Obs. X]]="","-",Readings[[#This Row],[Obs. X]]-_xlfn.XLOOKUP(Readings[[#This Row],[Sensor ID]],Table_Baseline[Sensor ID],Table_Baseline[Easting '[m']],"-")),"-")</f>
        <v>-1.0000000038417056E-3</v>
      </c>
      <c r="P394" s="93">
        <f>IFERROR(IF(Readings[[#This Row],[Obs. Y]]="","-",Readings[[#This Row],[Obs. Y]]-_xlfn.XLOOKUP(Readings[[#This Row],[Sensor ID]],Table_Baseline[Sensor ID],Table_Baseline[Northing '[m']],"-")),"-")</f>
        <v>0</v>
      </c>
      <c r="Q394" s="93">
        <f>IFERROR(IF(Readings[[#This Row],[Obs. Z]]="","-",Readings[[#This Row],[Obs. Z]]-_xlfn.XLOOKUP(Readings[[#This Row],[Sensor ID]],Table_Baseline[Sensor ID],Table_Baseline[Level '[m']],"-")),"-")</f>
        <v>1.9999999999953388E-4</v>
      </c>
      <c r="R394" s="93">
        <f>IFERROR(IF(Readings[[#This Row],[Reference Angle]]="-","-",(Readings[[#This Row],[Diff E]]*COS(RADIANS(Readings[[#This Row],[Reference Angle]]))-Readings[[#This Row],[Diff N]]*SIN(RADIANS(Readings[[#This Row],[Reference Angle]])))),"-")</f>
        <v>-1.0000000038417056E-3</v>
      </c>
      <c r="S394" s="93">
        <f>IFERROR(IF(Readings[[#This Row],[Reference Angle]]="-","-",(Readings[[#This Row],[Diff E]]*SIN(RADIANS(Readings[[#This Row],[Reference Angle]]))+Readings[[#This Row],[Diff N]]*COS(RADIANS(Readings[[#This Row],[Reference Angle]])))),"-")</f>
        <v>0</v>
      </c>
      <c r="T394" s="94">
        <f>IFERROR(VLOOKUP(Readings[[#This Row],[Sensor ID]],Table_Baseline[],COLUMNS(Table_Baseline[[#Headers],[Sensor ID]:[Reference Angle '[Deg']]]),FALSE),"-")</f>
        <v>0</v>
      </c>
      <c r="U394" s="95" t="str">
        <f>Readings[[#This Row],[Sensor ID]]&amp;"-"&amp;Readings[[#This Row],[Epoch]]</f>
        <v>250-RL-OP-11003-45790.2708333333</v>
      </c>
      <c r="V394" s="99">
        <f ca="1">IF(Readings[[#This Row],[Epoch]]=OFFSET(Readings[[#This Row],[Epoch]],-1,0),0,1)</f>
        <v>0</v>
      </c>
    </row>
    <row r="395" spans="4:22" x14ac:dyDescent="0.2">
      <c r="D395" s="32">
        <v>45790.270833333336</v>
      </c>
      <c r="E395" s="33" t="s">
        <v>173</v>
      </c>
      <c r="F395" s="34">
        <v>60037.803999999996</v>
      </c>
      <c r="G395" s="34">
        <v>363843.65700000001</v>
      </c>
      <c r="H395" s="34">
        <v>18.779</v>
      </c>
      <c r="I395" s="33" t="s">
        <v>85</v>
      </c>
      <c r="J395" s="33" t="s">
        <v>90</v>
      </c>
      <c r="K395" s="33">
        <v>14.3</v>
      </c>
      <c r="L395" s="33">
        <v>1020</v>
      </c>
      <c r="M395" s="33">
        <v>92</v>
      </c>
      <c r="N395" s="33"/>
      <c r="O395" s="93">
        <f>IFERROR(IF(Readings[[#This Row],[Obs. X]]="","-",Readings[[#This Row],[Obs. X]]-_xlfn.XLOOKUP(Readings[[#This Row],[Sensor ID]],Table_Baseline[Sensor ID],Table_Baseline[Easting '[m']],"-")),"-")</f>
        <v>-1.0000000038417056E-3</v>
      </c>
      <c r="P395" s="93">
        <f>IFERROR(IF(Readings[[#This Row],[Obs. Y]]="","-",Readings[[#This Row],[Obs. Y]]-_xlfn.XLOOKUP(Readings[[#This Row],[Sensor ID]],Table_Baseline[Sensor ID],Table_Baseline[Northing '[m']],"-")),"-")</f>
        <v>0</v>
      </c>
      <c r="Q395" s="93">
        <f>IFERROR(IF(Readings[[#This Row],[Obs. Z]]="","-",Readings[[#This Row],[Obs. Z]]-_xlfn.XLOOKUP(Readings[[#This Row],[Sensor ID]],Table_Baseline[Sensor ID],Table_Baseline[Level '[m']],"-")),"-")</f>
        <v>4.9999999999883471E-4</v>
      </c>
      <c r="R395" s="93">
        <f>IFERROR(IF(Readings[[#This Row],[Reference Angle]]="-","-",(Readings[[#This Row],[Diff E]]*COS(RADIANS(Readings[[#This Row],[Reference Angle]]))-Readings[[#This Row],[Diff N]]*SIN(RADIANS(Readings[[#This Row],[Reference Angle]])))),"-")</f>
        <v>-1.0000000038417056E-3</v>
      </c>
      <c r="S395" s="93">
        <f>IFERROR(IF(Readings[[#This Row],[Reference Angle]]="-","-",(Readings[[#This Row],[Diff E]]*SIN(RADIANS(Readings[[#This Row],[Reference Angle]]))+Readings[[#This Row],[Diff N]]*COS(RADIANS(Readings[[#This Row],[Reference Angle]])))),"-")</f>
        <v>0</v>
      </c>
      <c r="T395" s="94">
        <f>IFERROR(VLOOKUP(Readings[[#This Row],[Sensor ID]],Table_Baseline[],COLUMNS(Table_Baseline[[#Headers],[Sensor ID]:[Reference Angle '[Deg']]]),FALSE),"-")</f>
        <v>0</v>
      </c>
      <c r="U395" s="95" t="str">
        <f>Readings[[#This Row],[Sensor ID]]&amp;"-"&amp;Readings[[#This Row],[Epoch]]</f>
        <v>250-RL-OP-11004-45790.2708333333</v>
      </c>
      <c r="V395" s="99">
        <f ca="1">IF(Readings[[#This Row],[Epoch]]=OFFSET(Readings[[#This Row],[Epoch]],-1,0),0,1)</f>
        <v>0</v>
      </c>
    </row>
    <row r="396" spans="4:22" x14ac:dyDescent="0.2">
      <c r="D396" s="32">
        <v>45790.270833333336</v>
      </c>
      <c r="E396" s="33" t="s">
        <v>176</v>
      </c>
      <c r="F396" s="34">
        <v>60040.968000000001</v>
      </c>
      <c r="G396" s="34">
        <v>363844.11800000002</v>
      </c>
      <c r="H396" s="34">
        <v>18.779</v>
      </c>
      <c r="I396" s="33" t="s">
        <v>85</v>
      </c>
      <c r="J396" s="33" t="s">
        <v>90</v>
      </c>
      <c r="K396" s="33">
        <v>14.3</v>
      </c>
      <c r="L396" s="33">
        <v>1020</v>
      </c>
      <c r="M396" s="33">
        <v>92</v>
      </c>
      <c r="N396" s="33"/>
      <c r="O396" s="93">
        <f>IFERROR(IF(Readings[[#This Row],[Obs. X]]="","-",Readings[[#This Row],[Obs. X]]-_xlfn.XLOOKUP(Readings[[#This Row],[Sensor ID]],Table_Baseline[Sensor ID],Table_Baseline[Easting '[m']],"-")),"-")</f>
        <v>-9.9999999656574801E-4</v>
      </c>
      <c r="P396" s="93">
        <f>IFERROR(IF(Readings[[#This Row],[Obs. Y]]="","-",Readings[[#This Row],[Obs. Y]]-_xlfn.XLOOKUP(Readings[[#This Row],[Sensor ID]],Table_Baseline[Sensor ID],Table_Baseline[Northing '[m']],"-")),"-")</f>
        <v>0</v>
      </c>
      <c r="Q396" s="93">
        <f>IFERROR(IF(Readings[[#This Row],[Obs. Z]]="","-",Readings[[#This Row],[Obs. Z]]-_xlfn.XLOOKUP(Readings[[#This Row],[Sensor ID]],Table_Baseline[Sensor ID],Table_Baseline[Level '[m']],"-")),"-")</f>
        <v>0</v>
      </c>
      <c r="R396" s="93">
        <f>IFERROR(IF(Readings[[#This Row],[Reference Angle]]="-","-",(Readings[[#This Row],[Diff E]]*COS(RADIANS(Readings[[#This Row],[Reference Angle]]))-Readings[[#This Row],[Diff N]]*SIN(RADIANS(Readings[[#This Row],[Reference Angle]])))),"-")</f>
        <v>-9.9999999656574801E-4</v>
      </c>
      <c r="S396" s="93">
        <f>IFERROR(IF(Readings[[#This Row],[Reference Angle]]="-","-",(Readings[[#This Row],[Diff E]]*SIN(RADIANS(Readings[[#This Row],[Reference Angle]]))+Readings[[#This Row],[Diff N]]*COS(RADIANS(Readings[[#This Row],[Reference Angle]])))),"-")</f>
        <v>0</v>
      </c>
      <c r="T396" s="94">
        <f>IFERROR(VLOOKUP(Readings[[#This Row],[Sensor ID]],Table_Baseline[],COLUMNS(Table_Baseline[[#Headers],[Sensor ID]:[Reference Angle '[Deg']]]),FALSE),"-")</f>
        <v>0</v>
      </c>
      <c r="U396" s="95" t="str">
        <f>Readings[[#This Row],[Sensor ID]]&amp;"-"&amp;Readings[[#This Row],[Epoch]]</f>
        <v>250-RL-OP-11005-45790.2708333333</v>
      </c>
      <c r="V396" s="99">
        <f ca="1">IF(Readings[[#This Row],[Epoch]]=OFFSET(Readings[[#This Row],[Epoch]],-1,0),0,1)</f>
        <v>0</v>
      </c>
    </row>
    <row r="397" spans="4:22" x14ac:dyDescent="0.2">
      <c r="D397" s="32">
        <v>45790.270833333336</v>
      </c>
      <c r="E397" s="33" t="s">
        <v>175</v>
      </c>
      <c r="F397" s="34">
        <v>60040.606</v>
      </c>
      <c r="G397" s="34">
        <v>363842.86199999996</v>
      </c>
      <c r="H397" s="34">
        <v>18.771999999999998</v>
      </c>
      <c r="I397" s="33" t="s">
        <v>85</v>
      </c>
      <c r="J397" s="33" t="s">
        <v>90</v>
      </c>
      <c r="K397" s="33">
        <v>14.3</v>
      </c>
      <c r="L397" s="33">
        <v>1020</v>
      </c>
      <c r="M397" s="33">
        <v>92</v>
      </c>
      <c r="N397" s="33"/>
      <c r="O397" s="93">
        <f>IFERROR(IF(Readings[[#This Row],[Obs. X]]="","-",Readings[[#This Row],[Obs. X]]-_xlfn.XLOOKUP(Readings[[#This Row],[Sensor ID]],Table_Baseline[Sensor ID],Table_Baseline[Easting '[m']],"-")),"-")</f>
        <v>-1.0000000038417056E-3</v>
      </c>
      <c r="P397" s="93">
        <f>IFERROR(IF(Readings[[#This Row],[Obs. Y]]="","-",Readings[[#This Row],[Obs. Y]]-_xlfn.XLOOKUP(Readings[[#This Row],[Sensor ID]],Table_Baseline[Sensor ID],Table_Baseline[Northing '[m']],"-")),"-")</f>
        <v>9.9999993108212948E-4</v>
      </c>
      <c r="Q397" s="93">
        <f>IFERROR(IF(Readings[[#This Row],[Obs. Z]]="","-",Readings[[#This Row],[Obs. Z]]-_xlfn.XLOOKUP(Readings[[#This Row],[Sensor ID]],Table_Baseline[Sensor ID],Table_Baseline[Level '[m']],"-")),"-")</f>
        <v>0</v>
      </c>
      <c r="R397" s="93">
        <f>IFERROR(IF(Readings[[#This Row],[Reference Angle]]="-","-",(Readings[[#This Row],[Diff E]]*COS(RADIANS(Readings[[#This Row],[Reference Angle]]))-Readings[[#This Row],[Diff N]]*SIN(RADIANS(Readings[[#This Row],[Reference Angle]])))),"-")</f>
        <v>-1.0000000038417056E-3</v>
      </c>
      <c r="S397" s="93">
        <f>IFERROR(IF(Readings[[#This Row],[Reference Angle]]="-","-",(Readings[[#This Row],[Diff E]]*SIN(RADIANS(Readings[[#This Row],[Reference Angle]]))+Readings[[#This Row],[Diff N]]*COS(RADIANS(Readings[[#This Row],[Reference Angle]])))),"-")</f>
        <v>9.9999993108212948E-4</v>
      </c>
      <c r="T397" s="94">
        <f>IFERROR(VLOOKUP(Readings[[#This Row],[Sensor ID]],Table_Baseline[],COLUMNS(Table_Baseline[[#Headers],[Sensor ID]:[Reference Angle '[Deg']]]),FALSE),"-")</f>
        <v>0</v>
      </c>
      <c r="U397" s="95" t="str">
        <f>Readings[[#This Row],[Sensor ID]]&amp;"-"&amp;Readings[[#This Row],[Epoch]]</f>
        <v>250-RL-OP-11006-45790.2708333333</v>
      </c>
      <c r="V397" s="99">
        <f ca="1">IF(Readings[[#This Row],[Epoch]]=OFFSET(Readings[[#This Row],[Epoch]],-1,0),0,1)</f>
        <v>0</v>
      </c>
    </row>
    <row r="398" spans="4:22" x14ac:dyDescent="0.2">
      <c r="D398" s="32">
        <v>45790.270833333336</v>
      </c>
      <c r="E398" s="33" t="s">
        <v>178</v>
      </c>
      <c r="F398" s="34">
        <v>60043.758000000002</v>
      </c>
      <c r="G398" s="34">
        <v>363843.315</v>
      </c>
      <c r="H398" s="34">
        <v>18.774000000000001</v>
      </c>
      <c r="I398" s="33" t="s">
        <v>85</v>
      </c>
      <c r="J398" s="33" t="s">
        <v>90</v>
      </c>
      <c r="K398" s="33">
        <v>14.3</v>
      </c>
      <c r="L398" s="33">
        <v>1020</v>
      </c>
      <c r="M398" s="33">
        <v>92</v>
      </c>
      <c r="N398" s="33"/>
      <c r="O398" s="93">
        <f>IFERROR(IF(Readings[[#This Row],[Obs. X]]="","-",Readings[[#This Row],[Obs. X]]-_xlfn.XLOOKUP(Readings[[#This Row],[Sensor ID]],Table_Baseline[Sensor ID],Table_Baseline[Easting '[m']],"-")),"-")</f>
        <v>-9.9999999656574801E-4</v>
      </c>
      <c r="P398" s="93">
        <f>IFERROR(IF(Readings[[#This Row],[Obs. Y]]="","-",Readings[[#This Row],[Obs. Y]]-_xlfn.XLOOKUP(Readings[[#This Row],[Sensor ID]],Table_Baseline[Sensor ID],Table_Baseline[Northing '[m']],"-")),"-")</f>
        <v>9.9999998928979039E-4</v>
      </c>
      <c r="Q398" s="93">
        <f>IFERROR(IF(Readings[[#This Row],[Obs. Z]]="","-",Readings[[#This Row],[Obs. Z]]-_xlfn.XLOOKUP(Readings[[#This Row],[Sensor ID]],Table_Baseline[Sensor ID],Table_Baseline[Level '[m']],"-")),"-")</f>
        <v>-9.9999999999766942E-5</v>
      </c>
      <c r="R398" s="93">
        <f>IFERROR(IF(Readings[[#This Row],[Reference Angle]]="-","-",(Readings[[#This Row],[Diff E]]*COS(RADIANS(Readings[[#This Row],[Reference Angle]]))-Readings[[#This Row],[Diff N]]*SIN(RADIANS(Readings[[#This Row],[Reference Angle]])))),"-")</f>
        <v>-9.9999999656574801E-4</v>
      </c>
      <c r="S398" s="93">
        <f>IFERROR(IF(Readings[[#This Row],[Reference Angle]]="-","-",(Readings[[#This Row],[Diff E]]*SIN(RADIANS(Readings[[#This Row],[Reference Angle]]))+Readings[[#This Row],[Diff N]]*COS(RADIANS(Readings[[#This Row],[Reference Angle]])))),"-")</f>
        <v>9.9999998928979039E-4</v>
      </c>
      <c r="T398" s="94">
        <f>IFERROR(VLOOKUP(Readings[[#This Row],[Sensor ID]],Table_Baseline[],COLUMNS(Table_Baseline[[#Headers],[Sensor ID]:[Reference Angle '[Deg']]]),FALSE),"-")</f>
        <v>0</v>
      </c>
      <c r="U398" s="95" t="str">
        <f>Readings[[#This Row],[Sensor ID]]&amp;"-"&amp;Readings[[#This Row],[Epoch]]</f>
        <v>250-RL-OP-11007-45790.2708333333</v>
      </c>
      <c r="V398" s="99">
        <f ca="1">IF(Readings[[#This Row],[Epoch]]=OFFSET(Readings[[#This Row],[Epoch]],-1,0),0,1)</f>
        <v>0</v>
      </c>
    </row>
    <row r="399" spans="4:22" x14ac:dyDescent="0.2">
      <c r="D399" s="32">
        <v>45790.270833333336</v>
      </c>
      <c r="E399" s="33" t="s">
        <v>177</v>
      </c>
      <c r="F399" s="34">
        <v>60043.440999999999</v>
      </c>
      <c r="G399" s="34">
        <v>363842.04099999997</v>
      </c>
      <c r="H399" s="34">
        <v>18.768999999999998</v>
      </c>
      <c r="I399" s="33" t="s">
        <v>85</v>
      </c>
      <c r="J399" s="33" t="s">
        <v>90</v>
      </c>
      <c r="K399" s="33">
        <v>14.3</v>
      </c>
      <c r="L399" s="33">
        <v>1020</v>
      </c>
      <c r="M399" s="33">
        <v>92</v>
      </c>
      <c r="N399" s="33"/>
      <c r="O399" s="93">
        <f>IFERROR(IF(Readings[[#This Row],[Obs. X]]="","-",Readings[[#This Row],[Obs. X]]-_xlfn.XLOOKUP(Readings[[#This Row],[Sensor ID]],Table_Baseline[Sensor ID],Table_Baseline[Easting '[m']],"-")),"-")</f>
        <v>0</v>
      </c>
      <c r="P399" s="93">
        <f>IFERROR(IF(Readings[[#This Row],[Obs. Y]]="","-",Readings[[#This Row],[Obs. Y]]-_xlfn.XLOOKUP(Readings[[#This Row],[Sensor ID]],Table_Baseline[Sensor ID],Table_Baseline[Northing '[m']],"-")),"-")</f>
        <v>9.9999993108212948E-4</v>
      </c>
      <c r="Q399" s="93">
        <f>IFERROR(IF(Readings[[#This Row],[Obs. Z]]="","-",Readings[[#This Row],[Obs. Z]]-_xlfn.XLOOKUP(Readings[[#This Row],[Sensor ID]],Table_Baseline[Sensor ID],Table_Baseline[Level '[m']],"-")),"-")</f>
        <v>6.9999999999836859E-4</v>
      </c>
      <c r="R399" s="93">
        <f>IFERROR(IF(Readings[[#This Row],[Reference Angle]]="-","-",(Readings[[#This Row],[Diff E]]*COS(RADIANS(Readings[[#This Row],[Reference Angle]]))-Readings[[#This Row],[Diff N]]*SIN(RADIANS(Readings[[#This Row],[Reference Angle]])))),"-")</f>
        <v>0</v>
      </c>
      <c r="S399" s="93">
        <f>IFERROR(IF(Readings[[#This Row],[Reference Angle]]="-","-",(Readings[[#This Row],[Diff E]]*SIN(RADIANS(Readings[[#This Row],[Reference Angle]]))+Readings[[#This Row],[Diff N]]*COS(RADIANS(Readings[[#This Row],[Reference Angle]])))),"-")</f>
        <v>9.9999993108212948E-4</v>
      </c>
      <c r="T399" s="94">
        <f>IFERROR(VLOOKUP(Readings[[#This Row],[Sensor ID]],Table_Baseline[],COLUMNS(Table_Baseline[[#Headers],[Sensor ID]:[Reference Angle '[Deg']]]),FALSE),"-")</f>
        <v>0</v>
      </c>
      <c r="U399" s="95" t="str">
        <f>Readings[[#This Row],[Sensor ID]]&amp;"-"&amp;Readings[[#This Row],[Epoch]]</f>
        <v>250-RL-OP-11008-45790.2708333333</v>
      </c>
      <c r="V399" s="99">
        <f ca="1">IF(Readings[[#This Row],[Epoch]]=OFFSET(Readings[[#This Row],[Epoch]],-1,0),0,1)</f>
        <v>0</v>
      </c>
    </row>
    <row r="400" spans="4:22" x14ac:dyDescent="0.2">
      <c r="D400" s="32">
        <v>45790.270833333336</v>
      </c>
      <c r="E400" s="33" t="s">
        <v>180</v>
      </c>
      <c r="F400" s="34">
        <v>60046.633000000002</v>
      </c>
      <c r="G400" s="34">
        <v>363842.48600000003</v>
      </c>
      <c r="H400" s="34">
        <v>18.777999999999999</v>
      </c>
      <c r="I400" s="33" t="s">
        <v>85</v>
      </c>
      <c r="J400" s="33" t="s">
        <v>90</v>
      </c>
      <c r="K400" s="33">
        <v>14.3</v>
      </c>
      <c r="L400" s="33">
        <v>1020</v>
      </c>
      <c r="M400" s="33">
        <v>92</v>
      </c>
      <c r="N400" s="33"/>
      <c r="O400" s="93">
        <f>IFERROR(IF(Readings[[#This Row],[Obs. X]]="","-",Readings[[#This Row],[Obs. X]]-_xlfn.XLOOKUP(Readings[[#This Row],[Sensor ID]],Table_Baseline[Sensor ID],Table_Baseline[Easting '[m']],"-")),"-")</f>
        <v>0</v>
      </c>
      <c r="P400" s="93">
        <f>IFERROR(IF(Readings[[#This Row],[Obs. Y]]="","-",Readings[[#This Row],[Obs. Y]]-_xlfn.XLOOKUP(Readings[[#This Row],[Sensor ID]],Table_Baseline[Sensor ID],Table_Baseline[Northing '[m']],"-")),"-")</f>
        <v>1.0000000474974513E-3</v>
      </c>
      <c r="Q400" s="93">
        <f>IFERROR(IF(Readings[[#This Row],[Obs. Z]]="","-",Readings[[#This Row],[Obs. Z]]-_xlfn.XLOOKUP(Readings[[#This Row],[Sensor ID]],Table_Baseline[Sensor ID],Table_Baseline[Level '[m']],"-")),"-")</f>
        <v>3.9999999999906777E-4</v>
      </c>
      <c r="R400" s="93">
        <f>IFERROR(IF(Readings[[#This Row],[Reference Angle]]="-","-",(Readings[[#This Row],[Diff E]]*COS(RADIANS(Readings[[#This Row],[Reference Angle]]))-Readings[[#This Row],[Diff N]]*SIN(RADIANS(Readings[[#This Row],[Reference Angle]])))),"-")</f>
        <v>0</v>
      </c>
      <c r="S400" s="93">
        <f>IFERROR(IF(Readings[[#This Row],[Reference Angle]]="-","-",(Readings[[#This Row],[Diff E]]*SIN(RADIANS(Readings[[#This Row],[Reference Angle]]))+Readings[[#This Row],[Diff N]]*COS(RADIANS(Readings[[#This Row],[Reference Angle]])))),"-")</f>
        <v>1.0000000474974513E-3</v>
      </c>
      <c r="T400" s="94">
        <f>IFERROR(VLOOKUP(Readings[[#This Row],[Sensor ID]],Table_Baseline[],COLUMNS(Table_Baseline[[#Headers],[Sensor ID]:[Reference Angle '[Deg']]]),FALSE),"-")</f>
        <v>0</v>
      </c>
      <c r="U400" s="95" t="str">
        <f>Readings[[#This Row],[Sensor ID]]&amp;"-"&amp;Readings[[#This Row],[Epoch]]</f>
        <v>250-RL-OP-11009-45790.2708333333</v>
      </c>
      <c r="V400" s="99">
        <f ca="1">IF(Readings[[#This Row],[Epoch]]=OFFSET(Readings[[#This Row],[Epoch]],-1,0),0,1)</f>
        <v>0</v>
      </c>
    </row>
    <row r="401" spans="4:22" x14ac:dyDescent="0.2">
      <c r="D401" s="32">
        <v>45790.270833333336</v>
      </c>
      <c r="E401" s="33" t="s">
        <v>179</v>
      </c>
      <c r="F401" s="34">
        <v>60046.249000000003</v>
      </c>
      <c r="G401" s="34">
        <v>363841.22700000001</v>
      </c>
      <c r="H401" s="34">
        <v>18.77</v>
      </c>
      <c r="I401" s="33" t="s">
        <v>85</v>
      </c>
      <c r="J401" s="33" t="s">
        <v>90</v>
      </c>
      <c r="K401" s="33">
        <v>14.3</v>
      </c>
      <c r="L401" s="33">
        <v>1020</v>
      </c>
      <c r="M401" s="33">
        <v>92</v>
      </c>
      <c r="N401" s="33"/>
      <c r="O401" s="93">
        <f>IFERROR(IF(Readings[[#This Row],[Obs. X]]="","-",Readings[[#This Row],[Obs. X]]-_xlfn.XLOOKUP(Readings[[#This Row],[Sensor ID]],Table_Baseline[Sensor ID],Table_Baseline[Easting '[m']],"-")),"-")</f>
        <v>-9.9999999656574801E-4</v>
      </c>
      <c r="P401" s="93">
        <f>IFERROR(IF(Readings[[#This Row],[Obs. Y]]="","-",Readings[[#This Row],[Obs. Y]]-_xlfn.XLOOKUP(Readings[[#This Row],[Sensor ID]],Table_Baseline[Sensor ID],Table_Baseline[Northing '[m']],"-")),"-")</f>
        <v>9.9999998928979039E-4</v>
      </c>
      <c r="Q401" s="93">
        <f>IFERROR(IF(Readings[[#This Row],[Obs. Z]]="","-",Readings[[#This Row],[Obs. Z]]-_xlfn.XLOOKUP(Readings[[#This Row],[Sensor ID]],Table_Baseline[Sensor ID],Table_Baseline[Level '[m']],"-")),"-")</f>
        <v>1.9999999999953388E-4</v>
      </c>
      <c r="R401" s="93">
        <f>IFERROR(IF(Readings[[#This Row],[Reference Angle]]="-","-",(Readings[[#This Row],[Diff E]]*COS(RADIANS(Readings[[#This Row],[Reference Angle]]))-Readings[[#This Row],[Diff N]]*SIN(RADIANS(Readings[[#This Row],[Reference Angle]])))),"-")</f>
        <v>-9.9999999656574801E-4</v>
      </c>
      <c r="S401" s="93">
        <f>IFERROR(IF(Readings[[#This Row],[Reference Angle]]="-","-",(Readings[[#This Row],[Diff E]]*SIN(RADIANS(Readings[[#This Row],[Reference Angle]]))+Readings[[#This Row],[Diff N]]*COS(RADIANS(Readings[[#This Row],[Reference Angle]])))),"-")</f>
        <v>9.9999998928979039E-4</v>
      </c>
      <c r="T401" s="94">
        <f>IFERROR(VLOOKUP(Readings[[#This Row],[Sensor ID]],Table_Baseline[],COLUMNS(Table_Baseline[[#Headers],[Sensor ID]:[Reference Angle '[Deg']]]),FALSE),"-")</f>
        <v>0</v>
      </c>
      <c r="U401" s="95" t="str">
        <f>Readings[[#This Row],[Sensor ID]]&amp;"-"&amp;Readings[[#This Row],[Epoch]]</f>
        <v>250-RL-OP-11010-45790.2708333333</v>
      </c>
      <c r="V401" s="99">
        <f ca="1">IF(Readings[[#This Row],[Epoch]]=OFFSET(Readings[[#This Row],[Epoch]],-1,0),0,1)</f>
        <v>0</v>
      </c>
    </row>
    <row r="402" spans="4:22" x14ac:dyDescent="0.2">
      <c r="D402" s="32">
        <v>45790.270833333336</v>
      </c>
      <c r="E402" s="33" t="s">
        <v>182</v>
      </c>
      <c r="F402" s="34">
        <v>60049.398000000001</v>
      </c>
      <c r="G402" s="34">
        <v>363841.69900000002</v>
      </c>
      <c r="H402" s="34">
        <v>18.777999999999999</v>
      </c>
      <c r="I402" s="33" t="s">
        <v>85</v>
      </c>
      <c r="J402" s="33" t="s">
        <v>90</v>
      </c>
      <c r="K402" s="33">
        <v>14.3</v>
      </c>
      <c r="L402" s="33">
        <v>1020</v>
      </c>
      <c r="M402" s="33">
        <v>92</v>
      </c>
      <c r="N402" s="33"/>
      <c r="O402" s="93">
        <f>IFERROR(IF(Readings[[#This Row],[Obs. X]]="","-",Readings[[#This Row],[Obs. X]]-_xlfn.XLOOKUP(Readings[[#This Row],[Sensor ID]],Table_Baseline[Sensor ID],Table_Baseline[Easting '[m']],"-")),"-")</f>
        <v>-9.9999999656574801E-4</v>
      </c>
      <c r="P402" s="93">
        <f>IFERROR(IF(Readings[[#This Row],[Obs. Y]]="","-",Readings[[#This Row],[Obs. Y]]-_xlfn.XLOOKUP(Readings[[#This Row],[Sensor ID]],Table_Baseline[Sensor ID],Table_Baseline[Northing '[m']],"-")),"-")</f>
        <v>1.0000000474974513E-3</v>
      </c>
      <c r="Q402" s="93">
        <f>IFERROR(IF(Readings[[#This Row],[Obs. Z]]="","-",Readings[[#This Row],[Obs. Z]]-_xlfn.XLOOKUP(Readings[[#This Row],[Sensor ID]],Table_Baseline[Sensor ID],Table_Baseline[Level '[m']],"-")),"-")</f>
        <v>0</v>
      </c>
      <c r="R402" s="93">
        <f>IFERROR(IF(Readings[[#This Row],[Reference Angle]]="-","-",(Readings[[#This Row],[Diff E]]*COS(RADIANS(Readings[[#This Row],[Reference Angle]]))-Readings[[#This Row],[Diff N]]*SIN(RADIANS(Readings[[#This Row],[Reference Angle]])))),"-")</f>
        <v>-9.9999999656574801E-4</v>
      </c>
      <c r="S402" s="93">
        <f>IFERROR(IF(Readings[[#This Row],[Reference Angle]]="-","-",(Readings[[#This Row],[Diff E]]*SIN(RADIANS(Readings[[#This Row],[Reference Angle]]))+Readings[[#This Row],[Diff N]]*COS(RADIANS(Readings[[#This Row],[Reference Angle]])))),"-")</f>
        <v>1.0000000474974513E-3</v>
      </c>
      <c r="T402" s="94">
        <f>IFERROR(VLOOKUP(Readings[[#This Row],[Sensor ID]],Table_Baseline[],COLUMNS(Table_Baseline[[#Headers],[Sensor ID]:[Reference Angle '[Deg']]]),FALSE),"-")</f>
        <v>0</v>
      </c>
      <c r="U402" s="95" t="str">
        <f>Readings[[#This Row],[Sensor ID]]&amp;"-"&amp;Readings[[#This Row],[Epoch]]</f>
        <v>250-RL-OP-11011-45790.2708333333</v>
      </c>
      <c r="V402" s="99">
        <f ca="1">IF(Readings[[#This Row],[Epoch]]=OFFSET(Readings[[#This Row],[Epoch]],-1,0),0,1)</f>
        <v>0</v>
      </c>
    </row>
    <row r="403" spans="4:22" x14ac:dyDescent="0.2">
      <c r="D403" s="32">
        <v>45790.270833333336</v>
      </c>
      <c r="E403" s="33" t="s">
        <v>181</v>
      </c>
      <c r="F403" s="34">
        <v>60049.04</v>
      </c>
      <c r="G403" s="34">
        <v>363840.435</v>
      </c>
      <c r="H403" s="34">
        <v>18.771000000000001</v>
      </c>
      <c r="I403" s="33" t="s">
        <v>85</v>
      </c>
      <c r="J403" s="33" t="s">
        <v>90</v>
      </c>
      <c r="K403" s="33">
        <v>14.3</v>
      </c>
      <c r="L403" s="33">
        <v>1020</v>
      </c>
      <c r="M403" s="33">
        <v>92</v>
      </c>
      <c r="N403" s="33"/>
      <c r="O403" s="93">
        <f>IFERROR(IF(Readings[[#This Row],[Obs. X]]="","-",Readings[[#This Row],[Obs. X]]-_xlfn.XLOOKUP(Readings[[#This Row],[Sensor ID]],Table_Baseline[Sensor ID],Table_Baseline[Easting '[m']],"-")),"-")</f>
        <v>-9.9999999656574801E-4</v>
      </c>
      <c r="P403" s="93">
        <f>IFERROR(IF(Readings[[#This Row],[Obs. Y]]="","-",Readings[[#This Row],[Obs. Y]]-_xlfn.XLOOKUP(Readings[[#This Row],[Sensor ID]],Table_Baseline[Sensor ID],Table_Baseline[Northing '[m']],"-")),"-")</f>
        <v>2.0000000367872417E-3</v>
      </c>
      <c r="Q403" s="93">
        <f>IFERROR(IF(Readings[[#This Row],[Obs. Z]]="","-",Readings[[#This Row],[Obs. Z]]-_xlfn.XLOOKUP(Readings[[#This Row],[Sensor ID]],Table_Baseline[Sensor ID],Table_Baseline[Level '[m']],"-")),"-")</f>
        <v>-9.9999999999766942E-5</v>
      </c>
      <c r="R403" s="93">
        <f>IFERROR(IF(Readings[[#This Row],[Reference Angle]]="-","-",(Readings[[#This Row],[Diff E]]*COS(RADIANS(Readings[[#This Row],[Reference Angle]]))-Readings[[#This Row],[Diff N]]*SIN(RADIANS(Readings[[#This Row],[Reference Angle]])))),"-")</f>
        <v>-9.9999999656574801E-4</v>
      </c>
      <c r="S403" s="93">
        <f>IFERROR(IF(Readings[[#This Row],[Reference Angle]]="-","-",(Readings[[#This Row],[Diff E]]*SIN(RADIANS(Readings[[#This Row],[Reference Angle]]))+Readings[[#This Row],[Diff N]]*COS(RADIANS(Readings[[#This Row],[Reference Angle]])))),"-")</f>
        <v>2.0000000367872417E-3</v>
      </c>
      <c r="T403" s="94">
        <f>IFERROR(VLOOKUP(Readings[[#This Row],[Sensor ID]],Table_Baseline[],COLUMNS(Table_Baseline[[#Headers],[Sensor ID]:[Reference Angle '[Deg']]]),FALSE),"-")</f>
        <v>0</v>
      </c>
      <c r="U403" s="95" t="str">
        <f>Readings[[#This Row],[Sensor ID]]&amp;"-"&amp;Readings[[#This Row],[Epoch]]</f>
        <v>250-RL-OP-11012-45790.2708333333</v>
      </c>
      <c r="V403" s="99">
        <f ca="1">IF(Readings[[#This Row],[Epoch]]=OFFSET(Readings[[#This Row],[Epoch]],-1,0),0,1)</f>
        <v>0</v>
      </c>
    </row>
    <row r="404" spans="4:22" x14ac:dyDescent="0.2">
      <c r="D404" s="32">
        <v>45790.270833333336</v>
      </c>
      <c r="E404" s="33" t="s">
        <v>184</v>
      </c>
      <c r="F404" s="34">
        <v>60052.292000000001</v>
      </c>
      <c r="G404" s="34">
        <v>363840.88699999999</v>
      </c>
      <c r="H404" s="34">
        <v>18.779</v>
      </c>
      <c r="I404" s="33" t="s">
        <v>85</v>
      </c>
      <c r="J404" s="33" t="s">
        <v>90</v>
      </c>
      <c r="K404" s="33">
        <v>14.3</v>
      </c>
      <c r="L404" s="33">
        <v>1020</v>
      </c>
      <c r="M404" s="33">
        <v>92</v>
      </c>
      <c r="N404" s="33"/>
      <c r="O404" s="93">
        <f>IFERROR(IF(Readings[[#This Row],[Obs. X]]="","-",Readings[[#This Row],[Obs. X]]-_xlfn.XLOOKUP(Readings[[#This Row],[Sensor ID]],Table_Baseline[Sensor ID],Table_Baseline[Easting '[m']],"-")),"-")</f>
        <v>-9.9999999656574801E-4</v>
      </c>
      <c r="P404" s="93">
        <f>IFERROR(IF(Readings[[#This Row],[Obs. Y]]="","-",Readings[[#This Row],[Obs. Y]]-_xlfn.XLOOKUP(Readings[[#This Row],[Sensor ID]],Table_Baseline[Sensor ID],Table_Baseline[Northing '[m']],"-")),"-")</f>
        <v>1.9999999785795808E-3</v>
      </c>
      <c r="Q404" s="93">
        <f>IFERROR(IF(Readings[[#This Row],[Obs. Z]]="","-",Readings[[#This Row],[Obs. Z]]-_xlfn.XLOOKUP(Readings[[#This Row],[Sensor ID]],Table_Baseline[Sensor ID],Table_Baseline[Level '[m']],"-")),"-")</f>
        <v>0</v>
      </c>
      <c r="R404" s="93">
        <f>IFERROR(IF(Readings[[#This Row],[Reference Angle]]="-","-",(Readings[[#This Row],[Diff E]]*COS(RADIANS(Readings[[#This Row],[Reference Angle]]))-Readings[[#This Row],[Diff N]]*SIN(RADIANS(Readings[[#This Row],[Reference Angle]])))),"-")</f>
        <v>-9.9999999656574801E-4</v>
      </c>
      <c r="S404" s="93">
        <f>IFERROR(IF(Readings[[#This Row],[Reference Angle]]="-","-",(Readings[[#This Row],[Diff E]]*SIN(RADIANS(Readings[[#This Row],[Reference Angle]]))+Readings[[#This Row],[Diff N]]*COS(RADIANS(Readings[[#This Row],[Reference Angle]])))),"-")</f>
        <v>1.9999999785795808E-3</v>
      </c>
      <c r="T404" s="94">
        <f>IFERROR(VLOOKUP(Readings[[#This Row],[Sensor ID]],Table_Baseline[],COLUMNS(Table_Baseline[[#Headers],[Sensor ID]:[Reference Angle '[Deg']]]),FALSE),"-")</f>
        <v>0</v>
      </c>
      <c r="U404" s="95" t="str">
        <f>Readings[[#This Row],[Sensor ID]]&amp;"-"&amp;Readings[[#This Row],[Epoch]]</f>
        <v>250-RL-OP-11013-45790.2708333333</v>
      </c>
      <c r="V404" s="99">
        <f ca="1">IF(Readings[[#This Row],[Epoch]]=OFFSET(Readings[[#This Row],[Epoch]],-1,0),0,1)</f>
        <v>0</v>
      </c>
    </row>
    <row r="405" spans="4:22" x14ac:dyDescent="0.2">
      <c r="D405" s="32">
        <v>45790.270833333336</v>
      </c>
      <c r="E405" s="33" t="s">
        <v>183</v>
      </c>
      <c r="F405" s="34">
        <v>60051.987999999998</v>
      </c>
      <c r="G405" s="34">
        <v>363839.60499999998</v>
      </c>
      <c r="H405" s="34">
        <v>18.77</v>
      </c>
      <c r="I405" s="33" t="s">
        <v>85</v>
      </c>
      <c r="J405" s="33" t="s">
        <v>90</v>
      </c>
      <c r="K405" s="33">
        <v>14.3</v>
      </c>
      <c r="L405" s="33">
        <v>1020</v>
      </c>
      <c r="M405" s="33">
        <v>92</v>
      </c>
      <c r="N405" s="33"/>
      <c r="O405" s="93">
        <f>IFERROR(IF(Readings[[#This Row],[Obs. X]]="","-",Readings[[#This Row],[Obs. X]]-_xlfn.XLOOKUP(Readings[[#This Row],[Sensor ID]],Table_Baseline[Sensor ID],Table_Baseline[Easting '[m']],"-")),"-")</f>
        <v>-1.0000000038417056E-3</v>
      </c>
      <c r="P405" s="93">
        <f>IFERROR(IF(Readings[[#This Row],[Obs. Y]]="","-",Readings[[#This Row],[Obs. Y]]-_xlfn.XLOOKUP(Readings[[#This Row],[Sensor ID]],Table_Baseline[Sensor ID],Table_Baseline[Northing '[m']],"-")),"-")</f>
        <v>1.9999999785795808E-3</v>
      </c>
      <c r="Q405" s="93">
        <f>IFERROR(IF(Readings[[#This Row],[Obs. Z]]="","-",Readings[[#This Row],[Obs. Z]]-_xlfn.XLOOKUP(Readings[[#This Row],[Sensor ID]],Table_Baseline[Sensor ID],Table_Baseline[Level '[m']],"-")),"-")</f>
        <v>-9.9999999999766942E-5</v>
      </c>
      <c r="R405" s="93">
        <f>IFERROR(IF(Readings[[#This Row],[Reference Angle]]="-","-",(Readings[[#This Row],[Diff E]]*COS(RADIANS(Readings[[#This Row],[Reference Angle]]))-Readings[[#This Row],[Diff N]]*SIN(RADIANS(Readings[[#This Row],[Reference Angle]])))),"-")</f>
        <v>-1.0000000038417056E-3</v>
      </c>
      <c r="S405" s="93">
        <f>IFERROR(IF(Readings[[#This Row],[Reference Angle]]="-","-",(Readings[[#This Row],[Diff E]]*SIN(RADIANS(Readings[[#This Row],[Reference Angle]]))+Readings[[#This Row],[Diff N]]*COS(RADIANS(Readings[[#This Row],[Reference Angle]])))),"-")</f>
        <v>1.9999999785795808E-3</v>
      </c>
      <c r="T405" s="94">
        <f>IFERROR(VLOOKUP(Readings[[#This Row],[Sensor ID]],Table_Baseline[],COLUMNS(Table_Baseline[[#Headers],[Sensor ID]:[Reference Angle '[Deg']]]),FALSE),"-")</f>
        <v>0</v>
      </c>
      <c r="U405" s="95" t="str">
        <f>Readings[[#This Row],[Sensor ID]]&amp;"-"&amp;Readings[[#This Row],[Epoch]]</f>
        <v>250-RL-OP-11014-45790.2708333333</v>
      </c>
      <c r="V405" s="99">
        <f ca="1">IF(Readings[[#This Row],[Epoch]]=OFFSET(Readings[[#This Row],[Epoch]],-1,0),0,1)</f>
        <v>0</v>
      </c>
    </row>
    <row r="406" spans="4:22" x14ac:dyDescent="0.2">
      <c r="D406" s="32">
        <v>45790.270833333336</v>
      </c>
      <c r="E406" s="33" t="s">
        <v>186</v>
      </c>
      <c r="F406" s="34">
        <v>60055.196000000004</v>
      </c>
      <c r="G406" s="34">
        <v>363840.09700000001</v>
      </c>
      <c r="H406" s="34">
        <v>18.780999999999999</v>
      </c>
      <c r="I406" s="33" t="s">
        <v>85</v>
      </c>
      <c r="J406" s="33" t="s">
        <v>90</v>
      </c>
      <c r="K406" s="33">
        <v>14.3</v>
      </c>
      <c r="L406" s="33">
        <v>1020</v>
      </c>
      <c r="M406" s="33">
        <v>92</v>
      </c>
      <c r="N406" s="33"/>
      <c r="O406" s="93">
        <f>IFERROR(IF(Readings[[#This Row],[Obs. X]]="","-",Readings[[#This Row],[Obs. X]]-_xlfn.XLOOKUP(Readings[[#This Row],[Sensor ID]],Table_Baseline[Sensor ID],Table_Baseline[Easting '[m']],"-")),"-")</f>
        <v>0</v>
      </c>
      <c r="P406" s="93">
        <f>IFERROR(IF(Readings[[#This Row],[Obs. Y]]="","-",Readings[[#This Row],[Obs. Y]]-_xlfn.XLOOKUP(Readings[[#This Row],[Sensor ID]],Table_Baseline[Sensor ID],Table_Baseline[Northing '[m']],"-")),"-")</f>
        <v>2.0000000367872417E-3</v>
      </c>
      <c r="Q406" s="93">
        <f>IFERROR(IF(Readings[[#This Row],[Obs. Z]]="","-",Readings[[#This Row],[Obs. Z]]-_xlfn.XLOOKUP(Readings[[#This Row],[Sensor ID]],Table_Baseline[Sensor ID],Table_Baseline[Level '[m']],"-")),"-")</f>
        <v>9.9999999999766942E-5</v>
      </c>
      <c r="R406" s="93">
        <f>IFERROR(IF(Readings[[#This Row],[Reference Angle]]="-","-",(Readings[[#This Row],[Diff E]]*COS(RADIANS(Readings[[#This Row],[Reference Angle]]))-Readings[[#This Row],[Diff N]]*SIN(RADIANS(Readings[[#This Row],[Reference Angle]])))),"-")</f>
        <v>0</v>
      </c>
      <c r="S406" s="93">
        <f>IFERROR(IF(Readings[[#This Row],[Reference Angle]]="-","-",(Readings[[#This Row],[Diff E]]*SIN(RADIANS(Readings[[#This Row],[Reference Angle]]))+Readings[[#This Row],[Diff N]]*COS(RADIANS(Readings[[#This Row],[Reference Angle]])))),"-")</f>
        <v>2.0000000367872417E-3</v>
      </c>
      <c r="T406" s="94">
        <f>IFERROR(VLOOKUP(Readings[[#This Row],[Sensor ID]],Table_Baseline[],COLUMNS(Table_Baseline[[#Headers],[Sensor ID]:[Reference Angle '[Deg']]]),FALSE),"-")</f>
        <v>0</v>
      </c>
      <c r="U406" s="95" t="str">
        <f>Readings[[#This Row],[Sensor ID]]&amp;"-"&amp;Readings[[#This Row],[Epoch]]</f>
        <v>250-RL-OP-11015-45790.2708333333</v>
      </c>
      <c r="V406" s="99">
        <f ca="1">IF(Readings[[#This Row],[Epoch]]=OFFSET(Readings[[#This Row],[Epoch]],-1,0),0,1)</f>
        <v>0</v>
      </c>
    </row>
    <row r="407" spans="4:22" x14ac:dyDescent="0.2">
      <c r="D407" s="32">
        <v>45790.270833333336</v>
      </c>
      <c r="E407" s="33" t="s">
        <v>185</v>
      </c>
      <c r="F407" s="34">
        <v>60054.885000000002</v>
      </c>
      <c r="G407" s="34">
        <v>363838.80700000003</v>
      </c>
      <c r="H407" s="34">
        <v>18.773</v>
      </c>
      <c r="I407" s="33" t="s">
        <v>85</v>
      </c>
      <c r="J407" s="33" t="s">
        <v>90</v>
      </c>
      <c r="K407" s="33">
        <v>14.3</v>
      </c>
      <c r="L407" s="33">
        <v>1020</v>
      </c>
      <c r="M407" s="33">
        <v>92</v>
      </c>
      <c r="N407" s="33"/>
      <c r="O407" s="93">
        <f>IFERROR(IF(Readings[[#This Row],[Obs. X]]="","-",Readings[[#This Row],[Obs. X]]-_xlfn.XLOOKUP(Readings[[#This Row],[Sensor ID]],Table_Baseline[Sensor ID],Table_Baseline[Easting '[m']],"-")),"-")</f>
        <v>-9.9999999656574801E-4</v>
      </c>
      <c r="P407" s="93">
        <f>IFERROR(IF(Readings[[#This Row],[Obs. Y]]="","-",Readings[[#This Row],[Obs. Y]]-_xlfn.XLOOKUP(Readings[[#This Row],[Sensor ID]],Table_Baseline[Sensor ID],Table_Baseline[Northing '[m']],"-")),"-")</f>
        <v>2.0000000367872417E-3</v>
      </c>
      <c r="Q407" s="93">
        <f>IFERROR(IF(Readings[[#This Row],[Obs. Z]]="","-",Readings[[#This Row],[Obs. Z]]-_xlfn.XLOOKUP(Readings[[#This Row],[Sensor ID]],Table_Baseline[Sensor ID],Table_Baseline[Level '[m']],"-")),"-")</f>
        <v>-9.9999999999766942E-5</v>
      </c>
      <c r="R407" s="93">
        <f>IFERROR(IF(Readings[[#This Row],[Reference Angle]]="-","-",(Readings[[#This Row],[Diff E]]*COS(RADIANS(Readings[[#This Row],[Reference Angle]]))-Readings[[#This Row],[Diff N]]*SIN(RADIANS(Readings[[#This Row],[Reference Angle]])))),"-")</f>
        <v>-9.9999999656574801E-4</v>
      </c>
      <c r="S407" s="93">
        <f>IFERROR(IF(Readings[[#This Row],[Reference Angle]]="-","-",(Readings[[#This Row],[Diff E]]*SIN(RADIANS(Readings[[#This Row],[Reference Angle]]))+Readings[[#This Row],[Diff N]]*COS(RADIANS(Readings[[#This Row],[Reference Angle]])))),"-")</f>
        <v>2.0000000367872417E-3</v>
      </c>
      <c r="T407" s="94">
        <f>IFERROR(VLOOKUP(Readings[[#This Row],[Sensor ID]],Table_Baseline[],COLUMNS(Table_Baseline[[#Headers],[Sensor ID]:[Reference Angle '[Deg']]]),FALSE),"-")</f>
        <v>0</v>
      </c>
      <c r="U407" s="95" t="str">
        <f>Readings[[#This Row],[Sensor ID]]&amp;"-"&amp;Readings[[#This Row],[Epoch]]</f>
        <v>250-RL-OP-11016-45790.2708333333</v>
      </c>
      <c r="V407" s="99">
        <f ca="1">IF(Readings[[#This Row],[Epoch]]=OFFSET(Readings[[#This Row],[Epoch]],-1,0),0,1)</f>
        <v>0</v>
      </c>
    </row>
    <row r="408" spans="4:22" x14ac:dyDescent="0.2">
      <c r="D408" s="32">
        <v>45790.270833333336</v>
      </c>
      <c r="E408" s="33" t="s">
        <v>188</v>
      </c>
      <c r="F408" s="34">
        <v>60057.951999999997</v>
      </c>
      <c r="G408" s="34">
        <v>363839.36499999999</v>
      </c>
      <c r="H408" s="34">
        <v>18.786000000000001</v>
      </c>
      <c r="I408" s="33" t="s">
        <v>85</v>
      </c>
      <c r="J408" s="33" t="s">
        <v>90</v>
      </c>
      <c r="K408" s="33">
        <v>14.3</v>
      </c>
      <c r="L408" s="33">
        <v>1020</v>
      </c>
      <c r="M408" s="33">
        <v>92</v>
      </c>
      <c r="N408" s="33"/>
      <c r="O408" s="93">
        <f>IFERROR(IF(Readings[[#This Row],[Obs. X]]="","-",Readings[[#This Row],[Obs. X]]-_xlfn.XLOOKUP(Readings[[#This Row],[Sensor ID]],Table_Baseline[Sensor ID],Table_Baseline[Easting '[m']],"-")),"-")</f>
        <v>0</v>
      </c>
      <c r="P408" s="93">
        <f>IFERROR(IF(Readings[[#This Row],[Obs. Y]]="","-",Readings[[#This Row],[Obs. Y]]-_xlfn.XLOOKUP(Readings[[#This Row],[Sensor ID]],Table_Baseline[Sensor ID],Table_Baseline[Northing '[m']],"-")),"-")</f>
        <v>3.0000000260770321E-3</v>
      </c>
      <c r="Q408" s="93">
        <f>IFERROR(IF(Readings[[#This Row],[Obs. Z]]="","-",Readings[[#This Row],[Obs. Z]]-_xlfn.XLOOKUP(Readings[[#This Row],[Sensor ID]],Table_Baseline[Sensor ID],Table_Baseline[Level '[m']],"-")),"-")</f>
        <v>0</v>
      </c>
      <c r="R408" s="93">
        <f>IFERROR(IF(Readings[[#This Row],[Reference Angle]]="-","-",(Readings[[#This Row],[Diff E]]*COS(RADIANS(Readings[[#This Row],[Reference Angle]]))-Readings[[#This Row],[Diff N]]*SIN(RADIANS(Readings[[#This Row],[Reference Angle]])))),"-")</f>
        <v>0</v>
      </c>
      <c r="S408" s="93">
        <f>IFERROR(IF(Readings[[#This Row],[Reference Angle]]="-","-",(Readings[[#This Row],[Diff E]]*SIN(RADIANS(Readings[[#This Row],[Reference Angle]]))+Readings[[#This Row],[Diff N]]*COS(RADIANS(Readings[[#This Row],[Reference Angle]])))),"-")</f>
        <v>3.0000000260770321E-3</v>
      </c>
      <c r="T408" s="94">
        <f>IFERROR(VLOOKUP(Readings[[#This Row],[Sensor ID]],Table_Baseline[],COLUMNS(Table_Baseline[[#Headers],[Sensor ID]:[Reference Angle '[Deg']]]),FALSE),"-")</f>
        <v>0</v>
      </c>
      <c r="U408" s="95" t="str">
        <f>Readings[[#This Row],[Sensor ID]]&amp;"-"&amp;Readings[[#This Row],[Epoch]]</f>
        <v>250-RL-OP-11017-45790.2708333333</v>
      </c>
      <c r="V408" s="99">
        <f ca="1">IF(Readings[[#This Row],[Epoch]]=OFFSET(Readings[[#This Row],[Epoch]],-1,0),0,1)</f>
        <v>0</v>
      </c>
    </row>
    <row r="409" spans="4:22" x14ac:dyDescent="0.2">
      <c r="D409" s="32">
        <v>45790.270833333336</v>
      </c>
      <c r="E409" s="33" t="s">
        <v>187</v>
      </c>
      <c r="F409" s="34">
        <v>60057.578000000001</v>
      </c>
      <c r="G409" s="34">
        <v>363838.10100000002</v>
      </c>
      <c r="H409" s="34">
        <v>18.776</v>
      </c>
      <c r="I409" s="33" t="s">
        <v>85</v>
      </c>
      <c r="J409" s="33" t="s">
        <v>90</v>
      </c>
      <c r="K409" s="33">
        <v>14.3</v>
      </c>
      <c r="L409" s="33">
        <v>1020</v>
      </c>
      <c r="M409" s="33">
        <v>92</v>
      </c>
      <c r="N409" s="33"/>
      <c r="O409" s="93">
        <f>IFERROR(IF(Readings[[#This Row],[Obs. X]]="","-",Readings[[#This Row],[Obs. X]]-_xlfn.XLOOKUP(Readings[[#This Row],[Sensor ID]],Table_Baseline[Sensor ID],Table_Baseline[Easting '[m']],"-")),"-")</f>
        <v>-9.9999999656574801E-4</v>
      </c>
      <c r="P409" s="93">
        <f>IFERROR(IF(Readings[[#This Row],[Obs. Y]]="","-",Readings[[#This Row],[Obs. Y]]-_xlfn.XLOOKUP(Readings[[#This Row],[Sensor ID]],Table_Baseline[Sensor ID],Table_Baseline[Northing '[m']],"-")),"-")</f>
        <v>3.0000000260770321E-3</v>
      </c>
      <c r="Q409" s="93">
        <f>IFERROR(IF(Readings[[#This Row],[Obs. Z]]="","-",Readings[[#This Row],[Obs. Z]]-_xlfn.XLOOKUP(Readings[[#This Row],[Sensor ID]],Table_Baseline[Sensor ID],Table_Baseline[Level '[m']],"-")),"-")</f>
        <v>0</v>
      </c>
      <c r="R409" s="93">
        <f>IFERROR(IF(Readings[[#This Row],[Reference Angle]]="-","-",(Readings[[#This Row],[Diff E]]*COS(RADIANS(Readings[[#This Row],[Reference Angle]]))-Readings[[#This Row],[Diff N]]*SIN(RADIANS(Readings[[#This Row],[Reference Angle]])))),"-")</f>
        <v>-9.9999999656574801E-4</v>
      </c>
      <c r="S409" s="93">
        <f>IFERROR(IF(Readings[[#This Row],[Reference Angle]]="-","-",(Readings[[#This Row],[Diff E]]*SIN(RADIANS(Readings[[#This Row],[Reference Angle]]))+Readings[[#This Row],[Diff N]]*COS(RADIANS(Readings[[#This Row],[Reference Angle]])))),"-")</f>
        <v>3.0000000260770321E-3</v>
      </c>
      <c r="T409" s="94">
        <f>IFERROR(VLOOKUP(Readings[[#This Row],[Sensor ID]],Table_Baseline[],COLUMNS(Table_Baseline[[#Headers],[Sensor ID]:[Reference Angle '[Deg']]]),FALSE),"-")</f>
        <v>0</v>
      </c>
      <c r="U409" s="95" t="str">
        <f>Readings[[#This Row],[Sensor ID]]&amp;"-"&amp;Readings[[#This Row],[Epoch]]</f>
        <v>250-RL-OP-11018-45790.2708333333</v>
      </c>
      <c r="V409" s="99">
        <f ca="1">IF(Readings[[#This Row],[Epoch]]=OFFSET(Readings[[#This Row],[Epoch]],-1,0),0,1)</f>
        <v>0</v>
      </c>
    </row>
    <row r="410" spans="4:22" x14ac:dyDescent="0.2">
      <c r="D410" s="32">
        <v>45790.270833333336</v>
      </c>
      <c r="E410" s="33" t="s">
        <v>190</v>
      </c>
      <c r="F410" s="34">
        <v>60060.962</v>
      </c>
      <c r="G410" s="34">
        <v>363838.603</v>
      </c>
      <c r="H410" s="34">
        <v>18.794</v>
      </c>
      <c r="I410" s="33" t="s">
        <v>85</v>
      </c>
      <c r="J410" s="33" t="s">
        <v>90</v>
      </c>
      <c r="K410" s="33">
        <v>14.3</v>
      </c>
      <c r="L410" s="33">
        <v>1020</v>
      </c>
      <c r="M410" s="33">
        <v>92</v>
      </c>
      <c r="N410" s="33"/>
      <c r="O410" s="93">
        <f>IFERROR(IF(Readings[[#This Row],[Obs. X]]="","-",Readings[[#This Row],[Obs. X]]-_xlfn.XLOOKUP(Readings[[#This Row],[Sensor ID]],Table_Baseline[Sensor ID],Table_Baseline[Easting '[m']],"-")),"-")</f>
        <v>-1.0000000038417056E-3</v>
      </c>
      <c r="P410" s="93">
        <f>IFERROR(IF(Readings[[#This Row],[Obs. Y]]="","-",Readings[[#This Row],[Obs. Y]]-_xlfn.XLOOKUP(Readings[[#This Row],[Sensor ID]],Table_Baseline[Sensor ID],Table_Baseline[Northing '[m']],"-")),"-")</f>
        <v>1.9999999785795808E-3</v>
      </c>
      <c r="Q410" s="93">
        <f>IFERROR(IF(Readings[[#This Row],[Obs. Z]]="","-",Readings[[#This Row],[Obs. Z]]-_xlfn.XLOOKUP(Readings[[#This Row],[Sensor ID]],Table_Baseline[Sensor ID],Table_Baseline[Level '[m']],"-")),"-")</f>
        <v>-5.9999999999860165E-4</v>
      </c>
      <c r="R410" s="93">
        <f>IFERROR(IF(Readings[[#This Row],[Reference Angle]]="-","-",(Readings[[#This Row],[Diff E]]*COS(RADIANS(Readings[[#This Row],[Reference Angle]]))-Readings[[#This Row],[Diff N]]*SIN(RADIANS(Readings[[#This Row],[Reference Angle]])))),"-")</f>
        <v>-1.0000000038417056E-3</v>
      </c>
      <c r="S410" s="93">
        <f>IFERROR(IF(Readings[[#This Row],[Reference Angle]]="-","-",(Readings[[#This Row],[Diff E]]*SIN(RADIANS(Readings[[#This Row],[Reference Angle]]))+Readings[[#This Row],[Diff N]]*COS(RADIANS(Readings[[#This Row],[Reference Angle]])))),"-")</f>
        <v>1.9999999785795808E-3</v>
      </c>
      <c r="T410" s="94">
        <f>IFERROR(VLOOKUP(Readings[[#This Row],[Sensor ID]],Table_Baseline[],COLUMNS(Table_Baseline[[#Headers],[Sensor ID]:[Reference Angle '[Deg']]]),FALSE),"-")</f>
        <v>0</v>
      </c>
      <c r="U410" s="95" t="str">
        <f>Readings[[#This Row],[Sensor ID]]&amp;"-"&amp;Readings[[#This Row],[Epoch]]</f>
        <v>250-RL-OP-11019-45790.2708333333</v>
      </c>
      <c r="V410" s="99">
        <f ca="1">IF(Readings[[#This Row],[Epoch]]=OFFSET(Readings[[#This Row],[Epoch]],-1,0),0,1)</f>
        <v>0</v>
      </c>
    </row>
    <row r="411" spans="4:22" x14ac:dyDescent="0.2">
      <c r="D411" s="32">
        <v>45790.270833333336</v>
      </c>
      <c r="E411" s="33" t="s">
        <v>189</v>
      </c>
      <c r="F411" s="34">
        <v>60060.639999999999</v>
      </c>
      <c r="G411" s="34">
        <v>363837.32500000001</v>
      </c>
      <c r="H411" s="34">
        <v>18.783000000000001</v>
      </c>
      <c r="I411" s="33" t="s">
        <v>85</v>
      </c>
      <c r="J411" s="33" t="s">
        <v>90</v>
      </c>
      <c r="K411" s="33">
        <v>14.3</v>
      </c>
      <c r="L411" s="33">
        <v>1020</v>
      </c>
      <c r="M411" s="33">
        <v>92</v>
      </c>
      <c r="N411" s="33"/>
      <c r="O411" s="93">
        <f>IFERROR(IF(Readings[[#This Row],[Obs. X]]="","-",Readings[[#This Row],[Obs. X]]-_xlfn.XLOOKUP(Readings[[#This Row],[Sensor ID]],Table_Baseline[Sensor ID],Table_Baseline[Easting '[m']],"-")),"-")</f>
        <v>0</v>
      </c>
      <c r="P411" s="93">
        <f>IFERROR(IF(Readings[[#This Row],[Obs. Y]]="","-",Readings[[#This Row],[Obs. Y]]-_xlfn.XLOOKUP(Readings[[#This Row],[Sensor ID]],Table_Baseline[Sensor ID],Table_Baseline[Northing '[m']],"-")),"-")</f>
        <v>3.0000000260770321E-3</v>
      </c>
      <c r="Q411" s="93">
        <f>IFERROR(IF(Readings[[#This Row],[Obs. Z]]="","-",Readings[[#This Row],[Obs. Z]]-_xlfn.XLOOKUP(Readings[[#This Row],[Sensor ID]],Table_Baseline[Sensor ID],Table_Baseline[Level '[m']],"-")),"-")</f>
        <v>-5.9999999999860165E-4</v>
      </c>
      <c r="R411" s="93">
        <f>IFERROR(IF(Readings[[#This Row],[Reference Angle]]="-","-",(Readings[[#This Row],[Diff E]]*COS(RADIANS(Readings[[#This Row],[Reference Angle]]))-Readings[[#This Row],[Diff N]]*SIN(RADIANS(Readings[[#This Row],[Reference Angle]])))),"-")</f>
        <v>0</v>
      </c>
      <c r="S411" s="93">
        <f>IFERROR(IF(Readings[[#This Row],[Reference Angle]]="-","-",(Readings[[#This Row],[Diff E]]*SIN(RADIANS(Readings[[#This Row],[Reference Angle]]))+Readings[[#This Row],[Diff N]]*COS(RADIANS(Readings[[#This Row],[Reference Angle]])))),"-")</f>
        <v>3.0000000260770321E-3</v>
      </c>
      <c r="T411" s="94">
        <f>IFERROR(VLOOKUP(Readings[[#This Row],[Sensor ID]],Table_Baseline[],COLUMNS(Table_Baseline[[#Headers],[Sensor ID]:[Reference Angle '[Deg']]]),FALSE),"-")</f>
        <v>0</v>
      </c>
      <c r="U411" s="95" t="str">
        <f>Readings[[#This Row],[Sensor ID]]&amp;"-"&amp;Readings[[#This Row],[Epoch]]</f>
        <v>250-RL-OP-11020-45790.2708333333</v>
      </c>
      <c r="V411" s="99">
        <f ca="1">IF(Readings[[#This Row],[Epoch]]=OFFSET(Readings[[#This Row],[Epoch]],-1,0),0,1)</f>
        <v>0</v>
      </c>
    </row>
    <row r="412" spans="4:22" x14ac:dyDescent="0.2">
      <c r="D412" s="32">
        <v>45790.270833333336</v>
      </c>
      <c r="E412" s="33" t="s">
        <v>192</v>
      </c>
      <c r="F412" s="34">
        <v>60063.75</v>
      </c>
      <c r="G412" s="34">
        <v>363837.92000000004</v>
      </c>
      <c r="H412" s="34">
        <v>18.808</v>
      </c>
      <c r="I412" s="33" t="s">
        <v>85</v>
      </c>
      <c r="J412" s="33" t="s">
        <v>90</v>
      </c>
      <c r="K412" s="33">
        <v>14.3</v>
      </c>
      <c r="L412" s="33">
        <v>1020</v>
      </c>
      <c r="M412" s="33">
        <v>92</v>
      </c>
      <c r="N412" s="33"/>
      <c r="O412" s="93">
        <f>IFERROR(IF(Readings[[#This Row],[Obs. X]]="","-",Readings[[#This Row],[Obs. X]]-_xlfn.XLOOKUP(Readings[[#This Row],[Sensor ID]],Table_Baseline[Sensor ID],Table_Baseline[Easting '[m']],"-")),"-")</f>
        <v>-9.9999999656574801E-4</v>
      </c>
      <c r="P412" s="93">
        <f>IFERROR(IF(Readings[[#This Row],[Obs. Y]]="","-",Readings[[#This Row],[Obs. Y]]-_xlfn.XLOOKUP(Readings[[#This Row],[Sensor ID]],Table_Baseline[Sensor ID],Table_Baseline[Northing '[m']],"-")),"-")</f>
        <v>2.0000000367872417E-3</v>
      </c>
      <c r="Q412" s="93">
        <f>IFERROR(IF(Readings[[#This Row],[Obs. Z]]="","-",Readings[[#This Row],[Obs. Z]]-_xlfn.XLOOKUP(Readings[[#This Row],[Sensor ID]],Table_Baseline[Sensor ID],Table_Baseline[Level '[m']],"-")),"-")</f>
        <v>-1.0000000000012221E-3</v>
      </c>
      <c r="R412" s="93">
        <f>IFERROR(IF(Readings[[#This Row],[Reference Angle]]="-","-",(Readings[[#This Row],[Diff E]]*COS(RADIANS(Readings[[#This Row],[Reference Angle]]))-Readings[[#This Row],[Diff N]]*SIN(RADIANS(Readings[[#This Row],[Reference Angle]])))),"-")</f>
        <v>-9.9999999656574801E-4</v>
      </c>
      <c r="S412" s="93">
        <f>IFERROR(IF(Readings[[#This Row],[Reference Angle]]="-","-",(Readings[[#This Row],[Diff E]]*SIN(RADIANS(Readings[[#This Row],[Reference Angle]]))+Readings[[#This Row],[Diff N]]*COS(RADIANS(Readings[[#This Row],[Reference Angle]])))),"-")</f>
        <v>2.0000000367872417E-3</v>
      </c>
      <c r="T412" s="94">
        <f>IFERROR(VLOOKUP(Readings[[#This Row],[Sensor ID]],Table_Baseline[],COLUMNS(Table_Baseline[[#Headers],[Sensor ID]:[Reference Angle '[Deg']]]),FALSE),"-")</f>
        <v>0</v>
      </c>
      <c r="U412" s="95" t="str">
        <f>Readings[[#This Row],[Sensor ID]]&amp;"-"&amp;Readings[[#This Row],[Epoch]]</f>
        <v>250-RL-OP-11021-45790.2708333333</v>
      </c>
      <c r="V412" s="99">
        <f ca="1">IF(Readings[[#This Row],[Epoch]]=OFFSET(Readings[[#This Row],[Epoch]],-1,0),0,1)</f>
        <v>0</v>
      </c>
    </row>
    <row r="413" spans="4:22" x14ac:dyDescent="0.2">
      <c r="D413" s="32">
        <v>45790.270833333336</v>
      </c>
      <c r="E413" s="33" t="s">
        <v>191</v>
      </c>
      <c r="F413" s="34">
        <v>60063.421000000002</v>
      </c>
      <c r="G413" s="34">
        <v>363836.63899999997</v>
      </c>
      <c r="H413" s="34">
        <v>18.794</v>
      </c>
      <c r="I413" s="33" t="s">
        <v>85</v>
      </c>
      <c r="J413" s="33" t="s">
        <v>90</v>
      </c>
      <c r="K413" s="33">
        <v>14.3</v>
      </c>
      <c r="L413" s="33">
        <v>1020</v>
      </c>
      <c r="M413" s="33">
        <v>92</v>
      </c>
      <c r="N413" s="33"/>
      <c r="O413" s="93">
        <f>IFERROR(IF(Readings[[#This Row],[Obs. X]]="","-",Readings[[#This Row],[Obs. X]]-_xlfn.XLOOKUP(Readings[[#This Row],[Sensor ID]],Table_Baseline[Sensor ID],Table_Baseline[Easting '[m']],"-")),"-")</f>
        <v>-9.9999999656574801E-4</v>
      </c>
      <c r="P413" s="93">
        <f>IFERROR(IF(Readings[[#This Row],[Obs. Y]]="","-",Readings[[#This Row],[Obs. Y]]-_xlfn.XLOOKUP(Readings[[#This Row],[Sensor ID]],Table_Baseline[Sensor ID],Table_Baseline[Northing '[m']],"-")),"-")</f>
        <v>2.9999999678693712E-3</v>
      </c>
      <c r="Q413" s="93">
        <f>IFERROR(IF(Readings[[#This Row],[Obs. Z]]="","-",Readings[[#This Row],[Obs. Z]]-_xlfn.XLOOKUP(Readings[[#This Row],[Sensor ID]],Table_Baseline[Sensor ID],Table_Baseline[Level '[m']],"-")),"-")</f>
        <v>-8.9999999999790248E-4</v>
      </c>
      <c r="R413" s="93">
        <f>IFERROR(IF(Readings[[#This Row],[Reference Angle]]="-","-",(Readings[[#This Row],[Diff E]]*COS(RADIANS(Readings[[#This Row],[Reference Angle]]))-Readings[[#This Row],[Diff N]]*SIN(RADIANS(Readings[[#This Row],[Reference Angle]])))),"-")</f>
        <v>-9.9999999656574801E-4</v>
      </c>
      <c r="S413" s="93">
        <f>IFERROR(IF(Readings[[#This Row],[Reference Angle]]="-","-",(Readings[[#This Row],[Diff E]]*SIN(RADIANS(Readings[[#This Row],[Reference Angle]]))+Readings[[#This Row],[Diff N]]*COS(RADIANS(Readings[[#This Row],[Reference Angle]])))),"-")</f>
        <v>2.9999999678693712E-3</v>
      </c>
      <c r="T413" s="94">
        <f>IFERROR(VLOOKUP(Readings[[#This Row],[Sensor ID]],Table_Baseline[],COLUMNS(Table_Baseline[[#Headers],[Sensor ID]:[Reference Angle '[Deg']]]),FALSE),"-")</f>
        <v>0</v>
      </c>
      <c r="U413" s="95" t="str">
        <f>Readings[[#This Row],[Sensor ID]]&amp;"-"&amp;Readings[[#This Row],[Epoch]]</f>
        <v>250-RL-OP-11022-45790.2708333333</v>
      </c>
      <c r="V413" s="99">
        <f ca="1">IF(Readings[[#This Row],[Epoch]]=OFFSET(Readings[[#This Row],[Epoch]],-1,0),0,1)</f>
        <v>0</v>
      </c>
    </row>
    <row r="414" spans="4:22" x14ac:dyDescent="0.2">
      <c r="D414" s="32">
        <v>45790.270833333336</v>
      </c>
      <c r="E414" s="33" t="s">
        <v>165</v>
      </c>
      <c r="F414" s="34">
        <v>60034.538999999997</v>
      </c>
      <c r="G414" s="34">
        <v>363843.38199999998</v>
      </c>
      <c r="H414" s="34">
        <v>19.332000000000001</v>
      </c>
      <c r="I414" s="33" t="s">
        <v>85</v>
      </c>
      <c r="J414" s="33" t="s">
        <v>90</v>
      </c>
      <c r="K414" s="33">
        <v>14.3</v>
      </c>
      <c r="L414" s="33">
        <v>1020</v>
      </c>
      <c r="M414" s="33">
        <v>92</v>
      </c>
      <c r="N414" s="33"/>
      <c r="O414" s="93" t="str">
        <f>IFERROR(IF(Readings[[#This Row],[Obs. X]]="","-",Readings[[#This Row],[Obs. X]]-_xlfn.XLOOKUP(Readings[[#This Row],[Sensor ID]],Table_Baseline[Sensor ID],Table_Baseline[Easting '[m']],"-")),"-")</f>
        <v>-</v>
      </c>
      <c r="P414" s="93" t="str">
        <f>IFERROR(IF(Readings[[#This Row],[Obs. Y]]="","-",Readings[[#This Row],[Obs. Y]]-_xlfn.XLOOKUP(Readings[[#This Row],[Sensor ID]],Table_Baseline[Sensor ID],Table_Baseline[Northing '[m']],"-")),"-")</f>
        <v>-</v>
      </c>
      <c r="Q414" s="93" t="str">
        <f>IFERROR(IF(Readings[[#This Row],[Obs. Z]]="","-",Readings[[#This Row],[Obs. Z]]-_xlfn.XLOOKUP(Readings[[#This Row],[Sensor ID]],Table_Baseline[Sensor ID],Table_Baseline[Level '[m']],"-")),"-")</f>
        <v>-</v>
      </c>
      <c r="R414" s="93" t="str">
        <f>IFERROR(IF(Readings[[#This Row],[Reference Angle]]="-","-",(Readings[[#This Row],[Diff E]]*COS(RADIANS(Readings[[#This Row],[Reference Angle]]))-Readings[[#This Row],[Diff N]]*SIN(RADIANS(Readings[[#This Row],[Reference Angle]])))),"-")</f>
        <v>-</v>
      </c>
      <c r="S414" s="93" t="str">
        <f>IFERROR(IF(Readings[[#This Row],[Reference Angle]]="-","-",(Readings[[#This Row],[Diff E]]*SIN(RADIANS(Readings[[#This Row],[Reference Angle]]))+Readings[[#This Row],[Diff N]]*COS(RADIANS(Readings[[#This Row],[Reference Angle]])))),"-")</f>
        <v>-</v>
      </c>
      <c r="T414" s="94" t="str">
        <f>IFERROR(VLOOKUP(Readings[[#This Row],[Sensor ID]],Table_Baseline[],COLUMNS(Table_Baseline[[#Headers],[Sensor ID]:[Reference Angle '[Deg']]]),FALSE),"-")</f>
        <v>-</v>
      </c>
      <c r="U414" s="95" t="str">
        <f>Readings[[#This Row],[Sensor ID]]&amp;"-"&amp;Readings[[#This Row],[Epoch]]</f>
        <v>250-ST-OP-500-45790.2708333333</v>
      </c>
      <c r="V414" s="99">
        <f ca="1">IF(Readings[[#This Row],[Epoch]]=OFFSET(Readings[[#This Row],[Epoch]],-1,0),0,1)</f>
        <v>0</v>
      </c>
    </row>
    <row r="415" spans="4:22" x14ac:dyDescent="0.2">
      <c r="D415" s="32">
        <v>45790.270833333336</v>
      </c>
      <c r="E415" s="33" t="s">
        <v>166</v>
      </c>
      <c r="F415" s="34">
        <v>60040.286</v>
      </c>
      <c r="G415" s="34">
        <v>363841.73</v>
      </c>
      <c r="H415" s="34">
        <v>19.321999999999999</v>
      </c>
      <c r="I415" s="33" t="s">
        <v>85</v>
      </c>
      <c r="J415" s="33" t="s">
        <v>90</v>
      </c>
      <c r="K415" s="33">
        <v>14.3</v>
      </c>
      <c r="L415" s="33">
        <v>1020</v>
      </c>
      <c r="M415" s="33">
        <v>92</v>
      </c>
      <c r="N415" s="33"/>
      <c r="O415" s="93" t="str">
        <f>IFERROR(IF(Readings[[#This Row],[Obs. X]]="","-",Readings[[#This Row],[Obs. X]]-_xlfn.XLOOKUP(Readings[[#This Row],[Sensor ID]],Table_Baseline[Sensor ID],Table_Baseline[Easting '[m']],"-")),"-")</f>
        <v>-</v>
      </c>
      <c r="P415" s="93" t="str">
        <f>IFERROR(IF(Readings[[#This Row],[Obs. Y]]="","-",Readings[[#This Row],[Obs. Y]]-_xlfn.XLOOKUP(Readings[[#This Row],[Sensor ID]],Table_Baseline[Sensor ID],Table_Baseline[Northing '[m']],"-")),"-")</f>
        <v>-</v>
      </c>
      <c r="Q415" s="93" t="str">
        <f>IFERROR(IF(Readings[[#This Row],[Obs. Z]]="","-",Readings[[#This Row],[Obs. Z]]-_xlfn.XLOOKUP(Readings[[#This Row],[Sensor ID]],Table_Baseline[Sensor ID],Table_Baseline[Level '[m']],"-")),"-")</f>
        <v>-</v>
      </c>
      <c r="R415" s="93" t="str">
        <f>IFERROR(IF(Readings[[#This Row],[Reference Angle]]="-","-",(Readings[[#This Row],[Diff E]]*COS(RADIANS(Readings[[#This Row],[Reference Angle]]))-Readings[[#This Row],[Diff N]]*SIN(RADIANS(Readings[[#This Row],[Reference Angle]])))),"-")</f>
        <v>-</v>
      </c>
      <c r="S415" s="93" t="str">
        <f>IFERROR(IF(Readings[[#This Row],[Reference Angle]]="-","-",(Readings[[#This Row],[Diff E]]*SIN(RADIANS(Readings[[#This Row],[Reference Angle]]))+Readings[[#This Row],[Diff N]]*COS(RADIANS(Readings[[#This Row],[Reference Angle]])))),"-")</f>
        <v>-</v>
      </c>
      <c r="T415" s="94" t="str">
        <f>IFERROR(VLOOKUP(Readings[[#This Row],[Sensor ID]],Table_Baseline[],COLUMNS(Table_Baseline[[#Headers],[Sensor ID]:[Reference Angle '[Deg']]]),FALSE),"-")</f>
        <v>-</v>
      </c>
      <c r="U415" s="95" t="str">
        <f>Readings[[#This Row],[Sensor ID]]&amp;"-"&amp;Readings[[#This Row],[Epoch]]</f>
        <v>250-ST-OP-501-45790.2708333333</v>
      </c>
      <c r="V415" s="99">
        <f ca="1">IF(Readings[[#This Row],[Epoch]]=OFFSET(Readings[[#This Row],[Epoch]],-1,0),0,1)</f>
        <v>0</v>
      </c>
    </row>
    <row r="416" spans="4:22" x14ac:dyDescent="0.2">
      <c r="D416" s="32">
        <v>45790.270833333336</v>
      </c>
      <c r="E416" s="33" t="s">
        <v>167</v>
      </c>
      <c r="F416" s="34">
        <v>60045.921000000002</v>
      </c>
      <c r="G416" s="34">
        <v>363840.1</v>
      </c>
      <c r="H416" s="34">
        <v>19.334</v>
      </c>
      <c r="I416" s="33" t="s">
        <v>85</v>
      </c>
      <c r="J416" s="33" t="s">
        <v>90</v>
      </c>
      <c r="K416" s="33">
        <v>14.3</v>
      </c>
      <c r="L416" s="33">
        <v>1020</v>
      </c>
      <c r="M416" s="33">
        <v>92</v>
      </c>
      <c r="N416" s="33"/>
      <c r="O416" s="93" t="str">
        <f>IFERROR(IF(Readings[[#This Row],[Obs. X]]="","-",Readings[[#This Row],[Obs. X]]-_xlfn.XLOOKUP(Readings[[#This Row],[Sensor ID]],Table_Baseline[Sensor ID],Table_Baseline[Easting '[m']],"-")),"-")</f>
        <v>-</v>
      </c>
      <c r="P416" s="93" t="str">
        <f>IFERROR(IF(Readings[[#This Row],[Obs. Y]]="","-",Readings[[#This Row],[Obs. Y]]-_xlfn.XLOOKUP(Readings[[#This Row],[Sensor ID]],Table_Baseline[Sensor ID],Table_Baseline[Northing '[m']],"-")),"-")</f>
        <v>-</v>
      </c>
      <c r="Q416" s="93" t="str">
        <f>IFERROR(IF(Readings[[#This Row],[Obs. Z]]="","-",Readings[[#This Row],[Obs. Z]]-_xlfn.XLOOKUP(Readings[[#This Row],[Sensor ID]],Table_Baseline[Sensor ID],Table_Baseline[Level '[m']],"-")),"-")</f>
        <v>-</v>
      </c>
      <c r="R416" s="93" t="str">
        <f>IFERROR(IF(Readings[[#This Row],[Reference Angle]]="-","-",(Readings[[#This Row],[Diff E]]*COS(RADIANS(Readings[[#This Row],[Reference Angle]]))-Readings[[#This Row],[Diff N]]*SIN(RADIANS(Readings[[#This Row],[Reference Angle]])))),"-")</f>
        <v>-</v>
      </c>
      <c r="S416" s="93" t="str">
        <f>IFERROR(IF(Readings[[#This Row],[Reference Angle]]="-","-",(Readings[[#This Row],[Diff E]]*SIN(RADIANS(Readings[[#This Row],[Reference Angle]]))+Readings[[#This Row],[Diff N]]*COS(RADIANS(Readings[[#This Row],[Reference Angle]])))),"-")</f>
        <v>-</v>
      </c>
      <c r="T416" s="94" t="str">
        <f>IFERROR(VLOOKUP(Readings[[#This Row],[Sensor ID]],Table_Baseline[],COLUMNS(Table_Baseline[[#Headers],[Sensor ID]:[Reference Angle '[Deg']]]),FALSE),"-")</f>
        <v>-</v>
      </c>
      <c r="U416" s="95" t="str">
        <f>Readings[[#This Row],[Sensor ID]]&amp;"-"&amp;Readings[[#This Row],[Epoch]]</f>
        <v>250-ST-OP-502-45790.2708333333</v>
      </c>
      <c r="V416" s="99">
        <f ca="1">IF(Readings[[#This Row],[Epoch]]=OFFSET(Readings[[#This Row],[Epoch]],-1,0),0,1)</f>
        <v>0</v>
      </c>
    </row>
    <row r="417" spans="4:22" x14ac:dyDescent="0.2">
      <c r="D417" s="32">
        <v>45790.270833333336</v>
      </c>
      <c r="E417" s="33" t="s">
        <v>168</v>
      </c>
      <c r="F417" s="34">
        <v>60049.767</v>
      </c>
      <c r="G417" s="34">
        <v>363838.99400000001</v>
      </c>
      <c r="H417" s="34">
        <v>19.344999999999999</v>
      </c>
      <c r="I417" s="33" t="s">
        <v>85</v>
      </c>
      <c r="J417" s="33" t="s">
        <v>90</v>
      </c>
      <c r="K417" s="33">
        <v>14.3</v>
      </c>
      <c r="L417" s="33">
        <v>1020</v>
      </c>
      <c r="M417" s="33">
        <v>92</v>
      </c>
      <c r="N417" s="33"/>
      <c r="O417" s="93" t="str">
        <f>IFERROR(IF(Readings[[#This Row],[Obs. X]]="","-",Readings[[#This Row],[Obs. X]]-_xlfn.XLOOKUP(Readings[[#This Row],[Sensor ID]],Table_Baseline[Sensor ID],Table_Baseline[Easting '[m']],"-")),"-")</f>
        <v>-</v>
      </c>
      <c r="P417" s="93" t="str">
        <f>IFERROR(IF(Readings[[#This Row],[Obs. Y]]="","-",Readings[[#This Row],[Obs. Y]]-_xlfn.XLOOKUP(Readings[[#This Row],[Sensor ID]],Table_Baseline[Sensor ID],Table_Baseline[Northing '[m']],"-")),"-")</f>
        <v>-</v>
      </c>
      <c r="Q417" s="93" t="str">
        <f>IFERROR(IF(Readings[[#This Row],[Obs. Z]]="","-",Readings[[#This Row],[Obs. Z]]-_xlfn.XLOOKUP(Readings[[#This Row],[Sensor ID]],Table_Baseline[Sensor ID],Table_Baseline[Level '[m']],"-")),"-")</f>
        <v>-</v>
      </c>
      <c r="R417" s="93" t="str">
        <f>IFERROR(IF(Readings[[#This Row],[Reference Angle]]="-","-",(Readings[[#This Row],[Diff E]]*COS(RADIANS(Readings[[#This Row],[Reference Angle]]))-Readings[[#This Row],[Diff N]]*SIN(RADIANS(Readings[[#This Row],[Reference Angle]])))),"-")</f>
        <v>-</v>
      </c>
      <c r="S417" s="93" t="str">
        <f>IFERROR(IF(Readings[[#This Row],[Reference Angle]]="-","-",(Readings[[#This Row],[Diff E]]*SIN(RADIANS(Readings[[#This Row],[Reference Angle]]))+Readings[[#This Row],[Diff N]]*COS(RADIANS(Readings[[#This Row],[Reference Angle]])))),"-")</f>
        <v>-</v>
      </c>
      <c r="T417" s="94" t="str">
        <f>IFERROR(VLOOKUP(Readings[[#This Row],[Sensor ID]],Table_Baseline[],COLUMNS(Table_Baseline[[#Headers],[Sensor ID]:[Reference Angle '[Deg']]]),FALSE),"-")</f>
        <v>-</v>
      </c>
      <c r="U417" s="95" t="str">
        <f>Readings[[#This Row],[Sensor ID]]&amp;"-"&amp;Readings[[#This Row],[Epoch]]</f>
        <v>250-ST-OP-503-45790.2708333333</v>
      </c>
      <c r="V417" s="99">
        <f ca="1">IF(Readings[[#This Row],[Epoch]]=OFFSET(Readings[[#This Row],[Epoch]],-1,0),0,1)</f>
        <v>0</v>
      </c>
    </row>
    <row r="418" spans="4:22" x14ac:dyDescent="0.2">
      <c r="D418" s="32">
        <v>45790.270833333336</v>
      </c>
      <c r="E418" s="33" t="s">
        <v>169</v>
      </c>
      <c r="F418" s="34">
        <v>60053.608999999997</v>
      </c>
      <c r="G418" s="34">
        <v>363837.88300000003</v>
      </c>
      <c r="H418" s="34">
        <v>19.356999999999999</v>
      </c>
      <c r="I418" s="33" t="s">
        <v>85</v>
      </c>
      <c r="J418" s="33" t="s">
        <v>90</v>
      </c>
      <c r="K418" s="33">
        <v>14.3</v>
      </c>
      <c r="L418" s="33">
        <v>1020</v>
      </c>
      <c r="M418" s="33">
        <v>92</v>
      </c>
      <c r="N418" s="33"/>
      <c r="O418" s="93" t="str">
        <f>IFERROR(IF(Readings[[#This Row],[Obs. X]]="","-",Readings[[#This Row],[Obs. X]]-_xlfn.XLOOKUP(Readings[[#This Row],[Sensor ID]],Table_Baseline[Sensor ID],Table_Baseline[Easting '[m']],"-")),"-")</f>
        <v>-</v>
      </c>
      <c r="P418" s="93" t="str">
        <f>IFERROR(IF(Readings[[#This Row],[Obs. Y]]="","-",Readings[[#This Row],[Obs. Y]]-_xlfn.XLOOKUP(Readings[[#This Row],[Sensor ID]],Table_Baseline[Sensor ID],Table_Baseline[Northing '[m']],"-")),"-")</f>
        <v>-</v>
      </c>
      <c r="Q418" s="93" t="str">
        <f>IFERROR(IF(Readings[[#This Row],[Obs. Z]]="","-",Readings[[#This Row],[Obs. Z]]-_xlfn.XLOOKUP(Readings[[#This Row],[Sensor ID]],Table_Baseline[Sensor ID],Table_Baseline[Level '[m']],"-")),"-")</f>
        <v>-</v>
      </c>
      <c r="R418" s="93" t="str">
        <f>IFERROR(IF(Readings[[#This Row],[Reference Angle]]="-","-",(Readings[[#This Row],[Diff E]]*COS(RADIANS(Readings[[#This Row],[Reference Angle]]))-Readings[[#This Row],[Diff N]]*SIN(RADIANS(Readings[[#This Row],[Reference Angle]])))),"-")</f>
        <v>-</v>
      </c>
      <c r="S418" s="93" t="str">
        <f>IFERROR(IF(Readings[[#This Row],[Reference Angle]]="-","-",(Readings[[#This Row],[Diff E]]*SIN(RADIANS(Readings[[#This Row],[Reference Angle]]))+Readings[[#This Row],[Diff N]]*COS(RADIANS(Readings[[#This Row],[Reference Angle]])))),"-")</f>
        <v>-</v>
      </c>
      <c r="T418" s="94" t="str">
        <f>IFERROR(VLOOKUP(Readings[[#This Row],[Sensor ID]],Table_Baseline[],COLUMNS(Table_Baseline[[#Headers],[Sensor ID]:[Reference Angle '[Deg']]]),FALSE),"-")</f>
        <v>-</v>
      </c>
      <c r="U418" s="95" t="str">
        <f>Readings[[#This Row],[Sensor ID]]&amp;"-"&amp;Readings[[#This Row],[Epoch]]</f>
        <v>250-ST-OP-504-45790.2708333333</v>
      </c>
      <c r="V418" s="99">
        <f ca="1">IF(Readings[[#This Row],[Epoch]]=OFFSET(Readings[[#This Row],[Epoch]],-1,0),0,1)</f>
        <v>0</v>
      </c>
    </row>
    <row r="419" spans="4:22" x14ac:dyDescent="0.2">
      <c r="D419" s="204">
        <v>45790.270833333336</v>
      </c>
      <c r="E419" s="151" t="s">
        <v>170</v>
      </c>
      <c r="F419" s="152">
        <v>60060.065000000002</v>
      </c>
      <c r="G419" s="152">
        <v>363836.02399999998</v>
      </c>
      <c r="H419" s="152">
        <v>19.356999999999999</v>
      </c>
      <c r="I419" s="151" t="s">
        <v>85</v>
      </c>
      <c r="J419" s="151" t="s">
        <v>90</v>
      </c>
      <c r="K419" s="151">
        <v>14.3</v>
      </c>
      <c r="L419" s="151">
        <v>1020</v>
      </c>
      <c r="M419" s="151">
        <v>92</v>
      </c>
      <c r="N419" s="151"/>
      <c r="O419" s="96" t="str">
        <f>IFERROR(IF(Readings[[#This Row],[Obs. X]]="","-",Readings[[#This Row],[Obs. X]]-_xlfn.XLOOKUP(Readings[[#This Row],[Sensor ID]],Table_Baseline[Sensor ID],Table_Baseline[Easting '[m']],"-")),"-")</f>
        <v>-</v>
      </c>
      <c r="P419" s="96" t="str">
        <f>IFERROR(IF(Readings[[#This Row],[Obs. Y]]="","-",Readings[[#This Row],[Obs. Y]]-_xlfn.XLOOKUP(Readings[[#This Row],[Sensor ID]],Table_Baseline[Sensor ID],Table_Baseline[Northing '[m']],"-")),"-")</f>
        <v>-</v>
      </c>
      <c r="Q419" s="96" t="str">
        <f>IFERROR(IF(Readings[[#This Row],[Obs. Z]]="","-",Readings[[#This Row],[Obs. Z]]-_xlfn.XLOOKUP(Readings[[#This Row],[Sensor ID]],Table_Baseline[Sensor ID],Table_Baseline[Level '[m']],"-")),"-")</f>
        <v>-</v>
      </c>
      <c r="R419" s="96" t="str">
        <f>IFERROR(IF(Readings[[#This Row],[Reference Angle]]="-","-",(Readings[[#This Row],[Diff E]]*COS(RADIANS(Readings[[#This Row],[Reference Angle]]))-Readings[[#This Row],[Diff N]]*SIN(RADIANS(Readings[[#This Row],[Reference Angle]])))),"-")</f>
        <v>-</v>
      </c>
      <c r="S419" s="96" t="str">
        <f>IFERROR(IF(Readings[[#This Row],[Reference Angle]]="-","-",(Readings[[#This Row],[Diff E]]*SIN(RADIANS(Readings[[#This Row],[Reference Angle]]))+Readings[[#This Row],[Diff N]]*COS(RADIANS(Readings[[#This Row],[Reference Angle]])))),"-")</f>
        <v>-</v>
      </c>
      <c r="T419" s="97" t="str">
        <f>IFERROR(VLOOKUP(Readings[[#This Row],[Sensor ID]],Table_Baseline[],COLUMNS(Table_Baseline[[#Headers],[Sensor ID]:[Reference Angle '[Deg']]]),FALSE),"-")</f>
        <v>-</v>
      </c>
      <c r="U419" s="98" t="str">
        <f>Readings[[#This Row],[Sensor ID]]&amp;"-"&amp;Readings[[#This Row],[Epoch]]</f>
        <v>250-ST-OP-505-45790.2708333333</v>
      </c>
      <c r="V419" s="100">
        <f ca="1">IF(Readings[[#This Row],[Epoch]]=OFFSET(Readings[[#This Row],[Epoch]],-1,0),0,1)</f>
        <v>0</v>
      </c>
    </row>
    <row r="420" spans="4:22" x14ac:dyDescent="0.2">
      <c r="D420" s="32">
        <v>45791.270833333336</v>
      </c>
      <c r="E420" s="33" t="s">
        <v>172</v>
      </c>
      <c r="F420" s="34">
        <v>60035.339</v>
      </c>
      <c r="G420" s="34">
        <v>363845.73800000001</v>
      </c>
      <c r="H420" s="34">
        <v>18.783000000000001</v>
      </c>
      <c r="I420" s="33" t="s">
        <v>85</v>
      </c>
      <c r="J420" s="33" t="s">
        <v>90</v>
      </c>
      <c r="K420" s="33">
        <v>14.3</v>
      </c>
      <c r="L420" s="33">
        <v>1020</v>
      </c>
      <c r="M420" s="33">
        <v>92</v>
      </c>
      <c r="N420" s="33"/>
      <c r="O420" s="93">
        <f>IFERROR(IF(Readings[[#This Row],[Obs. X]]="","-",Readings[[#This Row],[Obs. X]]-_xlfn.XLOOKUP(Readings[[#This Row],[Sensor ID]],Table_Baseline[Sensor ID],Table_Baseline[Easting '[m']],"-")),"-")</f>
        <v>-9.9999999656574801E-4</v>
      </c>
      <c r="P420" s="93">
        <f>IFERROR(IF(Readings[[#This Row],[Obs. Y]]="","-",Readings[[#This Row],[Obs. Y]]-_xlfn.XLOOKUP(Readings[[#This Row],[Sensor ID]],Table_Baseline[Sensor ID],Table_Baseline[Northing '[m']],"-")),"-")</f>
        <v>-9.9999998928979039E-4</v>
      </c>
      <c r="Q420" s="93">
        <f>IFERROR(IF(Readings[[#This Row],[Obs. Z]]="","-",Readings[[#This Row],[Obs. Z]]-_xlfn.XLOOKUP(Readings[[#This Row],[Sensor ID]],Table_Baseline[Sensor ID],Table_Baseline[Level '[m']],"-")),"-")</f>
        <v>1.0000000000012221E-3</v>
      </c>
      <c r="R420" s="93">
        <f>IFERROR(IF(Readings[[#This Row],[Reference Angle]]="-","-",(Readings[[#This Row],[Diff E]]*COS(RADIANS(Readings[[#This Row],[Reference Angle]]))-Readings[[#This Row],[Diff N]]*SIN(RADIANS(Readings[[#This Row],[Reference Angle]])))),"-")</f>
        <v>-9.9999999656574801E-4</v>
      </c>
      <c r="S420" s="93">
        <f>IFERROR(IF(Readings[[#This Row],[Reference Angle]]="-","-",(Readings[[#This Row],[Diff E]]*SIN(RADIANS(Readings[[#This Row],[Reference Angle]]))+Readings[[#This Row],[Diff N]]*COS(RADIANS(Readings[[#This Row],[Reference Angle]])))),"-")</f>
        <v>-9.9999998928979039E-4</v>
      </c>
      <c r="T420" s="94">
        <f>IFERROR(VLOOKUP(Readings[[#This Row],[Sensor ID]],Table_Baseline[],COLUMNS(Table_Baseline[[#Headers],[Sensor ID]:[Reference Angle '[Deg']]]),FALSE),"-")</f>
        <v>0</v>
      </c>
      <c r="U420" s="95" t="str">
        <f>Readings[[#This Row],[Sensor ID]]&amp;"-"&amp;Readings[[#This Row],[Epoch]]</f>
        <v>250-RL-OP-11001-45791.2708333333</v>
      </c>
      <c r="V420" s="99">
        <f ca="1">IF(Readings[[#This Row],[Epoch]]=OFFSET(Readings[[#This Row],[Epoch]],-1,0),0,1)</f>
        <v>1</v>
      </c>
    </row>
    <row r="421" spans="4:22" x14ac:dyDescent="0.2">
      <c r="D421" s="32">
        <v>45791.270833333336</v>
      </c>
      <c r="E421" s="33" t="s">
        <v>171</v>
      </c>
      <c r="F421" s="34">
        <v>60034.957999999999</v>
      </c>
      <c r="G421" s="34">
        <v>363844.47100000002</v>
      </c>
      <c r="H421" s="34">
        <v>18.777999999999999</v>
      </c>
      <c r="I421" s="33" t="s">
        <v>85</v>
      </c>
      <c r="J421" s="33" t="s">
        <v>90</v>
      </c>
      <c r="K421" s="33">
        <v>14.3</v>
      </c>
      <c r="L421" s="33">
        <v>1020</v>
      </c>
      <c r="M421" s="33">
        <v>92</v>
      </c>
      <c r="N421" s="33"/>
      <c r="O421" s="93">
        <f>IFERROR(IF(Readings[[#This Row],[Obs. X]]="","-",Readings[[#This Row],[Obs. X]]-_xlfn.XLOOKUP(Readings[[#This Row],[Sensor ID]],Table_Baseline[Sensor ID],Table_Baseline[Easting '[m']],"-")),"-")</f>
        <v>-1.0000000038417056E-3</v>
      </c>
      <c r="P421" s="93">
        <f>IFERROR(IF(Readings[[#This Row],[Obs. Y]]="","-",Readings[[#This Row],[Obs. Y]]-_xlfn.XLOOKUP(Readings[[#This Row],[Sensor ID]],Table_Baseline[Sensor ID],Table_Baseline[Northing '[m']],"-")),"-")</f>
        <v>0</v>
      </c>
      <c r="Q421" s="93">
        <f>IFERROR(IF(Readings[[#This Row],[Obs. Z]]="","-",Readings[[#This Row],[Obs. Z]]-_xlfn.XLOOKUP(Readings[[#This Row],[Sensor ID]],Table_Baseline[Sensor ID],Table_Baseline[Level '[m']],"-")),"-")</f>
        <v>-9.9999999999766942E-5</v>
      </c>
      <c r="R421" s="93">
        <f>IFERROR(IF(Readings[[#This Row],[Reference Angle]]="-","-",(Readings[[#This Row],[Diff E]]*COS(RADIANS(Readings[[#This Row],[Reference Angle]]))-Readings[[#This Row],[Diff N]]*SIN(RADIANS(Readings[[#This Row],[Reference Angle]])))),"-")</f>
        <v>-1.0000000038417056E-3</v>
      </c>
      <c r="S421" s="93">
        <f>IFERROR(IF(Readings[[#This Row],[Reference Angle]]="-","-",(Readings[[#This Row],[Diff E]]*SIN(RADIANS(Readings[[#This Row],[Reference Angle]]))+Readings[[#This Row],[Diff N]]*COS(RADIANS(Readings[[#This Row],[Reference Angle]])))),"-")</f>
        <v>0</v>
      </c>
      <c r="T421" s="94">
        <f>IFERROR(VLOOKUP(Readings[[#This Row],[Sensor ID]],Table_Baseline[],COLUMNS(Table_Baseline[[#Headers],[Sensor ID]:[Reference Angle '[Deg']]]),FALSE),"-")</f>
        <v>0</v>
      </c>
      <c r="U421" s="95" t="str">
        <f>Readings[[#This Row],[Sensor ID]]&amp;"-"&amp;Readings[[#This Row],[Epoch]]</f>
        <v>250-RL-OP-11002-45791.2708333333</v>
      </c>
      <c r="V421" s="99">
        <f ca="1">IF(Readings[[#This Row],[Epoch]]=OFFSET(Readings[[#This Row],[Epoch]],-1,0),0,1)</f>
        <v>0</v>
      </c>
    </row>
    <row r="422" spans="4:22" x14ac:dyDescent="0.2">
      <c r="D422" s="32">
        <v>45791.270833333336</v>
      </c>
      <c r="E422" s="33" t="s">
        <v>174</v>
      </c>
      <c r="F422" s="34">
        <v>60038.116999999998</v>
      </c>
      <c r="G422" s="34">
        <v>363844.94500000001</v>
      </c>
      <c r="H422" s="34">
        <v>18.779</v>
      </c>
      <c r="I422" s="33" t="s">
        <v>85</v>
      </c>
      <c r="J422" s="33" t="s">
        <v>90</v>
      </c>
      <c r="K422" s="33">
        <v>14.3</v>
      </c>
      <c r="L422" s="33">
        <v>1020</v>
      </c>
      <c r="M422" s="33">
        <v>92</v>
      </c>
      <c r="N422" s="33"/>
      <c r="O422" s="93">
        <f>IFERROR(IF(Readings[[#This Row],[Obs. X]]="","-",Readings[[#This Row],[Obs. X]]-_xlfn.XLOOKUP(Readings[[#This Row],[Sensor ID]],Table_Baseline[Sensor ID],Table_Baseline[Easting '[m']],"-")),"-")</f>
        <v>-1.0000000038417056E-3</v>
      </c>
      <c r="P422" s="93">
        <f>IFERROR(IF(Readings[[#This Row],[Obs. Y]]="","-",Readings[[#This Row],[Obs. Y]]-_xlfn.XLOOKUP(Readings[[#This Row],[Sensor ID]],Table_Baseline[Sensor ID],Table_Baseline[Northing '[m']],"-")),"-")</f>
        <v>0</v>
      </c>
      <c r="Q422" s="93">
        <f>IFERROR(IF(Readings[[#This Row],[Obs. Z]]="","-",Readings[[#This Row],[Obs. Z]]-_xlfn.XLOOKUP(Readings[[#This Row],[Sensor ID]],Table_Baseline[Sensor ID],Table_Baseline[Level '[m']],"-")),"-")</f>
        <v>1.9999999999953388E-4</v>
      </c>
      <c r="R422" s="93">
        <f>IFERROR(IF(Readings[[#This Row],[Reference Angle]]="-","-",(Readings[[#This Row],[Diff E]]*COS(RADIANS(Readings[[#This Row],[Reference Angle]]))-Readings[[#This Row],[Diff N]]*SIN(RADIANS(Readings[[#This Row],[Reference Angle]])))),"-")</f>
        <v>-1.0000000038417056E-3</v>
      </c>
      <c r="S422" s="93">
        <f>IFERROR(IF(Readings[[#This Row],[Reference Angle]]="-","-",(Readings[[#This Row],[Diff E]]*SIN(RADIANS(Readings[[#This Row],[Reference Angle]]))+Readings[[#This Row],[Diff N]]*COS(RADIANS(Readings[[#This Row],[Reference Angle]])))),"-")</f>
        <v>0</v>
      </c>
      <c r="T422" s="94">
        <f>IFERROR(VLOOKUP(Readings[[#This Row],[Sensor ID]],Table_Baseline[],COLUMNS(Table_Baseline[[#Headers],[Sensor ID]:[Reference Angle '[Deg']]]),FALSE),"-")</f>
        <v>0</v>
      </c>
      <c r="U422" s="95" t="str">
        <f>Readings[[#This Row],[Sensor ID]]&amp;"-"&amp;Readings[[#This Row],[Epoch]]</f>
        <v>250-RL-OP-11003-45791.2708333333</v>
      </c>
      <c r="V422" s="99">
        <f ca="1">IF(Readings[[#This Row],[Epoch]]=OFFSET(Readings[[#This Row],[Epoch]],-1,0),0,1)</f>
        <v>0</v>
      </c>
    </row>
    <row r="423" spans="4:22" x14ac:dyDescent="0.2">
      <c r="D423" s="32">
        <v>45791.270833333336</v>
      </c>
      <c r="E423" s="33" t="s">
        <v>173</v>
      </c>
      <c r="F423" s="34">
        <v>60037.803999999996</v>
      </c>
      <c r="G423" s="34">
        <v>363843.658</v>
      </c>
      <c r="H423" s="34">
        <v>18.779</v>
      </c>
      <c r="I423" s="33" t="s">
        <v>85</v>
      </c>
      <c r="J423" s="33" t="s">
        <v>90</v>
      </c>
      <c r="K423" s="33">
        <v>14.3</v>
      </c>
      <c r="L423" s="33">
        <v>1020</v>
      </c>
      <c r="M423" s="33">
        <v>92</v>
      </c>
      <c r="N423" s="33"/>
      <c r="O423" s="93">
        <f>IFERROR(IF(Readings[[#This Row],[Obs. X]]="","-",Readings[[#This Row],[Obs. X]]-_xlfn.XLOOKUP(Readings[[#This Row],[Sensor ID]],Table_Baseline[Sensor ID],Table_Baseline[Easting '[m']],"-")),"-")</f>
        <v>-1.0000000038417056E-3</v>
      </c>
      <c r="P423" s="93">
        <f>IFERROR(IF(Readings[[#This Row],[Obs. Y]]="","-",Readings[[#This Row],[Obs. Y]]-_xlfn.XLOOKUP(Readings[[#This Row],[Sensor ID]],Table_Baseline[Sensor ID],Table_Baseline[Northing '[m']],"-")),"-")</f>
        <v>9.9999998928979039E-4</v>
      </c>
      <c r="Q423" s="93">
        <f>IFERROR(IF(Readings[[#This Row],[Obs. Z]]="","-",Readings[[#This Row],[Obs. Z]]-_xlfn.XLOOKUP(Readings[[#This Row],[Sensor ID]],Table_Baseline[Sensor ID],Table_Baseline[Level '[m']],"-")),"-")</f>
        <v>4.9999999999883471E-4</v>
      </c>
      <c r="R423" s="93">
        <f>IFERROR(IF(Readings[[#This Row],[Reference Angle]]="-","-",(Readings[[#This Row],[Diff E]]*COS(RADIANS(Readings[[#This Row],[Reference Angle]]))-Readings[[#This Row],[Diff N]]*SIN(RADIANS(Readings[[#This Row],[Reference Angle]])))),"-")</f>
        <v>-1.0000000038417056E-3</v>
      </c>
      <c r="S423" s="93">
        <f>IFERROR(IF(Readings[[#This Row],[Reference Angle]]="-","-",(Readings[[#This Row],[Diff E]]*SIN(RADIANS(Readings[[#This Row],[Reference Angle]]))+Readings[[#This Row],[Diff N]]*COS(RADIANS(Readings[[#This Row],[Reference Angle]])))),"-")</f>
        <v>9.9999998928979039E-4</v>
      </c>
      <c r="T423" s="94">
        <f>IFERROR(VLOOKUP(Readings[[#This Row],[Sensor ID]],Table_Baseline[],COLUMNS(Table_Baseline[[#Headers],[Sensor ID]:[Reference Angle '[Deg']]]),FALSE),"-")</f>
        <v>0</v>
      </c>
      <c r="U423" s="95" t="str">
        <f>Readings[[#This Row],[Sensor ID]]&amp;"-"&amp;Readings[[#This Row],[Epoch]]</f>
        <v>250-RL-OP-11004-45791.2708333333</v>
      </c>
      <c r="V423" s="99">
        <f ca="1">IF(Readings[[#This Row],[Epoch]]=OFFSET(Readings[[#This Row],[Epoch]],-1,0),0,1)</f>
        <v>0</v>
      </c>
    </row>
    <row r="424" spans="4:22" x14ac:dyDescent="0.2">
      <c r="D424" s="32">
        <v>45791.270833333336</v>
      </c>
      <c r="E424" s="33" t="s">
        <v>176</v>
      </c>
      <c r="F424" s="34">
        <v>60040.968000000001</v>
      </c>
      <c r="G424" s="34">
        <v>363844.11800000002</v>
      </c>
      <c r="H424" s="34">
        <v>18.779</v>
      </c>
      <c r="I424" s="33" t="s">
        <v>85</v>
      </c>
      <c r="J424" s="33" t="s">
        <v>90</v>
      </c>
      <c r="K424" s="33">
        <v>14.3</v>
      </c>
      <c r="L424" s="33">
        <v>1020</v>
      </c>
      <c r="M424" s="33">
        <v>92</v>
      </c>
      <c r="N424" s="33"/>
      <c r="O424" s="93">
        <f>IFERROR(IF(Readings[[#This Row],[Obs. X]]="","-",Readings[[#This Row],[Obs. X]]-_xlfn.XLOOKUP(Readings[[#This Row],[Sensor ID]],Table_Baseline[Sensor ID],Table_Baseline[Easting '[m']],"-")),"-")</f>
        <v>-9.9999999656574801E-4</v>
      </c>
      <c r="P424" s="93">
        <f>IFERROR(IF(Readings[[#This Row],[Obs. Y]]="","-",Readings[[#This Row],[Obs. Y]]-_xlfn.XLOOKUP(Readings[[#This Row],[Sensor ID]],Table_Baseline[Sensor ID],Table_Baseline[Northing '[m']],"-")),"-")</f>
        <v>0</v>
      </c>
      <c r="Q424" s="93">
        <f>IFERROR(IF(Readings[[#This Row],[Obs. Z]]="","-",Readings[[#This Row],[Obs. Z]]-_xlfn.XLOOKUP(Readings[[#This Row],[Sensor ID]],Table_Baseline[Sensor ID],Table_Baseline[Level '[m']],"-")),"-")</f>
        <v>0</v>
      </c>
      <c r="R424" s="93">
        <f>IFERROR(IF(Readings[[#This Row],[Reference Angle]]="-","-",(Readings[[#This Row],[Diff E]]*COS(RADIANS(Readings[[#This Row],[Reference Angle]]))-Readings[[#This Row],[Diff N]]*SIN(RADIANS(Readings[[#This Row],[Reference Angle]])))),"-")</f>
        <v>-9.9999999656574801E-4</v>
      </c>
      <c r="S424" s="93">
        <f>IFERROR(IF(Readings[[#This Row],[Reference Angle]]="-","-",(Readings[[#This Row],[Diff E]]*SIN(RADIANS(Readings[[#This Row],[Reference Angle]]))+Readings[[#This Row],[Diff N]]*COS(RADIANS(Readings[[#This Row],[Reference Angle]])))),"-")</f>
        <v>0</v>
      </c>
      <c r="T424" s="94">
        <f>IFERROR(VLOOKUP(Readings[[#This Row],[Sensor ID]],Table_Baseline[],COLUMNS(Table_Baseline[[#Headers],[Sensor ID]:[Reference Angle '[Deg']]]),FALSE),"-")</f>
        <v>0</v>
      </c>
      <c r="U424" s="95" t="str">
        <f>Readings[[#This Row],[Sensor ID]]&amp;"-"&amp;Readings[[#This Row],[Epoch]]</f>
        <v>250-RL-OP-11005-45791.2708333333</v>
      </c>
      <c r="V424" s="99">
        <f ca="1">IF(Readings[[#This Row],[Epoch]]=OFFSET(Readings[[#This Row],[Epoch]],-1,0),0,1)</f>
        <v>0</v>
      </c>
    </row>
    <row r="425" spans="4:22" x14ac:dyDescent="0.2">
      <c r="D425" s="32">
        <v>45791.270833333336</v>
      </c>
      <c r="E425" s="33" t="s">
        <v>175</v>
      </c>
      <c r="F425" s="34">
        <v>60040.606</v>
      </c>
      <c r="G425" s="34">
        <v>363842.86199999996</v>
      </c>
      <c r="H425" s="34">
        <v>18.771999999999998</v>
      </c>
      <c r="I425" s="33" t="s">
        <v>85</v>
      </c>
      <c r="J425" s="33" t="s">
        <v>90</v>
      </c>
      <c r="K425" s="33">
        <v>14.3</v>
      </c>
      <c r="L425" s="33">
        <v>1020</v>
      </c>
      <c r="M425" s="33">
        <v>92</v>
      </c>
      <c r="N425" s="33"/>
      <c r="O425" s="93">
        <f>IFERROR(IF(Readings[[#This Row],[Obs. X]]="","-",Readings[[#This Row],[Obs. X]]-_xlfn.XLOOKUP(Readings[[#This Row],[Sensor ID]],Table_Baseline[Sensor ID],Table_Baseline[Easting '[m']],"-")),"-")</f>
        <v>-1.0000000038417056E-3</v>
      </c>
      <c r="P425" s="93">
        <f>IFERROR(IF(Readings[[#This Row],[Obs. Y]]="","-",Readings[[#This Row],[Obs. Y]]-_xlfn.XLOOKUP(Readings[[#This Row],[Sensor ID]],Table_Baseline[Sensor ID],Table_Baseline[Northing '[m']],"-")),"-")</f>
        <v>9.9999993108212948E-4</v>
      </c>
      <c r="Q425" s="93">
        <f>IFERROR(IF(Readings[[#This Row],[Obs. Z]]="","-",Readings[[#This Row],[Obs. Z]]-_xlfn.XLOOKUP(Readings[[#This Row],[Sensor ID]],Table_Baseline[Sensor ID],Table_Baseline[Level '[m']],"-")),"-")</f>
        <v>0</v>
      </c>
      <c r="R425" s="93">
        <f>IFERROR(IF(Readings[[#This Row],[Reference Angle]]="-","-",(Readings[[#This Row],[Diff E]]*COS(RADIANS(Readings[[#This Row],[Reference Angle]]))-Readings[[#This Row],[Diff N]]*SIN(RADIANS(Readings[[#This Row],[Reference Angle]])))),"-")</f>
        <v>-1.0000000038417056E-3</v>
      </c>
      <c r="S425" s="93">
        <f>IFERROR(IF(Readings[[#This Row],[Reference Angle]]="-","-",(Readings[[#This Row],[Diff E]]*SIN(RADIANS(Readings[[#This Row],[Reference Angle]]))+Readings[[#This Row],[Diff N]]*COS(RADIANS(Readings[[#This Row],[Reference Angle]])))),"-")</f>
        <v>9.9999993108212948E-4</v>
      </c>
      <c r="T425" s="94">
        <f>IFERROR(VLOOKUP(Readings[[#This Row],[Sensor ID]],Table_Baseline[],COLUMNS(Table_Baseline[[#Headers],[Sensor ID]:[Reference Angle '[Deg']]]),FALSE),"-")</f>
        <v>0</v>
      </c>
      <c r="U425" s="95" t="str">
        <f>Readings[[#This Row],[Sensor ID]]&amp;"-"&amp;Readings[[#This Row],[Epoch]]</f>
        <v>250-RL-OP-11006-45791.2708333333</v>
      </c>
      <c r="V425" s="99">
        <f ca="1">IF(Readings[[#This Row],[Epoch]]=OFFSET(Readings[[#This Row],[Epoch]],-1,0),0,1)</f>
        <v>0</v>
      </c>
    </row>
    <row r="426" spans="4:22" x14ac:dyDescent="0.2">
      <c r="D426" s="32">
        <v>45791.270833333336</v>
      </c>
      <c r="E426" s="33" t="s">
        <v>178</v>
      </c>
      <c r="F426" s="34">
        <v>60043.758000000002</v>
      </c>
      <c r="G426" s="34">
        <v>363843.315</v>
      </c>
      <c r="H426" s="34">
        <v>18.774000000000001</v>
      </c>
      <c r="I426" s="33" t="s">
        <v>85</v>
      </c>
      <c r="J426" s="33" t="s">
        <v>90</v>
      </c>
      <c r="K426" s="33">
        <v>14.3</v>
      </c>
      <c r="L426" s="33">
        <v>1020</v>
      </c>
      <c r="M426" s="33">
        <v>92</v>
      </c>
      <c r="N426" s="33"/>
      <c r="O426" s="93">
        <f>IFERROR(IF(Readings[[#This Row],[Obs. X]]="","-",Readings[[#This Row],[Obs. X]]-_xlfn.XLOOKUP(Readings[[#This Row],[Sensor ID]],Table_Baseline[Sensor ID],Table_Baseline[Easting '[m']],"-")),"-")</f>
        <v>-9.9999999656574801E-4</v>
      </c>
      <c r="P426" s="93">
        <f>IFERROR(IF(Readings[[#This Row],[Obs. Y]]="","-",Readings[[#This Row],[Obs. Y]]-_xlfn.XLOOKUP(Readings[[#This Row],[Sensor ID]],Table_Baseline[Sensor ID],Table_Baseline[Northing '[m']],"-")),"-")</f>
        <v>9.9999998928979039E-4</v>
      </c>
      <c r="Q426" s="93">
        <f>IFERROR(IF(Readings[[#This Row],[Obs. Z]]="","-",Readings[[#This Row],[Obs. Z]]-_xlfn.XLOOKUP(Readings[[#This Row],[Sensor ID]],Table_Baseline[Sensor ID],Table_Baseline[Level '[m']],"-")),"-")</f>
        <v>-9.9999999999766942E-5</v>
      </c>
      <c r="R426" s="93">
        <f>IFERROR(IF(Readings[[#This Row],[Reference Angle]]="-","-",(Readings[[#This Row],[Diff E]]*COS(RADIANS(Readings[[#This Row],[Reference Angle]]))-Readings[[#This Row],[Diff N]]*SIN(RADIANS(Readings[[#This Row],[Reference Angle]])))),"-")</f>
        <v>-9.9999999656574801E-4</v>
      </c>
      <c r="S426" s="93">
        <f>IFERROR(IF(Readings[[#This Row],[Reference Angle]]="-","-",(Readings[[#This Row],[Diff E]]*SIN(RADIANS(Readings[[#This Row],[Reference Angle]]))+Readings[[#This Row],[Diff N]]*COS(RADIANS(Readings[[#This Row],[Reference Angle]])))),"-")</f>
        <v>9.9999998928979039E-4</v>
      </c>
      <c r="T426" s="94">
        <f>IFERROR(VLOOKUP(Readings[[#This Row],[Sensor ID]],Table_Baseline[],COLUMNS(Table_Baseline[[#Headers],[Sensor ID]:[Reference Angle '[Deg']]]),FALSE),"-")</f>
        <v>0</v>
      </c>
      <c r="U426" s="95" t="str">
        <f>Readings[[#This Row],[Sensor ID]]&amp;"-"&amp;Readings[[#This Row],[Epoch]]</f>
        <v>250-RL-OP-11007-45791.2708333333</v>
      </c>
      <c r="V426" s="99">
        <f ca="1">IF(Readings[[#This Row],[Epoch]]=OFFSET(Readings[[#This Row],[Epoch]],-1,0),0,1)</f>
        <v>0</v>
      </c>
    </row>
    <row r="427" spans="4:22" x14ac:dyDescent="0.2">
      <c r="D427" s="32">
        <v>45791.270833333336</v>
      </c>
      <c r="E427" s="33" t="s">
        <v>177</v>
      </c>
      <c r="F427" s="34">
        <v>60043.440999999999</v>
      </c>
      <c r="G427" s="34">
        <v>363842.04200000002</v>
      </c>
      <c r="H427" s="34">
        <v>18.768999999999998</v>
      </c>
      <c r="I427" s="33" t="s">
        <v>85</v>
      </c>
      <c r="J427" s="33" t="s">
        <v>90</v>
      </c>
      <c r="K427" s="33">
        <v>14.3</v>
      </c>
      <c r="L427" s="33">
        <v>1020</v>
      </c>
      <c r="M427" s="33">
        <v>92</v>
      </c>
      <c r="N427" s="33"/>
      <c r="O427" s="93">
        <f>IFERROR(IF(Readings[[#This Row],[Obs. X]]="","-",Readings[[#This Row],[Obs. X]]-_xlfn.XLOOKUP(Readings[[#This Row],[Sensor ID]],Table_Baseline[Sensor ID],Table_Baseline[Easting '[m']],"-")),"-")</f>
        <v>0</v>
      </c>
      <c r="P427" s="93">
        <f>IFERROR(IF(Readings[[#This Row],[Obs. Y]]="","-",Readings[[#This Row],[Obs. Y]]-_xlfn.XLOOKUP(Readings[[#This Row],[Sensor ID]],Table_Baseline[Sensor ID],Table_Baseline[Northing '[m']],"-")),"-")</f>
        <v>1.9999999785795808E-3</v>
      </c>
      <c r="Q427" s="93">
        <f>IFERROR(IF(Readings[[#This Row],[Obs. Z]]="","-",Readings[[#This Row],[Obs. Z]]-_xlfn.XLOOKUP(Readings[[#This Row],[Sensor ID]],Table_Baseline[Sensor ID],Table_Baseline[Level '[m']],"-")),"-")</f>
        <v>6.9999999999836859E-4</v>
      </c>
      <c r="R427" s="93">
        <f>IFERROR(IF(Readings[[#This Row],[Reference Angle]]="-","-",(Readings[[#This Row],[Diff E]]*COS(RADIANS(Readings[[#This Row],[Reference Angle]]))-Readings[[#This Row],[Diff N]]*SIN(RADIANS(Readings[[#This Row],[Reference Angle]])))),"-")</f>
        <v>0</v>
      </c>
      <c r="S427" s="93">
        <f>IFERROR(IF(Readings[[#This Row],[Reference Angle]]="-","-",(Readings[[#This Row],[Diff E]]*SIN(RADIANS(Readings[[#This Row],[Reference Angle]]))+Readings[[#This Row],[Diff N]]*COS(RADIANS(Readings[[#This Row],[Reference Angle]])))),"-")</f>
        <v>1.9999999785795808E-3</v>
      </c>
      <c r="T427" s="94">
        <f>IFERROR(VLOOKUP(Readings[[#This Row],[Sensor ID]],Table_Baseline[],COLUMNS(Table_Baseline[[#Headers],[Sensor ID]:[Reference Angle '[Deg']]]),FALSE),"-")</f>
        <v>0</v>
      </c>
      <c r="U427" s="95" t="str">
        <f>Readings[[#This Row],[Sensor ID]]&amp;"-"&amp;Readings[[#This Row],[Epoch]]</f>
        <v>250-RL-OP-11008-45791.2708333333</v>
      </c>
      <c r="V427" s="99">
        <f ca="1">IF(Readings[[#This Row],[Epoch]]=OFFSET(Readings[[#This Row],[Epoch]],-1,0),0,1)</f>
        <v>0</v>
      </c>
    </row>
    <row r="428" spans="4:22" x14ac:dyDescent="0.2">
      <c r="D428" s="32">
        <v>45791.270833333336</v>
      </c>
      <c r="E428" s="33" t="s">
        <v>180</v>
      </c>
      <c r="F428" s="34">
        <v>60046.633000000002</v>
      </c>
      <c r="G428" s="34">
        <v>363842.48600000003</v>
      </c>
      <c r="H428" s="34">
        <v>18.777999999999999</v>
      </c>
      <c r="I428" s="33" t="s">
        <v>85</v>
      </c>
      <c r="J428" s="33" t="s">
        <v>90</v>
      </c>
      <c r="K428" s="33">
        <v>14.3</v>
      </c>
      <c r="L428" s="33">
        <v>1020</v>
      </c>
      <c r="M428" s="33">
        <v>92</v>
      </c>
      <c r="N428" s="33"/>
      <c r="O428" s="93">
        <f>IFERROR(IF(Readings[[#This Row],[Obs. X]]="","-",Readings[[#This Row],[Obs. X]]-_xlfn.XLOOKUP(Readings[[#This Row],[Sensor ID]],Table_Baseline[Sensor ID],Table_Baseline[Easting '[m']],"-")),"-")</f>
        <v>0</v>
      </c>
      <c r="P428" s="93">
        <f>IFERROR(IF(Readings[[#This Row],[Obs. Y]]="","-",Readings[[#This Row],[Obs. Y]]-_xlfn.XLOOKUP(Readings[[#This Row],[Sensor ID]],Table_Baseline[Sensor ID],Table_Baseline[Northing '[m']],"-")),"-")</f>
        <v>1.0000000474974513E-3</v>
      </c>
      <c r="Q428" s="93">
        <f>IFERROR(IF(Readings[[#This Row],[Obs. Z]]="","-",Readings[[#This Row],[Obs. Z]]-_xlfn.XLOOKUP(Readings[[#This Row],[Sensor ID]],Table_Baseline[Sensor ID],Table_Baseline[Level '[m']],"-")),"-")</f>
        <v>3.9999999999906777E-4</v>
      </c>
      <c r="R428" s="93">
        <f>IFERROR(IF(Readings[[#This Row],[Reference Angle]]="-","-",(Readings[[#This Row],[Diff E]]*COS(RADIANS(Readings[[#This Row],[Reference Angle]]))-Readings[[#This Row],[Diff N]]*SIN(RADIANS(Readings[[#This Row],[Reference Angle]])))),"-")</f>
        <v>0</v>
      </c>
      <c r="S428" s="93">
        <f>IFERROR(IF(Readings[[#This Row],[Reference Angle]]="-","-",(Readings[[#This Row],[Diff E]]*SIN(RADIANS(Readings[[#This Row],[Reference Angle]]))+Readings[[#This Row],[Diff N]]*COS(RADIANS(Readings[[#This Row],[Reference Angle]])))),"-")</f>
        <v>1.0000000474974513E-3</v>
      </c>
      <c r="T428" s="94">
        <f>IFERROR(VLOOKUP(Readings[[#This Row],[Sensor ID]],Table_Baseline[],COLUMNS(Table_Baseline[[#Headers],[Sensor ID]:[Reference Angle '[Deg']]]),FALSE),"-")</f>
        <v>0</v>
      </c>
      <c r="U428" s="95" t="str">
        <f>Readings[[#This Row],[Sensor ID]]&amp;"-"&amp;Readings[[#This Row],[Epoch]]</f>
        <v>250-RL-OP-11009-45791.2708333333</v>
      </c>
      <c r="V428" s="99">
        <f ca="1">IF(Readings[[#This Row],[Epoch]]=OFFSET(Readings[[#This Row],[Epoch]],-1,0),0,1)</f>
        <v>0</v>
      </c>
    </row>
    <row r="429" spans="4:22" x14ac:dyDescent="0.2">
      <c r="D429" s="32">
        <v>45791.270833333336</v>
      </c>
      <c r="E429" s="33" t="s">
        <v>179</v>
      </c>
      <c r="F429" s="34">
        <v>60046.249000000003</v>
      </c>
      <c r="G429" s="34">
        <v>363841.22700000001</v>
      </c>
      <c r="H429" s="34">
        <v>18.77</v>
      </c>
      <c r="I429" s="33" t="s">
        <v>85</v>
      </c>
      <c r="J429" s="33" t="s">
        <v>90</v>
      </c>
      <c r="K429" s="33">
        <v>14.3</v>
      </c>
      <c r="L429" s="33">
        <v>1020</v>
      </c>
      <c r="M429" s="33">
        <v>92</v>
      </c>
      <c r="N429" s="33"/>
      <c r="O429" s="93">
        <f>IFERROR(IF(Readings[[#This Row],[Obs. X]]="","-",Readings[[#This Row],[Obs. X]]-_xlfn.XLOOKUP(Readings[[#This Row],[Sensor ID]],Table_Baseline[Sensor ID],Table_Baseline[Easting '[m']],"-")),"-")</f>
        <v>-9.9999999656574801E-4</v>
      </c>
      <c r="P429" s="93">
        <f>IFERROR(IF(Readings[[#This Row],[Obs. Y]]="","-",Readings[[#This Row],[Obs. Y]]-_xlfn.XLOOKUP(Readings[[#This Row],[Sensor ID]],Table_Baseline[Sensor ID],Table_Baseline[Northing '[m']],"-")),"-")</f>
        <v>9.9999998928979039E-4</v>
      </c>
      <c r="Q429" s="93">
        <f>IFERROR(IF(Readings[[#This Row],[Obs. Z]]="","-",Readings[[#This Row],[Obs. Z]]-_xlfn.XLOOKUP(Readings[[#This Row],[Sensor ID]],Table_Baseline[Sensor ID],Table_Baseline[Level '[m']],"-")),"-")</f>
        <v>1.9999999999953388E-4</v>
      </c>
      <c r="R429" s="93">
        <f>IFERROR(IF(Readings[[#This Row],[Reference Angle]]="-","-",(Readings[[#This Row],[Diff E]]*COS(RADIANS(Readings[[#This Row],[Reference Angle]]))-Readings[[#This Row],[Diff N]]*SIN(RADIANS(Readings[[#This Row],[Reference Angle]])))),"-")</f>
        <v>-9.9999999656574801E-4</v>
      </c>
      <c r="S429" s="93">
        <f>IFERROR(IF(Readings[[#This Row],[Reference Angle]]="-","-",(Readings[[#This Row],[Diff E]]*SIN(RADIANS(Readings[[#This Row],[Reference Angle]]))+Readings[[#This Row],[Diff N]]*COS(RADIANS(Readings[[#This Row],[Reference Angle]])))),"-")</f>
        <v>9.9999998928979039E-4</v>
      </c>
      <c r="T429" s="94">
        <f>IFERROR(VLOOKUP(Readings[[#This Row],[Sensor ID]],Table_Baseline[],COLUMNS(Table_Baseline[[#Headers],[Sensor ID]:[Reference Angle '[Deg']]]),FALSE),"-")</f>
        <v>0</v>
      </c>
      <c r="U429" s="95" t="str">
        <f>Readings[[#This Row],[Sensor ID]]&amp;"-"&amp;Readings[[#This Row],[Epoch]]</f>
        <v>250-RL-OP-11010-45791.2708333333</v>
      </c>
      <c r="V429" s="99">
        <f ca="1">IF(Readings[[#This Row],[Epoch]]=OFFSET(Readings[[#This Row],[Epoch]],-1,0),0,1)</f>
        <v>0</v>
      </c>
    </row>
    <row r="430" spans="4:22" x14ac:dyDescent="0.2">
      <c r="D430" s="32">
        <v>45791.270833333336</v>
      </c>
      <c r="E430" s="33" t="s">
        <v>182</v>
      </c>
      <c r="F430" s="34">
        <v>60049.398000000001</v>
      </c>
      <c r="G430" s="34">
        <v>363841.69900000002</v>
      </c>
      <c r="H430" s="34">
        <v>18.777999999999999</v>
      </c>
      <c r="I430" s="33" t="s">
        <v>85</v>
      </c>
      <c r="J430" s="33" t="s">
        <v>90</v>
      </c>
      <c r="K430" s="33">
        <v>14.3</v>
      </c>
      <c r="L430" s="33">
        <v>1020</v>
      </c>
      <c r="M430" s="33">
        <v>92</v>
      </c>
      <c r="N430" s="33"/>
      <c r="O430" s="93">
        <f>IFERROR(IF(Readings[[#This Row],[Obs. X]]="","-",Readings[[#This Row],[Obs. X]]-_xlfn.XLOOKUP(Readings[[#This Row],[Sensor ID]],Table_Baseline[Sensor ID],Table_Baseline[Easting '[m']],"-")),"-")</f>
        <v>-9.9999999656574801E-4</v>
      </c>
      <c r="P430" s="93">
        <f>IFERROR(IF(Readings[[#This Row],[Obs. Y]]="","-",Readings[[#This Row],[Obs. Y]]-_xlfn.XLOOKUP(Readings[[#This Row],[Sensor ID]],Table_Baseline[Sensor ID],Table_Baseline[Northing '[m']],"-")),"-")</f>
        <v>1.0000000474974513E-3</v>
      </c>
      <c r="Q430" s="93">
        <f>IFERROR(IF(Readings[[#This Row],[Obs. Z]]="","-",Readings[[#This Row],[Obs. Z]]-_xlfn.XLOOKUP(Readings[[#This Row],[Sensor ID]],Table_Baseline[Sensor ID],Table_Baseline[Level '[m']],"-")),"-")</f>
        <v>0</v>
      </c>
      <c r="R430" s="93">
        <f>IFERROR(IF(Readings[[#This Row],[Reference Angle]]="-","-",(Readings[[#This Row],[Diff E]]*COS(RADIANS(Readings[[#This Row],[Reference Angle]]))-Readings[[#This Row],[Diff N]]*SIN(RADIANS(Readings[[#This Row],[Reference Angle]])))),"-")</f>
        <v>-9.9999999656574801E-4</v>
      </c>
      <c r="S430" s="93">
        <f>IFERROR(IF(Readings[[#This Row],[Reference Angle]]="-","-",(Readings[[#This Row],[Diff E]]*SIN(RADIANS(Readings[[#This Row],[Reference Angle]]))+Readings[[#This Row],[Diff N]]*COS(RADIANS(Readings[[#This Row],[Reference Angle]])))),"-")</f>
        <v>1.0000000474974513E-3</v>
      </c>
      <c r="T430" s="94">
        <f>IFERROR(VLOOKUP(Readings[[#This Row],[Sensor ID]],Table_Baseline[],COLUMNS(Table_Baseline[[#Headers],[Sensor ID]:[Reference Angle '[Deg']]]),FALSE),"-")</f>
        <v>0</v>
      </c>
      <c r="U430" s="95" t="str">
        <f>Readings[[#This Row],[Sensor ID]]&amp;"-"&amp;Readings[[#This Row],[Epoch]]</f>
        <v>250-RL-OP-11011-45791.2708333333</v>
      </c>
      <c r="V430" s="99">
        <f ca="1">IF(Readings[[#This Row],[Epoch]]=OFFSET(Readings[[#This Row],[Epoch]],-1,0),0,1)</f>
        <v>0</v>
      </c>
    </row>
    <row r="431" spans="4:22" x14ac:dyDescent="0.2">
      <c r="D431" s="32">
        <v>45791.270833333336</v>
      </c>
      <c r="E431" s="33" t="s">
        <v>181</v>
      </c>
      <c r="F431" s="34">
        <v>60049.04</v>
      </c>
      <c r="G431" s="34">
        <v>363840.43599999999</v>
      </c>
      <c r="H431" s="34">
        <v>18.771000000000001</v>
      </c>
      <c r="I431" s="33" t="s">
        <v>85</v>
      </c>
      <c r="J431" s="33" t="s">
        <v>90</v>
      </c>
      <c r="K431" s="33">
        <v>14.3</v>
      </c>
      <c r="L431" s="33">
        <v>1020</v>
      </c>
      <c r="M431" s="33">
        <v>92</v>
      </c>
      <c r="N431" s="33"/>
      <c r="O431" s="93">
        <f>IFERROR(IF(Readings[[#This Row],[Obs. X]]="","-",Readings[[#This Row],[Obs. X]]-_xlfn.XLOOKUP(Readings[[#This Row],[Sensor ID]],Table_Baseline[Sensor ID],Table_Baseline[Easting '[m']],"-")),"-")</f>
        <v>-9.9999999656574801E-4</v>
      </c>
      <c r="P431" s="93">
        <f>IFERROR(IF(Readings[[#This Row],[Obs. Y]]="","-",Readings[[#This Row],[Obs. Y]]-_xlfn.XLOOKUP(Readings[[#This Row],[Sensor ID]],Table_Baseline[Sensor ID],Table_Baseline[Northing '[m']],"-")),"-")</f>
        <v>3.0000000260770321E-3</v>
      </c>
      <c r="Q431" s="93">
        <f>IFERROR(IF(Readings[[#This Row],[Obs. Z]]="","-",Readings[[#This Row],[Obs. Z]]-_xlfn.XLOOKUP(Readings[[#This Row],[Sensor ID]],Table_Baseline[Sensor ID],Table_Baseline[Level '[m']],"-")),"-")</f>
        <v>-9.9999999999766942E-5</v>
      </c>
      <c r="R431" s="93">
        <f>IFERROR(IF(Readings[[#This Row],[Reference Angle]]="-","-",(Readings[[#This Row],[Diff E]]*COS(RADIANS(Readings[[#This Row],[Reference Angle]]))-Readings[[#This Row],[Diff N]]*SIN(RADIANS(Readings[[#This Row],[Reference Angle]])))),"-")</f>
        <v>-9.9999999656574801E-4</v>
      </c>
      <c r="S431" s="93">
        <f>IFERROR(IF(Readings[[#This Row],[Reference Angle]]="-","-",(Readings[[#This Row],[Diff E]]*SIN(RADIANS(Readings[[#This Row],[Reference Angle]]))+Readings[[#This Row],[Diff N]]*COS(RADIANS(Readings[[#This Row],[Reference Angle]])))),"-")</f>
        <v>3.0000000260770321E-3</v>
      </c>
      <c r="T431" s="94">
        <f>IFERROR(VLOOKUP(Readings[[#This Row],[Sensor ID]],Table_Baseline[],COLUMNS(Table_Baseline[[#Headers],[Sensor ID]:[Reference Angle '[Deg']]]),FALSE),"-")</f>
        <v>0</v>
      </c>
      <c r="U431" s="95" t="str">
        <f>Readings[[#This Row],[Sensor ID]]&amp;"-"&amp;Readings[[#This Row],[Epoch]]</f>
        <v>250-RL-OP-11012-45791.2708333333</v>
      </c>
      <c r="V431" s="99">
        <f ca="1">IF(Readings[[#This Row],[Epoch]]=OFFSET(Readings[[#This Row],[Epoch]],-1,0),0,1)</f>
        <v>0</v>
      </c>
    </row>
    <row r="432" spans="4:22" x14ac:dyDescent="0.2">
      <c r="D432" s="32">
        <v>45791.270833333336</v>
      </c>
      <c r="E432" s="33" t="s">
        <v>184</v>
      </c>
      <c r="F432" s="34">
        <v>60052.292000000001</v>
      </c>
      <c r="G432" s="34">
        <v>363840.88699999999</v>
      </c>
      <c r="H432" s="34">
        <v>18.779</v>
      </c>
      <c r="I432" s="33" t="s">
        <v>85</v>
      </c>
      <c r="J432" s="33" t="s">
        <v>90</v>
      </c>
      <c r="K432" s="33">
        <v>14.3</v>
      </c>
      <c r="L432" s="33">
        <v>1020</v>
      </c>
      <c r="M432" s="33">
        <v>92</v>
      </c>
      <c r="N432" s="33"/>
      <c r="O432" s="93">
        <f>IFERROR(IF(Readings[[#This Row],[Obs. X]]="","-",Readings[[#This Row],[Obs. X]]-_xlfn.XLOOKUP(Readings[[#This Row],[Sensor ID]],Table_Baseline[Sensor ID],Table_Baseline[Easting '[m']],"-")),"-")</f>
        <v>-9.9999999656574801E-4</v>
      </c>
      <c r="P432" s="93">
        <f>IFERROR(IF(Readings[[#This Row],[Obs. Y]]="","-",Readings[[#This Row],[Obs. Y]]-_xlfn.XLOOKUP(Readings[[#This Row],[Sensor ID]],Table_Baseline[Sensor ID],Table_Baseline[Northing '[m']],"-")),"-")</f>
        <v>1.9999999785795808E-3</v>
      </c>
      <c r="Q432" s="93">
        <f>IFERROR(IF(Readings[[#This Row],[Obs. Z]]="","-",Readings[[#This Row],[Obs. Z]]-_xlfn.XLOOKUP(Readings[[#This Row],[Sensor ID]],Table_Baseline[Sensor ID],Table_Baseline[Level '[m']],"-")),"-")</f>
        <v>0</v>
      </c>
      <c r="R432" s="93">
        <f>IFERROR(IF(Readings[[#This Row],[Reference Angle]]="-","-",(Readings[[#This Row],[Diff E]]*COS(RADIANS(Readings[[#This Row],[Reference Angle]]))-Readings[[#This Row],[Diff N]]*SIN(RADIANS(Readings[[#This Row],[Reference Angle]])))),"-")</f>
        <v>-9.9999999656574801E-4</v>
      </c>
      <c r="S432" s="93">
        <f>IFERROR(IF(Readings[[#This Row],[Reference Angle]]="-","-",(Readings[[#This Row],[Diff E]]*SIN(RADIANS(Readings[[#This Row],[Reference Angle]]))+Readings[[#This Row],[Diff N]]*COS(RADIANS(Readings[[#This Row],[Reference Angle]])))),"-")</f>
        <v>1.9999999785795808E-3</v>
      </c>
      <c r="T432" s="94">
        <f>IFERROR(VLOOKUP(Readings[[#This Row],[Sensor ID]],Table_Baseline[],COLUMNS(Table_Baseline[[#Headers],[Sensor ID]:[Reference Angle '[Deg']]]),FALSE),"-")</f>
        <v>0</v>
      </c>
      <c r="U432" s="95" t="str">
        <f>Readings[[#This Row],[Sensor ID]]&amp;"-"&amp;Readings[[#This Row],[Epoch]]</f>
        <v>250-RL-OP-11013-45791.2708333333</v>
      </c>
      <c r="V432" s="99">
        <f ca="1">IF(Readings[[#This Row],[Epoch]]=OFFSET(Readings[[#This Row],[Epoch]],-1,0),0,1)</f>
        <v>0</v>
      </c>
    </row>
    <row r="433" spans="4:22" x14ac:dyDescent="0.2">
      <c r="D433" s="32">
        <v>45791.270833333336</v>
      </c>
      <c r="E433" s="33" t="s">
        <v>183</v>
      </c>
      <c r="F433" s="34">
        <v>60051.987999999998</v>
      </c>
      <c r="G433" s="34">
        <v>363839.60600000003</v>
      </c>
      <c r="H433" s="34">
        <v>18.77</v>
      </c>
      <c r="I433" s="33" t="s">
        <v>85</v>
      </c>
      <c r="J433" s="33" t="s">
        <v>90</v>
      </c>
      <c r="K433" s="33">
        <v>14.3</v>
      </c>
      <c r="L433" s="33">
        <v>1020</v>
      </c>
      <c r="M433" s="33">
        <v>92</v>
      </c>
      <c r="N433" s="33"/>
      <c r="O433" s="93">
        <f>IFERROR(IF(Readings[[#This Row],[Obs. X]]="","-",Readings[[#This Row],[Obs. X]]-_xlfn.XLOOKUP(Readings[[#This Row],[Sensor ID]],Table_Baseline[Sensor ID],Table_Baseline[Easting '[m']],"-")),"-")</f>
        <v>-1.0000000038417056E-3</v>
      </c>
      <c r="P433" s="93">
        <f>IFERROR(IF(Readings[[#This Row],[Obs. Y]]="","-",Readings[[#This Row],[Obs. Y]]-_xlfn.XLOOKUP(Readings[[#This Row],[Sensor ID]],Table_Baseline[Sensor ID],Table_Baseline[Northing '[m']],"-")),"-")</f>
        <v>3.0000000260770321E-3</v>
      </c>
      <c r="Q433" s="93">
        <f>IFERROR(IF(Readings[[#This Row],[Obs. Z]]="","-",Readings[[#This Row],[Obs. Z]]-_xlfn.XLOOKUP(Readings[[#This Row],[Sensor ID]],Table_Baseline[Sensor ID],Table_Baseline[Level '[m']],"-")),"-")</f>
        <v>-9.9999999999766942E-5</v>
      </c>
      <c r="R433" s="93">
        <f>IFERROR(IF(Readings[[#This Row],[Reference Angle]]="-","-",(Readings[[#This Row],[Diff E]]*COS(RADIANS(Readings[[#This Row],[Reference Angle]]))-Readings[[#This Row],[Diff N]]*SIN(RADIANS(Readings[[#This Row],[Reference Angle]])))),"-")</f>
        <v>-1.0000000038417056E-3</v>
      </c>
      <c r="S433" s="93">
        <f>IFERROR(IF(Readings[[#This Row],[Reference Angle]]="-","-",(Readings[[#This Row],[Diff E]]*SIN(RADIANS(Readings[[#This Row],[Reference Angle]]))+Readings[[#This Row],[Diff N]]*COS(RADIANS(Readings[[#This Row],[Reference Angle]])))),"-")</f>
        <v>3.0000000260770321E-3</v>
      </c>
      <c r="T433" s="94">
        <f>IFERROR(VLOOKUP(Readings[[#This Row],[Sensor ID]],Table_Baseline[],COLUMNS(Table_Baseline[[#Headers],[Sensor ID]:[Reference Angle '[Deg']]]),FALSE),"-")</f>
        <v>0</v>
      </c>
      <c r="U433" s="95" t="str">
        <f>Readings[[#This Row],[Sensor ID]]&amp;"-"&amp;Readings[[#This Row],[Epoch]]</f>
        <v>250-RL-OP-11014-45791.2708333333</v>
      </c>
      <c r="V433" s="99">
        <f ca="1">IF(Readings[[#This Row],[Epoch]]=OFFSET(Readings[[#This Row],[Epoch]],-1,0),0,1)</f>
        <v>0</v>
      </c>
    </row>
    <row r="434" spans="4:22" x14ac:dyDescent="0.2">
      <c r="D434" s="32">
        <v>45791.270833333336</v>
      </c>
      <c r="E434" s="33" t="s">
        <v>186</v>
      </c>
      <c r="F434" s="34">
        <v>60055.196000000004</v>
      </c>
      <c r="G434" s="34">
        <v>363840.09700000001</v>
      </c>
      <c r="H434" s="34">
        <v>18.780999999999999</v>
      </c>
      <c r="I434" s="33" t="s">
        <v>85</v>
      </c>
      <c r="J434" s="33" t="s">
        <v>90</v>
      </c>
      <c r="K434" s="33">
        <v>14.3</v>
      </c>
      <c r="L434" s="33">
        <v>1020</v>
      </c>
      <c r="M434" s="33">
        <v>92</v>
      </c>
      <c r="N434" s="33"/>
      <c r="O434" s="93">
        <f>IFERROR(IF(Readings[[#This Row],[Obs. X]]="","-",Readings[[#This Row],[Obs. X]]-_xlfn.XLOOKUP(Readings[[#This Row],[Sensor ID]],Table_Baseline[Sensor ID],Table_Baseline[Easting '[m']],"-")),"-")</f>
        <v>0</v>
      </c>
      <c r="P434" s="93">
        <f>IFERROR(IF(Readings[[#This Row],[Obs. Y]]="","-",Readings[[#This Row],[Obs. Y]]-_xlfn.XLOOKUP(Readings[[#This Row],[Sensor ID]],Table_Baseline[Sensor ID],Table_Baseline[Northing '[m']],"-")),"-")</f>
        <v>2.0000000367872417E-3</v>
      </c>
      <c r="Q434" s="93">
        <f>IFERROR(IF(Readings[[#This Row],[Obs. Z]]="","-",Readings[[#This Row],[Obs. Z]]-_xlfn.XLOOKUP(Readings[[#This Row],[Sensor ID]],Table_Baseline[Sensor ID],Table_Baseline[Level '[m']],"-")),"-")</f>
        <v>9.9999999999766942E-5</v>
      </c>
      <c r="R434" s="93">
        <f>IFERROR(IF(Readings[[#This Row],[Reference Angle]]="-","-",(Readings[[#This Row],[Diff E]]*COS(RADIANS(Readings[[#This Row],[Reference Angle]]))-Readings[[#This Row],[Diff N]]*SIN(RADIANS(Readings[[#This Row],[Reference Angle]])))),"-")</f>
        <v>0</v>
      </c>
      <c r="S434" s="93">
        <f>IFERROR(IF(Readings[[#This Row],[Reference Angle]]="-","-",(Readings[[#This Row],[Diff E]]*SIN(RADIANS(Readings[[#This Row],[Reference Angle]]))+Readings[[#This Row],[Diff N]]*COS(RADIANS(Readings[[#This Row],[Reference Angle]])))),"-")</f>
        <v>2.0000000367872417E-3</v>
      </c>
      <c r="T434" s="94">
        <f>IFERROR(VLOOKUP(Readings[[#This Row],[Sensor ID]],Table_Baseline[],COLUMNS(Table_Baseline[[#Headers],[Sensor ID]:[Reference Angle '[Deg']]]),FALSE),"-")</f>
        <v>0</v>
      </c>
      <c r="U434" s="95" t="str">
        <f>Readings[[#This Row],[Sensor ID]]&amp;"-"&amp;Readings[[#This Row],[Epoch]]</f>
        <v>250-RL-OP-11015-45791.2708333333</v>
      </c>
      <c r="V434" s="99">
        <f ca="1">IF(Readings[[#This Row],[Epoch]]=OFFSET(Readings[[#This Row],[Epoch]],-1,0),0,1)</f>
        <v>0</v>
      </c>
    </row>
    <row r="435" spans="4:22" x14ac:dyDescent="0.2">
      <c r="D435" s="32">
        <v>45791.270833333336</v>
      </c>
      <c r="E435" s="33" t="s">
        <v>185</v>
      </c>
      <c r="F435" s="34">
        <v>60054.885000000002</v>
      </c>
      <c r="G435" s="34">
        <v>363838.80799999996</v>
      </c>
      <c r="H435" s="34">
        <v>18.773</v>
      </c>
      <c r="I435" s="33" t="s">
        <v>85</v>
      </c>
      <c r="J435" s="33" t="s">
        <v>90</v>
      </c>
      <c r="K435" s="33">
        <v>14.3</v>
      </c>
      <c r="L435" s="33">
        <v>1020</v>
      </c>
      <c r="M435" s="33">
        <v>92</v>
      </c>
      <c r="N435" s="33"/>
      <c r="O435" s="93">
        <f>IFERROR(IF(Readings[[#This Row],[Obs. X]]="","-",Readings[[#This Row],[Obs. X]]-_xlfn.XLOOKUP(Readings[[#This Row],[Sensor ID]],Table_Baseline[Sensor ID],Table_Baseline[Easting '[m']],"-")),"-")</f>
        <v>-9.9999999656574801E-4</v>
      </c>
      <c r="P435" s="93">
        <f>IFERROR(IF(Readings[[#This Row],[Obs. Y]]="","-",Readings[[#This Row],[Obs. Y]]-_xlfn.XLOOKUP(Readings[[#This Row],[Sensor ID]],Table_Baseline[Sensor ID],Table_Baseline[Northing '[m']],"-")),"-")</f>
        <v>2.9999999678693712E-3</v>
      </c>
      <c r="Q435" s="93">
        <f>IFERROR(IF(Readings[[#This Row],[Obs. Z]]="","-",Readings[[#This Row],[Obs. Z]]-_xlfn.XLOOKUP(Readings[[#This Row],[Sensor ID]],Table_Baseline[Sensor ID],Table_Baseline[Level '[m']],"-")),"-")</f>
        <v>-9.9999999999766942E-5</v>
      </c>
      <c r="R435" s="93">
        <f>IFERROR(IF(Readings[[#This Row],[Reference Angle]]="-","-",(Readings[[#This Row],[Diff E]]*COS(RADIANS(Readings[[#This Row],[Reference Angle]]))-Readings[[#This Row],[Diff N]]*SIN(RADIANS(Readings[[#This Row],[Reference Angle]])))),"-")</f>
        <v>-9.9999999656574801E-4</v>
      </c>
      <c r="S435" s="93">
        <f>IFERROR(IF(Readings[[#This Row],[Reference Angle]]="-","-",(Readings[[#This Row],[Diff E]]*SIN(RADIANS(Readings[[#This Row],[Reference Angle]]))+Readings[[#This Row],[Diff N]]*COS(RADIANS(Readings[[#This Row],[Reference Angle]])))),"-")</f>
        <v>2.9999999678693712E-3</v>
      </c>
      <c r="T435" s="94">
        <f>IFERROR(VLOOKUP(Readings[[#This Row],[Sensor ID]],Table_Baseline[],COLUMNS(Table_Baseline[[#Headers],[Sensor ID]:[Reference Angle '[Deg']]]),FALSE),"-")</f>
        <v>0</v>
      </c>
      <c r="U435" s="95" t="str">
        <f>Readings[[#This Row],[Sensor ID]]&amp;"-"&amp;Readings[[#This Row],[Epoch]]</f>
        <v>250-RL-OP-11016-45791.2708333333</v>
      </c>
      <c r="V435" s="99">
        <f ca="1">IF(Readings[[#This Row],[Epoch]]=OFFSET(Readings[[#This Row],[Epoch]],-1,0),0,1)</f>
        <v>0</v>
      </c>
    </row>
    <row r="436" spans="4:22" x14ac:dyDescent="0.2">
      <c r="D436" s="32">
        <v>45791.270833333336</v>
      </c>
      <c r="E436" s="33" t="s">
        <v>188</v>
      </c>
      <c r="F436" s="34">
        <v>60057.951999999997</v>
      </c>
      <c r="G436" s="34">
        <v>363839.36499999999</v>
      </c>
      <c r="H436" s="34">
        <v>18.786000000000001</v>
      </c>
      <c r="I436" s="33" t="s">
        <v>85</v>
      </c>
      <c r="J436" s="33" t="s">
        <v>90</v>
      </c>
      <c r="K436" s="33">
        <v>14.3</v>
      </c>
      <c r="L436" s="33">
        <v>1020</v>
      </c>
      <c r="M436" s="33">
        <v>92</v>
      </c>
      <c r="N436" s="33"/>
      <c r="O436" s="93">
        <f>IFERROR(IF(Readings[[#This Row],[Obs. X]]="","-",Readings[[#This Row],[Obs. X]]-_xlfn.XLOOKUP(Readings[[#This Row],[Sensor ID]],Table_Baseline[Sensor ID],Table_Baseline[Easting '[m']],"-")),"-")</f>
        <v>0</v>
      </c>
      <c r="P436" s="93">
        <f>IFERROR(IF(Readings[[#This Row],[Obs. Y]]="","-",Readings[[#This Row],[Obs. Y]]-_xlfn.XLOOKUP(Readings[[#This Row],[Sensor ID]],Table_Baseline[Sensor ID],Table_Baseline[Northing '[m']],"-")),"-")</f>
        <v>3.0000000260770321E-3</v>
      </c>
      <c r="Q436" s="93">
        <f>IFERROR(IF(Readings[[#This Row],[Obs. Z]]="","-",Readings[[#This Row],[Obs. Z]]-_xlfn.XLOOKUP(Readings[[#This Row],[Sensor ID]],Table_Baseline[Sensor ID],Table_Baseline[Level '[m']],"-")),"-")</f>
        <v>0</v>
      </c>
      <c r="R436" s="93">
        <f>IFERROR(IF(Readings[[#This Row],[Reference Angle]]="-","-",(Readings[[#This Row],[Diff E]]*COS(RADIANS(Readings[[#This Row],[Reference Angle]]))-Readings[[#This Row],[Diff N]]*SIN(RADIANS(Readings[[#This Row],[Reference Angle]])))),"-")</f>
        <v>0</v>
      </c>
      <c r="S436" s="93">
        <f>IFERROR(IF(Readings[[#This Row],[Reference Angle]]="-","-",(Readings[[#This Row],[Diff E]]*SIN(RADIANS(Readings[[#This Row],[Reference Angle]]))+Readings[[#This Row],[Diff N]]*COS(RADIANS(Readings[[#This Row],[Reference Angle]])))),"-")</f>
        <v>3.0000000260770321E-3</v>
      </c>
      <c r="T436" s="94">
        <f>IFERROR(VLOOKUP(Readings[[#This Row],[Sensor ID]],Table_Baseline[],COLUMNS(Table_Baseline[[#Headers],[Sensor ID]:[Reference Angle '[Deg']]]),FALSE),"-")</f>
        <v>0</v>
      </c>
      <c r="U436" s="95" t="str">
        <f>Readings[[#This Row],[Sensor ID]]&amp;"-"&amp;Readings[[#This Row],[Epoch]]</f>
        <v>250-RL-OP-11017-45791.2708333333</v>
      </c>
      <c r="V436" s="99">
        <f ca="1">IF(Readings[[#This Row],[Epoch]]=OFFSET(Readings[[#This Row],[Epoch]],-1,0),0,1)</f>
        <v>0</v>
      </c>
    </row>
    <row r="437" spans="4:22" x14ac:dyDescent="0.2">
      <c r="D437" s="32">
        <v>45791.270833333336</v>
      </c>
      <c r="E437" s="33" t="s">
        <v>187</v>
      </c>
      <c r="F437" s="34">
        <v>60057.578000000001</v>
      </c>
      <c r="G437" s="34">
        <v>363838.10100000002</v>
      </c>
      <c r="H437" s="34">
        <v>18.776</v>
      </c>
      <c r="I437" s="33" t="s">
        <v>85</v>
      </c>
      <c r="J437" s="33" t="s">
        <v>90</v>
      </c>
      <c r="K437" s="33">
        <v>14.3</v>
      </c>
      <c r="L437" s="33">
        <v>1020</v>
      </c>
      <c r="M437" s="33">
        <v>92</v>
      </c>
      <c r="N437" s="33"/>
      <c r="O437" s="93">
        <f>IFERROR(IF(Readings[[#This Row],[Obs. X]]="","-",Readings[[#This Row],[Obs. X]]-_xlfn.XLOOKUP(Readings[[#This Row],[Sensor ID]],Table_Baseline[Sensor ID],Table_Baseline[Easting '[m']],"-")),"-")</f>
        <v>-9.9999999656574801E-4</v>
      </c>
      <c r="P437" s="93">
        <f>IFERROR(IF(Readings[[#This Row],[Obs. Y]]="","-",Readings[[#This Row],[Obs. Y]]-_xlfn.XLOOKUP(Readings[[#This Row],[Sensor ID]],Table_Baseline[Sensor ID],Table_Baseline[Northing '[m']],"-")),"-")</f>
        <v>3.0000000260770321E-3</v>
      </c>
      <c r="Q437" s="93">
        <f>IFERROR(IF(Readings[[#This Row],[Obs. Z]]="","-",Readings[[#This Row],[Obs. Z]]-_xlfn.XLOOKUP(Readings[[#This Row],[Sensor ID]],Table_Baseline[Sensor ID],Table_Baseline[Level '[m']],"-")),"-")</f>
        <v>0</v>
      </c>
      <c r="R437" s="93">
        <f>IFERROR(IF(Readings[[#This Row],[Reference Angle]]="-","-",(Readings[[#This Row],[Diff E]]*COS(RADIANS(Readings[[#This Row],[Reference Angle]]))-Readings[[#This Row],[Diff N]]*SIN(RADIANS(Readings[[#This Row],[Reference Angle]])))),"-")</f>
        <v>-9.9999999656574801E-4</v>
      </c>
      <c r="S437" s="93">
        <f>IFERROR(IF(Readings[[#This Row],[Reference Angle]]="-","-",(Readings[[#This Row],[Diff E]]*SIN(RADIANS(Readings[[#This Row],[Reference Angle]]))+Readings[[#This Row],[Diff N]]*COS(RADIANS(Readings[[#This Row],[Reference Angle]])))),"-")</f>
        <v>3.0000000260770321E-3</v>
      </c>
      <c r="T437" s="94">
        <f>IFERROR(VLOOKUP(Readings[[#This Row],[Sensor ID]],Table_Baseline[],COLUMNS(Table_Baseline[[#Headers],[Sensor ID]:[Reference Angle '[Deg']]]),FALSE),"-")</f>
        <v>0</v>
      </c>
      <c r="U437" s="95" t="str">
        <f>Readings[[#This Row],[Sensor ID]]&amp;"-"&amp;Readings[[#This Row],[Epoch]]</f>
        <v>250-RL-OP-11018-45791.2708333333</v>
      </c>
      <c r="V437" s="99">
        <f ca="1">IF(Readings[[#This Row],[Epoch]]=OFFSET(Readings[[#This Row],[Epoch]],-1,0),0,1)</f>
        <v>0</v>
      </c>
    </row>
    <row r="438" spans="4:22" x14ac:dyDescent="0.2">
      <c r="D438" s="32">
        <v>45791.270833333336</v>
      </c>
      <c r="E438" s="33" t="s">
        <v>190</v>
      </c>
      <c r="F438" s="34">
        <v>60060.962</v>
      </c>
      <c r="G438" s="34">
        <v>363838.60399999999</v>
      </c>
      <c r="H438" s="34">
        <v>18.794</v>
      </c>
      <c r="I438" s="33" t="s">
        <v>85</v>
      </c>
      <c r="J438" s="33" t="s">
        <v>90</v>
      </c>
      <c r="K438" s="33">
        <v>14.3</v>
      </c>
      <c r="L438" s="33">
        <v>1020</v>
      </c>
      <c r="M438" s="33">
        <v>92</v>
      </c>
      <c r="N438" s="33"/>
      <c r="O438" s="93">
        <f>IFERROR(IF(Readings[[#This Row],[Obs. X]]="","-",Readings[[#This Row],[Obs. X]]-_xlfn.XLOOKUP(Readings[[#This Row],[Sensor ID]],Table_Baseline[Sensor ID],Table_Baseline[Easting '[m']],"-")),"-")</f>
        <v>-1.0000000038417056E-3</v>
      </c>
      <c r="P438" s="93">
        <f>IFERROR(IF(Readings[[#This Row],[Obs. Y]]="","-",Readings[[#This Row],[Obs. Y]]-_xlfn.XLOOKUP(Readings[[#This Row],[Sensor ID]],Table_Baseline[Sensor ID],Table_Baseline[Northing '[m']],"-")),"-")</f>
        <v>2.9999999678693712E-3</v>
      </c>
      <c r="Q438" s="93">
        <f>IFERROR(IF(Readings[[#This Row],[Obs. Z]]="","-",Readings[[#This Row],[Obs. Z]]-_xlfn.XLOOKUP(Readings[[#This Row],[Sensor ID]],Table_Baseline[Sensor ID],Table_Baseline[Level '[m']],"-")),"-")</f>
        <v>-5.9999999999860165E-4</v>
      </c>
      <c r="R438" s="93">
        <f>IFERROR(IF(Readings[[#This Row],[Reference Angle]]="-","-",(Readings[[#This Row],[Diff E]]*COS(RADIANS(Readings[[#This Row],[Reference Angle]]))-Readings[[#This Row],[Diff N]]*SIN(RADIANS(Readings[[#This Row],[Reference Angle]])))),"-")</f>
        <v>-1.0000000038417056E-3</v>
      </c>
      <c r="S438" s="93">
        <f>IFERROR(IF(Readings[[#This Row],[Reference Angle]]="-","-",(Readings[[#This Row],[Diff E]]*SIN(RADIANS(Readings[[#This Row],[Reference Angle]]))+Readings[[#This Row],[Diff N]]*COS(RADIANS(Readings[[#This Row],[Reference Angle]])))),"-")</f>
        <v>2.9999999678693712E-3</v>
      </c>
      <c r="T438" s="94">
        <f>IFERROR(VLOOKUP(Readings[[#This Row],[Sensor ID]],Table_Baseline[],COLUMNS(Table_Baseline[[#Headers],[Sensor ID]:[Reference Angle '[Deg']]]),FALSE),"-")</f>
        <v>0</v>
      </c>
      <c r="U438" s="95" t="str">
        <f>Readings[[#This Row],[Sensor ID]]&amp;"-"&amp;Readings[[#This Row],[Epoch]]</f>
        <v>250-RL-OP-11019-45791.2708333333</v>
      </c>
      <c r="V438" s="99">
        <f ca="1">IF(Readings[[#This Row],[Epoch]]=OFFSET(Readings[[#This Row],[Epoch]],-1,0),0,1)</f>
        <v>0</v>
      </c>
    </row>
    <row r="439" spans="4:22" x14ac:dyDescent="0.2">
      <c r="D439" s="32">
        <v>45791.270833333336</v>
      </c>
      <c r="E439" s="33" t="s">
        <v>189</v>
      </c>
      <c r="F439" s="34">
        <v>60060.639999999999</v>
      </c>
      <c r="G439" s="34">
        <v>363837.326</v>
      </c>
      <c r="H439" s="34">
        <v>18.783000000000001</v>
      </c>
      <c r="I439" s="33" t="s">
        <v>85</v>
      </c>
      <c r="J439" s="33" t="s">
        <v>90</v>
      </c>
      <c r="K439" s="33">
        <v>14.3</v>
      </c>
      <c r="L439" s="33">
        <v>1020</v>
      </c>
      <c r="M439" s="33">
        <v>92</v>
      </c>
      <c r="N439" s="33"/>
      <c r="O439" s="93">
        <f>IFERROR(IF(Readings[[#This Row],[Obs. X]]="","-",Readings[[#This Row],[Obs. X]]-_xlfn.XLOOKUP(Readings[[#This Row],[Sensor ID]],Table_Baseline[Sensor ID],Table_Baseline[Easting '[m']],"-")),"-")</f>
        <v>0</v>
      </c>
      <c r="P439" s="93">
        <f>IFERROR(IF(Readings[[#This Row],[Obs. Y]]="","-",Readings[[#This Row],[Obs. Y]]-_xlfn.XLOOKUP(Readings[[#This Row],[Sensor ID]],Table_Baseline[Sensor ID],Table_Baseline[Northing '[m']],"-")),"-")</f>
        <v>4.0000000153668225E-3</v>
      </c>
      <c r="Q439" s="93">
        <f>IFERROR(IF(Readings[[#This Row],[Obs. Z]]="","-",Readings[[#This Row],[Obs. Z]]-_xlfn.XLOOKUP(Readings[[#This Row],[Sensor ID]],Table_Baseline[Sensor ID],Table_Baseline[Level '[m']],"-")),"-")</f>
        <v>-5.9999999999860165E-4</v>
      </c>
      <c r="R439" s="93">
        <f>IFERROR(IF(Readings[[#This Row],[Reference Angle]]="-","-",(Readings[[#This Row],[Diff E]]*COS(RADIANS(Readings[[#This Row],[Reference Angle]]))-Readings[[#This Row],[Diff N]]*SIN(RADIANS(Readings[[#This Row],[Reference Angle]])))),"-")</f>
        <v>0</v>
      </c>
      <c r="S439" s="93">
        <f>IFERROR(IF(Readings[[#This Row],[Reference Angle]]="-","-",(Readings[[#This Row],[Diff E]]*SIN(RADIANS(Readings[[#This Row],[Reference Angle]]))+Readings[[#This Row],[Diff N]]*COS(RADIANS(Readings[[#This Row],[Reference Angle]])))),"-")</f>
        <v>4.0000000153668225E-3</v>
      </c>
      <c r="T439" s="94">
        <f>IFERROR(VLOOKUP(Readings[[#This Row],[Sensor ID]],Table_Baseline[],COLUMNS(Table_Baseline[[#Headers],[Sensor ID]:[Reference Angle '[Deg']]]),FALSE),"-")</f>
        <v>0</v>
      </c>
      <c r="U439" s="95" t="str">
        <f>Readings[[#This Row],[Sensor ID]]&amp;"-"&amp;Readings[[#This Row],[Epoch]]</f>
        <v>250-RL-OP-11020-45791.2708333333</v>
      </c>
      <c r="V439" s="99">
        <f ca="1">IF(Readings[[#This Row],[Epoch]]=OFFSET(Readings[[#This Row],[Epoch]],-1,0),0,1)</f>
        <v>0</v>
      </c>
    </row>
    <row r="440" spans="4:22" x14ac:dyDescent="0.2">
      <c r="D440" s="32">
        <v>45791.270833333336</v>
      </c>
      <c r="E440" s="33" t="s">
        <v>192</v>
      </c>
      <c r="F440" s="34">
        <v>60063.75</v>
      </c>
      <c r="G440" s="34">
        <v>363837.92000000004</v>
      </c>
      <c r="H440" s="34">
        <v>18.808</v>
      </c>
      <c r="I440" s="33" t="s">
        <v>85</v>
      </c>
      <c r="J440" s="33" t="s">
        <v>90</v>
      </c>
      <c r="K440" s="33">
        <v>14.3</v>
      </c>
      <c r="L440" s="33">
        <v>1020</v>
      </c>
      <c r="M440" s="33">
        <v>92</v>
      </c>
      <c r="N440" s="33"/>
      <c r="O440" s="93">
        <f>IFERROR(IF(Readings[[#This Row],[Obs. X]]="","-",Readings[[#This Row],[Obs. X]]-_xlfn.XLOOKUP(Readings[[#This Row],[Sensor ID]],Table_Baseline[Sensor ID],Table_Baseline[Easting '[m']],"-")),"-")</f>
        <v>-9.9999999656574801E-4</v>
      </c>
      <c r="P440" s="93">
        <f>IFERROR(IF(Readings[[#This Row],[Obs. Y]]="","-",Readings[[#This Row],[Obs. Y]]-_xlfn.XLOOKUP(Readings[[#This Row],[Sensor ID]],Table_Baseline[Sensor ID],Table_Baseline[Northing '[m']],"-")),"-")</f>
        <v>2.0000000367872417E-3</v>
      </c>
      <c r="Q440" s="93">
        <f>IFERROR(IF(Readings[[#This Row],[Obs. Z]]="","-",Readings[[#This Row],[Obs. Z]]-_xlfn.XLOOKUP(Readings[[#This Row],[Sensor ID]],Table_Baseline[Sensor ID],Table_Baseline[Level '[m']],"-")),"-")</f>
        <v>-1.0000000000012221E-3</v>
      </c>
      <c r="R440" s="93">
        <f>IFERROR(IF(Readings[[#This Row],[Reference Angle]]="-","-",(Readings[[#This Row],[Diff E]]*COS(RADIANS(Readings[[#This Row],[Reference Angle]]))-Readings[[#This Row],[Diff N]]*SIN(RADIANS(Readings[[#This Row],[Reference Angle]])))),"-")</f>
        <v>-9.9999999656574801E-4</v>
      </c>
      <c r="S440" s="93">
        <f>IFERROR(IF(Readings[[#This Row],[Reference Angle]]="-","-",(Readings[[#This Row],[Diff E]]*SIN(RADIANS(Readings[[#This Row],[Reference Angle]]))+Readings[[#This Row],[Diff N]]*COS(RADIANS(Readings[[#This Row],[Reference Angle]])))),"-")</f>
        <v>2.0000000367872417E-3</v>
      </c>
      <c r="T440" s="94">
        <f>IFERROR(VLOOKUP(Readings[[#This Row],[Sensor ID]],Table_Baseline[],COLUMNS(Table_Baseline[[#Headers],[Sensor ID]:[Reference Angle '[Deg']]]),FALSE),"-")</f>
        <v>0</v>
      </c>
      <c r="U440" s="95" t="str">
        <f>Readings[[#This Row],[Sensor ID]]&amp;"-"&amp;Readings[[#This Row],[Epoch]]</f>
        <v>250-RL-OP-11021-45791.2708333333</v>
      </c>
      <c r="V440" s="99">
        <f ca="1">IF(Readings[[#This Row],[Epoch]]=OFFSET(Readings[[#This Row],[Epoch]],-1,0),0,1)</f>
        <v>0</v>
      </c>
    </row>
    <row r="441" spans="4:22" x14ac:dyDescent="0.2">
      <c r="D441" s="32">
        <v>45791.270833333336</v>
      </c>
      <c r="E441" s="33" t="s">
        <v>191</v>
      </c>
      <c r="F441" s="34">
        <v>60063.421000000002</v>
      </c>
      <c r="G441" s="34">
        <v>363836.63899999997</v>
      </c>
      <c r="H441" s="34">
        <v>18.794</v>
      </c>
      <c r="I441" s="33" t="s">
        <v>85</v>
      </c>
      <c r="J441" s="33" t="s">
        <v>90</v>
      </c>
      <c r="K441" s="33">
        <v>14.3</v>
      </c>
      <c r="L441" s="33">
        <v>1020</v>
      </c>
      <c r="M441" s="33">
        <v>92</v>
      </c>
      <c r="N441" s="33"/>
      <c r="O441" s="93">
        <f>IFERROR(IF(Readings[[#This Row],[Obs. X]]="","-",Readings[[#This Row],[Obs. X]]-_xlfn.XLOOKUP(Readings[[#This Row],[Sensor ID]],Table_Baseline[Sensor ID],Table_Baseline[Easting '[m']],"-")),"-")</f>
        <v>-9.9999999656574801E-4</v>
      </c>
      <c r="P441" s="93">
        <f>IFERROR(IF(Readings[[#This Row],[Obs. Y]]="","-",Readings[[#This Row],[Obs. Y]]-_xlfn.XLOOKUP(Readings[[#This Row],[Sensor ID]],Table_Baseline[Sensor ID],Table_Baseline[Northing '[m']],"-")),"-")</f>
        <v>2.9999999678693712E-3</v>
      </c>
      <c r="Q441" s="93">
        <f>IFERROR(IF(Readings[[#This Row],[Obs. Z]]="","-",Readings[[#This Row],[Obs. Z]]-_xlfn.XLOOKUP(Readings[[#This Row],[Sensor ID]],Table_Baseline[Sensor ID],Table_Baseline[Level '[m']],"-")),"-")</f>
        <v>-8.9999999999790248E-4</v>
      </c>
      <c r="R441" s="93">
        <f>IFERROR(IF(Readings[[#This Row],[Reference Angle]]="-","-",(Readings[[#This Row],[Diff E]]*COS(RADIANS(Readings[[#This Row],[Reference Angle]]))-Readings[[#This Row],[Diff N]]*SIN(RADIANS(Readings[[#This Row],[Reference Angle]])))),"-")</f>
        <v>-9.9999999656574801E-4</v>
      </c>
      <c r="S441" s="93">
        <f>IFERROR(IF(Readings[[#This Row],[Reference Angle]]="-","-",(Readings[[#This Row],[Diff E]]*SIN(RADIANS(Readings[[#This Row],[Reference Angle]]))+Readings[[#This Row],[Diff N]]*COS(RADIANS(Readings[[#This Row],[Reference Angle]])))),"-")</f>
        <v>2.9999999678693712E-3</v>
      </c>
      <c r="T441" s="94">
        <f>IFERROR(VLOOKUP(Readings[[#This Row],[Sensor ID]],Table_Baseline[],COLUMNS(Table_Baseline[[#Headers],[Sensor ID]:[Reference Angle '[Deg']]]),FALSE),"-")</f>
        <v>0</v>
      </c>
      <c r="U441" s="95" t="str">
        <f>Readings[[#This Row],[Sensor ID]]&amp;"-"&amp;Readings[[#This Row],[Epoch]]</f>
        <v>250-RL-OP-11022-45791.2708333333</v>
      </c>
      <c r="V441" s="99">
        <f ca="1">IF(Readings[[#This Row],[Epoch]]=OFFSET(Readings[[#This Row],[Epoch]],-1,0),0,1)</f>
        <v>0</v>
      </c>
    </row>
    <row r="442" spans="4:22" x14ac:dyDescent="0.2">
      <c r="D442" s="32">
        <v>45791.270833333336</v>
      </c>
      <c r="E442" s="33" t="s">
        <v>165</v>
      </c>
      <c r="F442" s="34">
        <v>60034.538999999997</v>
      </c>
      <c r="G442" s="34">
        <v>363843.38199999998</v>
      </c>
      <c r="H442" s="34">
        <v>19.332000000000001</v>
      </c>
      <c r="I442" s="33" t="s">
        <v>85</v>
      </c>
      <c r="J442" s="33" t="s">
        <v>90</v>
      </c>
      <c r="K442" s="33">
        <v>14.3</v>
      </c>
      <c r="L442" s="33">
        <v>1020</v>
      </c>
      <c r="M442" s="33">
        <v>92</v>
      </c>
      <c r="N442" s="33"/>
      <c r="O442" s="93" t="str">
        <f>IFERROR(IF(Readings[[#This Row],[Obs. X]]="","-",Readings[[#This Row],[Obs. X]]-_xlfn.XLOOKUP(Readings[[#This Row],[Sensor ID]],Table_Baseline[Sensor ID],Table_Baseline[Easting '[m']],"-")),"-")</f>
        <v>-</v>
      </c>
      <c r="P442" s="93" t="str">
        <f>IFERROR(IF(Readings[[#This Row],[Obs. Y]]="","-",Readings[[#This Row],[Obs. Y]]-_xlfn.XLOOKUP(Readings[[#This Row],[Sensor ID]],Table_Baseline[Sensor ID],Table_Baseline[Northing '[m']],"-")),"-")</f>
        <v>-</v>
      </c>
      <c r="Q442" s="93" t="str">
        <f>IFERROR(IF(Readings[[#This Row],[Obs. Z]]="","-",Readings[[#This Row],[Obs. Z]]-_xlfn.XLOOKUP(Readings[[#This Row],[Sensor ID]],Table_Baseline[Sensor ID],Table_Baseline[Level '[m']],"-")),"-")</f>
        <v>-</v>
      </c>
      <c r="R442" s="93" t="str">
        <f>IFERROR(IF(Readings[[#This Row],[Reference Angle]]="-","-",(Readings[[#This Row],[Diff E]]*COS(RADIANS(Readings[[#This Row],[Reference Angle]]))-Readings[[#This Row],[Diff N]]*SIN(RADIANS(Readings[[#This Row],[Reference Angle]])))),"-")</f>
        <v>-</v>
      </c>
      <c r="S442" s="93" t="str">
        <f>IFERROR(IF(Readings[[#This Row],[Reference Angle]]="-","-",(Readings[[#This Row],[Diff E]]*SIN(RADIANS(Readings[[#This Row],[Reference Angle]]))+Readings[[#This Row],[Diff N]]*COS(RADIANS(Readings[[#This Row],[Reference Angle]])))),"-")</f>
        <v>-</v>
      </c>
      <c r="T442" s="94" t="str">
        <f>IFERROR(VLOOKUP(Readings[[#This Row],[Sensor ID]],Table_Baseline[],COLUMNS(Table_Baseline[[#Headers],[Sensor ID]:[Reference Angle '[Deg']]]),FALSE),"-")</f>
        <v>-</v>
      </c>
      <c r="U442" s="95" t="str">
        <f>Readings[[#This Row],[Sensor ID]]&amp;"-"&amp;Readings[[#This Row],[Epoch]]</f>
        <v>250-ST-OP-500-45791.2708333333</v>
      </c>
      <c r="V442" s="99">
        <f ca="1">IF(Readings[[#This Row],[Epoch]]=OFFSET(Readings[[#This Row],[Epoch]],-1,0),0,1)</f>
        <v>0</v>
      </c>
    </row>
    <row r="443" spans="4:22" x14ac:dyDescent="0.2">
      <c r="D443" s="32">
        <v>45791.270833333336</v>
      </c>
      <c r="E443" s="33" t="s">
        <v>166</v>
      </c>
      <c r="F443" s="34">
        <v>60040.286</v>
      </c>
      <c r="G443" s="34">
        <v>363841.73100000003</v>
      </c>
      <c r="H443" s="34">
        <v>19.321999999999999</v>
      </c>
      <c r="I443" s="33" t="s">
        <v>85</v>
      </c>
      <c r="J443" s="33" t="s">
        <v>90</v>
      </c>
      <c r="K443" s="33">
        <v>14.3</v>
      </c>
      <c r="L443" s="33">
        <v>1020</v>
      </c>
      <c r="M443" s="33">
        <v>92</v>
      </c>
      <c r="N443" s="33"/>
      <c r="O443" s="93" t="str">
        <f>IFERROR(IF(Readings[[#This Row],[Obs. X]]="","-",Readings[[#This Row],[Obs. X]]-_xlfn.XLOOKUP(Readings[[#This Row],[Sensor ID]],Table_Baseline[Sensor ID],Table_Baseline[Easting '[m']],"-")),"-")</f>
        <v>-</v>
      </c>
      <c r="P443" s="93" t="str">
        <f>IFERROR(IF(Readings[[#This Row],[Obs. Y]]="","-",Readings[[#This Row],[Obs. Y]]-_xlfn.XLOOKUP(Readings[[#This Row],[Sensor ID]],Table_Baseline[Sensor ID],Table_Baseline[Northing '[m']],"-")),"-")</f>
        <v>-</v>
      </c>
      <c r="Q443" s="93" t="str">
        <f>IFERROR(IF(Readings[[#This Row],[Obs. Z]]="","-",Readings[[#This Row],[Obs. Z]]-_xlfn.XLOOKUP(Readings[[#This Row],[Sensor ID]],Table_Baseline[Sensor ID],Table_Baseline[Level '[m']],"-")),"-")</f>
        <v>-</v>
      </c>
      <c r="R443" s="93" t="str">
        <f>IFERROR(IF(Readings[[#This Row],[Reference Angle]]="-","-",(Readings[[#This Row],[Diff E]]*COS(RADIANS(Readings[[#This Row],[Reference Angle]]))-Readings[[#This Row],[Diff N]]*SIN(RADIANS(Readings[[#This Row],[Reference Angle]])))),"-")</f>
        <v>-</v>
      </c>
      <c r="S443" s="93" t="str">
        <f>IFERROR(IF(Readings[[#This Row],[Reference Angle]]="-","-",(Readings[[#This Row],[Diff E]]*SIN(RADIANS(Readings[[#This Row],[Reference Angle]]))+Readings[[#This Row],[Diff N]]*COS(RADIANS(Readings[[#This Row],[Reference Angle]])))),"-")</f>
        <v>-</v>
      </c>
      <c r="T443" s="94" t="str">
        <f>IFERROR(VLOOKUP(Readings[[#This Row],[Sensor ID]],Table_Baseline[],COLUMNS(Table_Baseline[[#Headers],[Sensor ID]:[Reference Angle '[Deg']]]),FALSE),"-")</f>
        <v>-</v>
      </c>
      <c r="U443" s="95" t="str">
        <f>Readings[[#This Row],[Sensor ID]]&amp;"-"&amp;Readings[[#This Row],[Epoch]]</f>
        <v>250-ST-OP-501-45791.2708333333</v>
      </c>
      <c r="V443" s="99">
        <f ca="1">IF(Readings[[#This Row],[Epoch]]=OFFSET(Readings[[#This Row],[Epoch]],-1,0),0,1)</f>
        <v>0</v>
      </c>
    </row>
    <row r="444" spans="4:22" x14ac:dyDescent="0.2">
      <c r="D444" s="32">
        <v>45791.270833333336</v>
      </c>
      <c r="E444" s="33" t="s">
        <v>167</v>
      </c>
      <c r="F444" s="34">
        <v>60045.921000000002</v>
      </c>
      <c r="G444" s="34">
        <v>363840.10100000002</v>
      </c>
      <c r="H444" s="34">
        <v>19.334</v>
      </c>
      <c r="I444" s="33" t="s">
        <v>85</v>
      </c>
      <c r="J444" s="33" t="s">
        <v>90</v>
      </c>
      <c r="K444" s="33">
        <v>14.3</v>
      </c>
      <c r="L444" s="33">
        <v>1020</v>
      </c>
      <c r="M444" s="33">
        <v>92</v>
      </c>
      <c r="N444" s="33"/>
      <c r="O444" s="93" t="str">
        <f>IFERROR(IF(Readings[[#This Row],[Obs. X]]="","-",Readings[[#This Row],[Obs. X]]-_xlfn.XLOOKUP(Readings[[#This Row],[Sensor ID]],Table_Baseline[Sensor ID],Table_Baseline[Easting '[m']],"-")),"-")</f>
        <v>-</v>
      </c>
      <c r="P444" s="93" t="str">
        <f>IFERROR(IF(Readings[[#This Row],[Obs. Y]]="","-",Readings[[#This Row],[Obs. Y]]-_xlfn.XLOOKUP(Readings[[#This Row],[Sensor ID]],Table_Baseline[Sensor ID],Table_Baseline[Northing '[m']],"-")),"-")</f>
        <v>-</v>
      </c>
      <c r="Q444" s="93" t="str">
        <f>IFERROR(IF(Readings[[#This Row],[Obs. Z]]="","-",Readings[[#This Row],[Obs. Z]]-_xlfn.XLOOKUP(Readings[[#This Row],[Sensor ID]],Table_Baseline[Sensor ID],Table_Baseline[Level '[m']],"-")),"-")</f>
        <v>-</v>
      </c>
      <c r="R444" s="93" t="str">
        <f>IFERROR(IF(Readings[[#This Row],[Reference Angle]]="-","-",(Readings[[#This Row],[Diff E]]*COS(RADIANS(Readings[[#This Row],[Reference Angle]]))-Readings[[#This Row],[Diff N]]*SIN(RADIANS(Readings[[#This Row],[Reference Angle]])))),"-")</f>
        <v>-</v>
      </c>
      <c r="S444" s="93" t="str">
        <f>IFERROR(IF(Readings[[#This Row],[Reference Angle]]="-","-",(Readings[[#This Row],[Diff E]]*SIN(RADIANS(Readings[[#This Row],[Reference Angle]]))+Readings[[#This Row],[Diff N]]*COS(RADIANS(Readings[[#This Row],[Reference Angle]])))),"-")</f>
        <v>-</v>
      </c>
      <c r="T444" s="94" t="str">
        <f>IFERROR(VLOOKUP(Readings[[#This Row],[Sensor ID]],Table_Baseline[],COLUMNS(Table_Baseline[[#Headers],[Sensor ID]:[Reference Angle '[Deg']]]),FALSE),"-")</f>
        <v>-</v>
      </c>
      <c r="U444" s="95" t="str">
        <f>Readings[[#This Row],[Sensor ID]]&amp;"-"&amp;Readings[[#This Row],[Epoch]]</f>
        <v>250-ST-OP-502-45791.2708333333</v>
      </c>
      <c r="V444" s="99">
        <f ca="1">IF(Readings[[#This Row],[Epoch]]=OFFSET(Readings[[#This Row],[Epoch]],-1,0),0,1)</f>
        <v>0</v>
      </c>
    </row>
    <row r="445" spans="4:22" x14ac:dyDescent="0.2">
      <c r="D445" s="32">
        <v>45791.270833333336</v>
      </c>
      <c r="E445" s="33" t="s">
        <v>168</v>
      </c>
      <c r="F445" s="34">
        <v>60049.767</v>
      </c>
      <c r="G445" s="34">
        <v>363838.995</v>
      </c>
      <c r="H445" s="34">
        <v>19.344999999999999</v>
      </c>
      <c r="I445" s="33" t="s">
        <v>85</v>
      </c>
      <c r="J445" s="33" t="s">
        <v>90</v>
      </c>
      <c r="K445" s="33">
        <v>14.3</v>
      </c>
      <c r="L445" s="33">
        <v>1020</v>
      </c>
      <c r="M445" s="33">
        <v>92</v>
      </c>
      <c r="N445" s="33"/>
      <c r="O445" s="93" t="str">
        <f>IFERROR(IF(Readings[[#This Row],[Obs. X]]="","-",Readings[[#This Row],[Obs. X]]-_xlfn.XLOOKUP(Readings[[#This Row],[Sensor ID]],Table_Baseline[Sensor ID],Table_Baseline[Easting '[m']],"-")),"-")</f>
        <v>-</v>
      </c>
      <c r="P445" s="93" t="str">
        <f>IFERROR(IF(Readings[[#This Row],[Obs. Y]]="","-",Readings[[#This Row],[Obs. Y]]-_xlfn.XLOOKUP(Readings[[#This Row],[Sensor ID]],Table_Baseline[Sensor ID],Table_Baseline[Northing '[m']],"-")),"-")</f>
        <v>-</v>
      </c>
      <c r="Q445" s="93" t="str">
        <f>IFERROR(IF(Readings[[#This Row],[Obs. Z]]="","-",Readings[[#This Row],[Obs. Z]]-_xlfn.XLOOKUP(Readings[[#This Row],[Sensor ID]],Table_Baseline[Sensor ID],Table_Baseline[Level '[m']],"-")),"-")</f>
        <v>-</v>
      </c>
      <c r="R445" s="93" t="str">
        <f>IFERROR(IF(Readings[[#This Row],[Reference Angle]]="-","-",(Readings[[#This Row],[Diff E]]*COS(RADIANS(Readings[[#This Row],[Reference Angle]]))-Readings[[#This Row],[Diff N]]*SIN(RADIANS(Readings[[#This Row],[Reference Angle]])))),"-")</f>
        <v>-</v>
      </c>
      <c r="S445" s="93" t="str">
        <f>IFERROR(IF(Readings[[#This Row],[Reference Angle]]="-","-",(Readings[[#This Row],[Diff E]]*SIN(RADIANS(Readings[[#This Row],[Reference Angle]]))+Readings[[#This Row],[Diff N]]*COS(RADIANS(Readings[[#This Row],[Reference Angle]])))),"-")</f>
        <v>-</v>
      </c>
      <c r="T445" s="94" t="str">
        <f>IFERROR(VLOOKUP(Readings[[#This Row],[Sensor ID]],Table_Baseline[],COLUMNS(Table_Baseline[[#Headers],[Sensor ID]:[Reference Angle '[Deg']]]),FALSE),"-")</f>
        <v>-</v>
      </c>
      <c r="U445" s="95" t="str">
        <f>Readings[[#This Row],[Sensor ID]]&amp;"-"&amp;Readings[[#This Row],[Epoch]]</f>
        <v>250-ST-OP-503-45791.2708333333</v>
      </c>
      <c r="V445" s="99">
        <f ca="1">IF(Readings[[#This Row],[Epoch]]=OFFSET(Readings[[#This Row],[Epoch]],-1,0),0,1)</f>
        <v>0</v>
      </c>
    </row>
    <row r="446" spans="4:22" x14ac:dyDescent="0.2">
      <c r="D446" s="32">
        <v>45791.270833333336</v>
      </c>
      <c r="E446" s="33" t="s">
        <v>169</v>
      </c>
      <c r="F446" s="34">
        <v>60053.608</v>
      </c>
      <c r="G446" s="34">
        <v>363837.88300000003</v>
      </c>
      <c r="H446" s="34">
        <v>19.356999999999999</v>
      </c>
      <c r="I446" s="33" t="s">
        <v>85</v>
      </c>
      <c r="J446" s="33" t="s">
        <v>90</v>
      </c>
      <c r="K446" s="33">
        <v>14.3</v>
      </c>
      <c r="L446" s="33">
        <v>1020</v>
      </c>
      <c r="M446" s="33">
        <v>92</v>
      </c>
      <c r="N446" s="33"/>
      <c r="O446" s="93" t="str">
        <f>IFERROR(IF(Readings[[#This Row],[Obs. X]]="","-",Readings[[#This Row],[Obs. X]]-_xlfn.XLOOKUP(Readings[[#This Row],[Sensor ID]],Table_Baseline[Sensor ID],Table_Baseline[Easting '[m']],"-")),"-")</f>
        <v>-</v>
      </c>
      <c r="P446" s="93" t="str">
        <f>IFERROR(IF(Readings[[#This Row],[Obs. Y]]="","-",Readings[[#This Row],[Obs. Y]]-_xlfn.XLOOKUP(Readings[[#This Row],[Sensor ID]],Table_Baseline[Sensor ID],Table_Baseline[Northing '[m']],"-")),"-")</f>
        <v>-</v>
      </c>
      <c r="Q446" s="93" t="str">
        <f>IFERROR(IF(Readings[[#This Row],[Obs. Z]]="","-",Readings[[#This Row],[Obs. Z]]-_xlfn.XLOOKUP(Readings[[#This Row],[Sensor ID]],Table_Baseline[Sensor ID],Table_Baseline[Level '[m']],"-")),"-")</f>
        <v>-</v>
      </c>
      <c r="R446" s="93" t="str">
        <f>IFERROR(IF(Readings[[#This Row],[Reference Angle]]="-","-",(Readings[[#This Row],[Diff E]]*COS(RADIANS(Readings[[#This Row],[Reference Angle]]))-Readings[[#This Row],[Diff N]]*SIN(RADIANS(Readings[[#This Row],[Reference Angle]])))),"-")</f>
        <v>-</v>
      </c>
      <c r="S446" s="93" t="str">
        <f>IFERROR(IF(Readings[[#This Row],[Reference Angle]]="-","-",(Readings[[#This Row],[Diff E]]*SIN(RADIANS(Readings[[#This Row],[Reference Angle]]))+Readings[[#This Row],[Diff N]]*COS(RADIANS(Readings[[#This Row],[Reference Angle]])))),"-")</f>
        <v>-</v>
      </c>
      <c r="T446" s="94" t="str">
        <f>IFERROR(VLOOKUP(Readings[[#This Row],[Sensor ID]],Table_Baseline[],COLUMNS(Table_Baseline[[#Headers],[Sensor ID]:[Reference Angle '[Deg']]]),FALSE),"-")</f>
        <v>-</v>
      </c>
      <c r="U446" s="95" t="str">
        <f>Readings[[#This Row],[Sensor ID]]&amp;"-"&amp;Readings[[#This Row],[Epoch]]</f>
        <v>250-ST-OP-504-45791.2708333333</v>
      </c>
      <c r="V446" s="99">
        <f ca="1">IF(Readings[[#This Row],[Epoch]]=OFFSET(Readings[[#This Row],[Epoch]],-1,0),0,1)</f>
        <v>0</v>
      </c>
    </row>
    <row r="447" spans="4:22" x14ac:dyDescent="0.2">
      <c r="D447" s="204">
        <v>45791.270833333336</v>
      </c>
      <c r="E447" s="151" t="s">
        <v>170</v>
      </c>
      <c r="F447" s="152">
        <v>60060.065000000002</v>
      </c>
      <c r="G447" s="152">
        <v>363836.02500000002</v>
      </c>
      <c r="H447" s="152">
        <v>19.356999999999999</v>
      </c>
      <c r="I447" s="151" t="s">
        <v>85</v>
      </c>
      <c r="J447" s="151" t="s">
        <v>90</v>
      </c>
      <c r="K447" s="151">
        <v>14.3</v>
      </c>
      <c r="L447" s="151">
        <v>1020</v>
      </c>
      <c r="M447" s="151">
        <v>92</v>
      </c>
      <c r="N447" s="151"/>
      <c r="O447" s="96" t="str">
        <f>IFERROR(IF(Readings[[#This Row],[Obs. X]]="","-",Readings[[#This Row],[Obs. X]]-_xlfn.XLOOKUP(Readings[[#This Row],[Sensor ID]],Table_Baseline[Sensor ID],Table_Baseline[Easting '[m']],"-")),"-")</f>
        <v>-</v>
      </c>
      <c r="P447" s="96" t="str">
        <f>IFERROR(IF(Readings[[#This Row],[Obs. Y]]="","-",Readings[[#This Row],[Obs. Y]]-_xlfn.XLOOKUP(Readings[[#This Row],[Sensor ID]],Table_Baseline[Sensor ID],Table_Baseline[Northing '[m']],"-")),"-")</f>
        <v>-</v>
      </c>
      <c r="Q447" s="96" t="str">
        <f>IFERROR(IF(Readings[[#This Row],[Obs. Z]]="","-",Readings[[#This Row],[Obs. Z]]-_xlfn.XLOOKUP(Readings[[#This Row],[Sensor ID]],Table_Baseline[Sensor ID],Table_Baseline[Level '[m']],"-")),"-")</f>
        <v>-</v>
      </c>
      <c r="R447" s="96" t="str">
        <f>IFERROR(IF(Readings[[#This Row],[Reference Angle]]="-","-",(Readings[[#This Row],[Diff E]]*COS(RADIANS(Readings[[#This Row],[Reference Angle]]))-Readings[[#This Row],[Diff N]]*SIN(RADIANS(Readings[[#This Row],[Reference Angle]])))),"-")</f>
        <v>-</v>
      </c>
      <c r="S447" s="96" t="str">
        <f>IFERROR(IF(Readings[[#This Row],[Reference Angle]]="-","-",(Readings[[#This Row],[Diff E]]*SIN(RADIANS(Readings[[#This Row],[Reference Angle]]))+Readings[[#This Row],[Diff N]]*COS(RADIANS(Readings[[#This Row],[Reference Angle]])))),"-")</f>
        <v>-</v>
      </c>
      <c r="T447" s="97" t="str">
        <f>IFERROR(VLOOKUP(Readings[[#This Row],[Sensor ID]],Table_Baseline[],COLUMNS(Table_Baseline[[#Headers],[Sensor ID]:[Reference Angle '[Deg']]]),FALSE),"-")</f>
        <v>-</v>
      </c>
      <c r="U447" s="98" t="str">
        <f>Readings[[#This Row],[Sensor ID]]&amp;"-"&amp;Readings[[#This Row],[Epoch]]</f>
        <v>250-ST-OP-505-45791.2708333333</v>
      </c>
      <c r="V447" s="100">
        <f ca="1">IF(Readings[[#This Row],[Epoch]]=OFFSET(Readings[[#This Row],[Epoch]],-1,0),0,1)</f>
        <v>0</v>
      </c>
    </row>
    <row r="448" spans="4:22" x14ac:dyDescent="0.2">
      <c r="D448" s="32">
        <v>45792.270833333336</v>
      </c>
      <c r="E448" s="33" t="s">
        <v>172</v>
      </c>
      <c r="F448" s="34">
        <v>60035.339</v>
      </c>
      <c r="G448" s="34">
        <v>363845.739</v>
      </c>
      <c r="H448" s="34">
        <v>18.782</v>
      </c>
      <c r="I448" s="33" t="s">
        <v>85</v>
      </c>
      <c r="J448" s="33" t="s">
        <v>90</v>
      </c>
      <c r="K448" s="33">
        <v>16.3</v>
      </c>
      <c r="L448" s="33">
        <v>1016.7</v>
      </c>
      <c r="M448" s="33">
        <v>92</v>
      </c>
      <c r="N448" s="33"/>
      <c r="O448" s="93">
        <f>IFERROR(IF(Readings[[#This Row],[Obs. X]]="","-",Readings[[#This Row],[Obs. X]]-_xlfn.XLOOKUP(Readings[[#This Row],[Sensor ID]],Table_Baseline[Sensor ID],Table_Baseline[Easting '[m']],"-")),"-")</f>
        <v>-9.9999999656574801E-4</v>
      </c>
      <c r="P448" s="93">
        <f>IFERROR(IF(Readings[[#This Row],[Obs. Y]]="","-",Readings[[#This Row],[Obs. Y]]-_xlfn.XLOOKUP(Readings[[#This Row],[Sensor ID]],Table_Baseline[Sensor ID],Table_Baseline[Northing '[m']],"-")),"-")</f>
        <v>0</v>
      </c>
      <c r="Q448" s="93">
        <f>IFERROR(IF(Readings[[#This Row],[Obs. Z]]="","-",Readings[[#This Row],[Obs. Z]]-_xlfn.XLOOKUP(Readings[[#This Row],[Sensor ID]],Table_Baseline[Sensor ID],Table_Baseline[Level '[m']],"-")),"-")</f>
        <v>0</v>
      </c>
      <c r="R448" s="93">
        <f>IFERROR(IF(Readings[[#This Row],[Reference Angle]]="-","-",(Readings[[#This Row],[Diff E]]*COS(RADIANS(Readings[[#This Row],[Reference Angle]]))-Readings[[#This Row],[Diff N]]*SIN(RADIANS(Readings[[#This Row],[Reference Angle]])))),"-")</f>
        <v>-9.9999999656574801E-4</v>
      </c>
      <c r="S448" s="93">
        <f>IFERROR(IF(Readings[[#This Row],[Reference Angle]]="-","-",(Readings[[#This Row],[Diff E]]*SIN(RADIANS(Readings[[#This Row],[Reference Angle]]))+Readings[[#This Row],[Diff N]]*COS(RADIANS(Readings[[#This Row],[Reference Angle]])))),"-")</f>
        <v>0</v>
      </c>
      <c r="T448" s="94">
        <f>IFERROR(VLOOKUP(Readings[[#This Row],[Sensor ID]],Table_Baseline[],COLUMNS(Table_Baseline[[#Headers],[Sensor ID]:[Reference Angle '[Deg']]]),FALSE),"-")</f>
        <v>0</v>
      </c>
      <c r="U448" s="95" t="str">
        <f>Readings[[#This Row],[Sensor ID]]&amp;"-"&amp;Readings[[#This Row],[Epoch]]</f>
        <v>250-RL-OP-11001-45792.2708333333</v>
      </c>
      <c r="V448" s="99">
        <f ca="1">IF(Readings[[#This Row],[Epoch]]=OFFSET(Readings[[#This Row],[Epoch]],-1,0),0,1)</f>
        <v>1</v>
      </c>
    </row>
    <row r="449" spans="4:22" x14ac:dyDescent="0.2">
      <c r="D449" s="32">
        <v>45792.270833333336</v>
      </c>
      <c r="E449" s="33" t="s">
        <v>171</v>
      </c>
      <c r="F449" s="34">
        <v>60034.957999999999</v>
      </c>
      <c r="G449" s="34">
        <v>363844.47100000002</v>
      </c>
      <c r="H449" s="34">
        <v>18.777999999999999</v>
      </c>
      <c r="I449" s="33" t="s">
        <v>85</v>
      </c>
      <c r="J449" s="33" t="s">
        <v>90</v>
      </c>
      <c r="K449" s="33">
        <v>16.3</v>
      </c>
      <c r="L449" s="33">
        <v>1016.7</v>
      </c>
      <c r="M449" s="33">
        <v>91</v>
      </c>
      <c r="N449" s="33"/>
      <c r="O449" s="93">
        <f>IFERROR(IF(Readings[[#This Row],[Obs. X]]="","-",Readings[[#This Row],[Obs. X]]-_xlfn.XLOOKUP(Readings[[#This Row],[Sensor ID]],Table_Baseline[Sensor ID],Table_Baseline[Easting '[m']],"-")),"-")</f>
        <v>-1.0000000038417056E-3</v>
      </c>
      <c r="P449" s="93">
        <f>IFERROR(IF(Readings[[#This Row],[Obs. Y]]="","-",Readings[[#This Row],[Obs. Y]]-_xlfn.XLOOKUP(Readings[[#This Row],[Sensor ID]],Table_Baseline[Sensor ID],Table_Baseline[Northing '[m']],"-")),"-")</f>
        <v>0</v>
      </c>
      <c r="Q449" s="93">
        <f>IFERROR(IF(Readings[[#This Row],[Obs. Z]]="","-",Readings[[#This Row],[Obs. Z]]-_xlfn.XLOOKUP(Readings[[#This Row],[Sensor ID]],Table_Baseline[Sensor ID],Table_Baseline[Level '[m']],"-")),"-")</f>
        <v>-9.9999999999766942E-5</v>
      </c>
      <c r="R449" s="93">
        <f>IFERROR(IF(Readings[[#This Row],[Reference Angle]]="-","-",(Readings[[#This Row],[Diff E]]*COS(RADIANS(Readings[[#This Row],[Reference Angle]]))-Readings[[#This Row],[Diff N]]*SIN(RADIANS(Readings[[#This Row],[Reference Angle]])))),"-")</f>
        <v>-1.0000000038417056E-3</v>
      </c>
      <c r="S449" s="93">
        <f>IFERROR(IF(Readings[[#This Row],[Reference Angle]]="-","-",(Readings[[#This Row],[Diff E]]*SIN(RADIANS(Readings[[#This Row],[Reference Angle]]))+Readings[[#This Row],[Diff N]]*COS(RADIANS(Readings[[#This Row],[Reference Angle]])))),"-")</f>
        <v>0</v>
      </c>
      <c r="T449" s="94">
        <f>IFERROR(VLOOKUP(Readings[[#This Row],[Sensor ID]],Table_Baseline[],COLUMNS(Table_Baseline[[#Headers],[Sensor ID]:[Reference Angle '[Deg']]]),FALSE),"-")</f>
        <v>0</v>
      </c>
      <c r="U449" s="95" t="str">
        <f>Readings[[#This Row],[Sensor ID]]&amp;"-"&amp;Readings[[#This Row],[Epoch]]</f>
        <v>250-RL-OP-11002-45792.2708333333</v>
      </c>
      <c r="V449" s="99">
        <f ca="1">IF(Readings[[#This Row],[Epoch]]=OFFSET(Readings[[#This Row],[Epoch]],-1,0),0,1)</f>
        <v>0</v>
      </c>
    </row>
    <row r="450" spans="4:22" x14ac:dyDescent="0.2">
      <c r="D450" s="32">
        <v>45792.270833333336</v>
      </c>
      <c r="E450" s="33" t="s">
        <v>174</v>
      </c>
      <c r="F450" s="34">
        <v>60038.116999999998</v>
      </c>
      <c r="G450" s="34">
        <v>363844.94500000001</v>
      </c>
      <c r="H450" s="34">
        <v>18.779</v>
      </c>
      <c r="I450" s="33" t="s">
        <v>85</v>
      </c>
      <c r="J450" s="33" t="s">
        <v>90</v>
      </c>
      <c r="K450" s="33">
        <v>16.3</v>
      </c>
      <c r="L450" s="33">
        <v>1016.7</v>
      </c>
      <c r="M450" s="33">
        <v>91</v>
      </c>
      <c r="N450" s="33"/>
      <c r="O450" s="93">
        <f>IFERROR(IF(Readings[[#This Row],[Obs. X]]="","-",Readings[[#This Row],[Obs. X]]-_xlfn.XLOOKUP(Readings[[#This Row],[Sensor ID]],Table_Baseline[Sensor ID],Table_Baseline[Easting '[m']],"-")),"-")</f>
        <v>-1.0000000038417056E-3</v>
      </c>
      <c r="P450" s="93">
        <f>IFERROR(IF(Readings[[#This Row],[Obs. Y]]="","-",Readings[[#This Row],[Obs. Y]]-_xlfn.XLOOKUP(Readings[[#This Row],[Sensor ID]],Table_Baseline[Sensor ID],Table_Baseline[Northing '[m']],"-")),"-")</f>
        <v>0</v>
      </c>
      <c r="Q450" s="93">
        <f>IFERROR(IF(Readings[[#This Row],[Obs. Z]]="","-",Readings[[#This Row],[Obs. Z]]-_xlfn.XLOOKUP(Readings[[#This Row],[Sensor ID]],Table_Baseline[Sensor ID],Table_Baseline[Level '[m']],"-")),"-")</f>
        <v>1.9999999999953388E-4</v>
      </c>
      <c r="R450" s="93">
        <f>IFERROR(IF(Readings[[#This Row],[Reference Angle]]="-","-",(Readings[[#This Row],[Diff E]]*COS(RADIANS(Readings[[#This Row],[Reference Angle]]))-Readings[[#This Row],[Diff N]]*SIN(RADIANS(Readings[[#This Row],[Reference Angle]])))),"-")</f>
        <v>-1.0000000038417056E-3</v>
      </c>
      <c r="S450" s="93">
        <f>IFERROR(IF(Readings[[#This Row],[Reference Angle]]="-","-",(Readings[[#This Row],[Diff E]]*SIN(RADIANS(Readings[[#This Row],[Reference Angle]]))+Readings[[#This Row],[Diff N]]*COS(RADIANS(Readings[[#This Row],[Reference Angle]])))),"-")</f>
        <v>0</v>
      </c>
      <c r="T450" s="94">
        <f>IFERROR(VLOOKUP(Readings[[#This Row],[Sensor ID]],Table_Baseline[],COLUMNS(Table_Baseline[[#Headers],[Sensor ID]:[Reference Angle '[Deg']]]),FALSE),"-")</f>
        <v>0</v>
      </c>
      <c r="U450" s="95" t="str">
        <f>Readings[[#This Row],[Sensor ID]]&amp;"-"&amp;Readings[[#This Row],[Epoch]]</f>
        <v>250-RL-OP-11003-45792.2708333333</v>
      </c>
      <c r="V450" s="99">
        <f ca="1">IF(Readings[[#This Row],[Epoch]]=OFFSET(Readings[[#This Row],[Epoch]],-1,0),0,1)</f>
        <v>0</v>
      </c>
    </row>
    <row r="451" spans="4:22" x14ac:dyDescent="0.2">
      <c r="D451" s="32">
        <v>45792.270833333336</v>
      </c>
      <c r="E451" s="33" t="s">
        <v>173</v>
      </c>
      <c r="F451" s="34">
        <v>60037.803999999996</v>
      </c>
      <c r="G451" s="34">
        <v>363843.658</v>
      </c>
      <c r="H451" s="34">
        <v>18.779</v>
      </c>
      <c r="I451" s="33" t="s">
        <v>85</v>
      </c>
      <c r="J451" s="33" t="s">
        <v>90</v>
      </c>
      <c r="K451" s="33">
        <v>16.3</v>
      </c>
      <c r="L451" s="33">
        <v>1016.7</v>
      </c>
      <c r="M451" s="33">
        <v>91</v>
      </c>
      <c r="N451" s="33"/>
      <c r="O451" s="93">
        <f>IFERROR(IF(Readings[[#This Row],[Obs. X]]="","-",Readings[[#This Row],[Obs. X]]-_xlfn.XLOOKUP(Readings[[#This Row],[Sensor ID]],Table_Baseline[Sensor ID],Table_Baseline[Easting '[m']],"-")),"-")</f>
        <v>-1.0000000038417056E-3</v>
      </c>
      <c r="P451" s="93">
        <f>IFERROR(IF(Readings[[#This Row],[Obs. Y]]="","-",Readings[[#This Row],[Obs. Y]]-_xlfn.XLOOKUP(Readings[[#This Row],[Sensor ID]],Table_Baseline[Sensor ID],Table_Baseline[Northing '[m']],"-")),"-")</f>
        <v>9.9999998928979039E-4</v>
      </c>
      <c r="Q451" s="93">
        <f>IFERROR(IF(Readings[[#This Row],[Obs. Z]]="","-",Readings[[#This Row],[Obs. Z]]-_xlfn.XLOOKUP(Readings[[#This Row],[Sensor ID]],Table_Baseline[Sensor ID],Table_Baseline[Level '[m']],"-")),"-")</f>
        <v>4.9999999999883471E-4</v>
      </c>
      <c r="R451" s="93">
        <f>IFERROR(IF(Readings[[#This Row],[Reference Angle]]="-","-",(Readings[[#This Row],[Diff E]]*COS(RADIANS(Readings[[#This Row],[Reference Angle]]))-Readings[[#This Row],[Diff N]]*SIN(RADIANS(Readings[[#This Row],[Reference Angle]])))),"-")</f>
        <v>-1.0000000038417056E-3</v>
      </c>
      <c r="S451" s="93">
        <f>IFERROR(IF(Readings[[#This Row],[Reference Angle]]="-","-",(Readings[[#This Row],[Diff E]]*SIN(RADIANS(Readings[[#This Row],[Reference Angle]]))+Readings[[#This Row],[Diff N]]*COS(RADIANS(Readings[[#This Row],[Reference Angle]])))),"-")</f>
        <v>9.9999998928979039E-4</v>
      </c>
      <c r="T451" s="94">
        <f>IFERROR(VLOOKUP(Readings[[#This Row],[Sensor ID]],Table_Baseline[],COLUMNS(Table_Baseline[[#Headers],[Sensor ID]:[Reference Angle '[Deg']]]),FALSE),"-")</f>
        <v>0</v>
      </c>
      <c r="U451" s="95" t="str">
        <f>Readings[[#This Row],[Sensor ID]]&amp;"-"&amp;Readings[[#This Row],[Epoch]]</f>
        <v>250-RL-OP-11004-45792.2708333333</v>
      </c>
      <c r="V451" s="99">
        <f ca="1">IF(Readings[[#This Row],[Epoch]]=OFFSET(Readings[[#This Row],[Epoch]],-1,0),0,1)</f>
        <v>0</v>
      </c>
    </row>
    <row r="452" spans="4:22" x14ac:dyDescent="0.2">
      <c r="D452" s="32">
        <v>45792.270833333336</v>
      </c>
      <c r="E452" s="33" t="s">
        <v>176</v>
      </c>
      <c r="F452" s="34">
        <v>60040.968000000001</v>
      </c>
      <c r="G452" s="34">
        <v>363844.11800000002</v>
      </c>
      <c r="H452" s="34">
        <v>18.779</v>
      </c>
      <c r="I452" s="33" t="s">
        <v>85</v>
      </c>
      <c r="J452" s="33" t="s">
        <v>90</v>
      </c>
      <c r="K452" s="33">
        <v>16.3</v>
      </c>
      <c r="L452" s="33">
        <v>1016.7</v>
      </c>
      <c r="M452" s="33">
        <v>91</v>
      </c>
      <c r="N452" s="33"/>
      <c r="O452" s="93">
        <f>IFERROR(IF(Readings[[#This Row],[Obs. X]]="","-",Readings[[#This Row],[Obs. X]]-_xlfn.XLOOKUP(Readings[[#This Row],[Sensor ID]],Table_Baseline[Sensor ID],Table_Baseline[Easting '[m']],"-")),"-")</f>
        <v>-9.9999999656574801E-4</v>
      </c>
      <c r="P452" s="93">
        <f>IFERROR(IF(Readings[[#This Row],[Obs. Y]]="","-",Readings[[#This Row],[Obs. Y]]-_xlfn.XLOOKUP(Readings[[#This Row],[Sensor ID]],Table_Baseline[Sensor ID],Table_Baseline[Northing '[m']],"-")),"-")</f>
        <v>0</v>
      </c>
      <c r="Q452" s="93">
        <f>IFERROR(IF(Readings[[#This Row],[Obs. Z]]="","-",Readings[[#This Row],[Obs. Z]]-_xlfn.XLOOKUP(Readings[[#This Row],[Sensor ID]],Table_Baseline[Sensor ID],Table_Baseline[Level '[m']],"-")),"-")</f>
        <v>0</v>
      </c>
      <c r="R452" s="93">
        <f>IFERROR(IF(Readings[[#This Row],[Reference Angle]]="-","-",(Readings[[#This Row],[Diff E]]*COS(RADIANS(Readings[[#This Row],[Reference Angle]]))-Readings[[#This Row],[Diff N]]*SIN(RADIANS(Readings[[#This Row],[Reference Angle]])))),"-")</f>
        <v>-9.9999999656574801E-4</v>
      </c>
      <c r="S452" s="93">
        <f>IFERROR(IF(Readings[[#This Row],[Reference Angle]]="-","-",(Readings[[#This Row],[Diff E]]*SIN(RADIANS(Readings[[#This Row],[Reference Angle]]))+Readings[[#This Row],[Diff N]]*COS(RADIANS(Readings[[#This Row],[Reference Angle]])))),"-")</f>
        <v>0</v>
      </c>
      <c r="T452" s="94">
        <f>IFERROR(VLOOKUP(Readings[[#This Row],[Sensor ID]],Table_Baseline[],COLUMNS(Table_Baseline[[#Headers],[Sensor ID]:[Reference Angle '[Deg']]]),FALSE),"-")</f>
        <v>0</v>
      </c>
      <c r="U452" s="95" t="str">
        <f>Readings[[#This Row],[Sensor ID]]&amp;"-"&amp;Readings[[#This Row],[Epoch]]</f>
        <v>250-RL-OP-11005-45792.2708333333</v>
      </c>
      <c r="V452" s="99">
        <f ca="1">IF(Readings[[#This Row],[Epoch]]=OFFSET(Readings[[#This Row],[Epoch]],-1,0),0,1)</f>
        <v>0</v>
      </c>
    </row>
    <row r="453" spans="4:22" x14ac:dyDescent="0.2">
      <c r="D453" s="32">
        <v>45792.270833333336</v>
      </c>
      <c r="E453" s="33" t="s">
        <v>175</v>
      </c>
      <c r="F453" s="34">
        <v>60040.606</v>
      </c>
      <c r="G453" s="34">
        <v>363842.86199999996</v>
      </c>
      <c r="H453" s="34">
        <v>18.771999999999998</v>
      </c>
      <c r="I453" s="33" t="s">
        <v>85</v>
      </c>
      <c r="J453" s="33" t="s">
        <v>90</v>
      </c>
      <c r="K453" s="33">
        <v>16.3</v>
      </c>
      <c r="L453" s="33">
        <v>1016.7</v>
      </c>
      <c r="M453" s="33">
        <v>91</v>
      </c>
      <c r="N453" s="33"/>
      <c r="O453" s="93">
        <f>IFERROR(IF(Readings[[#This Row],[Obs. X]]="","-",Readings[[#This Row],[Obs. X]]-_xlfn.XLOOKUP(Readings[[#This Row],[Sensor ID]],Table_Baseline[Sensor ID],Table_Baseline[Easting '[m']],"-")),"-")</f>
        <v>-1.0000000038417056E-3</v>
      </c>
      <c r="P453" s="93">
        <f>IFERROR(IF(Readings[[#This Row],[Obs. Y]]="","-",Readings[[#This Row],[Obs. Y]]-_xlfn.XLOOKUP(Readings[[#This Row],[Sensor ID]],Table_Baseline[Sensor ID],Table_Baseline[Northing '[m']],"-")),"-")</f>
        <v>9.9999993108212948E-4</v>
      </c>
      <c r="Q453" s="93">
        <f>IFERROR(IF(Readings[[#This Row],[Obs. Z]]="","-",Readings[[#This Row],[Obs. Z]]-_xlfn.XLOOKUP(Readings[[#This Row],[Sensor ID]],Table_Baseline[Sensor ID],Table_Baseline[Level '[m']],"-")),"-")</f>
        <v>0</v>
      </c>
      <c r="R453" s="93">
        <f>IFERROR(IF(Readings[[#This Row],[Reference Angle]]="-","-",(Readings[[#This Row],[Diff E]]*COS(RADIANS(Readings[[#This Row],[Reference Angle]]))-Readings[[#This Row],[Diff N]]*SIN(RADIANS(Readings[[#This Row],[Reference Angle]])))),"-")</f>
        <v>-1.0000000038417056E-3</v>
      </c>
      <c r="S453" s="93">
        <f>IFERROR(IF(Readings[[#This Row],[Reference Angle]]="-","-",(Readings[[#This Row],[Diff E]]*SIN(RADIANS(Readings[[#This Row],[Reference Angle]]))+Readings[[#This Row],[Diff N]]*COS(RADIANS(Readings[[#This Row],[Reference Angle]])))),"-")</f>
        <v>9.9999993108212948E-4</v>
      </c>
      <c r="T453" s="94">
        <f>IFERROR(VLOOKUP(Readings[[#This Row],[Sensor ID]],Table_Baseline[],COLUMNS(Table_Baseline[[#Headers],[Sensor ID]:[Reference Angle '[Deg']]]),FALSE),"-")</f>
        <v>0</v>
      </c>
      <c r="U453" s="95" t="str">
        <f>Readings[[#This Row],[Sensor ID]]&amp;"-"&amp;Readings[[#This Row],[Epoch]]</f>
        <v>250-RL-OP-11006-45792.2708333333</v>
      </c>
      <c r="V453" s="99">
        <f ca="1">IF(Readings[[#This Row],[Epoch]]=OFFSET(Readings[[#This Row],[Epoch]],-1,0),0,1)</f>
        <v>0</v>
      </c>
    </row>
    <row r="454" spans="4:22" x14ac:dyDescent="0.2">
      <c r="D454" s="32">
        <v>45792.270833333336</v>
      </c>
      <c r="E454" s="33" t="s">
        <v>178</v>
      </c>
      <c r="F454" s="34">
        <v>60043.758000000002</v>
      </c>
      <c r="G454" s="34">
        <v>363843.315</v>
      </c>
      <c r="H454" s="34">
        <v>18.774000000000001</v>
      </c>
      <c r="I454" s="33" t="s">
        <v>85</v>
      </c>
      <c r="J454" s="33" t="s">
        <v>90</v>
      </c>
      <c r="K454" s="33">
        <v>16.3</v>
      </c>
      <c r="L454" s="33">
        <v>1016.7</v>
      </c>
      <c r="M454" s="33">
        <v>91</v>
      </c>
      <c r="N454" s="33"/>
      <c r="O454" s="93">
        <f>IFERROR(IF(Readings[[#This Row],[Obs. X]]="","-",Readings[[#This Row],[Obs. X]]-_xlfn.XLOOKUP(Readings[[#This Row],[Sensor ID]],Table_Baseline[Sensor ID],Table_Baseline[Easting '[m']],"-")),"-")</f>
        <v>-9.9999999656574801E-4</v>
      </c>
      <c r="P454" s="93">
        <f>IFERROR(IF(Readings[[#This Row],[Obs. Y]]="","-",Readings[[#This Row],[Obs. Y]]-_xlfn.XLOOKUP(Readings[[#This Row],[Sensor ID]],Table_Baseline[Sensor ID],Table_Baseline[Northing '[m']],"-")),"-")</f>
        <v>9.9999998928979039E-4</v>
      </c>
      <c r="Q454" s="93">
        <f>IFERROR(IF(Readings[[#This Row],[Obs. Z]]="","-",Readings[[#This Row],[Obs. Z]]-_xlfn.XLOOKUP(Readings[[#This Row],[Sensor ID]],Table_Baseline[Sensor ID],Table_Baseline[Level '[m']],"-")),"-")</f>
        <v>-9.9999999999766942E-5</v>
      </c>
      <c r="R454" s="93">
        <f>IFERROR(IF(Readings[[#This Row],[Reference Angle]]="-","-",(Readings[[#This Row],[Diff E]]*COS(RADIANS(Readings[[#This Row],[Reference Angle]]))-Readings[[#This Row],[Diff N]]*SIN(RADIANS(Readings[[#This Row],[Reference Angle]])))),"-")</f>
        <v>-9.9999999656574801E-4</v>
      </c>
      <c r="S454" s="93">
        <f>IFERROR(IF(Readings[[#This Row],[Reference Angle]]="-","-",(Readings[[#This Row],[Diff E]]*SIN(RADIANS(Readings[[#This Row],[Reference Angle]]))+Readings[[#This Row],[Diff N]]*COS(RADIANS(Readings[[#This Row],[Reference Angle]])))),"-")</f>
        <v>9.9999998928979039E-4</v>
      </c>
      <c r="T454" s="94">
        <f>IFERROR(VLOOKUP(Readings[[#This Row],[Sensor ID]],Table_Baseline[],COLUMNS(Table_Baseline[[#Headers],[Sensor ID]:[Reference Angle '[Deg']]]),FALSE),"-")</f>
        <v>0</v>
      </c>
      <c r="U454" s="95" t="str">
        <f>Readings[[#This Row],[Sensor ID]]&amp;"-"&amp;Readings[[#This Row],[Epoch]]</f>
        <v>250-RL-OP-11007-45792.2708333333</v>
      </c>
      <c r="V454" s="99">
        <f ca="1">IF(Readings[[#This Row],[Epoch]]=OFFSET(Readings[[#This Row],[Epoch]],-1,0),0,1)</f>
        <v>0</v>
      </c>
    </row>
    <row r="455" spans="4:22" x14ac:dyDescent="0.2">
      <c r="D455" s="32">
        <v>45792.270833333336</v>
      </c>
      <c r="E455" s="33" t="s">
        <v>177</v>
      </c>
      <c r="F455" s="34">
        <v>60043.440999999999</v>
      </c>
      <c r="G455" s="34">
        <v>363842.04200000002</v>
      </c>
      <c r="H455" s="34">
        <v>18.768999999999998</v>
      </c>
      <c r="I455" s="33" t="s">
        <v>85</v>
      </c>
      <c r="J455" s="33" t="s">
        <v>90</v>
      </c>
      <c r="K455" s="33">
        <v>16.3</v>
      </c>
      <c r="L455" s="33">
        <v>1016.7</v>
      </c>
      <c r="M455" s="33">
        <v>91</v>
      </c>
      <c r="N455" s="33"/>
      <c r="O455" s="93">
        <f>IFERROR(IF(Readings[[#This Row],[Obs. X]]="","-",Readings[[#This Row],[Obs. X]]-_xlfn.XLOOKUP(Readings[[#This Row],[Sensor ID]],Table_Baseline[Sensor ID],Table_Baseline[Easting '[m']],"-")),"-")</f>
        <v>0</v>
      </c>
      <c r="P455" s="93">
        <f>IFERROR(IF(Readings[[#This Row],[Obs. Y]]="","-",Readings[[#This Row],[Obs. Y]]-_xlfn.XLOOKUP(Readings[[#This Row],[Sensor ID]],Table_Baseline[Sensor ID],Table_Baseline[Northing '[m']],"-")),"-")</f>
        <v>1.9999999785795808E-3</v>
      </c>
      <c r="Q455" s="93">
        <f>IFERROR(IF(Readings[[#This Row],[Obs. Z]]="","-",Readings[[#This Row],[Obs. Z]]-_xlfn.XLOOKUP(Readings[[#This Row],[Sensor ID]],Table_Baseline[Sensor ID],Table_Baseline[Level '[m']],"-")),"-")</f>
        <v>6.9999999999836859E-4</v>
      </c>
      <c r="R455" s="93">
        <f>IFERROR(IF(Readings[[#This Row],[Reference Angle]]="-","-",(Readings[[#This Row],[Diff E]]*COS(RADIANS(Readings[[#This Row],[Reference Angle]]))-Readings[[#This Row],[Diff N]]*SIN(RADIANS(Readings[[#This Row],[Reference Angle]])))),"-")</f>
        <v>0</v>
      </c>
      <c r="S455" s="93">
        <f>IFERROR(IF(Readings[[#This Row],[Reference Angle]]="-","-",(Readings[[#This Row],[Diff E]]*SIN(RADIANS(Readings[[#This Row],[Reference Angle]]))+Readings[[#This Row],[Diff N]]*COS(RADIANS(Readings[[#This Row],[Reference Angle]])))),"-")</f>
        <v>1.9999999785795808E-3</v>
      </c>
      <c r="T455" s="94">
        <f>IFERROR(VLOOKUP(Readings[[#This Row],[Sensor ID]],Table_Baseline[],COLUMNS(Table_Baseline[[#Headers],[Sensor ID]:[Reference Angle '[Deg']]]),FALSE),"-")</f>
        <v>0</v>
      </c>
      <c r="U455" s="95" t="str">
        <f>Readings[[#This Row],[Sensor ID]]&amp;"-"&amp;Readings[[#This Row],[Epoch]]</f>
        <v>250-RL-OP-11008-45792.2708333333</v>
      </c>
      <c r="V455" s="99">
        <f ca="1">IF(Readings[[#This Row],[Epoch]]=OFFSET(Readings[[#This Row],[Epoch]],-1,0),0,1)</f>
        <v>0</v>
      </c>
    </row>
    <row r="456" spans="4:22" x14ac:dyDescent="0.2">
      <c r="D456" s="32">
        <v>45792.270833333336</v>
      </c>
      <c r="E456" s="33" t="s">
        <v>180</v>
      </c>
      <c r="F456" s="34">
        <v>60046.633000000002</v>
      </c>
      <c r="G456" s="34">
        <v>363842.48600000003</v>
      </c>
      <c r="H456" s="34">
        <v>18.777999999999999</v>
      </c>
      <c r="I456" s="33" t="s">
        <v>85</v>
      </c>
      <c r="J456" s="33" t="s">
        <v>90</v>
      </c>
      <c r="K456" s="33">
        <v>16.3</v>
      </c>
      <c r="L456" s="33">
        <v>1016.7</v>
      </c>
      <c r="M456" s="33">
        <v>91</v>
      </c>
      <c r="N456" s="33"/>
      <c r="O456" s="93">
        <f>IFERROR(IF(Readings[[#This Row],[Obs. X]]="","-",Readings[[#This Row],[Obs. X]]-_xlfn.XLOOKUP(Readings[[#This Row],[Sensor ID]],Table_Baseline[Sensor ID],Table_Baseline[Easting '[m']],"-")),"-")</f>
        <v>0</v>
      </c>
      <c r="P456" s="93">
        <f>IFERROR(IF(Readings[[#This Row],[Obs. Y]]="","-",Readings[[#This Row],[Obs. Y]]-_xlfn.XLOOKUP(Readings[[#This Row],[Sensor ID]],Table_Baseline[Sensor ID],Table_Baseline[Northing '[m']],"-")),"-")</f>
        <v>1.0000000474974513E-3</v>
      </c>
      <c r="Q456" s="93">
        <f>IFERROR(IF(Readings[[#This Row],[Obs. Z]]="","-",Readings[[#This Row],[Obs. Z]]-_xlfn.XLOOKUP(Readings[[#This Row],[Sensor ID]],Table_Baseline[Sensor ID],Table_Baseline[Level '[m']],"-")),"-")</f>
        <v>3.9999999999906777E-4</v>
      </c>
      <c r="R456" s="93">
        <f>IFERROR(IF(Readings[[#This Row],[Reference Angle]]="-","-",(Readings[[#This Row],[Diff E]]*COS(RADIANS(Readings[[#This Row],[Reference Angle]]))-Readings[[#This Row],[Diff N]]*SIN(RADIANS(Readings[[#This Row],[Reference Angle]])))),"-")</f>
        <v>0</v>
      </c>
      <c r="S456" s="93">
        <f>IFERROR(IF(Readings[[#This Row],[Reference Angle]]="-","-",(Readings[[#This Row],[Diff E]]*SIN(RADIANS(Readings[[#This Row],[Reference Angle]]))+Readings[[#This Row],[Diff N]]*COS(RADIANS(Readings[[#This Row],[Reference Angle]])))),"-")</f>
        <v>1.0000000474974513E-3</v>
      </c>
      <c r="T456" s="94">
        <f>IFERROR(VLOOKUP(Readings[[#This Row],[Sensor ID]],Table_Baseline[],COLUMNS(Table_Baseline[[#Headers],[Sensor ID]:[Reference Angle '[Deg']]]),FALSE),"-")</f>
        <v>0</v>
      </c>
      <c r="U456" s="95" t="str">
        <f>Readings[[#This Row],[Sensor ID]]&amp;"-"&amp;Readings[[#This Row],[Epoch]]</f>
        <v>250-RL-OP-11009-45792.2708333333</v>
      </c>
      <c r="V456" s="99">
        <f ca="1">IF(Readings[[#This Row],[Epoch]]=OFFSET(Readings[[#This Row],[Epoch]],-1,0),0,1)</f>
        <v>0</v>
      </c>
    </row>
    <row r="457" spans="4:22" x14ac:dyDescent="0.2">
      <c r="D457" s="32">
        <v>45792.270833333336</v>
      </c>
      <c r="E457" s="33" t="s">
        <v>179</v>
      </c>
      <c r="F457" s="34">
        <v>60046.249000000003</v>
      </c>
      <c r="G457" s="34">
        <v>363841.22700000001</v>
      </c>
      <c r="H457" s="34">
        <v>18.77</v>
      </c>
      <c r="I457" s="33" t="s">
        <v>85</v>
      </c>
      <c r="J457" s="33" t="s">
        <v>90</v>
      </c>
      <c r="K457" s="33">
        <v>16.3</v>
      </c>
      <c r="L457" s="33">
        <v>1016.7</v>
      </c>
      <c r="M457" s="33">
        <v>91</v>
      </c>
      <c r="N457" s="33"/>
      <c r="O457" s="93">
        <f>IFERROR(IF(Readings[[#This Row],[Obs. X]]="","-",Readings[[#This Row],[Obs. X]]-_xlfn.XLOOKUP(Readings[[#This Row],[Sensor ID]],Table_Baseline[Sensor ID],Table_Baseline[Easting '[m']],"-")),"-")</f>
        <v>-9.9999999656574801E-4</v>
      </c>
      <c r="P457" s="93">
        <f>IFERROR(IF(Readings[[#This Row],[Obs. Y]]="","-",Readings[[#This Row],[Obs. Y]]-_xlfn.XLOOKUP(Readings[[#This Row],[Sensor ID]],Table_Baseline[Sensor ID],Table_Baseline[Northing '[m']],"-")),"-")</f>
        <v>9.9999998928979039E-4</v>
      </c>
      <c r="Q457" s="93">
        <f>IFERROR(IF(Readings[[#This Row],[Obs. Z]]="","-",Readings[[#This Row],[Obs. Z]]-_xlfn.XLOOKUP(Readings[[#This Row],[Sensor ID]],Table_Baseline[Sensor ID],Table_Baseline[Level '[m']],"-")),"-")</f>
        <v>1.9999999999953388E-4</v>
      </c>
      <c r="R457" s="93">
        <f>IFERROR(IF(Readings[[#This Row],[Reference Angle]]="-","-",(Readings[[#This Row],[Diff E]]*COS(RADIANS(Readings[[#This Row],[Reference Angle]]))-Readings[[#This Row],[Diff N]]*SIN(RADIANS(Readings[[#This Row],[Reference Angle]])))),"-")</f>
        <v>-9.9999999656574801E-4</v>
      </c>
      <c r="S457" s="93">
        <f>IFERROR(IF(Readings[[#This Row],[Reference Angle]]="-","-",(Readings[[#This Row],[Diff E]]*SIN(RADIANS(Readings[[#This Row],[Reference Angle]]))+Readings[[#This Row],[Diff N]]*COS(RADIANS(Readings[[#This Row],[Reference Angle]])))),"-")</f>
        <v>9.9999998928979039E-4</v>
      </c>
      <c r="T457" s="94">
        <f>IFERROR(VLOOKUP(Readings[[#This Row],[Sensor ID]],Table_Baseline[],COLUMNS(Table_Baseline[[#Headers],[Sensor ID]:[Reference Angle '[Deg']]]),FALSE),"-")</f>
        <v>0</v>
      </c>
      <c r="U457" s="95" t="str">
        <f>Readings[[#This Row],[Sensor ID]]&amp;"-"&amp;Readings[[#This Row],[Epoch]]</f>
        <v>250-RL-OP-11010-45792.2708333333</v>
      </c>
      <c r="V457" s="99">
        <f ca="1">IF(Readings[[#This Row],[Epoch]]=OFFSET(Readings[[#This Row],[Epoch]],-1,0),0,1)</f>
        <v>0</v>
      </c>
    </row>
    <row r="458" spans="4:22" x14ac:dyDescent="0.2">
      <c r="D458" s="32">
        <v>45792.270833333336</v>
      </c>
      <c r="E458" s="33" t="s">
        <v>182</v>
      </c>
      <c r="F458" s="34">
        <v>60049.398000000001</v>
      </c>
      <c r="G458" s="34">
        <v>363841.69900000002</v>
      </c>
      <c r="H458" s="34">
        <v>18.777999999999999</v>
      </c>
      <c r="I458" s="33" t="s">
        <v>85</v>
      </c>
      <c r="J458" s="33" t="s">
        <v>90</v>
      </c>
      <c r="K458" s="33">
        <v>16.3</v>
      </c>
      <c r="L458" s="33">
        <v>1016.7</v>
      </c>
      <c r="M458" s="33">
        <v>91</v>
      </c>
      <c r="N458" s="33"/>
      <c r="O458" s="93">
        <f>IFERROR(IF(Readings[[#This Row],[Obs. X]]="","-",Readings[[#This Row],[Obs. X]]-_xlfn.XLOOKUP(Readings[[#This Row],[Sensor ID]],Table_Baseline[Sensor ID],Table_Baseline[Easting '[m']],"-")),"-")</f>
        <v>-9.9999999656574801E-4</v>
      </c>
      <c r="P458" s="93">
        <f>IFERROR(IF(Readings[[#This Row],[Obs. Y]]="","-",Readings[[#This Row],[Obs. Y]]-_xlfn.XLOOKUP(Readings[[#This Row],[Sensor ID]],Table_Baseline[Sensor ID],Table_Baseline[Northing '[m']],"-")),"-")</f>
        <v>1.0000000474974513E-3</v>
      </c>
      <c r="Q458" s="93">
        <f>IFERROR(IF(Readings[[#This Row],[Obs. Z]]="","-",Readings[[#This Row],[Obs. Z]]-_xlfn.XLOOKUP(Readings[[#This Row],[Sensor ID]],Table_Baseline[Sensor ID],Table_Baseline[Level '[m']],"-")),"-")</f>
        <v>0</v>
      </c>
      <c r="R458" s="93">
        <f>IFERROR(IF(Readings[[#This Row],[Reference Angle]]="-","-",(Readings[[#This Row],[Diff E]]*COS(RADIANS(Readings[[#This Row],[Reference Angle]]))-Readings[[#This Row],[Diff N]]*SIN(RADIANS(Readings[[#This Row],[Reference Angle]])))),"-")</f>
        <v>-9.9999999656574801E-4</v>
      </c>
      <c r="S458" s="93">
        <f>IFERROR(IF(Readings[[#This Row],[Reference Angle]]="-","-",(Readings[[#This Row],[Diff E]]*SIN(RADIANS(Readings[[#This Row],[Reference Angle]]))+Readings[[#This Row],[Diff N]]*COS(RADIANS(Readings[[#This Row],[Reference Angle]])))),"-")</f>
        <v>1.0000000474974513E-3</v>
      </c>
      <c r="T458" s="94">
        <f>IFERROR(VLOOKUP(Readings[[#This Row],[Sensor ID]],Table_Baseline[],COLUMNS(Table_Baseline[[#Headers],[Sensor ID]:[Reference Angle '[Deg']]]),FALSE),"-")</f>
        <v>0</v>
      </c>
      <c r="U458" s="95" t="str">
        <f>Readings[[#This Row],[Sensor ID]]&amp;"-"&amp;Readings[[#This Row],[Epoch]]</f>
        <v>250-RL-OP-11011-45792.2708333333</v>
      </c>
      <c r="V458" s="99">
        <f ca="1">IF(Readings[[#This Row],[Epoch]]=OFFSET(Readings[[#This Row],[Epoch]],-1,0),0,1)</f>
        <v>0</v>
      </c>
    </row>
    <row r="459" spans="4:22" x14ac:dyDescent="0.2">
      <c r="D459" s="32">
        <v>45792.270833333336</v>
      </c>
      <c r="E459" s="33" t="s">
        <v>181</v>
      </c>
      <c r="F459" s="34">
        <v>60049.04</v>
      </c>
      <c r="G459" s="34">
        <v>363840.43599999999</v>
      </c>
      <c r="H459" s="34">
        <v>18.771000000000001</v>
      </c>
      <c r="I459" s="33" t="s">
        <v>85</v>
      </c>
      <c r="J459" s="33" t="s">
        <v>90</v>
      </c>
      <c r="K459" s="33">
        <v>16.3</v>
      </c>
      <c r="L459" s="33">
        <v>1016.7</v>
      </c>
      <c r="M459" s="33">
        <v>91</v>
      </c>
      <c r="N459" s="33"/>
      <c r="O459" s="93">
        <f>IFERROR(IF(Readings[[#This Row],[Obs. X]]="","-",Readings[[#This Row],[Obs. X]]-_xlfn.XLOOKUP(Readings[[#This Row],[Sensor ID]],Table_Baseline[Sensor ID],Table_Baseline[Easting '[m']],"-")),"-")</f>
        <v>-9.9999999656574801E-4</v>
      </c>
      <c r="P459" s="93">
        <f>IFERROR(IF(Readings[[#This Row],[Obs. Y]]="","-",Readings[[#This Row],[Obs. Y]]-_xlfn.XLOOKUP(Readings[[#This Row],[Sensor ID]],Table_Baseline[Sensor ID],Table_Baseline[Northing '[m']],"-")),"-")</f>
        <v>3.0000000260770321E-3</v>
      </c>
      <c r="Q459" s="93">
        <f>IFERROR(IF(Readings[[#This Row],[Obs. Z]]="","-",Readings[[#This Row],[Obs. Z]]-_xlfn.XLOOKUP(Readings[[#This Row],[Sensor ID]],Table_Baseline[Sensor ID],Table_Baseline[Level '[m']],"-")),"-")</f>
        <v>-9.9999999999766942E-5</v>
      </c>
      <c r="R459" s="93">
        <f>IFERROR(IF(Readings[[#This Row],[Reference Angle]]="-","-",(Readings[[#This Row],[Diff E]]*COS(RADIANS(Readings[[#This Row],[Reference Angle]]))-Readings[[#This Row],[Diff N]]*SIN(RADIANS(Readings[[#This Row],[Reference Angle]])))),"-")</f>
        <v>-9.9999999656574801E-4</v>
      </c>
      <c r="S459" s="93">
        <f>IFERROR(IF(Readings[[#This Row],[Reference Angle]]="-","-",(Readings[[#This Row],[Diff E]]*SIN(RADIANS(Readings[[#This Row],[Reference Angle]]))+Readings[[#This Row],[Diff N]]*COS(RADIANS(Readings[[#This Row],[Reference Angle]])))),"-")</f>
        <v>3.0000000260770321E-3</v>
      </c>
      <c r="T459" s="94">
        <f>IFERROR(VLOOKUP(Readings[[#This Row],[Sensor ID]],Table_Baseline[],COLUMNS(Table_Baseline[[#Headers],[Sensor ID]:[Reference Angle '[Deg']]]),FALSE),"-")</f>
        <v>0</v>
      </c>
      <c r="U459" s="95" t="str">
        <f>Readings[[#This Row],[Sensor ID]]&amp;"-"&amp;Readings[[#This Row],[Epoch]]</f>
        <v>250-RL-OP-11012-45792.2708333333</v>
      </c>
      <c r="V459" s="99">
        <f ca="1">IF(Readings[[#This Row],[Epoch]]=OFFSET(Readings[[#This Row],[Epoch]],-1,0),0,1)</f>
        <v>0</v>
      </c>
    </row>
    <row r="460" spans="4:22" x14ac:dyDescent="0.2">
      <c r="D460" s="32">
        <v>45792.270833333336</v>
      </c>
      <c r="E460" s="33" t="s">
        <v>184</v>
      </c>
      <c r="F460" s="34">
        <v>60052.292000000001</v>
      </c>
      <c r="G460" s="34">
        <v>363840.88699999999</v>
      </c>
      <c r="H460" s="34">
        <v>18.779</v>
      </c>
      <c r="I460" s="33" t="s">
        <v>85</v>
      </c>
      <c r="J460" s="33" t="s">
        <v>90</v>
      </c>
      <c r="K460" s="33">
        <v>16.3</v>
      </c>
      <c r="L460" s="33">
        <v>1016.7</v>
      </c>
      <c r="M460" s="33">
        <v>91</v>
      </c>
      <c r="N460" s="33"/>
      <c r="O460" s="93">
        <f>IFERROR(IF(Readings[[#This Row],[Obs. X]]="","-",Readings[[#This Row],[Obs. X]]-_xlfn.XLOOKUP(Readings[[#This Row],[Sensor ID]],Table_Baseline[Sensor ID],Table_Baseline[Easting '[m']],"-")),"-")</f>
        <v>-9.9999999656574801E-4</v>
      </c>
      <c r="P460" s="93">
        <f>IFERROR(IF(Readings[[#This Row],[Obs. Y]]="","-",Readings[[#This Row],[Obs. Y]]-_xlfn.XLOOKUP(Readings[[#This Row],[Sensor ID]],Table_Baseline[Sensor ID],Table_Baseline[Northing '[m']],"-")),"-")</f>
        <v>1.9999999785795808E-3</v>
      </c>
      <c r="Q460" s="93">
        <f>IFERROR(IF(Readings[[#This Row],[Obs. Z]]="","-",Readings[[#This Row],[Obs. Z]]-_xlfn.XLOOKUP(Readings[[#This Row],[Sensor ID]],Table_Baseline[Sensor ID],Table_Baseline[Level '[m']],"-")),"-")</f>
        <v>0</v>
      </c>
      <c r="R460" s="93">
        <f>IFERROR(IF(Readings[[#This Row],[Reference Angle]]="-","-",(Readings[[#This Row],[Diff E]]*COS(RADIANS(Readings[[#This Row],[Reference Angle]]))-Readings[[#This Row],[Diff N]]*SIN(RADIANS(Readings[[#This Row],[Reference Angle]])))),"-")</f>
        <v>-9.9999999656574801E-4</v>
      </c>
      <c r="S460" s="93">
        <f>IFERROR(IF(Readings[[#This Row],[Reference Angle]]="-","-",(Readings[[#This Row],[Diff E]]*SIN(RADIANS(Readings[[#This Row],[Reference Angle]]))+Readings[[#This Row],[Diff N]]*COS(RADIANS(Readings[[#This Row],[Reference Angle]])))),"-")</f>
        <v>1.9999999785795808E-3</v>
      </c>
      <c r="T460" s="94">
        <f>IFERROR(VLOOKUP(Readings[[#This Row],[Sensor ID]],Table_Baseline[],COLUMNS(Table_Baseline[[#Headers],[Sensor ID]:[Reference Angle '[Deg']]]),FALSE),"-")</f>
        <v>0</v>
      </c>
      <c r="U460" s="95" t="str">
        <f>Readings[[#This Row],[Sensor ID]]&amp;"-"&amp;Readings[[#This Row],[Epoch]]</f>
        <v>250-RL-OP-11013-45792.2708333333</v>
      </c>
      <c r="V460" s="99">
        <f ca="1">IF(Readings[[#This Row],[Epoch]]=OFFSET(Readings[[#This Row],[Epoch]],-1,0),0,1)</f>
        <v>0</v>
      </c>
    </row>
    <row r="461" spans="4:22" x14ac:dyDescent="0.2">
      <c r="D461" s="32">
        <v>45792.270833333336</v>
      </c>
      <c r="E461" s="33" t="s">
        <v>183</v>
      </c>
      <c r="F461" s="34">
        <v>60051.987999999998</v>
      </c>
      <c r="G461" s="34">
        <v>363839.60600000003</v>
      </c>
      <c r="H461" s="34">
        <v>18.77</v>
      </c>
      <c r="I461" s="33" t="s">
        <v>85</v>
      </c>
      <c r="J461" s="33" t="s">
        <v>90</v>
      </c>
      <c r="K461" s="33">
        <v>16.3</v>
      </c>
      <c r="L461" s="33">
        <v>1016.7</v>
      </c>
      <c r="M461" s="33">
        <v>91</v>
      </c>
      <c r="N461" s="33"/>
      <c r="O461" s="93">
        <f>IFERROR(IF(Readings[[#This Row],[Obs. X]]="","-",Readings[[#This Row],[Obs. X]]-_xlfn.XLOOKUP(Readings[[#This Row],[Sensor ID]],Table_Baseline[Sensor ID],Table_Baseline[Easting '[m']],"-")),"-")</f>
        <v>-1.0000000038417056E-3</v>
      </c>
      <c r="P461" s="93">
        <f>IFERROR(IF(Readings[[#This Row],[Obs. Y]]="","-",Readings[[#This Row],[Obs. Y]]-_xlfn.XLOOKUP(Readings[[#This Row],[Sensor ID]],Table_Baseline[Sensor ID],Table_Baseline[Northing '[m']],"-")),"-")</f>
        <v>3.0000000260770321E-3</v>
      </c>
      <c r="Q461" s="93">
        <f>IFERROR(IF(Readings[[#This Row],[Obs. Z]]="","-",Readings[[#This Row],[Obs. Z]]-_xlfn.XLOOKUP(Readings[[#This Row],[Sensor ID]],Table_Baseline[Sensor ID],Table_Baseline[Level '[m']],"-")),"-")</f>
        <v>-9.9999999999766942E-5</v>
      </c>
      <c r="R461" s="93">
        <f>IFERROR(IF(Readings[[#This Row],[Reference Angle]]="-","-",(Readings[[#This Row],[Diff E]]*COS(RADIANS(Readings[[#This Row],[Reference Angle]]))-Readings[[#This Row],[Diff N]]*SIN(RADIANS(Readings[[#This Row],[Reference Angle]])))),"-")</f>
        <v>-1.0000000038417056E-3</v>
      </c>
      <c r="S461" s="93">
        <f>IFERROR(IF(Readings[[#This Row],[Reference Angle]]="-","-",(Readings[[#This Row],[Diff E]]*SIN(RADIANS(Readings[[#This Row],[Reference Angle]]))+Readings[[#This Row],[Diff N]]*COS(RADIANS(Readings[[#This Row],[Reference Angle]])))),"-")</f>
        <v>3.0000000260770321E-3</v>
      </c>
      <c r="T461" s="94">
        <f>IFERROR(VLOOKUP(Readings[[#This Row],[Sensor ID]],Table_Baseline[],COLUMNS(Table_Baseline[[#Headers],[Sensor ID]:[Reference Angle '[Deg']]]),FALSE),"-")</f>
        <v>0</v>
      </c>
      <c r="U461" s="95" t="str">
        <f>Readings[[#This Row],[Sensor ID]]&amp;"-"&amp;Readings[[#This Row],[Epoch]]</f>
        <v>250-RL-OP-11014-45792.2708333333</v>
      </c>
      <c r="V461" s="99">
        <f ca="1">IF(Readings[[#This Row],[Epoch]]=OFFSET(Readings[[#This Row],[Epoch]],-1,0),0,1)</f>
        <v>0</v>
      </c>
    </row>
    <row r="462" spans="4:22" x14ac:dyDescent="0.2">
      <c r="D462" s="32">
        <v>45792.270833333336</v>
      </c>
      <c r="E462" s="33" t="s">
        <v>186</v>
      </c>
      <c r="F462" s="34">
        <v>60055.196000000004</v>
      </c>
      <c r="G462" s="34">
        <v>363840.09700000001</v>
      </c>
      <c r="H462" s="34">
        <v>18.78</v>
      </c>
      <c r="I462" s="33" t="s">
        <v>85</v>
      </c>
      <c r="J462" s="33" t="s">
        <v>90</v>
      </c>
      <c r="K462" s="33">
        <v>16.3</v>
      </c>
      <c r="L462" s="33">
        <v>1016.7</v>
      </c>
      <c r="M462" s="33">
        <v>91</v>
      </c>
      <c r="N462" s="33"/>
      <c r="O462" s="93">
        <f>IFERROR(IF(Readings[[#This Row],[Obs. X]]="","-",Readings[[#This Row],[Obs. X]]-_xlfn.XLOOKUP(Readings[[#This Row],[Sensor ID]],Table_Baseline[Sensor ID],Table_Baseline[Easting '[m']],"-")),"-")</f>
        <v>0</v>
      </c>
      <c r="P462" s="93">
        <f>IFERROR(IF(Readings[[#This Row],[Obs. Y]]="","-",Readings[[#This Row],[Obs. Y]]-_xlfn.XLOOKUP(Readings[[#This Row],[Sensor ID]],Table_Baseline[Sensor ID],Table_Baseline[Northing '[m']],"-")),"-")</f>
        <v>2.0000000367872417E-3</v>
      </c>
      <c r="Q462" s="93">
        <f>IFERROR(IF(Readings[[#This Row],[Obs. Z]]="","-",Readings[[#This Row],[Obs. Z]]-_xlfn.XLOOKUP(Readings[[#This Row],[Sensor ID]],Table_Baseline[Sensor ID],Table_Baseline[Level '[m']],"-")),"-")</f>
        <v>-8.9999999999790248E-4</v>
      </c>
      <c r="R462" s="93">
        <f>IFERROR(IF(Readings[[#This Row],[Reference Angle]]="-","-",(Readings[[#This Row],[Diff E]]*COS(RADIANS(Readings[[#This Row],[Reference Angle]]))-Readings[[#This Row],[Diff N]]*SIN(RADIANS(Readings[[#This Row],[Reference Angle]])))),"-")</f>
        <v>0</v>
      </c>
      <c r="S462" s="93">
        <f>IFERROR(IF(Readings[[#This Row],[Reference Angle]]="-","-",(Readings[[#This Row],[Diff E]]*SIN(RADIANS(Readings[[#This Row],[Reference Angle]]))+Readings[[#This Row],[Diff N]]*COS(RADIANS(Readings[[#This Row],[Reference Angle]])))),"-")</f>
        <v>2.0000000367872417E-3</v>
      </c>
      <c r="T462" s="94">
        <f>IFERROR(VLOOKUP(Readings[[#This Row],[Sensor ID]],Table_Baseline[],COLUMNS(Table_Baseline[[#Headers],[Sensor ID]:[Reference Angle '[Deg']]]),FALSE),"-")</f>
        <v>0</v>
      </c>
      <c r="U462" s="95" t="str">
        <f>Readings[[#This Row],[Sensor ID]]&amp;"-"&amp;Readings[[#This Row],[Epoch]]</f>
        <v>250-RL-OP-11015-45792.2708333333</v>
      </c>
      <c r="V462" s="99">
        <f ca="1">IF(Readings[[#This Row],[Epoch]]=OFFSET(Readings[[#This Row],[Epoch]],-1,0),0,1)</f>
        <v>0</v>
      </c>
    </row>
    <row r="463" spans="4:22" x14ac:dyDescent="0.2">
      <c r="D463" s="32">
        <v>45792.270833333336</v>
      </c>
      <c r="E463" s="33" t="s">
        <v>185</v>
      </c>
      <c r="F463" s="34">
        <v>60054.885000000002</v>
      </c>
      <c r="G463" s="34">
        <v>363838.80799999996</v>
      </c>
      <c r="H463" s="34">
        <v>18.773</v>
      </c>
      <c r="I463" s="33" t="s">
        <v>85</v>
      </c>
      <c r="J463" s="33" t="s">
        <v>90</v>
      </c>
      <c r="K463" s="33">
        <v>16.3</v>
      </c>
      <c r="L463" s="33">
        <v>1016.7</v>
      </c>
      <c r="M463" s="33">
        <v>91</v>
      </c>
      <c r="N463" s="33"/>
      <c r="O463" s="93">
        <f>IFERROR(IF(Readings[[#This Row],[Obs. X]]="","-",Readings[[#This Row],[Obs. X]]-_xlfn.XLOOKUP(Readings[[#This Row],[Sensor ID]],Table_Baseline[Sensor ID],Table_Baseline[Easting '[m']],"-")),"-")</f>
        <v>-9.9999999656574801E-4</v>
      </c>
      <c r="P463" s="93">
        <f>IFERROR(IF(Readings[[#This Row],[Obs. Y]]="","-",Readings[[#This Row],[Obs. Y]]-_xlfn.XLOOKUP(Readings[[#This Row],[Sensor ID]],Table_Baseline[Sensor ID],Table_Baseline[Northing '[m']],"-")),"-")</f>
        <v>2.9999999678693712E-3</v>
      </c>
      <c r="Q463" s="93">
        <f>IFERROR(IF(Readings[[#This Row],[Obs. Z]]="","-",Readings[[#This Row],[Obs. Z]]-_xlfn.XLOOKUP(Readings[[#This Row],[Sensor ID]],Table_Baseline[Sensor ID],Table_Baseline[Level '[m']],"-")),"-")</f>
        <v>-9.9999999999766942E-5</v>
      </c>
      <c r="R463" s="93">
        <f>IFERROR(IF(Readings[[#This Row],[Reference Angle]]="-","-",(Readings[[#This Row],[Diff E]]*COS(RADIANS(Readings[[#This Row],[Reference Angle]]))-Readings[[#This Row],[Diff N]]*SIN(RADIANS(Readings[[#This Row],[Reference Angle]])))),"-")</f>
        <v>-9.9999999656574801E-4</v>
      </c>
      <c r="S463" s="93">
        <f>IFERROR(IF(Readings[[#This Row],[Reference Angle]]="-","-",(Readings[[#This Row],[Diff E]]*SIN(RADIANS(Readings[[#This Row],[Reference Angle]]))+Readings[[#This Row],[Diff N]]*COS(RADIANS(Readings[[#This Row],[Reference Angle]])))),"-")</f>
        <v>2.9999999678693712E-3</v>
      </c>
      <c r="T463" s="94">
        <f>IFERROR(VLOOKUP(Readings[[#This Row],[Sensor ID]],Table_Baseline[],COLUMNS(Table_Baseline[[#Headers],[Sensor ID]:[Reference Angle '[Deg']]]),FALSE),"-")</f>
        <v>0</v>
      </c>
      <c r="U463" s="95" t="str">
        <f>Readings[[#This Row],[Sensor ID]]&amp;"-"&amp;Readings[[#This Row],[Epoch]]</f>
        <v>250-RL-OP-11016-45792.2708333333</v>
      </c>
      <c r="V463" s="99">
        <f ca="1">IF(Readings[[#This Row],[Epoch]]=OFFSET(Readings[[#This Row],[Epoch]],-1,0),0,1)</f>
        <v>0</v>
      </c>
    </row>
    <row r="464" spans="4:22" x14ac:dyDescent="0.2">
      <c r="D464" s="32">
        <v>45792.270833333336</v>
      </c>
      <c r="E464" s="33" t="s">
        <v>188</v>
      </c>
      <c r="F464" s="34">
        <v>60057.951999999997</v>
      </c>
      <c r="G464" s="34">
        <v>363839.36600000004</v>
      </c>
      <c r="H464" s="34">
        <v>18.786000000000001</v>
      </c>
      <c r="I464" s="33" t="s">
        <v>85</v>
      </c>
      <c r="J464" s="33" t="s">
        <v>90</v>
      </c>
      <c r="K464" s="33">
        <v>16.3</v>
      </c>
      <c r="L464" s="33">
        <v>1016.7</v>
      </c>
      <c r="M464" s="33">
        <v>91</v>
      </c>
      <c r="N464" s="33"/>
      <c r="O464" s="93">
        <f>IFERROR(IF(Readings[[#This Row],[Obs. X]]="","-",Readings[[#This Row],[Obs. X]]-_xlfn.XLOOKUP(Readings[[#This Row],[Sensor ID]],Table_Baseline[Sensor ID],Table_Baseline[Easting '[m']],"-")),"-")</f>
        <v>0</v>
      </c>
      <c r="P464" s="93">
        <f>IFERROR(IF(Readings[[#This Row],[Obs. Y]]="","-",Readings[[#This Row],[Obs. Y]]-_xlfn.XLOOKUP(Readings[[#This Row],[Sensor ID]],Table_Baseline[Sensor ID],Table_Baseline[Northing '[m']],"-")),"-")</f>
        <v>4.0000000735744834E-3</v>
      </c>
      <c r="Q464" s="93">
        <f>IFERROR(IF(Readings[[#This Row],[Obs. Z]]="","-",Readings[[#This Row],[Obs. Z]]-_xlfn.XLOOKUP(Readings[[#This Row],[Sensor ID]],Table_Baseline[Sensor ID],Table_Baseline[Level '[m']],"-")),"-")</f>
        <v>0</v>
      </c>
      <c r="R464" s="93">
        <f>IFERROR(IF(Readings[[#This Row],[Reference Angle]]="-","-",(Readings[[#This Row],[Diff E]]*COS(RADIANS(Readings[[#This Row],[Reference Angle]]))-Readings[[#This Row],[Diff N]]*SIN(RADIANS(Readings[[#This Row],[Reference Angle]])))),"-")</f>
        <v>0</v>
      </c>
      <c r="S464" s="93">
        <f>IFERROR(IF(Readings[[#This Row],[Reference Angle]]="-","-",(Readings[[#This Row],[Diff E]]*SIN(RADIANS(Readings[[#This Row],[Reference Angle]]))+Readings[[#This Row],[Diff N]]*COS(RADIANS(Readings[[#This Row],[Reference Angle]])))),"-")</f>
        <v>4.0000000735744834E-3</v>
      </c>
      <c r="T464" s="94">
        <f>IFERROR(VLOOKUP(Readings[[#This Row],[Sensor ID]],Table_Baseline[],COLUMNS(Table_Baseline[[#Headers],[Sensor ID]:[Reference Angle '[Deg']]]),FALSE),"-")</f>
        <v>0</v>
      </c>
      <c r="U464" s="95" t="str">
        <f>Readings[[#This Row],[Sensor ID]]&amp;"-"&amp;Readings[[#This Row],[Epoch]]</f>
        <v>250-RL-OP-11017-45792.2708333333</v>
      </c>
      <c r="V464" s="99">
        <f ca="1">IF(Readings[[#This Row],[Epoch]]=OFFSET(Readings[[#This Row],[Epoch]],-1,0),0,1)</f>
        <v>0</v>
      </c>
    </row>
    <row r="465" spans="4:22" x14ac:dyDescent="0.2">
      <c r="D465" s="32">
        <v>45792.270833333336</v>
      </c>
      <c r="E465" s="33" t="s">
        <v>187</v>
      </c>
      <c r="F465" s="34">
        <v>60057.578000000001</v>
      </c>
      <c r="G465" s="34">
        <v>363838.10100000002</v>
      </c>
      <c r="H465" s="34">
        <v>18.774999999999999</v>
      </c>
      <c r="I465" s="33" t="s">
        <v>85</v>
      </c>
      <c r="J465" s="33" t="s">
        <v>90</v>
      </c>
      <c r="K465" s="33">
        <v>16.3</v>
      </c>
      <c r="L465" s="33">
        <v>1016.7</v>
      </c>
      <c r="M465" s="33">
        <v>91</v>
      </c>
      <c r="N465" s="33"/>
      <c r="O465" s="93">
        <f>IFERROR(IF(Readings[[#This Row],[Obs. X]]="","-",Readings[[#This Row],[Obs. X]]-_xlfn.XLOOKUP(Readings[[#This Row],[Sensor ID]],Table_Baseline[Sensor ID],Table_Baseline[Easting '[m']],"-")),"-")</f>
        <v>-9.9999999656574801E-4</v>
      </c>
      <c r="P465" s="93">
        <f>IFERROR(IF(Readings[[#This Row],[Obs. Y]]="","-",Readings[[#This Row],[Obs. Y]]-_xlfn.XLOOKUP(Readings[[#This Row],[Sensor ID]],Table_Baseline[Sensor ID],Table_Baseline[Northing '[m']],"-")),"-")</f>
        <v>3.0000000260770321E-3</v>
      </c>
      <c r="Q465" s="93">
        <f>IFERROR(IF(Readings[[#This Row],[Obs. Z]]="","-",Readings[[#This Row],[Obs. Z]]-_xlfn.XLOOKUP(Readings[[#This Row],[Sensor ID]],Table_Baseline[Sensor ID],Table_Baseline[Level '[m']],"-")),"-")</f>
        <v>-1.0000000000012221E-3</v>
      </c>
      <c r="R465" s="93">
        <f>IFERROR(IF(Readings[[#This Row],[Reference Angle]]="-","-",(Readings[[#This Row],[Diff E]]*COS(RADIANS(Readings[[#This Row],[Reference Angle]]))-Readings[[#This Row],[Diff N]]*SIN(RADIANS(Readings[[#This Row],[Reference Angle]])))),"-")</f>
        <v>-9.9999999656574801E-4</v>
      </c>
      <c r="S465" s="93">
        <f>IFERROR(IF(Readings[[#This Row],[Reference Angle]]="-","-",(Readings[[#This Row],[Diff E]]*SIN(RADIANS(Readings[[#This Row],[Reference Angle]]))+Readings[[#This Row],[Diff N]]*COS(RADIANS(Readings[[#This Row],[Reference Angle]])))),"-")</f>
        <v>3.0000000260770321E-3</v>
      </c>
      <c r="T465" s="94">
        <f>IFERROR(VLOOKUP(Readings[[#This Row],[Sensor ID]],Table_Baseline[],COLUMNS(Table_Baseline[[#Headers],[Sensor ID]:[Reference Angle '[Deg']]]),FALSE),"-")</f>
        <v>0</v>
      </c>
      <c r="U465" s="95" t="str">
        <f>Readings[[#This Row],[Sensor ID]]&amp;"-"&amp;Readings[[#This Row],[Epoch]]</f>
        <v>250-RL-OP-11018-45792.2708333333</v>
      </c>
      <c r="V465" s="99">
        <f ca="1">IF(Readings[[#This Row],[Epoch]]=OFFSET(Readings[[#This Row],[Epoch]],-1,0),0,1)</f>
        <v>0</v>
      </c>
    </row>
    <row r="466" spans="4:22" x14ac:dyDescent="0.2">
      <c r="D466" s="32">
        <v>45792.270833333336</v>
      </c>
      <c r="E466" s="33" t="s">
        <v>190</v>
      </c>
      <c r="F466" s="34">
        <v>60060.962</v>
      </c>
      <c r="G466" s="34">
        <v>363838.60399999999</v>
      </c>
      <c r="H466" s="34">
        <v>18.794</v>
      </c>
      <c r="I466" s="33" t="s">
        <v>85</v>
      </c>
      <c r="J466" s="33" t="s">
        <v>90</v>
      </c>
      <c r="K466" s="33">
        <v>16.3</v>
      </c>
      <c r="L466" s="33">
        <v>1016.7</v>
      </c>
      <c r="M466" s="33">
        <v>91</v>
      </c>
      <c r="N466" s="33"/>
      <c r="O466" s="93">
        <f>IFERROR(IF(Readings[[#This Row],[Obs. X]]="","-",Readings[[#This Row],[Obs. X]]-_xlfn.XLOOKUP(Readings[[#This Row],[Sensor ID]],Table_Baseline[Sensor ID],Table_Baseline[Easting '[m']],"-")),"-")</f>
        <v>-1.0000000038417056E-3</v>
      </c>
      <c r="P466" s="93">
        <f>IFERROR(IF(Readings[[#This Row],[Obs. Y]]="","-",Readings[[#This Row],[Obs. Y]]-_xlfn.XLOOKUP(Readings[[#This Row],[Sensor ID]],Table_Baseline[Sensor ID],Table_Baseline[Northing '[m']],"-")),"-")</f>
        <v>2.9999999678693712E-3</v>
      </c>
      <c r="Q466" s="93">
        <f>IFERROR(IF(Readings[[#This Row],[Obs. Z]]="","-",Readings[[#This Row],[Obs. Z]]-_xlfn.XLOOKUP(Readings[[#This Row],[Sensor ID]],Table_Baseline[Sensor ID],Table_Baseline[Level '[m']],"-")),"-")</f>
        <v>-5.9999999999860165E-4</v>
      </c>
      <c r="R466" s="93">
        <f>IFERROR(IF(Readings[[#This Row],[Reference Angle]]="-","-",(Readings[[#This Row],[Diff E]]*COS(RADIANS(Readings[[#This Row],[Reference Angle]]))-Readings[[#This Row],[Diff N]]*SIN(RADIANS(Readings[[#This Row],[Reference Angle]])))),"-")</f>
        <v>-1.0000000038417056E-3</v>
      </c>
      <c r="S466" s="93">
        <f>IFERROR(IF(Readings[[#This Row],[Reference Angle]]="-","-",(Readings[[#This Row],[Diff E]]*SIN(RADIANS(Readings[[#This Row],[Reference Angle]]))+Readings[[#This Row],[Diff N]]*COS(RADIANS(Readings[[#This Row],[Reference Angle]])))),"-")</f>
        <v>2.9999999678693712E-3</v>
      </c>
      <c r="T466" s="94">
        <f>IFERROR(VLOOKUP(Readings[[#This Row],[Sensor ID]],Table_Baseline[],COLUMNS(Table_Baseline[[#Headers],[Sensor ID]:[Reference Angle '[Deg']]]),FALSE),"-")</f>
        <v>0</v>
      </c>
      <c r="U466" s="95" t="str">
        <f>Readings[[#This Row],[Sensor ID]]&amp;"-"&amp;Readings[[#This Row],[Epoch]]</f>
        <v>250-RL-OP-11019-45792.2708333333</v>
      </c>
      <c r="V466" s="99">
        <f ca="1">IF(Readings[[#This Row],[Epoch]]=OFFSET(Readings[[#This Row],[Epoch]],-1,0),0,1)</f>
        <v>0</v>
      </c>
    </row>
    <row r="467" spans="4:22" x14ac:dyDescent="0.2">
      <c r="D467" s="32">
        <v>45792.270833333336</v>
      </c>
      <c r="E467" s="33" t="s">
        <v>189</v>
      </c>
      <c r="F467" s="34">
        <v>60060.639999999999</v>
      </c>
      <c r="G467" s="34">
        <v>363837.326</v>
      </c>
      <c r="H467" s="34">
        <v>18.783000000000001</v>
      </c>
      <c r="I467" s="33" t="s">
        <v>85</v>
      </c>
      <c r="J467" s="33" t="s">
        <v>90</v>
      </c>
      <c r="K467" s="33">
        <v>16.3</v>
      </c>
      <c r="L467" s="33">
        <v>1016.7</v>
      </c>
      <c r="M467" s="33">
        <v>91</v>
      </c>
      <c r="N467" s="33"/>
      <c r="O467" s="93">
        <f>IFERROR(IF(Readings[[#This Row],[Obs. X]]="","-",Readings[[#This Row],[Obs. X]]-_xlfn.XLOOKUP(Readings[[#This Row],[Sensor ID]],Table_Baseline[Sensor ID],Table_Baseline[Easting '[m']],"-")),"-")</f>
        <v>0</v>
      </c>
      <c r="P467" s="93">
        <f>IFERROR(IF(Readings[[#This Row],[Obs. Y]]="","-",Readings[[#This Row],[Obs. Y]]-_xlfn.XLOOKUP(Readings[[#This Row],[Sensor ID]],Table_Baseline[Sensor ID],Table_Baseline[Northing '[m']],"-")),"-")</f>
        <v>4.0000000153668225E-3</v>
      </c>
      <c r="Q467" s="93">
        <f>IFERROR(IF(Readings[[#This Row],[Obs. Z]]="","-",Readings[[#This Row],[Obs. Z]]-_xlfn.XLOOKUP(Readings[[#This Row],[Sensor ID]],Table_Baseline[Sensor ID],Table_Baseline[Level '[m']],"-")),"-")</f>
        <v>-5.9999999999860165E-4</v>
      </c>
      <c r="R467" s="93">
        <f>IFERROR(IF(Readings[[#This Row],[Reference Angle]]="-","-",(Readings[[#This Row],[Diff E]]*COS(RADIANS(Readings[[#This Row],[Reference Angle]]))-Readings[[#This Row],[Diff N]]*SIN(RADIANS(Readings[[#This Row],[Reference Angle]])))),"-")</f>
        <v>0</v>
      </c>
      <c r="S467" s="93">
        <f>IFERROR(IF(Readings[[#This Row],[Reference Angle]]="-","-",(Readings[[#This Row],[Diff E]]*SIN(RADIANS(Readings[[#This Row],[Reference Angle]]))+Readings[[#This Row],[Diff N]]*COS(RADIANS(Readings[[#This Row],[Reference Angle]])))),"-")</f>
        <v>4.0000000153668225E-3</v>
      </c>
      <c r="T467" s="94">
        <f>IFERROR(VLOOKUP(Readings[[#This Row],[Sensor ID]],Table_Baseline[],COLUMNS(Table_Baseline[[#Headers],[Sensor ID]:[Reference Angle '[Deg']]]),FALSE),"-")</f>
        <v>0</v>
      </c>
      <c r="U467" s="95" t="str">
        <f>Readings[[#This Row],[Sensor ID]]&amp;"-"&amp;Readings[[#This Row],[Epoch]]</f>
        <v>250-RL-OP-11020-45792.2708333333</v>
      </c>
      <c r="V467" s="99">
        <f ca="1">IF(Readings[[#This Row],[Epoch]]=OFFSET(Readings[[#This Row],[Epoch]],-1,0),0,1)</f>
        <v>0</v>
      </c>
    </row>
    <row r="468" spans="4:22" x14ac:dyDescent="0.2">
      <c r="D468" s="32">
        <v>45792.270833333336</v>
      </c>
      <c r="E468" s="33" t="s">
        <v>192</v>
      </c>
      <c r="F468" s="34">
        <v>60063.75</v>
      </c>
      <c r="G468" s="34">
        <v>363837.92099999997</v>
      </c>
      <c r="H468" s="34">
        <v>18.808</v>
      </c>
      <c r="I468" s="33" t="s">
        <v>85</v>
      </c>
      <c r="J468" s="33" t="s">
        <v>90</v>
      </c>
      <c r="K468" s="33">
        <v>16.3</v>
      </c>
      <c r="L468" s="33">
        <v>1016.7</v>
      </c>
      <c r="M468" s="33">
        <v>91</v>
      </c>
      <c r="N468" s="33"/>
      <c r="O468" s="93">
        <f>IFERROR(IF(Readings[[#This Row],[Obs. X]]="","-",Readings[[#This Row],[Obs. X]]-_xlfn.XLOOKUP(Readings[[#This Row],[Sensor ID]],Table_Baseline[Sensor ID],Table_Baseline[Easting '[m']],"-")),"-")</f>
        <v>-9.9999999656574801E-4</v>
      </c>
      <c r="P468" s="93">
        <f>IFERROR(IF(Readings[[#This Row],[Obs. Y]]="","-",Readings[[#This Row],[Obs. Y]]-_xlfn.XLOOKUP(Readings[[#This Row],[Sensor ID]],Table_Baseline[Sensor ID],Table_Baseline[Northing '[m']],"-")),"-")</f>
        <v>2.9999999678693712E-3</v>
      </c>
      <c r="Q468" s="93">
        <f>IFERROR(IF(Readings[[#This Row],[Obs. Z]]="","-",Readings[[#This Row],[Obs. Z]]-_xlfn.XLOOKUP(Readings[[#This Row],[Sensor ID]],Table_Baseline[Sensor ID],Table_Baseline[Level '[m']],"-")),"-")</f>
        <v>-1.0000000000012221E-3</v>
      </c>
      <c r="R468" s="93">
        <f>IFERROR(IF(Readings[[#This Row],[Reference Angle]]="-","-",(Readings[[#This Row],[Diff E]]*COS(RADIANS(Readings[[#This Row],[Reference Angle]]))-Readings[[#This Row],[Diff N]]*SIN(RADIANS(Readings[[#This Row],[Reference Angle]])))),"-")</f>
        <v>-9.9999999656574801E-4</v>
      </c>
      <c r="S468" s="93">
        <f>IFERROR(IF(Readings[[#This Row],[Reference Angle]]="-","-",(Readings[[#This Row],[Diff E]]*SIN(RADIANS(Readings[[#This Row],[Reference Angle]]))+Readings[[#This Row],[Diff N]]*COS(RADIANS(Readings[[#This Row],[Reference Angle]])))),"-")</f>
        <v>2.9999999678693712E-3</v>
      </c>
      <c r="T468" s="94">
        <f>IFERROR(VLOOKUP(Readings[[#This Row],[Sensor ID]],Table_Baseline[],COLUMNS(Table_Baseline[[#Headers],[Sensor ID]:[Reference Angle '[Deg']]]),FALSE),"-")</f>
        <v>0</v>
      </c>
      <c r="U468" s="95" t="str">
        <f>Readings[[#This Row],[Sensor ID]]&amp;"-"&amp;Readings[[#This Row],[Epoch]]</f>
        <v>250-RL-OP-11021-45792.2708333333</v>
      </c>
      <c r="V468" s="99">
        <f ca="1">IF(Readings[[#This Row],[Epoch]]=OFFSET(Readings[[#This Row],[Epoch]],-1,0),0,1)</f>
        <v>0</v>
      </c>
    </row>
    <row r="469" spans="4:22" x14ac:dyDescent="0.2">
      <c r="D469" s="32">
        <v>45792.270833333336</v>
      </c>
      <c r="E469" s="33" t="s">
        <v>191</v>
      </c>
      <c r="F469" s="34">
        <v>60063.421000000002</v>
      </c>
      <c r="G469" s="34">
        <v>363836.64</v>
      </c>
      <c r="H469" s="34">
        <v>18.794</v>
      </c>
      <c r="I469" s="33" t="s">
        <v>85</v>
      </c>
      <c r="J469" s="33" t="s">
        <v>90</v>
      </c>
      <c r="K469" s="33">
        <v>16.3</v>
      </c>
      <c r="L469" s="33">
        <v>1016.7</v>
      </c>
      <c r="M469" s="33">
        <v>91</v>
      </c>
      <c r="N469" s="33"/>
      <c r="O469" s="93">
        <f>IFERROR(IF(Readings[[#This Row],[Obs. X]]="","-",Readings[[#This Row],[Obs. X]]-_xlfn.XLOOKUP(Readings[[#This Row],[Sensor ID]],Table_Baseline[Sensor ID],Table_Baseline[Easting '[m']],"-")),"-")</f>
        <v>-9.9999999656574801E-4</v>
      </c>
      <c r="P469" s="93">
        <f>IFERROR(IF(Readings[[#This Row],[Obs. Y]]="","-",Readings[[#This Row],[Obs. Y]]-_xlfn.XLOOKUP(Readings[[#This Row],[Sensor ID]],Table_Baseline[Sensor ID],Table_Baseline[Northing '[m']],"-")),"-")</f>
        <v>4.0000000153668225E-3</v>
      </c>
      <c r="Q469" s="93">
        <f>IFERROR(IF(Readings[[#This Row],[Obs. Z]]="","-",Readings[[#This Row],[Obs. Z]]-_xlfn.XLOOKUP(Readings[[#This Row],[Sensor ID]],Table_Baseline[Sensor ID],Table_Baseline[Level '[m']],"-")),"-")</f>
        <v>-8.9999999999790248E-4</v>
      </c>
      <c r="R469" s="93">
        <f>IFERROR(IF(Readings[[#This Row],[Reference Angle]]="-","-",(Readings[[#This Row],[Diff E]]*COS(RADIANS(Readings[[#This Row],[Reference Angle]]))-Readings[[#This Row],[Diff N]]*SIN(RADIANS(Readings[[#This Row],[Reference Angle]])))),"-")</f>
        <v>-9.9999999656574801E-4</v>
      </c>
      <c r="S469" s="93">
        <f>IFERROR(IF(Readings[[#This Row],[Reference Angle]]="-","-",(Readings[[#This Row],[Diff E]]*SIN(RADIANS(Readings[[#This Row],[Reference Angle]]))+Readings[[#This Row],[Diff N]]*COS(RADIANS(Readings[[#This Row],[Reference Angle]])))),"-")</f>
        <v>4.0000000153668225E-3</v>
      </c>
      <c r="T469" s="94">
        <f>IFERROR(VLOOKUP(Readings[[#This Row],[Sensor ID]],Table_Baseline[],COLUMNS(Table_Baseline[[#Headers],[Sensor ID]:[Reference Angle '[Deg']]]),FALSE),"-")</f>
        <v>0</v>
      </c>
      <c r="U469" s="95" t="str">
        <f>Readings[[#This Row],[Sensor ID]]&amp;"-"&amp;Readings[[#This Row],[Epoch]]</f>
        <v>250-RL-OP-11022-45792.2708333333</v>
      </c>
      <c r="V469" s="99">
        <f ca="1">IF(Readings[[#This Row],[Epoch]]=OFFSET(Readings[[#This Row],[Epoch]],-1,0),0,1)</f>
        <v>0</v>
      </c>
    </row>
    <row r="470" spans="4:22" x14ac:dyDescent="0.2">
      <c r="D470" s="32">
        <v>45792.270833333336</v>
      </c>
      <c r="E470" s="33" t="s">
        <v>165</v>
      </c>
      <c r="F470" s="34">
        <v>60034.538999999997</v>
      </c>
      <c r="G470" s="34">
        <v>363843.38199999998</v>
      </c>
      <c r="H470" s="34">
        <v>19.332000000000001</v>
      </c>
      <c r="I470" s="33" t="s">
        <v>85</v>
      </c>
      <c r="J470" s="33" t="s">
        <v>90</v>
      </c>
      <c r="K470" s="33">
        <v>16.3</v>
      </c>
      <c r="L470" s="33">
        <v>1016.7</v>
      </c>
      <c r="M470" s="33">
        <v>91</v>
      </c>
      <c r="N470" s="33"/>
      <c r="O470" s="93" t="str">
        <f>IFERROR(IF(Readings[[#This Row],[Obs. X]]="","-",Readings[[#This Row],[Obs. X]]-_xlfn.XLOOKUP(Readings[[#This Row],[Sensor ID]],Table_Baseline[Sensor ID],Table_Baseline[Easting '[m']],"-")),"-")</f>
        <v>-</v>
      </c>
      <c r="P470" s="93" t="str">
        <f>IFERROR(IF(Readings[[#This Row],[Obs. Y]]="","-",Readings[[#This Row],[Obs. Y]]-_xlfn.XLOOKUP(Readings[[#This Row],[Sensor ID]],Table_Baseline[Sensor ID],Table_Baseline[Northing '[m']],"-")),"-")</f>
        <v>-</v>
      </c>
      <c r="Q470" s="93" t="str">
        <f>IFERROR(IF(Readings[[#This Row],[Obs. Z]]="","-",Readings[[#This Row],[Obs. Z]]-_xlfn.XLOOKUP(Readings[[#This Row],[Sensor ID]],Table_Baseline[Sensor ID],Table_Baseline[Level '[m']],"-")),"-")</f>
        <v>-</v>
      </c>
      <c r="R470" s="93" t="str">
        <f>IFERROR(IF(Readings[[#This Row],[Reference Angle]]="-","-",(Readings[[#This Row],[Diff E]]*COS(RADIANS(Readings[[#This Row],[Reference Angle]]))-Readings[[#This Row],[Diff N]]*SIN(RADIANS(Readings[[#This Row],[Reference Angle]])))),"-")</f>
        <v>-</v>
      </c>
      <c r="S470" s="93" t="str">
        <f>IFERROR(IF(Readings[[#This Row],[Reference Angle]]="-","-",(Readings[[#This Row],[Diff E]]*SIN(RADIANS(Readings[[#This Row],[Reference Angle]]))+Readings[[#This Row],[Diff N]]*COS(RADIANS(Readings[[#This Row],[Reference Angle]])))),"-")</f>
        <v>-</v>
      </c>
      <c r="T470" s="94" t="str">
        <f>IFERROR(VLOOKUP(Readings[[#This Row],[Sensor ID]],Table_Baseline[],COLUMNS(Table_Baseline[[#Headers],[Sensor ID]:[Reference Angle '[Deg']]]),FALSE),"-")</f>
        <v>-</v>
      </c>
      <c r="U470" s="95" t="str">
        <f>Readings[[#This Row],[Sensor ID]]&amp;"-"&amp;Readings[[#This Row],[Epoch]]</f>
        <v>250-ST-OP-500-45792.2708333333</v>
      </c>
      <c r="V470" s="99">
        <f ca="1">IF(Readings[[#This Row],[Epoch]]=OFFSET(Readings[[#This Row],[Epoch]],-1,0),0,1)</f>
        <v>0</v>
      </c>
    </row>
    <row r="471" spans="4:22" x14ac:dyDescent="0.2">
      <c r="D471" s="32">
        <v>45792.270833333336</v>
      </c>
      <c r="E471" s="33" t="s">
        <v>166</v>
      </c>
      <c r="F471" s="34">
        <v>60040.286</v>
      </c>
      <c r="G471" s="34">
        <v>363841.73100000003</v>
      </c>
      <c r="H471" s="34">
        <v>19.321999999999999</v>
      </c>
      <c r="I471" s="33" t="s">
        <v>85</v>
      </c>
      <c r="J471" s="33" t="s">
        <v>90</v>
      </c>
      <c r="K471" s="33">
        <v>16.3</v>
      </c>
      <c r="L471" s="33">
        <v>1016.7</v>
      </c>
      <c r="M471" s="33">
        <v>91</v>
      </c>
      <c r="N471" s="33"/>
      <c r="O471" s="93" t="str">
        <f>IFERROR(IF(Readings[[#This Row],[Obs. X]]="","-",Readings[[#This Row],[Obs. X]]-_xlfn.XLOOKUP(Readings[[#This Row],[Sensor ID]],Table_Baseline[Sensor ID],Table_Baseline[Easting '[m']],"-")),"-")</f>
        <v>-</v>
      </c>
      <c r="P471" s="93" t="str">
        <f>IFERROR(IF(Readings[[#This Row],[Obs. Y]]="","-",Readings[[#This Row],[Obs. Y]]-_xlfn.XLOOKUP(Readings[[#This Row],[Sensor ID]],Table_Baseline[Sensor ID],Table_Baseline[Northing '[m']],"-")),"-")</f>
        <v>-</v>
      </c>
      <c r="Q471" s="93" t="str">
        <f>IFERROR(IF(Readings[[#This Row],[Obs. Z]]="","-",Readings[[#This Row],[Obs. Z]]-_xlfn.XLOOKUP(Readings[[#This Row],[Sensor ID]],Table_Baseline[Sensor ID],Table_Baseline[Level '[m']],"-")),"-")</f>
        <v>-</v>
      </c>
      <c r="R471" s="93" t="str">
        <f>IFERROR(IF(Readings[[#This Row],[Reference Angle]]="-","-",(Readings[[#This Row],[Diff E]]*COS(RADIANS(Readings[[#This Row],[Reference Angle]]))-Readings[[#This Row],[Diff N]]*SIN(RADIANS(Readings[[#This Row],[Reference Angle]])))),"-")</f>
        <v>-</v>
      </c>
      <c r="S471" s="93" t="str">
        <f>IFERROR(IF(Readings[[#This Row],[Reference Angle]]="-","-",(Readings[[#This Row],[Diff E]]*SIN(RADIANS(Readings[[#This Row],[Reference Angle]]))+Readings[[#This Row],[Diff N]]*COS(RADIANS(Readings[[#This Row],[Reference Angle]])))),"-")</f>
        <v>-</v>
      </c>
      <c r="T471" s="94" t="str">
        <f>IFERROR(VLOOKUP(Readings[[#This Row],[Sensor ID]],Table_Baseline[],COLUMNS(Table_Baseline[[#Headers],[Sensor ID]:[Reference Angle '[Deg']]]),FALSE),"-")</f>
        <v>-</v>
      </c>
      <c r="U471" s="95" t="str">
        <f>Readings[[#This Row],[Sensor ID]]&amp;"-"&amp;Readings[[#This Row],[Epoch]]</f>
        <v>250-ST-OP-501-45792.2708333333</v>
      </c>
      <c r="V471" s="99">
        <f ca="1">IF(Readings[[#This Row],[Epoch]]=OFFSET(Readings[[#This Row],[Epoch]],-1,0),0,1)</f>
        <v>0</v>
      </c>
    </row>
    <row r="472" spans="4:22" x14ac:dyDescent="0.2">
      <c r="D472" s="32">
        <v>45792.270833333336</v>
      </c>
      <c r="E472" s="33" t="s">
        <v>167</v>
      </c>
      <c r="F472" s="34">
        <v>60045.921000000002</v>
      </c>
      <c r="G472" s="34">
        <v>363840.10100000002</v>
      </c>
      <c r="H472" s="34">
        <v>19.334</v>
      </c>
      <c r="I472" s="33" t="s">
        <v>85</v>
      </c>
      <c r="J472" s="33" t="s">
        <v>90</v>
      </c>
      <c r="K472" s="33">
        <v>16.3</v>
      </c>
      <c r="L472" s="33">
        <v>1016.7</v>
      </c>
      <c r="M472" s="33">
        <v>91</v>
      </c>
      <c r="N472" s="33"/>
      <c r="O472" s="93" t="str">
        <f>IFERROR(IF(Readings[[#This Row],[Obs. X]]="","-",Readings[[#This Row],[Obs. X]]-_xlfn.XLOOKUP(Readings[[#This Row],[Sensor ID]],Table_Baseline[Sensor ID],Table_Baseline[Easting '[m']],"-")),"-")</f>
        <v>-</v>
      </c>
      <c r="P472" s="93" t="str">
        <f>IFERROR(IF(Readings[[#This Row],[Obs. Y]]="","-",Readings[[#This Row],[Obs. Y]]-_xlfn.XLOOKUP(Readings[[#This Row],[Sensor ID]],Table_Baseline[Sensor ID],Table_Baseline[Northing '[m']],"-")),"-")</f>
        <v>-</v>
      </c>
      <c r="Q472" s="93" t="str">
        <f>IFERROR(IF(Readings[[#This Row],[Obs. Z]]="","-",Readings[[#This Row],[Obs. Z]]-_xlfn.XLOOKUP(Readings[[#This Row],[Sensor ID]],Table_Baseline[Sensor ID],Table_Baseline[Level '[m']],"-")),"-")</f>
        <v>-</v>
      </c>
      <c r="R472" s="93" t="str">
        <f>IFERROR(IF(Readings[[#This Row],[Reference Angle]]="-","-",(Readings[[#This Row],[Diff E]]*COS(RADIANS(Readings[[#This Row],[Reference Angle]]))-Readings[[#This Row],[Diff N]]*SIN(RADIANS(Readings[[#This Row],[Reference Angle]])))),"-")</f>
        <v>-</v>
      </c>
      <c r="S472" s="93" t="str">
        <f>IFERROR(IF(Readings[[#This Row],[Reference Angle]]="-","-",(Readings[[#This Row],[Diff E]]*SIN(RADIANS(Readings[[#This Row],[Reference Angle]]))+Readings[[#This Row],[Diff N]]*COS(RADIANS(Readings[[#This Row],[Reference Angle]])))),"-")</f>
        <v>-</v>
      </c>
      <c r="T472" s="94" t="str">
        <f>IFERROR(VLOOKUP(Readings[[#This Row],[Sensor ID]],Table_Baseline[],COLUMNS(Table_Baseline[[#Headers],[Sensor ID]:[Reference Angle '[Deg']]]),FALSE),"-")</f>
        <v>-</v>
      </c>
      <c r="U472" s="95" t="str">
        <f>Readings[[#This Row],[Sensor ID]]&amp;"-"&amp;Readings[[#This Row],[Epoch]]</f>
        <v>250-ST-OP-502-45792.2708333333</v>
      </c>
      <c r="V472" s="99">
        <f ca="1">IF(Readings[[#This Row],[Epoch]]=OFFSET(Readings[[#This Row],[Epoch]],-1,0),0,1)</f>
        <v>0</v>
      </c>
    </row>
    <row r="473" spans="4:22" x14ac:dyDescent="0.2">
      <c r="D473" s="32">
        <v>45792.270833333336</v>
      </c>
      <c r="E473" s="33" t="s">
        <v>168</v>
      </c>
      <c r="F473" s="34">
        <v>60049.767</v>
      </c>
      <c r="G473" s="34">
        <v>363838.995</v>
      </c>
      <c r="H473" s="34">
        <v>19.344999999999999</v>
      </c>
      <c r="I473" s="33" t="s">
        <v>85</v>
      </c>
      <c r="J473" s="33" t="s">
        <v>90</v>
      </c>
      <c r="K473" s="33">
        <v>16.3</v>
      </c>
      <c r="L473" s="33">
        <v>1016.7</v>
      </c>
      <c r="M473" s="33">
        <v>91</v>
      </c>
      <c r="N473" s="33"/>
      <c r="O473" s="93" t="str">
        <f>IFERROR(IF(Readings[[#This Row],[Obs. X]]="","-",Readings[[#This Row],[Obs. X]]-_xlfn.XLOOKUP(Readings[[#This Row],[Sensor ID]],Table_Baseline[Sensor ID],Table_Baseline[Easting '[m']],"-")),"-")</f>
        <v>-</v>
      </c>
      <c r="P473" s="93" t="str">
        <f>IFERROR(IF(Readings[[#This Row],[Obs. Y]]="","-",Readings[[#This Row],[Obs. Y]]-_xlfn.XLOOKUP(Readings[[#This Row],[Sensor ID]],Table_Baseline[Sensor ID],Table_Baseline[Northing '[m']],"-")),"-")</f>
        <v>-</v>
      </c>
      <c r="Q473" s="93" t="str">
        <f>IFERROR(IF(Readings[[#This Row],[Obs. Z]]="","-",Readings[[#This Row],[Obs. Z]]-_xlfn.XLOOKUP(Readings[[#This Row],[Sensor ID]],Table_Baseline[Sensor ID],Table_Baseline[Level '[m']],"-")),"-")</f>
        <v>-</v>
      </c>
      <c r="R473" s="93" t="str">
        <f>IFERROR(IF(Readings[[#This Row],[Reference Angle]]="-","-",(Readings[[#This Row],[Diff E]]*COS(RADIANS(Readings[[#This Row],[Reference Angle]]))-Readings[[#This Row],[Diff N]]*SIN(RADIANS(Readings[[#This Row],[Reference Angle]])))),"-")</f>
        <v>-</v>
      </c>
      <c r="S473" s="93" t="str">
        <f>IFERROR(IF(Readings[[#This Row],[Reference Angle]]="-","-",(Readings[[#This Row],[Diff E]]*SIN(RADIANS(Readings[[#This Row],[Reference Angle]]))+Readings[[#This Row],[Diff N]]*COS(RADIANS(Readings[[#This Row],[Reference Angle]])))),"-")</f>
        <v>-</v>
      </c>
      <c r="T473" s="94" t="str">
        <f>IFERROR(VLOOKUP(Readings[[#This Row],[Sensor ID]],Table_Baseline[],COLUMNS(Table_Baseline[[#Headers],[Sensor ID]:[Reference Angle '[Deg']]]),FALSE),"-")</f>
        <v>-</v>
      </c>
      <c r="U473" s="95" t="str">
        <f>Readings[[#This Row],[Sensor ID]]&amp;"-"&amp;Readings[[#This Row],[Epoch]]</f>
        <v>250-ST-OP-503-45792.2708333333</v>
      </c>
      <c r="V473" s="99">
        <f ca="1">IF(Readings[[#This Row],[Epoch]]=OFFSET(Readings[[#This Row],[Epoch]],-1,0),0,1)</f>
        <v>0</v>
      </c>
    </row>
    <row r="474" spans="4:22" x14ac:dyDescent="0.2">
      <c r="D474" s="32">
        <v>45792.270833333336</v>
      </c>
      <c r="E474" s="33" t="s">
        <v>169</v>
      </c>
      <c r="F474" s="34">
        <v>60053.608999999997</v>
      </c>
      <c r="G474" s="34">
        <v>363837.88300000003</v>
      </c>
      <c r="H474" s="34">
        <v>19.356999999999999</v>
      </c>
      <c r="I474" s="33" t="s">
        <v>85</v>
      </c>
      <c r="J474" s="33" t="s">
        <v>90</v>
      </c>
      <c r="K474" s="33">
        <v>16.3</v>
      </c>
      <c r="L474" s="33">
        <v>1016.7</v>
      </c>
      <c r="M474" s="33">
        <v>91</v>
      </c>
      <c r="N474" s="33"/>
      <c r="O474" s="93" t="str">
        <f>IFERROR(IF(Readings[[#This Row],[Obs. X]]="","-",Readings[[#This Row],[Obs. X]]-_xlfn.XLOOKUP(Readings[[#This Row],[Sensor ID]],Table_Baseline[Sensor ID],Table_Baseline[Easting '[m']],"-")),"-")</f>
        <v>-</v>
      </c>
      <c r="P474" s="93" t="str">
        <f>IFERROR(IF(Readings[[#This Row],[Obs. Y]]="","-",Readings[[#This Row],[Obs. Y]]-_xlfn.XLOOKUP(Readings[[#This Row],[Sensor ID]],Table_Baseline[Sensor ID],Table_Baseline[Northing '[m']],"-")),"-")</f>
        <v>-</v>
      </c>
      <c r="Q474" s="93" t="str">
        <f>IFERROR(IF(Readings[[#This Row],[Obs. Z]]="","-",Readings[[#This Row],[Obs. Z]]-_xlfn.XLOOKUP(Readings[[#This Row],[Sensor ID]],Table_Baseline[Sensor ID],Table_Baseline[Level '[m']],"-")),"-")</f>
        <v>-</v>
      </c>
      <c r="R474" s="93" t="str">
        <f>IFERROR(IF(Readings[[#This Row],[Reference Angle]]="-","-",(Readings[[#This Row],[Diff E]]*COS(RADIANS(Readings[[#This Row],[Reference Angle]]))-Readings[[#This Row],[Diff N]]*SIN(RADIANS(Readings[[#This Row],[Reference Angle]])))),"-")</f>
        <v>-</v>
      </c>
      <c r="S474" s="93" t="str">
        <f>IFERROR(IF(Readings[[#This Row],[Reference Angle]]="-","-",(Readings[[#This Row],[Diff E]]*SIN(RADIANS(Readings[[#This Row],[Reference Angle]]))+Readings[[#This Row],[Diff N]]*COS(RADIANS(Readings[[#This Row],[Reference Angle]])))),"-")</f>
        <v>-</v>
      </c>
      <c r="T474" s="94" t="str">
        <f>IFERROR(VLOOKUP(Readings[[#This Row],[Sensor ID]],Table_Baseline[],COLUMNS(Table_Baseline[[#Headers],[Sensor ID]:[Reference Angle '[Deg']]]),FALSE),"-")</f>
        <v>-</v>
      </c>
      <c r="U474" s="95" t="str">
        <f>Readings[[#This Row],[Sensor ID]]&amp;"-"&amp;Readings[[#This Row],[Epoch]]</f>
        <v>250-ST-OP-504-45792.2708333333</v>
      </c>
      <c r="V474" s="99">
        <f ca="1">IF(Readings[[#This Row],[Epoch]]=OFFSET(Readings[[#This Row],[Epoch]],-1,0),0,1)</f>
        <v>0</v>
      </c>
    </row>
    <row r="475" spans="4:22" x14ac:dyDescent="0.2">
      <c r="D475" s="204">
        <v>45792.270833333336</v>
      </c>
      <c r="E475" s="151" t="s">
        <v>170</v>
      </c>
      <c r="F475" s="152">
        <v>60060.065000000002</v>
      </c>
      <c r="G475" s="152">
        <v>363836.02500000002</v>
      </c>
      <c r="H475" s="152">
        <v>19.356999999999999</v>
      </c>
      <c r="I475" s="151" t="s">
        <v>85</v>
      </c>
      <c r="J475" s="151" t="s">
        <v>90</v>
      </c>
      <c r="K475" s="151">
        <v>16.3</v>
      </c>
      <c r="L475" s="151">
        <v>1016.7</v>
      </c>
      <c r="M475" s="151">
        <v>91</v>
      </c>
      <c r="N475" s="151"/>
      <c r="O475" s="96" t="str">
        <f>IFERROR(IF(Readings[[#This Row],[Obs. X]]="","-",Readings[[#This Row],[Obs. X]]-_xlfn.XLOOKUP(Readings[[#This Row],[Sensor ID]],Table_Baseline[Sensor ID],Table_Baseline[Easting '[m']],"-")),"-")</f>
        <v>-</v>
      </c>
      <c r="P475" s="96" t="str">
        <f>IFERROR(IF(Readings[[#This Row],[Obs. Y]]="","-",Readings[[#This Row],[Obs. Y]]-_xlfn.XLOOKUP(Readings[[#This Row],[Sensor ID]],Table_Baseline[Sensor ID],Table_Baseline[Northing '[m']],"-")),"-")</f>
        <v>-</v>
      </c>
      <c r="Q475" s="96" t="str">
        <f>IFERROR(IF(Readings[[#This Row],[Obs. Z]]="","-",Readings[[#This Row],[Obs. Z]]-_xlfn.XLOOKUP(Readings[[#This Row],[Sensor ID]],Table_Baseline[Sensor ID],Table_Baseline[Level '[m']],"-")),"-")</f>
        <v>-</v>
      </c>
      <c r="R475" s="96" t="str">
        <f>IFERROR(IF(Readings[[#This Row],[Reference Angle]]="-","-",(Readings[[#This Row],[Diff E]]*COS(RADIANS(Readings[[#This Row],[Reference Angle]]))-Readings[[#This Row],[Diff N]]*SIN(RADIANS(Readings[[#This Row],[Reference Angle]])))),"-")</f>
        <v>-</v>
      </c>
      <c r="S475" s="96" t="str">
        <f>IFERROR(IF(Readings[[#This Row],[Reference Angle]]="-","-",(Readings[[#This Row],[Diff E]]*SIN(RADIANS(Readings[[#This Row],[Reference Angle]]))+Readings[[#This Row],[Diff N]]*COS(RADIANS(Readings[[#This Row],[Reference Angle]])))),"-")</f>
        <v>-</v>
      </c>
      <c r="T475" s="97" t="str">
        <f>IFERROR(VLOOKUP(Readings[[#This Row],[Sensor ID]],Table_Baseline[],COLUMNS(Table_Baseline[[#Headers],[Sensor ID]:[Reference Angle '[Deg']]]),FALSE),"-")</f>
        <v>-</v>
      </c>
      <c r="U475" s="98" t="str">
        <f>Readings[[#This Row],[Sensor ID]]&amp;"-"&amp;Readings[[#This Row],[Epoch]]</f>
        <v>250-ST-OP-505-45792.2708333333</v>
      </c>
      <c r="V475" s="100">
        <f ca="1">IF(Readings[[#This Row],[Epoch]]=OFFSET(Readings[[#This Row],[Epoch]],-1,0),0,1)</f>
        <v>0</v>
      </c>
    </row>
    <row r="476" spans="4:22" x14ac:dyDescent="0.2">
      <c r="D476" s="32">
        <v>45793.270833333336</v>
      </c>
      <c r="E476" s="33" t="s">
        <v>172</v>
      </c>
      <c r="F476" s="34">
        <v>60035.339</v>
      </c>
      <c r="G476" s="34">
        <v>363845.739</v>
      </c>
      <c r="H476" s="34">
        <v>18.782</v>
      </c>
      <c r="I476" s="33" t="s">
        <v>85</v>
      </c>
      <c r="J476" s="33" t="s">
        <v>90</v>
      </c>
      <c r="K476" s="33">
        <v>16.3</v>
      </c>
      <c r="L476" s="33">
        <v>1016.7</v>
      </c>
      <c r="M476" s="33">
        <v>91</v>
      </c>
      <c r="N476" s="33"/>
      <c r="O476" s="93">
        <f>IFERROR(IF(Readings[[#This Row],[Obs. X]]="","-",Readings[[#This Row],[Obs. X]]-_xlfn.XLOOKUP(Readings[[#This Row],[Sensor ID]],Table_Baseline[Sensor ID],Table_Baseline[Easting '[m']],"-")),"-")</f>
        <v>-9.9999999656574801E-4</v>
      </c>
      <c r="P476" s="93">
        <f>IFERROR(IF(Readings[[#This Row],[Obs. Y]]="","-",Readings[[#This Row],[Obs. Y]]-_xlfn.XLOOKUP(Readings[[#This Row],[Sensor ID]],Table_Baseline[Sensor ID],Table_Baseline[Northing '[m']],"-")),"-")</f>
        <v>0</v>
      </c>
      <c r="Q476" s="93">
        <f>IFERROR(IF(Readings[[#This Row],[Obs. Z]]="","-",Readings[[#This Row],[Obs. Z]]-_xlfn.XLOOKUP(Readings[[#This Row],[Sensor ID]],Table_Baseline[Sensor ID],Table_Baseline[Level '[m']],"-")),"-")</f>
        <v>0</v>
      </c>
      <c r="R476" s="93">
        <f>IFERROR(IF(Readings[[#This Row],[Reference Angle]]="-","-",(Readings[[#This Row],[Diff E]]*COS(RADIANS(Readings[[#This Row],[Reference Angle]]))-Readings[[#This Row],[Diff N]]*SIN(RADIANS(Readings[[#This Row],[Reference Angle]])))),"-")</f>
        <v>-9.9999999656574801E-4</v>
      </c>
      <c r="S476" s="93">
        <f>IFERROR(IF(Readings[[#This Row],[Reference Angle]]="-","-",(Readings[[#This Row],[Diff E]]*SIN(RADIANS(Readings[[#This Row],[Reference Angle]]))+Readings[[#This Row],[Diff N]]*COS(RADIANS(Readings[[#This Row],[Reference Angle]])))),"-")</f>
        <v>0</v>
      </c>
      <c r="T476" s="94">
        <f>IFERROR(VLOOKUP(Readings[[#This Row],[Sensor ID]],Table_Baseline[],COLUMNS(Table_Baseline[[#Headers],[Sensor ID]:[Reference Angle '[Deg']]]),FALSE),"-")</f>
        <v>0</v>
      </c>
      <c r="U476" s="95" t="str">
        <f>Readings[[#This Row],[Sensor ID]]&amp;"-"&amp;Readings[[#This Row],[Epoch]]</f>
        <v>250-RL-OP-11001-45793.2708333333</v>
      </c>
      <c r="V476" s="99">
        <f ca="1">IF(Readings[[#This Row],[Epoch]]=OFFSET(Readings[[#This Row],[Epoch]],-1,0),0,1)</f>
        <v>1</v>
      </c>
    </row>
    <row r="477" spans="4:22" x14ac:dyDescent="0.2">
      <c r="D477" s="32">
        <v>45793.270833333336</v>
      </c>
      <c r="E477" s="33" t="s">
        <v>171</v>
      </c>
      <c r="F477" s="34">
        <v>60034.957999999999</v>
      </c>
      <c r="G477" s="34">
        <v>363844.47100000002</v>
      </c>
      <c r="H477" s="34">
        <v>18.777999999999999</v>
      </c>
      <c r="I477" s="33" t="s">
        <v>85</v>
      </c>
      <c r="J477" s="33" t="s">
        <v>90</v>
      </c>
      <c r="K477" s="33">
        <v>16.3</v>
      </c>
      <c r="L477" s="33">
        <v>1016.7</v>
      </c>
      <c r="M477" s="33">
        <v>91</v>
      </c>
      <c r="N477" s="33"/>
      <c r="O477" s="93">
        <f>IFERROR(IF(Readings[[#This Row],[Obs. X]]="","-",Readings[[#This Row],[Obs. X]]-_xlfn.XLOOKUP(Readings[[#This Row],[Sensor ID]],Table_Baseline[Sensor ID],Table_Baseline[Easting '[m']],"-")),"-")</f>
        <v>-1.0000000038417056E-3</v>
      </c>
      <c r="P477" s="93">
        <f>IFERROR(IF(Readings[[#This Row],[Obs. Y]]="","-",Readings[[#This Row],[Obs. Y]]-_xlfn.XLOOKUP(Readings[[#This Row],[Sensor ID]],Table_Baseline[Sensor ID],Table_Baseline[Northing '[m']],"-")),"-")</f>
        <v>0</v>
      </c>
      <c r="Q477" s="93">
        <f>IFERROR(IF(Readings[[#This Row],[Obs. Z]]="","-",Readings[[#This Row],[Obs. Z]]-_xlfn.XLOOKUP(Readings[[#This Row],[Sensor ID]],Table_Baseline[Sensor ID],Table_Baseline[Level '[m']],"-")),"-")</f>
        <v>-9.9999999999766942E-5</v>
      </c>
      <c r="R477" s="93">
        <f>IFERROR(IF(Readings[[#This Row],[Reference Angle]]="-","-",(Readings[[#This Row],[Diff E]]*COS(RADIANS(Readings[[#This Row],[Reference Angle]]))-Readings[[#This Row],[Diff N]]*SIN(RADIANS(Readings[[#This Row],[Reference Angle]])))),"-")</f>
        <v>-1.0000000038417056E-3</v>
      </c>
      <c r="S477" s="93">
        <f>IFERROR(IF(Readings[[#This Row],[Reference Angle]]="-","-",(Readings[[#This Row],[Diff E]]*SIN(RADIANS(Readings[[#This Row],[Reference Angle]]))+Readings[[#This Row],[Diff N]]*COS(RADIANS(Readings[[#This Row],[Reference Angle]])))),"-")</f>
        <v>0</v>
      </c>
      <c r="T477" s="94">
        <f>IFERROR(VLOOKUP(Readings[[#This Row],[Sensor ID]],Table_Baseline[],COLUMNS(Table_Baseline[[#Headers],[Sensor ID]:[Reference Angle '[Deg']]]),FALSE),"-")</f>
        <v>0</v>
      </c>
      <c r="U477" s="95" t="str">
        <f>Readings[[#This Row],[Sensor ID]]&amp;"-"&amp;Readings[[#This Row],[Epoch]]</f>
        <v>250-RL-OP-11002-45793.2708333333</v>
      </c>
      <c r="V477" s="99">
        <f ca="1">IF(Readings[[#This Row],[Epoch]]=OFFSET(Readings[[#This Row],[Epoch]],-1,0),0,1)</f>
        <v>0</v>
      </c>
    </row>
    <row r="478" spans="4:22" x14ac:dyDescent="0.2">
      <c r="D478" s="32">
        <v>45793.270833333336</v>
      </c>
      <c r="E478" s="33" t="s">
        <v>174</v>
      </c>
      <c r="F478" s="34">
        <v>60038.116999999998</v>
      </c>
      <c r="G478" s="34">
        <v>363844.94500000001</v>
      </c>
      <c r="H478" s="34">
        <v>18.777999999999999</v>
      </c>
      <c r="I478" s="33" t="s">
        <v>85</v>
      </c>
      <c r="J478" s="33" t="s">
        <v>90</v>
      </c>
      <c r="K478" s="33">
        <v>16.3</v>
      </c>
      <c r="L478" s="33">
        <v>1016.7</v>
      </c>
      <c r="M478" s="33">
        <v>91</v>
      </c>
      <c r="N478" s="33"/>
      <c r="O478" s="93">
        <f>IFERROR(IF(Readings[[#This Row],[Obs. X]]="","-",Readings[[#This Row],[Obs. X]]-_xlfn.XLOOKUP(Readings[[#This Row],[Sensor ID]],Table_Baseline[Sensor ID],Table_Baseline[Easting '[m']],"-")),"-")</f>
        <v>-1.0000000038417056E-3</v>
      </c>
      <c r="P478" s="93">
        <f>IFERROR(IF(Readings[[#This Row],[Obs. Y]]="","-",Readings[[#This Row],[Obs. Y]]-_xlfn.XLOOKUP(Readings[[#This Row],[Sensor ID]],Table_Baseline[Sensor ID],Table_Baseline[Northing '[m']],"-")),"-")</f>
        <v>0</v>
      </c>
      <c r="Q478" s="93">
        <f>IFERROR(IF(Readings[[#This Row],[Obs. Z]]="","-",Readings[[#This Row],[Obs. Z]]-_xlfn.XLOOKUP(Readings[[#This Row],[Sensor ID]],Table_Baseline[Sensor ID],Table_Baseline[Level '[m']],"-")),"-")</f>
        <v>-8.0000000000168825E-4</v>
      </c>
      <c r="R478" s="93">
        <f>IFERROR(IF(Readings[[#This Row],[Reference Angle]]="-","-",(Readings[[#This Row],[Diff E]]*COS(RADIANS(Readings[[#This Row],[Reference Angle]]))-Readings[[#This Row],[Diff N]]*SIN(RADIANS(Readings[[#This Row],[Reference Angle]])))),"-")</f>
        <v>-1.0000000038417056E-3</v>
      </c>
      <c r="S478" s="93">
        <f>IFERROR(IF(Readings[[#This Row],[Reference Angle]]="-","-",(Readings[[#This Row],[Diff E]]*SIN(RADIANS(Readings[[#This Row],[Reference Angle]]))+Readings[[#This Row],[Diff N]]*COS(RADIANS(Readings[[#This Row],[Reference Angle]])))),"-")</f>
        <v>0</v>
      </c>
      <c r="T478" s="94">
        <f>IFERROR(VLOOKUP(Readings[[#This Row],[Sensor ID]],Table_Baseline[],COLUMNS(Table_Baseline[[#Headers],[Sensor ID]:[Reference Angle '[Deg']]]),FALSE),"-")</f>
        <v>0</v>
      </c>
      <c r="U478" s="95" t="str">
        <f>Readings[[#This Row],[Sensor ID]]&amp;"-"&amp;Readings[[#This Row],[Epoch]]</f>
        <v>250-RL-OP-11003-45793.2708333333</v>
      </c>
      <c r="V478" s="99">
        <f ca="1">IF(Readings[[#This Row],[Epoch]]=OFFSET(Readings[[#This Row],[Epoch]],-1,0),0,1)</f>
        <v>0</v>
      </c>
    </row>
    <row r="479" spans="4:22" x14ac:dyDescent="0.2">
      <c r="D479" s="32">
        <v>45793.270833333336</v>
      </c>
      <c r="E479" s="33" t="s">
        <v>173</v>
      </c>
      <c r="F479" s="34">
        <v>60037.803999999996</v>
      </c>
      <c r="G479" s="34">
        <v>363843.65700000001</v>
      </c>
      <c r="H479" s="34">
        <v>18.779</v>
      </c>
      <c r="I479" s="33" t="s">
        <v>85</v>
      </c>
      <c r="J479" s="33" t="s">
        <v>90</v>
      </c>
      <c r="K479" s="33">
        <v>16.3</v>
      </c>
      <c r="L479" s="33">
        <v>1016.7</v>
      </c>
      <c r="M479" s="33">
        <v>91</v>
      </c>
      <c r="N479" s="33"/>
      <c r="O479" s="93">
        <f>IFERROR(IF(Readings[[#This Row],[Obs. X]]="","-",Readings[[#This Row],[Obs. X]]-_xlfn.XLOOKUP(Readings[[#This Row],[Sensor ID]],Table_Baseline[Sensor ID],Table_Baseline[Easting '[m']],"-")),"-")</f>
        <v>-1.0000000038417056E-3</v>
      </c>
      <c r="P479" s="93">
        <f>IFERROR(IF(Readings[[#This Row],[Obs. Y]]="","-",Readings[[#This Row],[Obs. Y]]-_xlfn.XLOOKUP(Readings[[#This Row],[Sensor ID]],Table_Baseline[Sensor ID],Table_Baseline[Northing '[m']],"-")),"-")</f>
        <v>0</v>
      </c>
      <c r="Q479" s="93">
        <f>IFERROR(IF(Readings[[#This Row],[Obs. Z]]="","-",Readings[[#This Row],[Obs. Z]]-_xlfn.XLOOKUP(Readings[[#This Row],[Sensor ID]],Table_Baseline[Sensor ID],Table_Baseline[Level '[m']],"-")),"-")</f>
        <v>4.9999999999883471E-4</v>
      </c>
      <c r="R479" s="93">
        <f>IFERROR(IF(Readings[[#This Row],[Reference Angle]]="-","-",(Readings[[#This Row],[Diff E]]*COS(RADIANS(Readings[[#This Row],[Reference Angle]]))-Readings[[#This Row],[Diff N]]*SIN(RADIANS(Readings[[#This Row],[Reference Angle]])))),"-")</f>
        <v>-1.0000000038417056E-3</v>
      </c>
      <c r="S479" s="93">
        <f>IFERROR(IF(Readings[[#This Row],[Reference Angle]]="-","-",(Readings[[#This Row],[Diff E]]*SIN(RADIANS(Readings[[#This Row],[Reference Angle]]))+Readings[[#This Row],[Diff N]]*COS(RADIANS(Readings[[#This Row],[Reference Angle]])))),"-")</f>
        <v>0</v>
      </c>
      <c r="T479" s="94">
        <f>IFERROR(VLOOKUP(Readings[[#This Row],[Sensor ID]],Table_Baseline[],COLUMNS(Table_Baseline[[#Headers],[Sensor ID]:[Reference Angle '[Deg']]]),FALSE),"-")</f>
        <v>0</v>
      </c>
      <c r="U479" s="95" t="str">
        <f>Readings[[#This Row],[Sensor ID]]&amp;"-"&amp;Readings[[#This Row],[Epoch]]</f>
        <v>250-RL-OP-11004-45793.2708333333</v>
      </c>
      <c r="V479" s="99">
        <f ca="1">IF(Readings[[#This Row],[Epoch]]=OFFSET(Readings[[#This Row],[Epoch]],-1,0),0,1)</f>
        <v>0</v>
      </c>
    </row>
    <row r="480" spans="4:22" x14ac:dyDescent="0.2">
      <c r="D480" s="32">
        <v>45793.270833333336</v>
      </c>
      <c r="E480" s="33" t="s">
        <v>176</v>
      </c>
      <c r="F480" s="34">
        <v>60040.968000000001</v>
      </c>
      <c r="G480" s="34">
        <v>363844.11800000002</v>
      </c>
      <c r="H480" s="34">
        <v>18.779</v>
      </c>
      <c r="I480" s="33" t="s">
        <v>85</v>
      </c>
      <c r="J480" s="33" t="s">
        <v>90</v>
      </c>
      <c r="K480" s="33">
        <v>16.3</v>
      </c>
      <c r="L480" s="33">
        <v>1016.7</v>
      </c>
      <c r="M480" s="33">
        <v>91</v>
      </c>
      <c r="N480" s="33"/>
      <c r="O480" s="93">
        <f>IFERROR(IF(Readings[[#This Row],[Obs. X]]="","-",Readings[[#This Row],[Obs. X]]-_xlfn.XLOOKUP(Readings[[#This Row],[Sensor ID]],Table_Baseline[Sensor ID],Table_Baseline[Easting '[m']],"-")),"-")</f>
        <v>-9.9999999656574801E-4</v>
      </c>
      <c r="P480" s="93">
        <f>IFERROR(IF(Readings[[#This Row],[Obs. Y]]="","-",Readings[[#This Row],[Obs. Y]]-_xlfn.XLOOKUP(Readings[[#This Row],[Sensor ID]],Table_Baseline[Sensor ID],Table_Baseline[Northing '[m']],"-")),"-")</f>
        <v>0</v>
      </c>
      <c r="Q480" s="93">
        <f>IFERROR(IF(Readings[[#This Row],[Obs. Z]]="","-",Readings[[#This Row],[Obs. Z]]-_xlfn.XLOOKUP(Readings[[#This Row],[Sensor ID]],Table_Baseline[Sensor ID],Table_Baseline[Level '[m']],"-")),"-")</f>
        <v>0</v>
      </c>
      <c r="R480" s="93">
        <f>IFERROR(IF(Readings[[#This Row],[Reference Angle]]="-","-",(Readings[[#This Row],[Diff E]]*COS(RADIANS(Readings[[#This Row],[Reference Angle]]))-Readings[[#This Row],[Diff N]]*SIN(RADIANS(Readings[[#This Row],[Reference Angle]])))),"-")</f>
        <v>-9.9999999656574801E-4</v>
      </c>
      <c r="S480" s="93">
        <f>IFERROR(IF(Readings[[#This Row],[Reference Angle]]="-","-",(Readings[[#This Row],[Diff E]]*SIN(RADIANS(Readings[[#This Row],[Reference Angle]]))+Readings[[#This Row],[Diff N]]*COS(RADIANS(Readings[[#This Row],[Reference Angle]])))),"-")</f>
        <v>0</v>
      </c>
      <c r="T480" s="94">
        <f>IFERROR(VLOOKUP(Readings[[#This Row],[Sensor ID]],Table_Baseline[],COLUMNS(Table_Baseline[[#Headers],[Sensor ID]:[Reference Angle '[Deg']]]),FALSE),"-")</f>
        <v>0</v>
      </c>
      <c r="U480" s="95" t="str">
        <f>Readings[[#This Row],[Sensor ID]]&amp;"-"&amp;Readings[[#This Row],[Epoch]]</f>
        <v>250-RL-OP-11005-45793.2708333333</v>
      </c>
      <c r="V480" s="99">
        <f ca="1">IF(Readings[[#This Row],[Epoch]]=OFFSET(Readings[[#This Row],[Epoch]],-1,0),0,1)</f>
        <v>0</v>
      </c>
    </row>
    <row r="481" spans="4:22" x14ac:dyDescent="0.2">
      <c r="D481" s="32">
        <v>45793.270833333336</v>
      </c>
      <c r="E481" s="33" t="s">
        <v>175</v>
      </c>
      <c r="F481" s="34">
        <v>60040.606</v>
      </c>
      <c r="G481" s="34">
        <v>363842.86100000003</v>
      </c>
      <c r="H481" s="34">
        <v>18.771999999999998</v>
      </c>
      <c r="I481" s="33" t="s">
        <v>85</v>
      </c>
      <c r="J481" s="33" t="s">
        <v>90</v>
      </c>
      <c r="K481" s="33">
        <v>16.3</v>
      </c>
      <c r="L481" s="33">
        <v>1016.7</v>
      </c>
      <c r="M481" s="33">
        <v>91</v>
      </c>
      <c r="N481" s="33"/>
      <c r="O481" s="93">
        <f>IFERROR(IF(Readings[[#This Row],[Obs. X]]="","-",Readings[[#This Row],[Obs. X]]-_xlfn.XLOOKUP(Readings[[#This Row],[Sensor ID]],Table_Baseline[Sensor ID],Table_Baseline[Easting '[m']],"-")),"-")</f>
        <v>-1.0000000038417056E-3</v>
      </c>
      <c r="P481" s="93">
        <f>IFERROR(IF(Readings[[#This Row],[Obs. Y]]="","-",Readings[[#This Row],[Obs. Y]]-_xlfn.XLOOKUP(Readings[[#This Row],[Sensor ID]],Table_Baseline[Sensor ID],Table_Baseline[Northing '[m']],"-")),"-")</f>
        <v>0</v>
      </c>
      <c r="Q481" s="93">
        <f>IFERROR(IF(Readings[[#This Row],[Obs. Z]]="","-",Readings[[#This Row],[Obs. Z]]-_xlfn.XLOOKUP(Readings[[#This Row],[Sensor ID]],Table_Baseline[Sensor ID],Table_Baseline[Level '[m']],"-")),"-")</f>
        <v>0</v>
      </c>
      <c r="R481" s="93">
        <f>IFERROR(IF(Readings[[#This Row],[Reference Angle]]="-","-",(Readings[[#This Row],[Diff E]]*COS(RADIANS(Readings[[#This Row],[Reference Angle]]))-Readings[[#This Row],[Diff N]]*SIN(RADIANS(Readings[[#This Row],[Reference Angle]])))),"-")</f>
        <v>-1.0000000038417056E-3</v>
      </c>
      <c r="S481" s="93">
        <f>IFERROR(IF(Readings[[#This Row],[Reference Angle]]="-","-",(Readings[[#This Row],[Diff E]]*SIN(RADIANS(Readings[[#This Row],[Reference Angle]]))+Readings[[#This Row],[Diff N]]*COS(RADIANS(Readings[[#This Row],[Reference Angle]])))),"-")</f>
        <v>0</v>
      </c>
      <c r="T481" s="94">
        <f>IFERROR(VLOOKUP(Readings[[#This Row],[Sensor ID]],Table_Baseline[],COLUMNS(Table_Baseline[[#Headers],[Sensor ID]:[Reference Angle '[Deg']]]),FALSE),"-")</f>
        <v>0</v>
      </c>
      <c r="U481" s="95" t="str">
        <f>Readings[[#This Row],[Sensor ID]]&amp;"-"&amp;Readings[[#This Row],[Epoch]]</f>
        <v>250-RL-OP-11006-45793.2708333333</v>
      </c>
      <c r="V481" s="99">
        <f ca="1">IF(Readings[[#This Row],[Epoch]]=OFFSET(Readings[[#This Row],[Epoch]],-1,0),0,1)</f>
        <v>0</v>
      </c>
    </row>
    <row r="482" spans="4:22" x14ac:dyDescent="0.2">
      <c r="D482" s="32">
        <v>45793.270833333336</v>
      </c>
      <c r="E482" s="33" t="s">
        <v>178</v>
      </c>
      <c r="F482" s="34">
        <v>60043.758000000002</v>
      </c>
      <c r="G482" s="34">
        <v>363843.315</v>
      </c>
      <c r="H482" s="34">
        <v>18.774000000000001</v>
      </c>
      <c r="I482" s="33" t="s">
        <v>85</v>
      </c>
      <c r="J482" s="33" t="s">
        <v>90</v>
      </c>
      <c r="K482" s="33">
        <v>16.3</v>
      </c>
      <c r="L482" s="33">
        <v>1016.7</v>
      </c>
      <c r="M482" s="33">
        <v>91</v>
      </c>
      <c r="N482" s="33"/>
      <c r="O482" s="93">
        <f>IFERROR(IF(Readings[[#This Row],[Obs. X]]="","-",Readings[[#This Row],[Obs. X]]-_xlfn.XLOOKUP(Readings[[#This Row],[Sensor ID]],Table_Baseline[Sensor ID],Table_Baseline[Easting '[m']],"-")),"-")</f>
        <v>-9.9999999656574801E-4</v>
      </c>
      <c r="P482" s="93">
        <f>IFERROR(IF(Readings[[#This Row],[Obs. Y]]="","-",Readings[[#This Row],[Obs. Y]]-_xlfn.XLOOKUP(Readings[[#This Row],[Sensor ID]],Table_Baseline[Sensor ID],Table_Baseline[Northing '[m']],"-")),"-")</f>
        <v>9.9999998928979039E-4</v>
      </c>
      <c r="Q482" s="93">
        <f>IFERROR(IF(Readings[[#This Row],[Obs. Z]]="","-",Readings[[#This Row],[Obs. Z]]-_xlfn.XLOOKUP(Readings[[#This Row],[Sensor ID]],Table_Baseline[Sensor ID],Table_Baseline[Level '[m']],"-")),"-")</f>
        <v>-9.9999999999766942E-5</v>
      </c>
      <c r="R482" s="93">
        <f>IFERROR(IF(Readings[[#This Row],[Reference Angle]]="-","-",(Readings[[#This Row],[Diff E]]*COS(RADIANS(Readings[[#This Row],[Reference Angle]]))-Readings[[#This Row],[Diff N]]*SIN(RADIANS(Readings[[#This Row],[Reference Angle]])))),"-")</f>
        <v>-9.9999999656574801E-4</v>
      </c>
      <c r="S482" s="93">
        <f>IFERROR(IF(Readings[[#This Row],[Reference Angle]]="-","-",(Readings[[#This Row],[Diff E]]*SIN(RADIANS(Readings[[#This Row],[Reference Angle]]))+Readings[[#This Row],[Diff N]]*COS(RADIANS(Readings[[#This Row],[Reference Angle]])))),"-")</f>
        <v>9.9999998928979039E-4</v>
      </c>
      <c r="T482" s="94">
        <f>IFERROR(VLOOKUP(Readings[[#This Row],[Sensor ID]],Table_Baseline[],COLUMNS(Table_Baseline[[#Headers],[Sensor ID]:[Reference Angle '[Deg']]]),FALSE),"-")</f>
        <v>0</v>
      </c>
      <c r="U482" s="95" t="str">
        <f>Readings[[#This Row],[Sensor ID]]&amp;"-"&amp;Readings[[#This Row],[Epoch]]</f>
        <v>250-RL-OP-11007-45793.2708333333</v>
      </c>
      <c r="V482" s="99">
        <f ca="1">IF(Readings[[#This Row],[Epoch]]=OFFSET(Readings[[#This Row],[Epoch]],-1,0),0,1)</f>
        <v>0</v>
      </c>
    </row>
    <row r="483" spans="4:22" x14ac:dyDescent="0.2">
      <c r="D483" s="32">
        <v>45793.270833333336</v>
      </c>
      <c r="E483" s="33" t="s">
        <v>177</v>
      </c>
      <c r="F483" s="34">
        <v>60043.440999999999</v>
      </c>
      <c r="G483" s="34">
        <v>363842.04099999997</v>
      </c>
      <c r="H483" s="34">
        <v>18.768999999999998</v>
      </c>
      <c r="I483" s="33" t="s">
        <v>85</v>
      </c>
      <c r="J483" s="33" t="s">
        <v>90</v>
      </c>
      <c r="K483" s="33">
        <v>16.3</v>
      </c>
      <c r="L483" s="33">
        <v>1016.7</v>
      </c>
      <c r="M483" s="33">
        <v>91</v>
      </c>
      <c r="N483" s="33"/>
      <c r="O483" s="93">
        <f>IFERROR(IF(Readings[[#This Row],[Obs. X]]="","-",Readings[[#This Row],[Obs. X]]-_xlfn.XLOOKUP(Readings[[#This Row],[Sensor ID]],Table_Baseline[Sensor ID],Table_Baseline[Easting '[m']],"-")),"-")</f>
        <v>0</v>
      </c>
      <c r="P483" s="93">
        <f>IFERROR(IF(Readings[[#This Row],[Obs. Y]]="","-",Readings[[#This Row],[Obs. Y]]-_xlfn.XLOOKUP(Readings[[#This Row],[Sensor ID]],Table_Baseline[Sensor ID],Table_Baseline[Northing '[m']],"-")),"-")</f>
        <v>9.9999993108212948E-4</v>
      </c>
      <c r="Q483" s="93">
        <f>IFERROR(IF(Readings[[#This Row],[Obs. Z]]="","-",Readings[[#This Row],[Obs. Z]]-_xlfn.XLOOKUP(Readings[[#This Row],[Sensor ID]],Table_Baseline[Sensor ID],Table_Baseline[Level '[m']],"-")),"-")</f>
        <v>6.9999999999836859E-4</v>
      </c>
      <c r="R483" s="93">
        <f>IFERROR(IF(Readings[[#This Row],[Reference Angle]]="-","-",(Readings[[#This Row],[Diff E]]*COS(RADIANS(Readings[[#This Row],[Reference Angle]]))-Readings[[#This Row],[Diff N]]*SIN(RADIANS(Readings[[#This Row],[Reference Angle]])))),"-")</f>
        <v>0</v>
      </c>
      <c r="S483" s="93">
        <f>IFERROR(IF(Readings[[#This Row],[Reference Angle]]="-","-",(Readings[[#This Row],[Diff E]]*SIN(RADIANS(Readings[[#This Row],[Reference Angle]]))+Readings[[#This Row],[Diff N]]*COS(RADIANS(Readings[[#This Row],[Reference Angle]])))),"-")</f>
        <v>9.9999993108212948E-4</v>
      </c>
      <c r="T483" s="94">
        <f>IFERROR(VLOOKUP(Readings[[#This Row],[Sensor ID]],Table_Baseline[],COLUMNS(Table_Baseline[[#Headers],[Sensor ID]:[Reference Angle '[Deg']]]),FALSE),"-")</f>
        <v>0</v>
      </c>
      <c r="U483" s="95" t="str">
        <f>Readings[[#This Row],[Sensor ID]]&amp;"-"&amp;Readings[[#This Row],[Epoch]]</f>
        <v>250-RL-OP-11008-45793.2708333333</v>
      </c>
      <c r="V483" s="99">
        <f ca="1">IF(Readings[[#This Row],[Epoch]]=OFFSET(Readings[[#This Row],[Epoch]],-1,0),0,1)</f>
        <v>0</v>
      </c>
    </row>
    <row r="484" spans="4:22" x14ac:dyDescent="0.2">
      <c r="D484" s="32">
        <v>45793.270833333336</v>
      </c>
      <c r="E484" s="33" t="s">
        <v>180</v>
      </c>
      <c r="F484" s="34">
        <v>60046.633000000002</v>
      </c>
      <c r="G484" s="34">
        <v>363842.48499999999</v>
      </c>
      <c r="H484" s="34">
        <v>18.777000000000001</v>
      </c>
      <c r="I484" s="33" t="s">
        <v>85</v>
      </c>
      <c r="J484" s="33" t="s">
        <v>90</v>
      </c>
      <c r="K484" s="33">
        <v>16.3</v>
      </c>
      <c r="L484" s="33">
        <v>1016.7</v>
      </c>
      <c r="M484" s="33">
        <v>91</v>
      </c>
      <c r="N484" s="33"/>
      <c r="O484" s="93">
        <f>IFERROR(IF(Readings[[#This Row],[Obs. X]]="","-",Readings[[#This Row],[Obs. X]]-_xlfn.XLOOKUP(Readings[[#This Row],[Sensor ID]],Table_Baseline[Sensor ID],Table_Baseline[Easting '[m']],"-")),"-")</f>
        <v>0</v>
      </c>
      <c r="P484" s="93">
        <f>IFERROR(IF(Readings[[#This Row],[Obs. Y]]="","-",Readings[[#This Row],[Obs. Y]]-_xlfn.XLOOKUP(Readings[[#This Row],[Sensor ID]],Table_Baseline[Sensor ID],Table_Baseline[Northing '[m']],"-")),"-")</f>
        <v>0</v>
      </c>
      <c r="Q484" s="93">
        <f>IFERROR(IF(Readings[[#This Row],[Obs. Z]]="","-",Readings[[#This Row],[Obs. Z]]-_xlfn.XLOOKUP(Readings[[#This Row],[Sensor ID]],Table_Baseline[Sensor ID],Table_Baseline[Level '[m']],"-")),"-")</f>
        <v>-5.9999999999860165E-4</v>
      </c>
      <c r="R484" s="93">
        <f>IFERROR(IF(Readings[[#This Row],[Reference Angle]]="-","-",(Readings[[#This Row],[Diff E]]*COS(RADIANS(Readings[[#This Row],[Reference Angle]]))-Readings[[#This Row],[Diff N]]*SIN(RADIANS(Readings[[#This Row],[Reference Angle]])))),"-")</f>
        <v>0</v>
      </c>
      <c r="S484" s="93">
        <f>IFERROR(IF(Readings[[#This Row],[Reference Angle]]="-","-",(Readings[[#This Row],[Diff E]]*SIN(RADIANS(Readings[[#This Row],[Reference Angle]]))+Readings[[#This Row],[Diff N]]*COS(RADIANS(Readings[[#This Row],[Reference Angle]])))),"-")</f>
        <v>0</v>
      </c>
      <c r="T484" s="94">
        <f>IFERROR(VLOOKUP(Readings[[#This Row],[Sensor ID]],Table_Baseline[],COLUMNS(Table_Baseline[[#Headers],[Sensor ID]:[Reference Angle '[Deg']]]),FALSE),"-")</f>
        <v>0</v>
      </c>
      <c r="U484" s="95" t="str">
        <f>Readings[[#This Row],[Sensor ID]]&amp;"-"&amp;Readings[[#This Row],[Epoch]]</f>
        <v>250-RL-OP-11009-45793.2708333333</v>
      </c>
      <c r="V484" s="99">
        <f ca="1">IF(Readings[[#This Row],[Epoch]]=OFFSET(Readings[[#This Row],[Epoch]],-1,0),0,1)</f>
        <v>0</v>
      </c>
    </row>
    <row r="485" spans="4:22" x14ac:dyDescent="0.2">
      <c r="D485" s="32">
        <v>45793.270833333336</v>
      </c>
      <c r="E485" s="33" t="s">
        <v>179</v>
      </c>
      <c r="F485" s="34">
        <v>60046.249000000003</v>
      </c>
      <c r="G485" s="34">
        <v>363841.22700000001</v>
      </c>
      <c r="H485" s="34">
        <v>18.77</v>
      </c>
      <c r="I485" s="33" t="s">
        <v>85</v>
      </c>
      <c r="J485" s="33" t="s">
        <v>90</v>
      </c>
      <c r="K485" s="33">
        <v>16.3</v>
      </c>
      <c r="L485" s="33">
        <v>1016.7</v>
      </c>
      <c r="M485" s="33">
        <v>91</v>
      </c>
      <c r="N485" s="33"/>
      <c r="O485" s="93">
        <f>IFERROR(IF(Readings[[#This Row],[Obs. X]]="","-",Readings[[#This Row],[Obs. X]]-_xlfn.XLOOKUP(Readings[[#This Row],[Sensor ID]],Table_Baseline[Sensor ID],Table_Baseline[Easting '[m']],"-")),"-")</f>
        <v>-9.9999999656574801E-4</v>
      </c>
      <c r="P485" s="93">
        <f>IFERROR(IF(Readings[[#This Row],[Obs. Y]]="","-",Readings[[#This Row],[Obs. Y]]-_xlfn.XLOOKUP(Readings[[#This Row],[Sensor ID]],Table_Baseline[Sensor ID],Table_Baseline[Northing '[m']],"-")),"-")</f>
        <v>9.9999998928979039E-4</v>
      </c>
      <c r="Q485" s="93">
        <f>IFERROR(IF(Readings[[#This Row],[Obs. Z]]="","-",Readings[[#This Row],[Obs. Z]]-_xlfn.XLOOKUP(Readings[[#This Row],[Sensor ID]],Table_Baseline[Sensor ID],Table_Baseline[Level '[m']],"-")),"-")</f>
        <v>1.9999999999953388E-4</v>
      </c>
      <c r="R485" s="93">
        <f>IFERROR(IF(Readings[[#This Row],[Reference Angle]]="-","-",(Readings[[#This Row],[Diff E]]*COS(RADIANS(Readings[[#This Row],[Reference Angle]]))-Readings[[#This Row],[Diff N]]*SIN(RADIANS(Readings[[#This Row],[Reference Angle]])))),"-")</f>
        <v>-9.9999999656574801E-4</v>
      </c>
      <c r="S485" s="93">
        <f>IFERROR(IF(Readings[[#This Row],[Reference Angle]]="-","-",(Readings[[#This Row],[Diff E]]*SIN(RADIANS(Readings[[#This Row],[Reference Angle]]))+Readings[[#This Row],[Diff N]]*COS(RADIANS(Readings[[#This Row],[Reference Angle]])))),"-")</f>
        <v>9.9999998928979039E-4</v>
      </c>
      <c r="T485" s="94">
        <f>IFERROR(VLOOKUP(Readings[[#This Row],[Sensor ID]],Table_Baseline[],COLUMNS(Table_Baseline[[#Headers],[Sensor ID]:[Reference Angle '[Deg']]]),FALSE),"-")</f>
        <v>0</v>
      </c>
      <c r="U485" s="95" t="str">
        <f>Readings[[#This Row],[Sensor ID]]&amp;"-"&amp;Readings[[#This Row],[Epoch]]</f>
        <v>250-RL-OP-11010-45793.2708333333</v>
      </c>
      <c r="V485" s="99">
        <f ca="1">IF(Readings[[#This Row],[Epoch]]=OFFSET(Readings[[#This Row],[Epoch]],-1,0),0,1)</f>
        <v>0</v>
      </c>
    </row>
    <row r="486" spans="4:22" x14ac:dyDescent="0.2">
      <c r="D486" s="32">
        <v>45793.270833333336</v>
      </c>
      <c r="E486" s="33" t="s">
        <v>182</v>
      </c>
      <c r="F486" s="34">
        <v>60049.398000000001</v>
      </c>
      <c r="G486" s="34">
        <v>363841.69900000002</v>
      </c>
      <c r="H486" s="34">
        <v>18.777999999999999</v>
      </c>
      <c r="I486" s="33" t="s">
        <v>85</v>
      </c>
      <c r="J486" s="33" t="s">
        <v>90</v>
      </c>
      <c r="K486" s="33">
        <v>16.3</v>
      </c>
      <c r="L486" s="33">
        <v>1016.7</v>
      </c>
      <c r="M486" s="33">
        <v>91</v>
      </c>
      <c r="N486" s="33"/>
      <c r="O486" s="93">
        <f>IFERROR(IF(Readings[[#This Row],[Obs. X]]="","-",Readings[[#This Row],[Obs. X]]-_xlfn.XLOOKUP(Readings[[#This Row],[Sensor ID]],Table_Baseline[Sensor ID],Table_Baseline[Easting '[m']],"-")),"-")</f>
        <v>-9.9999999656574801E-4</v>
      </c>
      <c r="P486" s="93">
        <f>IFERROR(IF(Readings[[#This Row],[Obs. Y]]="","-",Readings[[#This Row],[Obs. Y]]-_xlfn.XLOOKUP(Readings[[#This Row],[Sensor ID]],Table_Baseline[Sensor ID],Table_Baseline[Northing '[m']],"-")),"-")</f>
        <v>1.0000000474974513E-3</v>
      </c>
      <c r="Q486" s="93">
        <f>IFERROR(IF(Readings[[#This Row],[Obs. Z]]="","-",Readings[[#This Row],[Obs. Z]]-_xlfn.XLOOKUP(Readings[[#This Row],[Sensor ID]],Table_Baseline[Sensor ID],Table_Baseline[Level '[m']],"-")),"-")</f>
        <v>0</v>
      </c>
      <c r="R486" s="93">
        <f>IFERROR(IF(Readings[[#This Row],[Reference Angle]]="-","-",(Readings[[#This Row],[Diff E]]*COS(RADIANS(Readings[[#This Row],[Reference Angle]]))-Readings[[#This Row],[Diff N]]*SIN(RADIANS(Readings[[#This Row],[Reference Angle]])))),"-")</f>
        <v>-9.9999999656574801E-4</v>
      </c>
      <c r="S486" s="93">
        <f>IFERROR(IF(Readings[[#This Row],[Reference Angle]]="-","-",(Readings[[#This Row],[Diff E]]*SIN(RADIANS(Readings[[#This Row],[Reference Angle]]))+Readings[[#This Row],[Diff N]]*COS(RADIANS(Readings[[#This Row],[Reference Angle]])))),"-")</f>
        <v>1.0000000474974513E-3</v>
      </c>
      <c r="T486" s="94">
        <f>IFERROR(VLOOKUP(Readings[[#This Row],[Sensor ID]],Table_Baseline[],COLUMNS(Table_Baseline[[#Headers],[Sensor ID]:[Reference Angle '[Deg']]]),FALSE),"-")</f>
        <v>0</v>
      </c>
      <c r="U486" s="95" t="str">
        <f>Readings[[#This Row],[Sensor ID]]&amp;"-"&amp;Readings[[#This Row],[Epoch]]</f>
        <v>250-RL-OP-11011-45793.2708333333</v>
      </c>
      <c r="V486" s="99">
        <f ca="1">IF(Readings[[#This Row],[Epoch]]=OFFSET(Readings[[#This Row],[Epoch]],-1,0),0,1)</f>
        <v>0</v>
      </c>
    </row>
    <row r="487" spans="4:22" x14ac:dyDescent="0.2">
      <c r="D487" s="32">
        <v>45793.270833333336</v>
      </c>
      <c r="E487" s="33" t="s">
        <v>181</v>
      </c>
      <c r="F487" s="34">
        <v>60049.04</v>
      </c>
      <c r="G487" s="34">
        <v>363840.435</v>
      </c>
      <c r="H487" s="34">
        <v>18.771000000000001</v>
      </c>
      <c r="I487" s="33" t="s">
        <v>85</v>
      </c>
      <c r="J487" s="33" t="s">
        <v>90</v>
      </c>
      <c r="K487" s="33">
        <v>16.3</v>
      </c>
      <c r="L487" s="33">
        <v>1016.7</v>
      </c>
      <c r="M487" s="33">
        <v>91</v>
      </c>
      <c r="N487" s="33"/>
      <c r="O487" s="93">
        <f>IFERROR(IF(Readings[[#This Row],[Obs. X]]="","-",Readings[[#This Row],[Obs. X]]-_xlfn.XLOOKUP(Readings[[#This Row],[Sensor ID]],Table_Baseline[Sensor ID],Table_Baseline[Easting '[m']],"-")),"-")</f>
        <v>-9.9999999656574801E-4</v>
      </c>
      <c r="P487" s="93">
        <f>IFERROR(IF(Readings[[#This Row],[Obs. Y]]="","-",Readings[[#This Row],[Obs. Y]]-_xlfn.XLOOKUP(Readings[[#This Row],[Sensor ID]],Table_Baseline[Sensor ID],Table_Baseline[Northing '[m']],"-")),"-")</f>
        <v>2.0000000367872417E-3</v>
      </c>
      <c r="Q487" s="93">
        <f>IFERROR(IF(Readings[[#This Row],[Obs. Z]]="","-",Readings[[#This Row],[Obs. Z]]-_xlfn.XLOOKUP(Readings[[#This Row],[Sensor ID]],Table_Baseline[Sensor ID],Table_Baseline[Level '[m']],"-")),"-")</f>
        <v>-9.9999999999766942E-5</v>
      </c>
      <c r="R487" s="93">
        <f>IFERROR(IF(Readings[[#This Row],[Reference Angle]]="-","-",(Readings[[#This Row],[Diff E]]*COS(RADIANS(Readings[[#This Row],[Reference Angle]]))-Readings[[#This Row],[Diff N]]*SIN(RADIANS(Readings[[#This Row],[Reference Angle]])))),"-")</f>
        <v>-9.9999999656574801E-4</v>
      </c>
      <c r="S487" s="93">
        <f>IFERROR(IF(Readings[[#This Row],[Reference Angle]]="-","-",(Readings[[#This Row],[Diff E]]*SIN(RADIANS(Readings[[#This Row],[Reference Angle]]))+Readings[[#This Row],[Diff N]]*COS(RADIANS(Readings[[#This Row],[Reference Angle]])))),"-")</f>
        <v>2.0000000367872417E-3</v>
      </c>
      <c r="T487" s="94">
        <f>IFERROR(VLOOKUP(Readings[[#This Row],[Sensor ID]],Table_Baseline[],COLUMNS(Table_Baseline[[#Headers],[Sensor ID]:[Reference Angle '[Deg']]]),FALSE),"-")</f>
        <v>0</v>
      </c>
      <c r="U487" s="95" t="str">
        <f>Readings[[#This Row],[Sensor ID]]&amp;"-"&amp;Readings[[#This Row],[Epoch]]</f>
        <v>250-RL-OP-11012-45793.2708333333</v>
      </c>
      <c r="V487" s="99">
        <f ca="1">IF(Readings[[#This Row],[Epoch]]=OFFSET(Readings[[#This Row],[Epoch]],-1,0),0,1)</f>
        <v>0</v>
      </c>
    </row>
    <row r="488" spans="4:22" x14ac:dyDescent="0.2">
      <c r="D488" s="32">
        <v>45793.270833333336</v>
      </c>
      <c r="E488" s="33" t="s">
        <v>184</v>
      </c>
      <c r="F488" s="34">
        <v>60052.292000000001</v>
      </c>
      <c r="G488" s="34">
        <v>363840.88699999999</v>
      </c>
      <c r="H488" s="34">
        <v>18.779</v>
      </c>
      <c r="I488" s="33" t="s">
        <v>85</v>
      </c>
      <c r="J488" s="33" t="s">
        <v>90</v>
      </c>
      <c r="K488" s="33">
        <v>16.3</v>
      </c>
      <c r="L488" s="33">
        <v>1016.7</v>
      </c>
      <c r="M488" s="33">
        <v>91</v>
      </c>
      <c r="N488" s="33"/>
      <c r="O488" s="93">
        <f>IFERROR(IF(Readings[[#This Row],[Obs. X]]="","-",Readings[[#This Row],[Obs. X]]-_xlfn.XLOOKUP(Readings[[#This Row],[Sensor ID]],Table_Baseline[Sensor ID],Table_Baseline[Easting '[m']],"-")),"-")</f>
        <v>-9.9999999656574801E-4</v>
      </c>
      <c r="P488" s="93">
        <f>IFERROR(IF(Readings[[#This Row],[Obs. Y]]="","-",Readings[[#This Row],[Obs. Y]]-_xlfn.XLOOKUP(Readings[[#This Row],[Sensor ID]],Table_Baseline[Sensor ID],Table_Baseline[Northing '[m']],"-")),"-")</f>
        <v>1.9999999785795808E-3</v>
      </c>
      <c r="Q488" s="93">
        <f>IFERROR(IF(Readings[[#This Row],[Obs. Z]]="","-",Readings[[#This Row],[Obs. Z]]-_xlfn.XLOOKUP(Readings[[#This Row],[Sensor ID]],Table_Baseline[Sensor ID],Table_Baseline[Level '[m']],"-")),"-")</f>
        <v>0</v>
      </c>
      <c r="R488" s="93">
        <f>IFERROR(IF(Readings[[#This Row],[Reference Angle]]="-","-",(Readings[[#This Row],[Diff E]]*COS(RADIANS(Readings[[#This Row],[Reference Angle]]))-Readings[[#This Row],[Diff N]]*SIN(RADIANS(Readings[[#This Row],[Reference Angle]])))),"-")</f>
        <v>-9.9999999656574801E-4</v>
      </c>
      <c r="S488" s="93">
        <f>IFERROR(IF(Readings[[#This Row],[Reference Angle]]="-","-",(Readings[[#This Row],[Diff E]]*SIN(RADIANS(Readings[[#This Row],[Reference Angle]]))+Readings[[#This Row],[Diff N]]*COS(RADIANS(Readings[[#This Row],[Reference Angle]])))),"-")</f>
        <v>1.9999999785795808E-3</v>
      </c>
      <c r="T488" s="94">
        <f>IFERROR(VLOOKUP(Readings[[#This Row],[Sensor ID]],Table_Baseline[],COLUMNS(Table_Baseline[[#Headers],[Sensor ID]:[Reference Angle '[Deg']]]),FALSE),"-")</f>
        <v>0</v>
      </c>
      <c r="U488" s="95" t="str">
        <f>Readings[[#This Row],[Sensor ID]]&amp;"-"&amp;Readings[[#This Row],[Epoch]]</f>
        <v>250-RL-OP-11013-45793.2708333333</v>
      </c>
      <c r="V488" s="99">
        <f ca="1">IF(Readings[[#This Row],[Epoch]]=OFFSET(Readings[[#This Row],[Epoch]],-1,0),0,1)</f>
        <v>0</v>
      </c>
    </row>
    <row r="489" spans="4:22" x14ac:dyDescent="0.2">
      <c r="D489" s="32">
        <v>45793.270833333336</v>
      </c>
      <c r="E489" s="33" t="s">
        <v>183</v>
      </c>
      <c r="F489" s="34">
        <v>60051.989000000001</v>
      </c>
      <c r="G489" s="34">
        <v>363839.60499999998</v>
      </c>
      <c r="H489" s="34">
        <v>18.77</v>
      </c>
      <c r="I489" s="33" t="s">
        <v>85</v>
      </c>
      <c r="J489" s="33" t="s">
        <v>90</v>
      </c>
      <c r="K489" s="33">
        <v>16.3</v>
      </c>
      <c r="L489" s="33">
        <v>1016.7</v>
      </c>
      <c r="M489" s="33">
        <v>91</v>
      </c>
      <c r="N489" s="33"/>
      <c r="O489" s="93">
        <f>IFERROR(IF(Readings[[#This Row],[Obs. X]]="","-",Readings[[#This Row],[Obs. X]]-_xlfn.XLOOKUP(Readings[[#This Row],[Sensor ID]],Table_Baseline[Sensor ID],Table_Baseline[Easting '[m']],"-")),"-")</f>
        <v>0</v>
      </c>
      <c r="P489" s="93">
        <f>IFERROR(IF(Readings[[#This Row],[Obs. Y]]="","-",Readings[[#This Row],[Obs. Y]]-_xlfn.XLOOKUP(Readings[[#This Row],[Sensor ID]],Table_Baseline[Sensor ID],Table_Baseline[Northing '[m']],"-")),"-")</f>
        <v>1.9999999785795808E-3</v>
      </c>
      <c r="Q489" s="93">
        <f>IFERROR(IF(Readings[[#This Row],[Obs. Z]]="","-",Readings[[#This Row],[Obs. Z]]-_xlfn.XLOOKUP(Readings[[#This Row],[Sensor ID]],Table_Baseline[Sensor ID],Table_Baseline[Level '[m']],"-")),"-")</f>
        <v>-9.9999999999766942E-5</v>
      </c>
      <c r="R489" s="93">
        <f>IFERROR(IF(Readings[[#This Row],[Reference Angle]]="-","-",(Readings[[#This Row],[Diff E]]*COS(RADIANS(Readings[[#This Row],[Reference Angle]]))-Readings[[#This Row],[Diff N]]*SIN(RADIANS(Readings[[#This Row],[Reference Angle]])))),"-")</f>
        <v>0</v>
      </c>
      <c r="S489" s="93">
        <f>IFERROR(IF(Readings[[#This Row],[Reference Angle]]="-","-",(Readings[[#This Row],[Diff E]]*SIN(RADIANS(Readings[[#This Row],[Reference Angle]]))+Readings[[#This Row],[Diff N]]*COS(RADIANS(Readings[[#This Row],[Reference Angle]])))),"-")</f>
        <v>1.9999999785795808E-3</v>
      </c>
      <c r="T489" s="94">
        <f>IFERROR(VLOOKUP(Readings[[#This Row],[Sensor ID]],Table_Baseline[],COLUMNS(Table_Baseline[[#Headers],[Sensor ID]:[Reference Angle '[Deg']]]),FALSE),"-")</f>
        <v>0</v>
      </c>
      <c r="U489" s="95" t="str">
        <f>Readings[[#This Row],[Sensor ID]]&amp;"-"&amp;Readings[[#This Row],[Epoch]]</f>
        <v>250-RL-OP-11014-45793.2708333333</v>
      </c>
      <c r="V489" s="99">
        <f ca="1">IF(Readings[[#This Row],[Epoch]]=OFFSET(Readings[[#This Row],[Epoch]],-1,0),0,1)</f>
        <v>0</v>
      </c>
    </row>
    <row r="490" spans="4:22" x14ac:dyDescent="0.2">
      <c r="D490" s="32">
        <v>45793.270833333336</v>
      </c>
      <c r="E490" s="33" t="s">
        <v>186</v>
      </c>
      <c r="F490" s="34">
        <v>60055.196000000004</v>
      </c>
      <c r="G490" s="34">
        <v>363840.09700000001</v>
      </c>
      <c r="H490" s="34">
        <v>18.78</v>
      </c>
      <c r="I490" s="33" t="s">
        <v>85</v>
      </c>
      <c r="J490" s="33" t="s">
        <v>90</v>
      </c>
      <c r="K490" s="33">
        <v>16.3</v>
      </c>
      <c r="L490" s="33">
        <v>1016.7</v>
      </c>
      <c r="M490" s="33">
        <v>91</v>
      </c>
      <c r="N490" s="33"/>
      <c r="O490" s="93">
        <f>IFERROR(IF(Readings[[#This Row],[Obs. X]]="","-",Readings[[#This Row],[Obs. X]]-_xlfn.XLOOKUP(Readings[[#This Row],[Sensor ID]],Table_Baseline[Sensor ID],Table_Baseline[Easting '[m']],"-")),"-")</f>
        <v>0</v>
      </c>
      <c r="P490" s="93">
        <f>IFERROR(IF(Readings[[#This Row],[Obs. Y]]="","-",Readings[[#This Row],[Obs. Y]]-_xlfn.XLOOKUP(Readings[[#This Row],[Sensor ID]],Table_Baseline[Sensor ID],Table_Baseline[Northing '[m']],"-")),"-")</f>
        <v>2.0000000367872417E-3</v>
      </c>
      <c r="Q490" s="93">
        <f>IFERROR(IF(Readings[[#This Row],[Obs. Z]]="","-",Readings[[#This Row],[Obs. Z]]-_xlfn.XLOOKUP(Readings[[#This Row],[Sensor ID]],Table_Baseline[Sensor ID],Table_Baseline[Level '[m']],"-")),"-")</f>
        <v>-8.9999999999790248E-4</v>
      </c>
      <c r="R490" s="93">
        <f>IFERROR(IF(Readings[[#This Row],[Reference Angle]]="-","-",(Readings[[#This Row],[Diff E]]*COS(RADIANS(Readings[[#This Row],[Reference Angle]]))-Readings[[#This Row],[Diff N]]*SIN(RADIANS(Readings[[#This Row],[Reference Angle]])))),"-")</f>
        <v>0</v>
      </c>
      <c r="S490" s="93">
        <f>IFERROR(IF(Readings[[#This Row],[Reference Angle]]="-","-",(Readings[[#This Row],[Diff E]]*SIN(RADIANS(Readings[[#This Row],[Reference Angle]]))+Readings[[#This Row],[Diff N]]*COS(RADIANS(Readings[[#This Row],[Reference Angle]])))),"-")</f>
        <v>2.0000000367872417E-3</v>
      </c>
      <c r="T490" s="94">
        <f>IFERROR(VLOOKUP(Readings[[#This Row],[Sensor ID]],Table_Baseline[],COLUMNS(Table_Baseline[[#Headers],[Sensor ID]:[Reference Angle '[Deg']]]),FALSE),"-")</f>
        <v>0</v>
      </c>
      <c r="U490" s="95" t="str">
        <f>Readings[[#This Row],[Sensor ID]]&amp;"-"&amp;Readings[[#This Row],[Epoch]]</f>
        <v>250-RL-OP-11015-45793.2708333333</v>
      </c>
      <c r="V490" s="99">
        <f ca="1">IF(Readings[[#This Row],[Epoch]]=OFFSET(Readings[[#This Row],[Epoch]],-1,0),0,1)</f>
        <v>0</v>
      </c>
    </row>
    <row r="491" spans="4:22" x14ac:dyDescent="0.2">
      <c r="D491" s="32">
        <v>45793.270833333336</v>
      </c>
      <c r="E491" s="33" t="s">
        <v>185</v>
      </c>
      <c r="F491" s="34">
        <v>60054.885000000002</v>
      </c>
      <c r="G491" s="34">
        <v>363838.80700000003</v>
      </c>
      <c r="H491" s="34">
        <v>18.773</v>
      </c>
      <c r="I491" s="33" t="s">
        <v>85</v>
      </c>
      <c r="J491" s="33" t="s">
        <v>90</v>
      </c>
      <c r="K491" s="33">
        <v>16.3</v>
      </c>
      <c r="L491" s="33">
        <v>1016.7</v>
      </c>
      <c r="M491" s="33">
        <v>91</v>
      </c>
      <c r="N491" s="33"/>
      <c r="O491" s="93">
        <f>IFERROR(IF(Readings[[#This Row],[Obs. X]]="","-",Readings[[#This Row],[Obs. X]]-_xlfn.XLOOKUP(Readings[[#This Row],[Sensor ID]],Table_Baseline[Sensor ID],Table_Baseline[Easting '[m']],"-")),"-")</f>
        <v>-9.9999999656574801E-4</v>
      </c>
      <c r="P491" s="93">
        <f>IFERROR(IF(Readings[[#This Row],[Obs. Y]]="","-",Readings[[#This Row],[Obs. Y]]-_xlfn.XLOOKUP(Readings[[#This Row],[Sensor ID]],Table_Baseline[Sensor ID],Table_Baseline[Northing '[m']],"-")),"-")</f>
        <v>2.0000000367872417E-3</v>
      </c>
      <c r="Q491" s="93">
        <f>IFERROR(IF(Readings[[#This Row],[Obs. Z]]="","-",Readings[[#This Row],[Obs. Z]]-_xlfn.XLOOKUP(Readings[[#This Row],[Sensor ID]],Table_Baseline[Sensor ID],Table_Baseline[Level '[m']],"-")),"-")</f>
        <v>-9.9999999999766942E-5</v>
      </c>
      <c r="R491" s="93">
        <f>IFERROR(IF(Readings[[#This Row],[Reference Angle]]="-","-",(Readings[[#This Row],[Diff E]]*COS(RADIANS(Readings[[#This Row],[Reference Angle]]))-Readings[[#This Row],[Diff N]]*SIN(RADIANS(Readings[[#This Row],[Reference Angle]])))),"-")</f>
        <v>-9.9999999656574801E-4</v>
      </c>
      <c r="S491" s="93">
        <f>IFERROR(IF(Readings[[#This Row],[Reference Angle]]="-","-",(Readings[[#This Row],[Diff E]]*SIN(RADIANS(Readings[[#This Row],[Reference Angle]]))+Readings[[#This Row],[Diff N]]*COS(RADIANS(Readings[[#This Row],[Reference Angle]])))),"-")</f>
        <v>2.0000000367872417E-3</v>
      </c>
      <c r="T491" s="94">
        <f>IFERROR(VLOOKUP(Readings[[#This Row],[Sensor ID]],Table_Baseline[],COLUMNS(Table_Baseline[[#Headers],[Sensor ID]:[Reference Angle '[Deg']]]),FALSE),"-")</f>
        <v>0</v>
      </c>
      <c r="U491" s="95" t="str">
        <f>Readings[[#This Row],[Sensor ID]]&amp;"-"&amp;Readings[[#This Row],[Epoch]]</f>
        <v>250-RL-OP-11016-45793.2708333333</v>
      </c>
      <c r="V491" s="99">
        <f ca="1">IF(Readings[[#This Row],[Epoch]]=OFFSET(Readings[[#This Row],[Epoch]],-1,0),0,1)</f>
        <v>0</v>
      </c>
    </row>
    <row r="492" spans="4:22" x14ac:dyDescent="0.2">
      <c r="D492" s="32">
        <v>45793.270833333336</v>
      </c>
      <c r="E492" s="33" t="s">
        <v>188</v>
      </c>
      <c r="F492" s="34">
        <v>60057.951999999997</v>
      </c>
      <c r="G492" s="34">
        <v>363839.36499999999</v>
      </c>
      <c r="H492" s="34">
        <v>18.785</v>
      </c>
      <c r="I492" s="33" t="s">
        <v>85</v>
      </c>
      <c r="J492" s="33" t="s">
        <v>90</v>
      </c>
      <c r="K492" s="33">
        <v>16.3</v>
      </c>
      <c r="L492" s="33">
        <v>1016.7</v>
      </c>
      <c r="M492" s="33">
        <v>91</v>
      </c>
      <c r="N492" s="33"/>
      <c r="O492" s="93">
        <f>IFERROR(IF(Readings[[#This Row],[Obs. X]]="","-",Readings[[#This Row],[Obs. X]]-_xlfn.XLOOKUP(Readings[[#This Row],[Sensor ID]],Table_Baseline[Sensor ID],Table_Baseline[Easting '[m']],"-")),"-")</f>
        <v>0</v>
      </c>
      <c r="P492" s="93">
        <f>IFERROR(IF(Readings[[#This Row],[Obs. Y]]="","-",Readings[[#This Row],[Obs. Y]]-_xlfn.XLOOKUP(Readings[[#This Row],[Sensor ID]],Table_Baseline[Sensor ID],Table_Baseline[Northing '[m']],"-")),"-")</f>
        <v>3.0000000260770321E-3</v>
      </c>
      <c r="Q492" s="93">
        <f>IFERROR(IF(Readings[[#This Row],[Obs. Z]]="","-",Readings[[#This Row],[Obs. Z]]-_xlfn.XLOOKUP(Readings[[#This Row],[Sensor ID]],Table_Baseline[Sensor ID],Table_Baseline[Level '[m']],"-")),"-")</f>
        <v>-1.0000000000012221E-3</v>
      </c>
      <c r="R492" s="93">
        <f>IFERROR(IF(Readings[[#This Row],[Reference Angle]]="-","-",(Readings[[#This Row],[Diff E]]*COS(RADIANS(Readings[[#This Row],[Reference Angle]]))-Readings[[#This Row],[Diff N]]*SIN(RADIANS(Readings[[#This Row],[Reference Angle]])))),"-")</f>
        <v>0</v>
      </c>
      <c r="S492" s="93">
        <f>IFERROR(IF(Readings[[#This Row],[Reference Angle]]="-","-",(Readings[[#This Row],[Diff E]]*SIN(RADIANS(Readings[[#This Row],[Reference Angle]]))+Readings[[#This Row],[Diff N]]*COS(RADIANS(Readings[[#This Row],[Reference Angle]])))),"-")</f>
        <v>3.0000000260770321E-3</v>
      </c>
      <c r="T492" s="94">
        <f>IFERROR(VLOOKUP(Readings[[#This Row],[Sensor ID]],Table_Baseline[],COLUMNS(Table_Baseline[[#Headers],[Sensor ID]:[Reference Angle '[Deg']]]),FALSE),"-")</f>
        <v>0</v>
      </c>
      <c r="U492" s="95" t="str">
        <f>Readings[[#This Row],[Sensor ID]]&amp;"-"&amp;Readings[[#This Row],[Epoch]]</f>
        <v>250-RL-OP-11017-45793.2708333333</v>
      </c>
      <c r="V492" s="99">
        <f ca="1">IF(Readings[[#This Row],[Epoch]]=OFFSET(Readings[[#This Row],[Epoch]],-1,0),0,1)</f>
        <v>0</v>
      </c>
    </row>
    <row r="493" spans="4:22" x14ac:dyDescent="0.2">
      <c r="D493" s="32">
        <v>45793.270833333336</v>
      </c>
      <c r="E493" s="33" t="s">
        <v>187</v>
      </c>
      <c r="F493" s="34">
        <v>60057.578000000001</v>
      </c>
      <c r="G493" s="34">
        <v>363838.10100000002</v>
      </c>
      <c r="H493" s="34">
        <v>18.774999999999999</v>
      </c>
      <c r="I493" s="33" t="s">
        <v>85</v>
      </c>
      <c r="J493" s="33" t="s">
        <v>90</v>
      </c>
      <c r="K493" s="33">
        <v>16.3</v>
      </c>
      <c r="L493" s="33">
        <v>1016.7</v>
      </c>
      <c r="M493" s="33">
        <v>91</v>
      </c>
      <c r="N493" s="33"/>
      <c r="O493" s="93">
        <f>IFERROR(IF(Readings[[#This Row],[Obs. X]]="","-",Readings[[#This Row],[Obs. X]]-_xlfn.XLOOKUP(Readings[[#This Row],[Sensor ID]],Table_Baseline[Sensor ID],Table_Baseline[Easting '[m']],"-")),"-")</f>
        <v>-9.9999999656574801E-4</v>
      </c>
      <c r="P493" s="93">
        <f>IFERROR(IF(Readings[[#This Row],[Obs. Y]]="","-",Readings[[#This Row],[Obs. Y]]-_xlfn.XLOOKUP(Readings[[#This Row],[Sensor ID]],Table_Baseline[Sensor ID],Table_Baseline[Northing '[m']],"-")),"-")</f>
        <v>3.0000000260770321E-3</v>
      </c>
      <c r="Q493" s="93">
        <f>IFERROR(IF(Readings[[#This Row],[Obs. Z]]="","-",Readings[[#This Row],[Obs. Z]]-_xlfn.XLOOKUP(Readings[[#This Row],[Sensor ID]],Table_Baseline[Sensor ID],Table_Baseline[Level '[m']],"-")),"-")</f>
        <v>-1.0000000000012221E-3</v>
      </c>
      <c r="R493" s="93">
        <f>IFERROR(IF(Readings[[#This Row],[Reference Angle]]="-","-",(Readings[[#This Row],[Diff E]]*COS(RADIANS(Readings[[#This Row],[Reference Angle]]))-Readings[[#This Row],[Diff N]]*SIN(RADIANS(Readings[[#This Row],[Reference Angle]])))),"-")</f>
        <v>-9.9999999656574801E-4</v>
      </c>
      <c r="S493" s="93">
        <f>IFERROR(IF(Readings[[#This Row],[Reference Angle]]="-","-",(Readings[[#This Row],[Diff E]]*SIN(RADIANS(Readings[[#This Row],[Reference Angle]]))+Readings[[#This Row],[Diff N]]*COS(RADIANS(Readings[[#This Row],[Reference Angle]])))),"-")</f>
        <v>3.0000000260770321E-3</v>
      </c>
      <c r="T493" s="94">
        <f>IFERROR(VLOOKUP(Readings[[#This Row],[Sensor ID]],Table_Baseline[],COLUMNS(Table_Baseline[[#Headers],[Sensor ID]:[Reference Angle '[Deg']]]),FALSE),"-")</f>
        <v>0</v>
      </c>
      <c r="U493" s="95" t="str">
        <f>Readings[[#This Row],[Sensor ID]]&amp;"-"&amp;Readings[[#This Row],[Epoch]]</f>
        <v>250-RL-OP-11018-45793.2708333333</v>
      </c>
      <c r="V493" s="99">
        <f ca="1">IF(Readings[[#This Row],[Epoch]]=OFFSET(Readings[[#This Row],[Epoch]],-1,0),0,1)</f>
        <v>0</v>
      </c>
    </row>
    <row r="494" spans="4:22" x14ac:dyDescent="0.2">
      <c r="D494" s="32">
        <v>45793.270833333336</v>
      </c>
      <c r="E494" s="33" t="s">
        <v>190</v>
      </c>
      <c r="F494" s="34">
        <v>60060.962</v>
      </c>
      <c r="G494" s="34">
        <v>363838.603</v>
      </c>
      <c r="H494" s="34">
        <v>18.794</v>
      </c>
      <c r="I494" s="33" t="s">
        <v>85</v>
      </c>
      <c r="J494" s="33" t="s">
        <v>90</v>
      </c>
      <c r="K494" s="33">
        <v>16.3</v>
      </c>
      <c r="L494" s="33">
        <v>1016.7</v>
      </c>
      <c r="M494" s="33">
        <v>91</v>
      </c>
      <c r="N494" s="33"/>
      <c r="O494" s="93">
        <f>IFERROR(IF(Readings[[#This Row],[Obs. X]]="","-",Readings[[#This Row],[Obs. X]]-_xlfn.XLOOKUP(Readings[[#This Row],[Sensor ID]],Table_Baseline[Sensor ID],Table_Baseline[Easting '[m']],"-")),"-")</f>
        <v>-1.0000000038417056E-3</v>
      </c>
      <c r="P494" s="93">
        <f>IFERROR(IF(Readings[[#This Row],[Obs. Y]]="","-",Readings[[#This Row],[Obs. Y]]-_xlfn.XLOOKUP(Readings[[#This Row],[Sensor ID]],Table_Baseline[Sensor ID],Table_Baseline[Northing '[m']],"-")),"-")</f>
        <v>1.9999999785795808E-3</v>
      </c>
      <c r="Q494" s="93">
        <f>IFERROR(IF(Readings[[#This Row],[Obs. Z]]="","-",Readings[[#This Row],[Obs. Z]]-_xlfn.XLOOKUP(Readings[[#This Row],[Sensor ID]],Table_Baseline[Sensor ID],Table_Baseline[Level '[m']],"-")),"-")</f>
        <v>-5.9999999999860165E-4</v>
      </c>
      <c r="R494" s="93">
        <f>IFERROR(IF(Readings[[#This Row],[Reference Angle]]="-","-",(Readings[[#This Row],[Diff E]]*COS(RADIANS(Readings[[#This Row],[Reference Angle]]))-Readings[[#This Row],[Diff N]]*SIN(RADIANS(Readings[[#This Row],[Reference Angle]])))),"-")</f>
        <v>-1.0000000038417056E-3</v>
      </c>
      <c r="S494" s="93">
        <f>IFERROR(IF(Readings[[#This Row],[Reference Angle]]="-","-",(Readings[[#This Row],[Diff E]]*SIN(RADIANS(Readings[[#This Row],[Reference Angle]]))+Readings[[#This Row],[Diff N]]*COS(RADIANS(Readings[[#This Row],[Reference Angle]])))),"-")</f>
        <v>1.9999999785795808E-3</v>
      </c>
      <c r="T494" s="94">
        <f>IFERROR(VLOOKUP(Readings[[#This Row],[Sensor ID]],Table_Baseline[],COLUMNS(Table_Baseline[[#Headers],[Sensor ID]:[Reference Angle '[Deg']]]),FALSE),"-")</f>
        <v>0</v>
      </c>
      <c r="U494" s="95" t="str">
        <f>Readings[[#This Row],[Sensor ID]]&amp;"-"&amp;Readings[[#This Row],[Epoch]]</f>
        <v>250-RL-OP-11019-45793.2708333333</v>
      </c>
      <c r="V494" s="99">
        <f ca="1">IF(Readings[[#This Row],[Epoch]]=OFFSET(Readings[[#This Row],[Epoch]],-1,0),0,1)</f>
        <v>0</v>
      </c>
    </row>
    <row r="495" spans="4:22" x14ac:dyDescent="0.2">
      <c r="D495" s="32">
        <v>45793.270833333336</v>
      </c>
      <c r="E495" s="33" t="s">
        <v>189</v>
      </c>
      <c r="F495" s="34">
        <v>60060.639999999999</v>
      </c>
      <c r="G495" s="34">
        <v>363837.32500000001</v>
      </c>
      <c r="H495" s="34">
        <v>18.783000000000001</v>
      </c>
      <c r="I495" s="33" t="s">
        <v>85</v>
      </c>
      <c r="J495" s="33" t="s">
        <v>90</v>
      </c>
      <c r="K495" s="33">
        <v>16.3</v>
      </c>
      <c r="L495" s="33">
        <v>1016.7</v>
      </c>
      <c r="M495" s="33">
        <v>91</v>
      </c>
      <c r="N495" s="33"/>
      <c r="O495" s="93">
        <f>IFERROR(IF(Readings[[#This Row],[Obs. X]]="","-",Readings[[#This Row],[Obs. X]]-_xlfn.XLOOKUP(Readings[[#This Row],[Sensor ID]],Table_Baseline[Sensor ID],Table_Baseline[Easting '[m']],"-")),"-")</f>
        <v>0</v>
      </c>
      <c r="P495" s="93">
        <f>IFERROR(IF(Readings[[#This Row],[Obs. Y]]="","-",Readings[[#This Row],[Obs. Y]]-_xlfn.XLOOKUP(Readings[[#This Row],[Sensor ID]],Table_Baseline[Sensor ID],Table_Baseline[Northing '[m']],"-")),"-")</f>
        <v>3.0000000260770321E-3</v>
      </c>
      <c r="Q495" s="93">
        <f>IFERROR(IF(Readings[[#This Row],[Obs. Z]]="","-",Readings[[#This Row],[Obs. Z]]-_xlfn.XLOOKUP(Readings[[#This Row],[Sensor ID]],Table_Baseline[Sensor ID],Table_Baseline[Level '[m']],"-")),"-")</f>
        <v>-5.9999999999860165E-4</v>
      </c>
      <c r="R495" s="93">
        <f>IFERROR(IF(Readings[[#This Row],[Reference Angle]]="-","-",(Readings[[#This Row],[Diff E]]*COS(RADIANS(Readings[[#This Row],[Reference Angle]]))-Readings[[#This Row],[Diff N]]*SIN(RADIANS(Readings[[#This Row],[Reference Angle]])))),"-")</f>
        <v>0</v>
      </c>
      <c r="S495" s="93">
        <f>IFERROR(IF(Readings[[#This Row],[Reference Angle]]="-","-",(Readings[[#This Row],[Diff E]]*SIN(RADIANS(Readings[[#This Row],[Reference Angle]]))+Readings[[#This Row],[Diff N]]*COS(RADIANS(Readings[[#This Row],[Reference Angle]])))),"-")</f>
        <v>3.0000000260770321E-3</v>
      </c>
      <c r="T495" s="94">
        <f>IFERROR(VLOOKUP(Readings[[#This Row],[Sensor ID]],Table_Baseline[],COLUMNS(Table_Baseline[[#Headers],[Sensor ID]:[Reference Angle '[Deg']]]),FALSE),"-")</f>
        <v>0</v>
      </c>
      <c r="U495" s="95" t="str">
        <f>Readings[[#This Row],[Sensor ID]]&amp;"-"&amp;Readings[[#This Row],[Epoch]]</f>
        <v>250-RL-OP-11020-45793.2708333333</v>
      </c>
      <c r="V495" s="99">
        <f ca="1">IF(Readings[[#This Row],[Epoch]]=OFFSET(Readings[[#This Row],[Epoch]],-1,0),0,1)</f>
        <v>0</v>
      </c>
    </row>
    <row r="496" spans="4:22" x14ac:dyDescent="0.2">
      <c r="D496" s="32">
        <v>45793.270833333336</v>
      </c>
      <c r="E496" s="33" t="s">
        <v>192</v>
      </c>
      <c r="F496" s="34">
        <v>60063.75</v>
      </c>
      <c r="G496" s="34">
        <v>363837.92000000004</v>
      </c>
      <c r="H496" s="34">
        <v>18.808</v>
      </c>
      <c r="I496" s="33" t="s">
        <v>85</v>
      </c>
      <c r="J496" s="33" t="s">
        <v>90</v>
      </c>
      <c r="K496" s="33">
        <v>16.3</v>
      </c>
      <c r="L496" s="33">
        <v>1016.7</v>
      </c>
      <c r="M496" s="33">
        <v>91</v>
      </c>
      <c r="N496" s="33"/>
      <c r="O496" s="93">
        <f>IFERROR(IF(Readings[[#This Row],[Obs. X]]="","-",Readings[[#This Row],[Obs. X]]-_xlfn.XLOOKUP(Readings[[#This Row],[Sensor ID]],Table_Baseline[Sensor ID],Table_Baseline[Easting '[m']],"-")),"-")</f>
        <v>-9.9999999656574801E-4</v>
      </c>
      <c r="P496" s="93">
        <f>IFERROR(IF(Readings[[#This Row],[Obs. Y]]="","-",Readings[[#This Row],[Obs. Y]]-_xlfn.XLOOKUP(Readings[[#This Row],[Sensor ID]],Table_Baseline[Sensor ID],Table_Baseline[Northing '[m']],"-")),"-")</f>
        <v>2.0000000367872417E-3</v>
      </c>
      <c r="Q496" s="93">
        <f>IFERROR(IF(Readings[[#This Row],[Obs. Z]]="","-",Readings[[#This Row],[Obs. Z]]-_xlfn.XLOOKUP(Readings[[#This Row],[Sensor ID]],Table_Baseline[Sensor ID],Table_Baseline[Level '[m']],"-")),"-")</f>
        <v>-1.0000000000012221E-3</v>
      </c>
      <c r="R496" s="93">
        <f>IFERROR(IF(Readings[[#This Row],[Reference Angle]]="-","-",(Readings[[#This Row],[Diff E]]*COS(RADIANS(Readings[[#This Row],[Reference Angle]]))-Readings[[#This Row],[Diff N]]*SIN(RADIANS(Readings[[#This Row],[Reference Angle]])))),"-")</f>
        <v>-9.9999999656574801E-4</v>
      </c>
      <c r="S496" s="93">
        <f>IFERROR(IF(Readings[[#This Row],[Reference Angle]]="-","-",(Readings[[#This Row],[Diff E]]*SIN(RADIANS(Readings[[#This Row],[Reference Angle]]))+Readings[[#This Row],[Diff N]]*COS(RADIANS(Readings[[#This Row],[Reference Angle]])))),"-")</f>
        <v>2.0000000367872417E-3</v>
      </c>
      <c r="T496" s="94">
        <f>IFERROR(VLOOKUP(Readings[[#This Row],[Sensor ID]],Table_Baseline[],COLUMNS(Table_Baseline[[#Headers],[Sensor ID]:[Reference Angle '[Deg']]]),FALSE),"-")</f>
        <v>0</v>
      </c>
      <c r="U496" s="95" t="str">
        <f>Readings[[#This Row],[Sensor ID]]&amp;"-"&amp;Readings[[#This Row],[Epoch]]</f>
        <v>250-RL-OP-11021-45793.2708333333</v>
      </c>
      <c r="V496" s="99">
        <f ca="1">IF(Readings[[#This Row],[Epoch]]=OFFSET(Readings[[#This Row],[Epoch]],-1,0),0,1)</f>
        <v>0</v>
      </c>
    </row>
    <row r="497" spans="4:22" x14ac:dyDescent="0.2">
      <c r="D497" s="32">
        <v>45793.270833333336</v>
      </c>
      <c r="E497" s="33" t="s">
        <v>191</v>
      </c>
      <c r="F497" s="34">
        <v>60063.421000000002</v>
      </c>
      <c r="G497" s="34">
        <v>363836.63899999997</v>
      </c>
      <c r="H497" s="34">
        <v>18.794</v>
      </c>
      <c r="I497" s="33" t="s">
        <v>85</v>
      </c>
      <c r="J497" s="33" t="s">
        <v>90</v>
      </c>
      <c r="K497" s="33">
        <v>16.3</v>
      </c>
      <c r="L497" s="33">
        <v>1016.7</v>
      </c>
      <c r="M497" s="33">
        <v>91</v>
      </c>
      <c r="N497" s="33"/>
      <c r="O497" s="93">
        <f>IFERROR(IF(Readings[[#This Row],[Obs. X]]="","-",Readings[[#This Row],[Obs. X]]-_xlfn.XLOOKUP(Readings[[#This Row],[Sensor ID]],Table_Baseline[Sensor ID],Table_Baseline[Easting '[m']],"-")),"-")</f>
        <v>-9.9999999656574801E-4</v>
      </c>
      <c r="P497" s="93">
        <f>IFERROR(IF(Readings[[#This Row],[Obs. Y]]="","-",Readings[[#This Row],[Obs. Y]]-_xlfn.XLOOKUP(Readings[[#This Row],[Sensor ID]],Table_Baseline[Sensor ID],Table_Baseline[Northing '[m']],"-")),"-")</f>
        <v>2.9999999678693712E-3</v>
      </c>
      <c r="Q497" s="93">
        <f>IFERROR(IF(Readings[[#This Row],[Obs. Z]]="","-",Readings[[#This Row],[Obs. Z]]-_xlfn.XLOOKUP(Readings[[#This Row],[Sensor ID]],Table_Baseline[Sensor ID],Table_Baseline[Level '[m']],"-")),"-")</f>
        <v>-8.9999999999790248E-4</v>
      </c>
      <c r="R497" s="93">
        <f>IFERROR(IF(Readings[[#This Row],[Reference Angle]]="-","-",(Readings[[#This Row],[Diff E]]*COS(RADIANS(Readings[[#This Row],[Reference Angle]]))-Readings[[#This Row],[Diff N]]*SIN(RADIANS(Readings[[#This Row],[Reference Angle]])))),"-")</f>
        <v>-9.9999999656574801E-4</v>
      </c>
      <c r="S497" s="93">
        <f>IFERROR(IF(Readings[[#This Row],[Reference Angle]]="-","-",(Readings[[#This Row],[Diff E]]*SIN(RADIANS(Readings[[#This Row],[Reference Angle]]))+Readings[[#This Row],[Diff N]]*COS(RADIANS(Readings[[#This Row],[Reference Angle]])))),"-")</f>
        <v>2.9999999678693712E-3</v>
      </c>
      <c r="T497" s="94">
        <f>IFERROR(VLOOKUP(Readings[[#This Row],[Sensor ID]],Table_Baseline[],COLUMNS(Table_Baseline[[#Headers],[Sensor ID]:[Reference Angle '[Deg']]]),FALSE),"-")</f>
        <v>0</v>
      </c>
      <c r="U497" s="95" t="str">
        <f>Readings[[#This Row],[Sensor ID]]&amp;"-"&amp;Readings[[#This Row],[Epoch]]</f>
        <v>250-RL-OP-11022-45793.2708333333</v>
      </c>
      <c r="V497" s="99">
        <f ca="1">IF(Readings[[#This Row],[Epoch]]=OFFSET(Readings[[#This Row],[Epoch]],-1,0),0,1)</f>
        <v>0</v>
      </c>
    </row>
    <row r="498" spans="4:22" x14ac:dyDescent="0.2">
      <c r="D498" s="32">
        <v>45793.270833333336</v>
      </c>
      <c r="E498" s="33" t="s">
        <v>165</v>
      </c>
      <c r="F498" s="34">
        <v>60034.538999999997</v>
      </c>
      <c r="G498" s="34">
        <v>363843.38199999998</v>
      </c>
      <c r="H498" s="34">
        <v>19.331</v>
      </c>
      <c r="I498" s="33" t="s">
        <v>85</v>
      </c>
      <c r="J498" s="33" t="s">
        <v>90</v>
      </c>
      <c r="K498" s="33">
        <v>16.3</v>
      </c>
      <c r="L498" s="33">
        <v>1016.7</v>
      </c>
      <c r="M498" s="33">
        <v>91</v>
      </c>
      <c r="N498" s="33"/>
      <c r="O498" s="93" t="str">
        <f>IFERROR(IF(Readings[[#This Row],[Obs. X]]="","-",Readings[[#This Row],[Obs. X]]-_xlfn.XLOOKUP(Readings[[#This Row],[Sensor ID]],Table_Baseline[Sensor ID],Table_Baseline[Easting '[m']],"-")),"-")</f>
        <v>-</v>
      </c>
      <c r="P498" s="93" t="str">
        <f>IFERROR(IF(Readings[[#This Row],[Obs. Y]]="","-",Readings[[#This Row],[Obs. Y]]-_xlfn.XLOOKUP(Readings[[#This Row],[Sensor ID]],Table_Baseline[Sensor ID],Table_Baseline[Northing '[m']],"-")),"-")</f>
        <v>-</v>
      </c>
      <c r="Q498" s="93" t="str">
        <f>IFERROR(IF(Readings[[#This Row],[Obs. Z]]="","-",Readings[[#This Row],[Obs. Z]]-_xlfn.XLOOKUP(Readings[[#This Row],[Sensor ID]],Table_Baseline[Sensor ID],Table_Baseline[Level '[m']],"-")),"-")</f>
        <v>-</v>
      </c>
      <c r="R498" s="93" t="str">
        <f>IFERROR(IF(Readings[[#This Row],[Reference Angle]]="-","-",(Readings[[#This Row],[Diff E]]*COS(RADIANS(Readings[[#This Row],[Reference Angle]]))-Readings[[#This Row],[Diff N]]*SIN(RADIANS(Readings[[#This Row],[Reference Angle]])))),"-")</f>
        <v>-</v>
      </c>
      <c r="S498" s="93" t="str">
        <f>IFERROR(IF(Readings[[#This Row],[Reference Angle]]="-","-",(Readings[[#This Row],[Diff E]]*SIN(RADIANS(Readings[[#This Row],[Reference Angle]]))+Readings[[#This Row],[Diff N]]*COS(RADIANS(Readings[[#This Row],[Reference Angle]])))),"-")</f>
        <v>-</v>
      </c>
      <c r="T498" s="94" t="str">
        <f>IFERROR(VLOOKUP(Readings[[#This Row],[Sensor ID]],Table_Baseline[],COLUMNS(Table_Baseline[[#Headers],[Sensor ID]:[Reference Angle '[Deg']]]),FALSE),"-")</f>
        <v>-</v>
      </c>
      <c r="U498" s="95" t="str">
        <f>Readings[[#This Row],[Sensor ID]]&amp;"-"&amp;Readings[[#This Row],[Epoch]]</f>
        <v>250-ST-OP-500-45793.2708333333</v>
      </c>
      <c r="V498" s="99">
        <f ca="1">IF(Readings[[#This Row],[Epoch]]=OFFSET(Readings[[#This Row],[Epoch]],-1,0),0,1)</f>
        <v>0</v>
      </c>
    </row>
    <row r="499" spans="4:22" x14ac:dyDescent="0.2">
      <c r="D499" s="32">
        <v>45793.270833333336</v>
      </c>
      <c r="E499" s="33" t="s">
        <v>166</v>
      </c>
      <c r="F499" s="34">
        <v>60040.286</v>
      </c>
      <c r="G499" s="34">
        <v>363841.73</v>
      </c>
      <c r="H499" s="34">
        <v>19.321999999999999</v>
      </c>
      <c r="I499" s="33" t="s">
        <v>85</v>
      </c>
      <c r="J499" s="33" t="s">
        <v>90</v>
      </c>
      <c r="K499" s="33">
        <v>16.3</v>
      </c>
      <c r="L499" s="33">
        <v>1016.7</v>
      </c>
      <c r="M499" s="33">
        <v>91</v>
      </c>
      <c r="N499" s="33"/>
      <c r="O499" s="93" t="str">
        <f>IFERROR(IF(Readings[[#This Row],[Obs. X]]="","-",Readings[[#This Row],[Obs. X]]-_xlfn.XLOOKUP(Readings[[#This Row],[Sensor ID]],Table_Baseline[Sensor ID],Table_Baseline[Easting '[m']],"-")),"-")</f>
        <v>-</v>
      </c>
      <c r="P499" s="93" t="str">
        <f>IFERROR(IF(Readings[[#This Row],[Obs. Y]]="","-",Readings[[#This Row],[Obs. Y]]-_xlfn.XLOOKUP(Readings[[#This Row],[Sensor ID]],Table_Baseline[Sensor ID],Table_Baseline[Northing '[m']],"-")),"-")</f>
        <v>-</v>
      </c>
      <c r="Q499" s="93" t="str">
        <f>IFERROR(IF(Readings[[#This Row],[Obs. Z]]="","-",Readings[[#This Row],[Obs. Z]]-_xlfn.XLOOKUP(Readings[[#This Row],[Sensor ID]],Table_Baseline[Sensor ID],Table_Baseline[Level '[m']],"-")),"-")</f>
        <v>-</v>
      </c>
      <c r="R499" s="93" t="str">
        <f>IFERROR(IF(Readings[[#This Row],[Reference Angle]]="-","-",(Readings[[#This Row],[Diff E]]*COS(RADIANS(Readings[[#This Row],[Reference Angle]]))-Readings[[#This Row],[Diff N]]*SIN(RADIANS(Readings[[#This Row],[Reference Angle]])))),"-")</f>
        <v>-</v>
      </c>
      <c r="S499" s="93" t="str">
        <f>IFERROR(IF(Readings[[#This Row],[Reference Angle]]="-","-",(Readings[[#This Row],[Diff E]]*SIN(RADIANS(Readings[[#This Row],[Reference Angle]]))+Readings[[#This Row],[Diff N]]*COS(RADIANS(Readings[[#This Row],[Reference Angle]])))),"-")</f>
        <v>-</v>
      </c>
      <c r="T499" s="94" t="str">
        <f>IFERROR(VLOOKUP(Readings[[#This Row],[Sensor ID]],Table_Baseline[],COLUMNS(Table_Baseline[[#Headers],[Sensor ID]:[Reference Angle '[Deg']]]),FALSE),"-")</f>
        <v>-</v>
      </c>
      <c r="U499" s="95" t="str">
        <f>Readings[[#This Row],[Sensor ID]]&amp;"-"&amp;Readings[[#This Row],[Epoch]]</f>
        <v>250-ST-OP-501-45793.2708333333</v>
      </c>
      <c r="V499" s="99">
        <f ca="1">IF(Readings[[#This Row],[Epoch]]=OFFSET(Readings[[#This Row],[Epoch]],-1,0),0,1)</f>
        <v>0</v>
      </c>
    </row>
    <row r="500" spans="4:22" x14ac:dyDescent="0.2">
      <c r="D500" s="32">
        <v>45793.270833333336</v>
      </c>
      <c r="E500" s="33" t="s">
        <v>167</v>
      </c>
      <c r="F500" s="34">
        <v>60045.921000000002</v>
      </c>
      <c r="G500" s="34">
        <v>363840.1</v>
      </c>
      <c r="H500" s="34">
        <v>19.334</v>
      </c>
      <c r="I500" s="33" t="s">
        <v>85</v>
      </c>
      <c r="J500" s="33" t="s">
        <v>90</v>
      </c>
      <c r="K500" s="33">
        <v>16.3</v>
      </c>
      <c r="L500" s="33">
        <v>1016.7</v>
      </c>
      <c r="M500" s="33">
        <v>91</v>
      </c>
      <c r="N500" s="33"/>
      <c r="O500" s="93" t="str">
        <f>IFERROR(IF(Readings[[#This Row],[Obs. X]]="","-",Readings[[#This Row],[Obs. X]]-_xlfn.XLOOKUP(Readings[[#This Row],[Sensor ID]],Table_Baseline[Sensor ID],Table_Baseline[Easting '[m']],"-")),"-")</f>
        <v>-</v>
      </c>
      <c r="P500" s="93" t="str">
        <f>IFERROR(IF(Readings[[#This Row],[Obs. Y]]="","-",Readings[[#This Row],[Obs. Y]]-_xlfn.XLOOKUP(Readings[[#This Row],[Sensor ID]],Table_Baseline[Sensor ID],Table_Baseline[Northing '[m']],"-")),"-")</f>
        <v>-</v>
      </c>
      <c r="Q500" s="93" t="str">
        <f>IFERROR(IF(Readings[[#This Row],[Obs. Z]]="","-",Readings[[#This Row],[Obs. Z]]-_xlfn.XLOOKUP(Readings[[#This Row],[Sensor ID]],Table_Baseline[Sensor ID],Table_Baseline[Level '[m']],"-")),"-")</f>
        <v>-</v>
      </c>
      <c r="R500" s="93" t="str">
        <f>IFERROR(IF(Readings[[#This Row],[Reference Angle]]="-","-",(Readings[[#This Row],[Diff E]]*COS(RADIANS(Readings[[#This Row],[Reference Angle]]))-Readings[[#This Row],[Diff N]]*SIN(RADIANS(Readings[[#This Row],[Reference Angle]])))),"-")</f>
        <v>-</v>
      </c>
      <c r="S500" s="93" t="str">
        <f>IFERROR(IF(Readings[[#This Row],[Reference Angle]]="-","-",(Readings[[#This Row],[Diff E]]*SIN(RADIANS(Readings[[#This Row],[Reference Angle]]))+Readings[[#This Row],[Diff N]]*COS(RADIANS(Readings[[#This Row],[Reference Angle]])))),"-")</f>
        <v>-</v>
      </c>
      <c r="T500" s="94" t="str">
        <f>IFERROR(VLOOKUP(Readings[[#This Row],[Sensor ID]],Table_Baseline[],COLUMNS(Table_Baseline[[#Headers],[Sensor ID]:[Reference Angle '[Deg']]]),FALSE),"-")</f>
        <v>-</v>
      </c>
      <c r="U500" s="95" t="str">
        <f>Readings[[#This Row],[Sensor ID]]&amp;"-"&amp;Readings[[#This Row],[Epoch]]</f>
        <v>250-ST-OP-502-45793.2708333333</v>
      </c>
      <c r="V500" s="99">
        <f ca="1">IF(Readings[[#This Row],[Epoch]]=OFFSET(Readings[[#This Row],[Epoch]],-1,0),0,1)</f>
        <v>0</v>
      </c>
    </row>
    <row r="501" spans="4:22" x14ac:dyDescent="0.2">
      <c r="D501" s="32">
        <v>45793.270833333336</v>
      </c>
      <c r="E501" s="33" t="s">
        <v>168</v>
      </c>
      <c r="F501" s="34">
        <v>60049.767999999996</v>
      </c>
      <c r="G501" s="34">
        <v>363838.99400000001</v>
      </c>
      <c r="H501" s="34">
        <v>19.344999999999999</v>
      </c>
      <c r="I501" s="33" t="s">
        <v>85</v>
      </c>
      <c r="J501" s="33" t="s">
        <v>90</v>
      </c>
      <c r="K501" s="33">
        <v>16.3</v>
      </c>
      <c r="L501" s="33">
        <v>1016.7</v>
      </c>
      <c r="M501" s="33">
        <v>91</v>
      </c>
      <c r="N501" s="33"/>
      <c r="O501" s="93" t="str">
        <f>IFERROR(IF(Readings[[#This Row],[Obs. X]]="","-",Readings[[#This Row],[Obs. X]]-_xlfn.XLOOKUP(Readings[[#This Row],[Sensor ID]],Table_Baseline[Sensor ID],Table_Baseline[Easting '[m']],"-")),"-")</f>
        <v>-</v>
      </c>
      <c r="P501" s="93" t="str">
        <f>IFERROR(IF(Readings[[#This Row],[Obs. Y]]="","-",Readings[[#This Row],[Obs. Y]]-_xlfn.XLOOKUP(Readings[[#This Row],[Sensor ID]],Table_Baseline[Sensor ID],Table_Baseline[Northing '[m']],"-")),"-")</f>
        <v>-</v>
      </c>
      <c r="Q501" s="93" t="str">
        <f>IFERROR(IF(Readings[[#This Row],[Obs. Z]]="","-",Readings[[#This Row],[Obs. Z]]-_xlfn.XLOOKUP(Readings[[#This Row],[Sensor ID]],Table_Baseline[Sensor ID],Table_Baseline[Level '[m']],"-")),"-")</f>
        <v>-</v>
      </c>
      <c r="R501" s="93" t="str">
        <f>IFERROR(IF(Readings[[#This Row],[Reference Angle]]="-","-",(Readings[[#This Row],[Diff E]]*COS(RADIANS(Readings[[#This Row],[Reference Angle]]))-Readings[[#This Row],[Diff N]]*SIN(RADIANS(Readings[[#This Row],[Reference Angle]])))),"-")</f>
        <v>-</v>
      </c>
      <c r="S501" s="93" t="str">
        <f>IFERROR(IF(Readings[[#This Row],[Reference Angle]]="-","-",(Readings[[#This Row],[Diff E]]*SIN(RADIANS(Readings[[#This Row],[Reference Angle]]))+Readings[[#This Row],[Diff N]]*COS(RADIANS(Readings[[#This Row],[Reference Angle]])))),"-")</f>
        <v>-</v>
      </c>
      <c r="T501" s="94" t="str">
        <f>IFERROR(VLOOKUP(Readings[[#This Row],[Sensor ID]],Table_Baseline[],COLUMNS(Table_Baseline[[#Headers],[Sensor ID]:[Reference Angle '[Deg']]]),FALSE),"-")</f>
        <v>-</v>
      </c>
      <c r="U501" s="95" t="str">
        <f>Readings[[#This Row],[Sensor ID]]&amp;"-"&amp;Readings[[#This Row],[Epoch]]</f>
        <v>250-ST-OP-503-45793.2708333333</v>
      </c>
      <c r="V501" s="99">
        <f ca="1">IF(Readings[[#This Row],[Epoch]]=OFFSET(Readings[[#This Row],[Epoch]],-1,0),0,1)</f>
        <v>0</v>
      </c>
    </row>
    <row r="502" spans="4:22" x14ac:dyDescent="0.2">
      <c r="D502" s="32">
        <v>45793.270833333336</v>
      </c>
      <c r="E502" s="33" t="s">
        <v>169</v>
      </c>
      <c r="F502" s="34">
        <v>60053.608999999997</v>
      </c>
      <c r="G502" s="34">
        <v>363837.88300000003</v>
      </c>
      <c r="H502" s="34">
        <v>19.356999999999999</v>
      </c>
      <c r="I502" s="33" t="s">
        <v>85</v>
      </c>
      <c r="J502" s="33" t="s">
        <v>90</v>
      </c>
      <c r="K502" s="33">
        <v>16.3</v>
      </c>
      <c r="L502" s="33">
        <v>1016.7</v>
      </c>
      <c r="M502" s="33">
        <v>91</v>
      </c>
      <c r="N502" s="33"/>
      <c r="O502" s="93" t="str">
        <f>IFERROR(IF(Readings[[#This Row],[Obs. X]]="","-",Readings[[#This Row],[Obs. X]]-_xlfn.XLOOKUP(Readings[[#This Row],[Sensor ID]],Table_Baseline[Sensor ID],Table_Baseline[Easting '[m']],"-")),"-")</f>
        <v>-</v>
      </c>
      <c r="P502" s="93" t="str">
        <f>IFERROR(IF(Readings[[#This Row],[Obs. Y]]="","-",Readings[[#This Row],[Obs. Y]]-_xlfn.XLOOKUP(Readings[[#This Row],[Sensor ID]],Table_Baseline[Sensor ID],Table_Baseline[Northing '[m']],"-")),"-")</f>
        <v>-</v>
      </c>
      <c r="Q502" s="93" t="str">
        <f>IFERROR(IF(Readings[[#This Row],[Obs. Z]]="","-",Readings[[#This Row],[Obs. Z]]-_xlfn.XLOOKUP(Readings[[#This Row],[Sensor ID]],Table_Baseline[Sensor ID],Table_Baseline[Level '[m']],"-")),"-")</f>
        <v>-</v>
      </c>
      <c r="R502" s="93" t="str">
        <f>IFERROR(IF(Readings[[#This Row],[Reference Angle]]="-","-",(Readings[[#This Row],[Diff E]]*COS(RADIANS(Readings[[#This Row],[Reference Angle]]))-Readings[[#This Row],[Diff N]]*SIN(RADIANS(Readings[[#This Row],[Reference Angle]])))),"-")</f>
        <v>-</v>
      </c>
      <c r="S502" s="93" t="str">
        <f>IFERROR(IF(Readings[[#This Row],[Reference Angle]]="-","-",(Readings[[#This Row],[Diff E]]*SIN(RADIANS(Readings[[#This Row],[Reference Angle]]))+Readings[[#This Row],[Diff N]]*COS(RADIANS(Readings[[#This Row],[Reference Angle]])))),"-")</f>
        <v>-</v>
      </c>
      <c r="T502" s="94" t="str">
        <f>IFERROR(VLOOKUP(Readings[[#This Row],[Sensor ID]],Table_Baseline[],COLUMNS(Table_Baseline[[#Headers],[Sensor ID]:[Reference Angle '[Deg']]]),FALSE),"-")</f>
        <v>-</v>
      </c>
      <c r="U502" s="95" t="str">
        <f>Readings[[#This Row],[Sensor ID]]&amp;"-"&amp;Readings[[#This Row],[Epoch]]</f>
        <v>250-ST-OP-504-45793.2708333333</v>
      </c>
      <c r="V502" s="99">
        <f ca="1">IF(Readings[[#This Row],[Epoch]]=OFFSET(Readings[[#This Row],[Epoch]],-1,0),0,1)</f>
        <v>0</v>
      </c>
    </row>
    <row r="503" spans="4:22" x14ac:dyDescent="0.2">
      <c r="D503" s="204">
        <v>45793.270833333336</v>
      </c>
      <c r="E503" s="151" t="s">
        <v>170</v>
      </c>
      <c r="F503" s="152">
        <v>60060.065000000002</v>
      </c>
      <c r="G503" s="152">
        <v>363836.02399999998</v>
      </c>
      <c r="H503" s="152">
        <v>19.356999999999999</v>
      </c>
      <c r="I503" s="151" t="s">
        <v>85</v>
      </c>
      <c r="J503" s="151" t="s">
        <v>90</v>
      </c>
      <c r="K503" s="151">
        <v>16.3</v>
      </c>
      <c r="L503" s="151">
        <v>1016.7</v>
      </c>
      <c r="M503" s="151">
        <v>91</v>
      </c>
      <c r="N503" s="151"/>
      <c r="O503" s="96" t="str">
        <f>IFERROR(IF(Readings[[#This Row],[Obs. X]]="","-",Readings[[#This Row],[Obs. X]]-_xlfn.XLOOKUP(Readings[[#This Row],[Sensor ID]],Table_Baseline[Sensor ID],Table_Baseline[Easting '[m']],"-")),"-")</f>
        <v>-</v>
      </c>
      <c r="P503" s="96" t="str">
        <f>IFERROR(IF(Readings[[#This Row],[Obs. Y]]="","-",Readings[[#This Row],[Obs. Y]]-_xlfn.XLOOKUP(Readings[[#This Row],[Sensor ID]],Table_Baseline[Sensor ID],Table_Baseline[Northing '[m']],"-")),"-")</f>
        <v>-</v>
      </c>
      <c r="Q503" s="96" t="str">
        <f>IFERROR(IF(Readings[[#This Row],[Obs. Z]]="","-",Readings[[#This Row],[Obs. Z]]-_xlfn.XLOOKUP(Readings[[#This Row],[Sensor ID]],Table_Baseline[Sensor ID],Table_Baseline[Level '[m']],"-")),"-")</f>
        <v>-</v>
      </c>
      <c r="R503" s="96" t="str">
        <f>IFERROR(IF(Readings[[#This Row],[Reference Angle]]="-","-",(Readings[[#This Row],[Diff E]]*COS(RADIANS(Readings[[#This Row],[Reference Angle]]))-Readings[[#This Row],[Diff N]]*SIN(RADIANS(Readings[[#This Row],[Reference Angle]])))),"-")</f>
        <v>-</v>
      </c>
      <c r="S503" s="96" t="str">
        <f>IFERROR(IF(Readings[[#This Row],[Reference Angle]]="-","-",(Readings[[#This Row],[Diff E]]*SIN(RADIANS(Readings[[#This Row],[Reference Angle]]))+Readings[[#This Row],[Diff N]]*COS(RADIANS(Readings[[#This Row],[Reference Angle]])))),"-")</f>
        <v>-</v>
      </c>
      <c r="T503" s="97" t="str">
        <f>IFERROR(VLOOKUP(Readings[[#This Row],[Sensor ID]],Table_Baseline[],COLUMNS(Table_Baseline[[#Headers],[Sensor ID]:[Reference Angle '[Deg']]]),FALSE),"-")</f>
        <v>-</v>
      </c>
      <c r="U503" s="98" t="str">
        <f>Readings[[#This Row],[Sensor ID]]&amp;"-"&amp;Readings[[#This Row],[Epoch]]</f>
        <v>250-ST-OP-505-45793.2708333333</v>
      </c>
      <c r="V503" s="100">
        <f ca="1">IF(Readings[[#This Row],[Epoch]]=OFFSET(Readings[[#This Row],[Epoch]],-1,0),0,1)</f>
        <v>0</v>
      </c>
    </row>
    <row r="504" spans="4:22" x14ac:dyDescent="0.2">
      <c r="D504" s="32">
        <v>45796.770833333336</v>
      </c>
      <c r="E504" s="33" t="s">
        <v>172</v>
      </c>
      <c r="F504" s="34">
        <v>60035.339</v>
      </c>
      <c r="G504" s="34">
        <v>363845.739</v>
      </c>
      <c r="H504" s="34">
        <v>18.783000000000001</v>
      </c>
      <c r="I504" s="33" t="s">
        <v>85</v>
      </c>
      <c r="J504" s="33" t="s">
        <v>90</v>
      </c>
      <c r="K504" s="33">
        <v>15.6</v>
      </c>
      <c r="L504" s="33">
        <v>1016.9</v>
      </c>
      <c r="M504" s="33">
        <v>96</v>
      </c>
      <c r="N504" s="33"/>
      <c r="O504" s="93">
        <f>IFERROR(IF(Readings[[#This Row],[Obs. X]]="","-",Readings[[#This Row],[Obs. X]]-_xlfn.XLOOKUP(Readings[[#This Row],[Sensor ID]],Table_Baseline[Sensor ID],Table_Baseline[Easting '[m']],"-")),"-")</f>
        <v>-9.9999999656574801E-4</v>
      </c>
      <c r="P504" s="93">
        <f>IFERROR(IF(Readings[[#This Row],[Obs. Y]]="","-",Readings[[#This Row],[Obs. Y]]-_xlfn.XLOOKUP(Readings[[#This Row],[Sensor ID]],Table_Baseline[Sensor ID],Table_Baseline[Northing '[m']],"-")),"-")</f>
        <v>0</v>
      </c>
      <c r="Q504" s="93">
        <f>IFERROR(IF(Readings[[#This Row],[Obs. Z]]="","-",Readings[[#This Row],[Obs. Z]]-_xlfn.XLOOKUP(Readings[[#This Row],[Sensor ID]],Table_Baseline[Sensor ID],Table_Baseline[Level '[m']],"-")),"-")</f>
        <v>1.0000000000012221E-3</v>
      </c>
      <c r="R504" s="93">
        <f>IFERROR(IF(Readings[[#This Row],[Reference Angle]]="-","-",(Readings[[#This Row],[Diff E]]*COS(RADIANS(Readings[[#This Row],[Reference Angle]]))-Readings[[#This Row],[Diff N]]*SIN(RADIANS(Readings[[#This Row],[Reference Angle]])))),"-")</f>
        <v>-9.9999999656574801E-4</v>
      </c>
      <c r="S504" s="93">
        <f>IFERROR(IF(Readings[[#This Row],[Reference Angle]]="-","-",(Readings[[#This Row],[Diff E]]*SIN(RADIANS(Readings[[#This Row],[Reference Angle]]))+Readings[[#This Row],[Diff N]]*COS(RADIANS(Readings[[#This Row],[Reference Angle]])))),"-")</f>
        <v>0</v>
      </c>
      <c r="T504" s="94">
        <f>IFERROR(VLOOKUP(Readings[[#This Row],[Sensor ID]],Table_Baseline[],COLUMNS(Table_Baseline[[#Headers],[Sensor ID]:[Reference Angle '[Deg']]]),FALSE),"-")</f>
        <v>0</v>
      </c>
      <c r="U504" s="95" t="str">
        <f>Readings[[#This Row],[Sensor ID]]&amp;"-"&amp;Readings[[#This Row],[Epoch]]</f>
        <v>250-RL-OP-11001-45796.7708333333</v>
      </c>
      <c r="V504" s="99">
        <f ca="1">IF(Readings[[#This Row],[Epoch]]=OFFSET(Readings[[#This Row],[Epoch]],-1,0),0,1)</f>
        <v>1</v>
      </c>
    </row>
    <row r="505" spans="4:22" x14ac:dyDescent="0.2">
      <c r="D505" s="32">
        <v>45796.770833333336</v>
      </c>
      <c r="E505" s="33" t="s">
        <v>171</v>
      </c>
      <c r="F505" s="34">
        <v>60034.957999999999</v>
      </c>
      <c r="G505" s="34">
        <v>363844.47100000002</v>
      </c>
      <c r="H505" s="34">
        <v>18.777999999999999</v>
      </c>
      <c r="I505" s="33" t="s">
        <v>85</v>
      </c>
      <c r="J505" s="33" t="s">
        <v>90</v>
      </c>
      <c r="K505" s="33">
        <v>15.6</v>
      </c>
      <c r="L505" s="33">
        <v>1016.9</v>
      </c>
      <c r="M505" s="33">
        <v>96</v>
      </c>
      <c r="N505" s="33"/>
      <c r="O505" s="93">
        <f>IFERROR(IF(Readings[[#This Row],[Obs. X]]="","-",Readings[[#This Row],[Obs. X]]-_xlfn.XLOOKUP(Readings[[#This Row],[Sensor ID]],Table_Baseline[Sensor ID],Table_Baseline[Easting '[m']],"-")),"-")</f>
        <v>-1.0000000038417056E-3</v>
      </c>
      <c r="P505" s="93">
        <f>IFERROR(IF(Readings[[#This Row],[Obs. Y]]="","-",Readings[[#This Row],[Obs. Y]]-_xlfn.XLOOKUP(Readings[[#This Row],[Sensor ID]],Table_Baseline[Sensor ID],Table_Baseline[Northing '[m']],"-")),"-")</f>
        <v>0</v>
      </c>
      <c r="Q505" s="93">
        <f>IFERROR(IF(Readings[[#This Row],[Obs. Z]]="","-",Readings[[#This Row],[Obs. Z]]-_xlfn.XLOOKUP(Readings[[#This Row],[Sensor ID]],Table_Baseline[Sensor ID],Table_Baseline[Level '[m']],"-")),"-")</f>
        <v>-9.9999999999766942E-5</v>
      </c>
      <c r="R505" s="93">
        <f>IFERROR(IF(Readings[[#This Row],[Reference Angle]]="-","-",(Readings[[#This Row],[Diff E]]*COS(RADIANS(Readings[[#This Row],[Reference Angle]]))-Readings[[#This Row],[Diff N]]*SIN(RADIANS(Readings[[#This Row],[Reference Angle]])))),"-")</f>
        <v>-1.0000000038417056E-3</v>
      </c>
      <c r="S505" s="93">
        <f>IFERROR(IF(Readings[[#This Row],[Reference Angle]]="-","-",(Readings[[#This Row],[Diff E]]*SIN(RADIANS(Readings[[#This Row],[Reference Angle]]))+Readings[[#This Row],[Diff N]]*COS(RADIANS(Readings[[#This Row],[Reference Angle]])))),"-")</f>
        <v>0</v>
      </c>
      <c r="T505" s="94">
        <f>IFERROR(VLOOKUP(Readings[[#This Row],[Sensor ID]],Table_Baseline[],COLUMNS(Table_Baseline[[#Headers],[Sensor ID]:[Reference Angle '[Deg']]]),FALSE),"-")</f>
        <v>0</v>
      </c>
      <c r="U505" s="95" t="str">
        <f>Readings[[#This Row],[Sensor ID]]&amp;"-"&amp;Readings[[#This Row],[Epoch]]</f>
        <v>250-RL-OP-11002-45796.7708333333</v>
      </c>
      <c r="V505" s="99">
        <f ca="1">IF(Readings[[#This Row],[Epoch]]=OFFSET(Readings[[#This Row],[Epoch]],-1,0),0,1)</f>
        <v>0</v>
      </c>
    </row>
    <row r="506" spans="4:22" x14ac:dyDescent="0.2">
      <c r="D506" s="32">
        <v>45796.770833333336</v>
      </c>
      <c r="E506" s="33" t="s">
        <v>174</v>
      </c>
      <c r="F506" s="34">
        <v>60038.116999999998</v>
      </c>
      <c r="G506" s="34">
        <v>363844.946</v>
      </c>
      <c r="H506" s="34">
        <v>18.779</v>
      </c>
      <c r="I506" s="33" t="s">
        <v>85</v>
      </c>
      <c r="J506" s="33" t="s">
        <v>90</v>
      </c>
      <c r="K506" s="33">
        <v>15.6</v>
      </c>
      <c r="L506" s="33">
        <v>1016.9</v>
      </c>
      <c r="M506" s="33">
        <v>96</v>
      </c>
      <c r="N506" s="33"/>
      <c r="O506" s="93">
        <f>IFERROR(IF(Readings[[#This Row],[Obs. X]]="","-",Readings[[#This Row],[Obs. X]]-_xlfn.XLOOKUP(Readings[[#This Row],[Sensor ID]],Table_Baseline[Sensor ID],Table_Baseline[Easting '[m']],"-")),"-")</f>
        <v>-1.0000000038417056E-3</v>
      </c>
      <c r="P506" s="93">
        <f>IFERROR(IF(Readings[[#This Row],[Obs. Y]]="","-",Readings[[#This Row],[Obs. Y]]-_xlfn.XLOOKUP(Readings[[#This Row],[Sensor ID]],Table_Baseline[Sensor ID],Table_Baseline[Northing '[m']],"-")),"-")</f>
        <v>9.9999998928979039E-4</v>
      </c>
      <c r="Q506" s="93">
        <f>IFERROR(IF(Readings[[#This Row],[Obs. Z]]="","-",Readings[[#This Row],[Obs. Z]]-_xlfn.XLOOKUP(Readings[[#This Row],[Sensor ID]],Table_Baseline[Sensor ID],Table_Baseline[Level '[m']],"-")),"-")</f>
        <v>1.9999999999953388E-4</v>
      </c>
      <c r="R506" s="93">
        <f>IFERROR(IF(Readings[[#This Row],[Reference Angle]]="-","-",(Readings[[#This Row],[Diff E]]*COS(RADIANS(Readings[[#This Row],[Reference Angle]]))-Readings[[#This Row],[Diff N]]*SIN(RADIANS(Readings[[#This Row],[Reference Angle]])))),"-")</f>
        <v>-1.0000000038417056E-3</v>
      </c>
      <c r="S506" s="93">
        <f>IFERROR(IF(Readings[[#This Row],[Reference Angle]]="-","-",(Readings[[#This Row],[Diff E]]*SIN(RADIANS(Readings[[#This Row],[Reference Angle]]))+Readings[[#This Row],[Diff N]]*COS(RADIANS(Readings[[#This Row],[Reference Angle]])))),"-")</f>
        <v>9.9999998928979039E-4</v>
      </c>
      <c r="T506" s="94">
        <f>IFERROR(VLOOKUP(Readings[[#This Row],[Sensor ID]],Table_Baseline[],COLUMNS(Table_Baseline[[#Headers],[Sensor ID]:[Reference Angle '[Deg']]]),FALSE),"-")</f>
        <v>0</v>
      </c>
      <c r="U506" s="95" t="str">
        <f>Readings[[#This Row],[Sensor ID]]&amp;"-"&amp;Readings[[#This Row],[Epoch]]</f>
        <v>250-RL-OP-11003-45796.7708333333</v>
      </c>
      <c r="V506" s="99">
        <f ca="1">IF(Readings[[#This Row],[Epoch]]=OFFSET(Readings[[#This Row],[Epoch]],-1,0),0,1)</f>
        <v>0</v>
      </c>
    </row>
    <row r="507" spans="4:22" x14ac:dyDescent="0.2">
      <c r="D507" s="32">
        <v>45796.770833333336</v>
      </c>
      <c r="E507" s="33" t="s">
        <v>173</v>
      </c>
      <c r="F507" s="34">
        <v>60037.803999999996</v>
      </c>
      <c r="G507" s="34">
        <v>363843.658</v>
      </c>
      <c r="H507" s="34">
        <v>18.779</v>
      </c>
      <c r="I507" s="33" t="s">
        <v>85</v>
      </c>
      <c r="J507" s="33" t="s">
        <v>90</v>
      </c>
      <c r="K507" s="33">
        <v>15.6</v>
      </c>
      <c r="L507" s="33">
        <v>1016.9</v>
      </c>
      <c r="M507" s="33">
        <v>96</v>
      </c>
      <c r="N507" s="33"/>
      <c r="O507" s="93">
        <f>IFERROR(IF(Readings[[#This Row],[Obs. X]]="","-",Readings[[#This Row],[Obs. X]]-_xlfn.XLOOKUP(Readings[[#This Row],[Sensor ID]],Table_Baseline[Sensor ID],Table_Baseline[Easting '[m']],"-")),"-")</f>
        <v>-1.0000000038417056E-3</v>
      </c>
      <c r="P507" s="93">
        <f>IFERROR(IF(Readings[[#This Row],[Obs. Y]]="","-",Readings[[#This Row],[Obs. Y]]-_xlfn.XLOOKUP(Readings[[#This Row],[Sensor ID]],Table_Baseline[Sensor ID],Table_Baseline[Northing '[m']],"-")),"-")</f>
        <v>9.9999998928979039E-4</v>
      </c>
      <c r="Q507" s="93">
        <f>IFERROR(IF(Readings[[#This Row],[Obs. Z]]="","-",Readings[[#This Row],[Obs. Z]]-_xlfn.XLOOKUP(Readings[[#This Row],[Sensor ID]],Table_Baseline[Sensor ID],Table_Baseline[Level '[m']],"-")),"-")</f>
        <v>4.9999999999883471E-4</v>
      </c>
      <c r="R507" s="93">
        <f>IFERROR(IF(Readings[[#This Row],[Reference Angle]]="-","-",(Readings[[#This Row],[Diff E]]*COS(RADIANS(Readings[[#This Row],[Reference Angle]]))-Readings[[#This Row],[Diff N]]*SIN(RADIANS(Readings[[#This Row],[Reference Angle]])))),"-")</f>
        <v>-1.0000000038417056E-3</v>
      </c>
      <c r="S507" s="93">
        <f>IFERROR(IF(Readings[[#This Row],[Reference Angle]]="-","-",(Readings[[#This Row],[Diff E]]*SIN(RADIANS(Readings[[#This Row],[Reference Angle]]))+Readings[[#This Row],[Diff N]]*COS(RADIANS(Readings[[#This Row],[Reference Angle]])))),"-")</f>
        <v>9.9999998928979039E-4</v>
      </c>
      <c r="T507" s="94">
        <f>IFERROR(VLOOKUP(Readings[[#This Row],[Sensor ID]],Table_Baseline[],COLUMNS(Table_Baseline[[#Headers],[Sensor ID]:[Reference Angle '[Deg']]]),FALSE),"-")</f>
        <v>0</v>
      </c>
      <c r="U507" s="95" t="str">
        <f>Readings[[#This Row],[Sensor ID]]&amp;"-"&amp;Readings[[#This Row],[Epoch]]</f>
        <v>250-RL-OP-11004-45796.7708333333</v>
      </c>
      <c r="V507" s="99">
        <f ca="1">IF(Readings[[#This Row],[Epoch]]=OFFSET(Readings[[#This Row],[Epoch]],-1,0),0,1)</f>
        <v>0</v>
      </c>
    </row>
    <row r="508" spans="4:22" x14ac:dyDescent="0.2">
      <c r="D508" s="32">
        <v>45796.770833333336</v>
      </c>
      <c r="E508" s="33" t="s">
        <v>176</v>
      </c>
      <c r="F508" s="34">
        <v>60040.968000000001</v>
      </c>
      <c r="G508" s="34">
        <v>363844.11800000002</v>
      </c>
      <c r="H508" s="34">
        <v>18.779</v>
      </c>
      <c r="I508" s="33" t="s">
        <v>85</v>
      </c>
      <c r="J508" s="33" t="s">
        <v>90</v>
      </c>
      <c r="K508" s="33">
        <v>15.6</v>
      </c>
      <c r="L508" s="33">
        <v>1016.9</v>
      </c>
      <c r="M508" s="33">
        <v>96</v>
      </c>
      <c r="N508" s="33"/>
      <c r="O508" s="93">
        <f>IFERROR(IF(Readings[[#This Row],[Obs. X]]="","-",Readings[[#This Row],[Obs. X]]-_xlfn.XLOOKUP(Readings[[#This Row],[Sensor ID]],Table_Baseline[Sensor ID],Table_Baseline[Easting '[m']],"-")),"-")</f>
        <v>-9.9999999656574801E-4</v>
      </c>
      <c r="P508" s="93">
        <f>IFERROR(IF(Readings[[#This Row],[Obs. Y]]="","-",Readings[[#This Row],[Obs. Y]]-_xlfn.XLOOKUP(Readings[[#This Row],[Sensor ID]],Table_Baseline[Sensor ID],Table_Baseline[Northing '[m']],"-")),"-")</f>
        <v>0</v>
      </c>
      <c r="Q508" s="93">
        <f>IFERROR(IF(Readings[[#This Row],[Obs. Z]]="","-",Readings[[#This Row],[Obs. Z]]-_xlfn.XLOOKUP(Readings[[#This Row],[Sensor ID]],Table_Baseline[Sensor ID],Table_Baseline[Level '[m']],"-")),"-")</f>
        <v>0</v>
      </c>
      <c r="R508" s="93">
        <f>IFERROR(IF(Readings[[#This Row],[Reference Angle]]="-","-",(Readings[[#This Row],[Diff E]]*COS(RADIANS(Readings[[#This Row],[Reference Angle]]))-Readings[[#This Row],[Diff N]]*SIN(RADIANS(Readings[[#This Row],[Reference Angle]])))),"-")</f>
        <v>-9.9999999656574801E-4</v>
      </c>
      <c r="S508" s="93">
        <f>IFERROR(IF(Readings[[#This Row],[Reference Angle]]="-","-",(Readings[[#This Row],[Diff E]]*SIN(RADIANS(Readings[[#This Row],[Reference Angle]]))+Readings[[#This Row],[Diff N]]*COS(RADIANS(Readings[[#This Row],[Reference Angle]])))),"-")</f>
        <v>0</v>
      </c>
      <c r="T508" s="94">
        <f>IFERROR(VLOOKUP(Readings[[#This Row],[Sensor ID]],Table_Baseline[],COLUMNS(Table_Baseline[[#Headers],[Sensor ID]:[Reference Angle '[Deg']]]),FALSE),"-")</f>
        <v>0</v>
      </c>
      <c r="U508" s="95" t="str">
        <f>Readings[[#This Row],[Sensor ID]]&amp;"-"&amp;Readings[[#This Row],[Epoch]]</f>
        <v>250-RL-OP-11005-45796.7708333333</v>
      </c>
      <c r="V508" s="99">
        <f ca="1">IF(Readings[[#This Row],[Epoch]]=OFFSET(Readings[[#This Row],[Epoch]],-1,0),0,1)</f>
        <v>0</v>
      </c>
    </row>
    <row r="509" spans="4:22" x14ac:dyDescent="0.2">
      <c r="D509" s="32">
        <v>45796.770833333336</v>
      </c>
      <c r="E509" s="33" t="s">
        <v>175</v>
      </c>
      <c r="F509" s="34">
        <v>60040.606</v>
      </c>
      <c r="G509" s="34">
        <v>363842.86199999996</v>
      </c>
      <c r="H509" s="34">
        <v>18.771999999999998</v>
      </c>
      <c r="I509" s="33" t="s">
        <v>85</v>
      </c>
      <c r="J509" s="33" t="s">
        <v>90</v>
      </c>
      <c r="K509" s="33">
        <v>15.6</v>
      </c>
      <c r="L509" s="33">
        <v>1016.9</v>
      </c>
      <c r="M509" s="33">
        <v>96</v>
      </c>
      <c r="N509" s="33"/>
      <c r="O509" s="93">
        <f>IFERROR(IF(Readings[[#This Row],[Obs. X]]="","-",Readings[[#This Row],[Obs. X]]-_xlfn.XLOOKUP(Readings[[#This Row],[Sensor ID]],Table_Baseline[Sensor ID],Table_Baseline[Easting '[m']],"-")),"-")</f>
        <v>-1.0000000038417056E-3</v>
      </c>
      <c r="P509" s="93">
        <f>IFERROR(IF(Readings[[#This Row],[Obs. Y]]="","-",Readings[[#This Row],[Obs. Y]]-_xlfn.XLOOKUP(Readings[[#This Row],[Sensor ID]],Table_Baseline[Sensor ID],Table_Baseline[Northing '[m']],"-")),"-")</f>
        <v>9.9999993108212948E-4</v>
      </c>
      <c r="Q509" s="93">
        <f>IFERROR(IF(Readings[[#This Row],[Obs. Z]]="","-",Readings[[#This Row],[Obs. Z]]-_xlfn.XLOOKUP(Readings[[#This Row],[Sensor ID]],Table_Baseline[Sensor ID],Table_Baseline[Level '[m']],"-")),"-")</f>
        <v>0</v>
      </c>
      <c r="R509" s="93">
        <f>IFERROR(IF(Readings[[#This Row],[Reference Angle]]="-","-",(Readings[[#This Row],[Diff E]]*COS(RADIANS(Readings[[#This Row],[Reference Angle]]))-Readings[[#This Row],[Diff N]]*SIN(RADIANS(Readings[[#This Row],[Reference Angle]])))),"-")</f>
        <v>-1.0000000038417056E-3</v>
      </c>
      <c r="S509" s="93">
        <f>IFERROR(IF(Readings[[#This Row],[Reference Angle]]="-","-",(Readings[[#This Row],[Diff E]]*SIN(RADIANS(Readings[[#This Row],[Reference Angle]]))+Readings[[#This Row],[Diff N]]*COS(RADIANS(Readings[[#This Row],[Reference Angle]])))),"-")</f>
        <v>9.9999993108212948E-4</v>
      </c>
      <c r="T509" s="94">
        <f>IFERROR(VLOOKUP(Readings[[#This Row],[Sensor ID]],Table_Baseline[],COLUMNS(Table_Baseline[[#Headers],[Sensor ID]:[Reference Angle '[Deg']]]),FALSE),"-")</f>
        <v>0</v>
      </c>
      <c r="U509" s="95" t="str">
        <f>Readings[[#This Row],[Sensor ID]]&amp;"-"&amp;Readings[[#This Row],[Epoch]]</f>
        <v>250-RL-OP-11006-45796.7708333333</v>
      </c>
      <c r="V509" s="99">
        <f ca="1">IF(Readings[[#This Row],[Epoch]]=OFFSET(Readings[[#This Row],[Epoch]],-1,0),0,1)</f>
        <v>0</v>
      </c>
    </row>
    <row r="510" spans="4:22" x14ac:dyDescent="0.2">
      <c r="D510" s="32">
        <v>45796.770833333336</v>
      </c>
      <c r="E510" s="33" t="s">
        <v>178</v>
      </c>
      <c r="F510" s="34">
        <v>60043.758000000002</v>
      </c>
      <c r="G510" s="34">
        <v>363843.31599999999</v>
      </c>
      <c r="H510" s="34">
        <v>18.774000000000001</v>
      </c>
      <c r="I510" s="33" t="s">
        <v>85</v>
      </c>
      <c r="J510" s="33" t="s">
        <v>90</v>
      </c>
      <c r="K510" s="33">
        <v>15.6</v>
      </c>
      <c r="L510" s="33">
        <v>1016.9</v>
      </c>
      <c r="M510" s="33">
        <v>96</v>
      </c>
      <c r="N510" s="33"/>
      <c r="O510" s="93">
        <f>IFERROR(IF(Readings[[#This Row],[Obs. X]]="","-",Readings[[#This Row],[Obs. X]]-_xlfn.XLOOKUP(Readings[[#This Row],[Sensor ID]],Table_Baseline[Sensor ID],Table_Baseline[Easting '[m']],"-")),"-")</f>
        <v>-9.9999999656574801E-4</v>
      </c>
      <c r="P510" s="93">
        <f>IFERROR(IF(Readings[[#This Row],[Obs. Y]]="","-",Readings[[#This Row],[Obs. Y]]-_xlfn.XLOOKUP(Readings[[#This Row],[Sensor ID]],Table_Baseline[Sensor ID],Table_Baseline[Northing '[m']],"-")),"-")</f>
        <v>1.9999999785795808E-3</v>
      </c>
      <c r="Q510" s="93">
        <f>IFERROR(IF(Readings[[#This Row],[Obs. Z]]="","-",Readings[[#This Row],[Obs. Z]]-_xlfn.XLOOKUP(Readings[[#This Row],[Sensor ID]],Table_Baseline[Sensor ID],Table_Baseline[Level '[m']],"-")),"-")</f>
        <v>-9.9999999999766942E-5</v>
      </c>
      <c r="R510" s="93">
        <f>IFERROR(IF(Readings[[#This Row],[Reference Angle]]="-","-",(Readings[[#This Row],[Diff E]]*COS(RADIANS(Readings[[#This Row],[Reference Angle]]))-Readings[[#This Row],[Diff N]]*SIN(RADIANS(Readings[[#This Row],[Reference Angle]])))),"-")</f>
        <v>-9.9999999656574801E-4</v>
      </c>
      <c r="S510" s="93">
        <f>IFERROR(IF(Readings[[#This Row],[Reference Angle]]="-","-",(Readings[[#This Row],[Diff E]]*SIN(RADIANS(Readings[[#This Row],[Reference Angle]]))+Readings[[#This Row],[Diff N]]*COS(RADIANS(Readings[[#This Row],[Reference Angle]])))),"-")</f>
        <v>1.9999999785795808E-3</v>
      </c>
      <c r="T510" s="94">
        <f>IFERROR(VLOOKUP(Readings[[#This Row],[Sensor ID]],Table_Baseline[],COLUMNS(Table_Baseline[[#Headers],[Sensor ID]:[Reference Angle '[Deg']]]),FALSE),"-")</f>
        <v>0</v>
      </c>
      <c r="U510" s="95" t="str">
        <f>Readings[[#This Row],[Sensor ID]]&amp;"-"&amp;Readings[[#This Row],[Epoch]]</f>
        <v>250-RL-OP-11007-45796.7708333333</v>
      </c>
      <c r="V510" s="99">
        <f ca="1">IF(Readings[[#This Row],[Epoch]]=OFFSET(Readings[[#This Row],[Epoch]],-1,0),0,1)</f>
        <v>0</v>
      </c>
    </row>
    <row r="511" spans="4:22" x14ac:dyDescent="0.2">
      <c r="D511" s="32">
        <v>45796.770833333336</v>
      </c>
      <c r="E511" s="33" t="s">
        <v>177</v>
      </c>
      <c r="F511" s="34">
        <v>60043.440999999999</v>
      </c>
      <c r="G511" s="34">
        <v>363842.04200000002</v>
      </c>
      <c r="H511" s="34">
        <v>18.768999999999998</v>
      </c>
      <c r="I511" s="33" t="s">
        <v>85</v>
      </c>
      <c r="J511" s="33" t="s">
        <v>90</v>
      </c>
      <c r="K511" s="33">
        <v>15.6</v>
      </c>
      <c r="L511" s="33">
        <v>1016.9</v>
      </c>
      <c r="M511" s="33">
        <v>96</v>
      </c>
      <c r="N511" s="33"/>
      <c r="O511" s="93">
        <f>IFERROR(IF(Readings[[#This Row],[Obs. X]]="","-",Readings[[#This Row],[Obs. X]]-_xlfn.XLOOKUP(Readings[[#This Row],[Sensor ID]],Table_Baseline[Sensor ID],Table_Baseline[Easting '[m']],"-")),"-")</f>
        <v>0</v>
      </c>
      <c r="P511" s="93">
        <f>IFERROR(IF(Readings[[#This Row],[Obs. Y]]="","-",Readings[[#This Row],[Obs. Y]]-_xlfn.XLOOKUP(Readings[[#This Row],[Sensor ID]],Table_Baseline[Sensor ID],Table_Baseline[Northing '[m']],"-")),"-")</f>
        <v>1.9999999785795808E-3</v>
      </c>
      <c r="Q511" s="93">
        <f>IFERROR(IF(Readings[[#This Row],[Obs. Z]]="","-",Readings[[#This Row],[Obs. Z]]-_xlfn.XLOOKUP(Readings[[#This Row],[Sensor ID]],Table_Baseline[Sensor ID],Table_Baseline[Level '[m']],"-")),"-")</f>
        <v>6.9999999999836859E-4</v>
      </c>
      <c r="R511" s="93">
        <f>IFERROR(IF(Readings[[#This Row],[Reference Angle]]="-","-",(Readings[[#This Row],[Diff E]]*COS(RADIANS(Readings[[#This Row],[Reference Angle]]))-Readings[[#This Row],[Diff N]]*SIN(RADIANS(Readings[[#This Row],[Reference Angle]])))),"-")</f>
        <v>0</v>
      </c>
      <c r="S511" s="93">
        <f>IFERROR(IF(Readings[[#This Row],[Reference Angle]]="-","-",(Readings[[#This Row],[Diff E]]*SIN(RADIANS(Readings[[#This Row],[Reference Angle]]))+Readings[[#This Row],[Diff N]]*COS(RADIANS(Readings[[#This Row],[Reference Angle]])))),"-")</f>
        <v>1.9999999785795808E-3</v>
      </c>
      <c r="T511" s="94">
        <f>IFERROR(VLOOKUP(Readings[[#This Row],[Sensor ID]],Table_Baseline[],COLUMNS(Table_Baseline[[#Headers],[Sensor ID]:[Reference Angle '[Deg']]]),FALSE),"-")</f>
        <v>0</v>
      </c>
      <c r="U511" s="95" t="str">
        <f>Readings[[#This Row],[Sensor ID]]&amp;"-"&amp;Readings[[#This Row],[Epoch]]</f>
        <v>250-RL-OP-11008-45796.7708333333</v>
      </c>
      <c r="V511" s="99">
        <f ca="1">IF(Readings[[#This Row],[Epoch]]=OFFSET(Readings[[#This Row],[Epoch]],-1,0),0,1)</f>
        <v>0</v>
      </c>
    </row>
    <row r="512" spans="4:22" x14ac:dyDescent="0.2">
      <c r="D512" s="32">
        <v>45796.770833333336</v>
      </c>
      <c r="E512" s="33" t="s">
        <v>180</v>
      </c>
      <c r="F512" s="34">
        <v>60046.631999999998</v>
      </c>
      <c r="G512" s="34">
        <v>363842.48600000003</v>
      </c>
      <c r="H512" s="34">
        <v>18.777999999999999</v>
      </c>
      <c r="I512" s="33" t="s">
        <v>85</v>
      </c>
      <c r="J512" s="33" t="s">
        <v>90</v>
      </c>
      <c r="K512" s="33">
        <v>15.6</v>
      </c>
      <c r="L512" s="33">
        <v>1016.9</v>
      </c>
      <c r="M512" s="33">
        <v>96</v>
      </c>
      <c r="N512" s="33"/>
      <c r="O512" s="93">
        <f>IFERROR(IF(Readings[[#This Row],[Obs. X]]="","-",Readings[[#This Row],[Obs. X]]-_xlfn.XLOOKUP(Readings[[#This Row],[Sensor ID]],Table_Baseline[Sensor ID],Table_Baseline[Easting '[m']],"-")),"-")</f>
        <v>-1.0000000038417056E-3</v>
      </c>
      <c r="P512" s="93">
        <f>IFERROR(IF(Readings[[#This Row],[Obs. Y]]="","-",Readings[[#This Row],[Obs. Y]]-_xlfn.XLOOKUP(Readings[[#This Row],[Sensor ID]],Table_Baseline[Sensor ID],Table_Baseline[Northing '[m']],"-")),"-")</f>
        <v>1.0000000474974513E-3</v>
      </c>
      <c r="Q512" s="93">
        <f>IFERROR(IF(Readings[[#This Row],[Obs. Z]]="","-",Readings[[#This Row],[Obs. Z]]-_xlfn.XLOOKUP(Readings[[#This Row],[Sensor ID]],Table_Baseline[Sensor ID],Table_Baseline[Level '[m']],"-")),"-")</f>
        <v>3.9999999999906777E-4</v>
      </c>
      <c r="R512" s="93">
        <f>IFERROR(IF(Readings[[#This Row],[Reference Angle]]="-","-",(Readings[[#This Row],[Diff E]]*COS(RADIANS(Readings[[#This Row],[Reference Angle]]))-Readings[[#This Row],[Diff N]]*SIN(RADIANS(Readings[[#This Row],[Reference Angle]])))),"-")</f>
        <v>-1.0000000038417056E-3</v>
      </c>
      <c r="S512" s="93">
        <f>IFERROR(IF(Readings[[#This Row],[Reference Angle]]="-","-",(Readings[[#This Row],[Diff E]]*SIN(RADIANS(Readings[[#This Row],[Reference Angle]]))+Readings[[#This Row],[Diff N]]*COS(RADIANS(Readings[[#This Row],[Reference Angle]])))),"-")</f>
        <v>1.0000000474974513E-3</v>
      </c>
      <c r="T512" s="94">
        <f>IFERROR(VLOOKUP(Readings[[#This Row],[Sensor ID]],Table_Baseline[],COLUMNS(Table_Baseline[[#Headers],[Sensor ID]:[Reference Angle '[Deg']]]),FALSE),"-")</f>
        <v>0</v>
      </c>
      <c r="U512" s="95" t="str">
        <f>Readings[[#This Row],[Sensor ID]]&amp;"-"&amp;Readings[[#This Row],[Epoch]]</f>
        <v>250-RL-OP-11009-45796.7708333333</v>
      </c>
      <c r="V512" s="99">
        <f ca="1">IF(Readings[[#This Row],[Epoch]]=OFFSET(Readings[[#This Row],[Epoch]],-1,0),0,1)</f>
        <v>0</v>
      </c>
    </row>
    <row r="513" spans="4:22" x14ac:dyDescent="0.2">
      <c r="D513" s="32">
        <v>45796.770833333336</v>
      </c>
      <c r="E513" s="33" t="s">
        <v>179</v>
      </c>
      <c r="F513" s="34">
        <v>60046.249000000003</v>
      </c>
      <c r="G513" s="34">
        <v>363841.22700000001</v>
      </c>
      <c r="H513" s="34">
        <v>18.77</v>
      </c>
      <c r="I513" s="33" t="s">
        <v>85</v>
      </c>
      <c r="J513" s="33" t="s">
        <v>90</v>
      </c>
      <c r="K513" s="33">
        <v>15.6</v>
      </c>
      <c r="L513" s="33">
        <v>1016.9</v>
      </c>
      <c r="M513" s="33">
        <v>96</v>
      </c>
      <c r="N513" s="33"/>
      <c r="O513" s="93">
        <f>IFERROR(IF(Readings[[#This Row],[Obs. X]]="","-",Readings[[#This Row],[Obs. X]]-_xlfn.XLOOKUP(Readings[[#This Row],[Sensor ID]],Table_Baseline[Sensor ID],Table_Baseline[Easting '[m']],"-")),"-")</f>
        <v>-9.9999999656574801E-4</v>
      </c>
      <c r="P513" s="93">
        <f>IFERROR(IF(Readings[[#This Row],[Obs. Y]]="","-",Readings[[#This Row],[Obs. Y]]-_xlfn.XLOOKUP(Readings[[#This Row],[Sensor ID]],Table_Baseline[Sensor ID],Table_Baseline[Northing '[m']],"-")),"-")</f>
        <v>9.9999998928979039E-4</v>
      </c>
      <c r="Q513" s="93">
        <f>IFERROR(IF(Readings[[#This Row],[Obs. Z]]="","-",Readings[[#This Row],[Obs. Z]]-_xlfn.XLOOKUP(Readings[[#This Row],[Sensor ID]],Table_Baseline[Sensor ID],Table_Baseline[Level '[m']],"-")),"-")</f>
        <v>1.9999999999953388E-4</v>
      </c>
      <c r="R513" s="93">
        <f>IFERROR(IF(Readings[[#This Row],[Reference Angle]]="-","-",(Readings[[#This Row],[Diff E]]*COS(RADIANS(Readings[[#This Row],[Reference Angle]]))-Readings[[#This Row],[Diff N]]*SIN(RADIANS(Readings[[#This Row],[Reference Angle]])))),"-")</f>
        <v>-9.9999999656574801E-4</v>
      </c>
      <c r="S513" s="93">
        <f>IFERROR(IF(Readings[[#This Row],[Reference Angle]]="-","-",(Readings[[#This Row],[Diff E]]*SIN(RADIANS(Readings[[#This Row],[Reference Angle]]))+Readings[[#This Row],[Diff N]]*COS(RADIANS(Readings[[#This Row],[Reference Angle]])))),"-")</f>
        <v>9.9999998928979039E-4</v>
      </c>
      <c r="T513" s="94">
        <f>IFERROR(VLOOKUP(Readings[[#This Row],[Sensor ID]],Table_Baseline[],COLUMNS(Table_Baseline[[#Headers],[Sensor ID]:[Reference Angle '[Deg']]]),FALSE),"-")</f>
        <v>0</v>
      </c>
      <c r="U513" s="95" t="str">
        <f>Readings[[#This Row],[Sensor ID]]&amp;"-"&amp;Readings[[#This Row],[Epoch]]</f>
        <v>250-RL-OP-11010-45796.7708333333</v>
      </c>
      <c r="V513" s="99">
        <f ca="1">IF(Readings[[#This Row],[Epoch]]=OFFSET(Readings[[#This Row],[Epoch]],-1,0),0,1)</f>
        <v>0</v>
      </c>
    </row>
    <row r="514" spans="4:22" x14ac:dyDescent="0.2">
      <c r="D514" s="32">
        <v>45796.770833333336</v>
      </c>
      <c r="E514" s="33" t="s">
        <v>182</v>
      </c>
      <c r="F514" s="34">
        <v>60049.398000000001</v>
      </c>
      <c r="G514" s="34">
        <v>363841.69900000002</v>
      </c>
      <c r="H514" s="34">
        <v>18.777999999999999</v>
      </c>
      <c r="I514" s="33" t="s">
        <v>85</v>
      </c>
      <c r="J514" s="33" t="s">
        <v>90</v>
      </c>
      <c r="K514" s="33">
        <v>15.6</v>
      </c>
      <c r="L514" s="33">
        <v>1016.9</v>
      </c>
      <c r="M514" s="33">
        <v>96</v>
      </c>
      <c r="N514" s="33"/>
      <c r="O514" s="93">
        <f>IFERROR(IF(Readings[[#This Row],[Obs. X]]="","-",Readings[[#This Row],[Obs. X]]-_xlfn.XLOOKUP(Readings[[#This Row],[Sensor ID]],Table_Baseline[Sensor ID],Table_Baseline[Easting '[m']],"-")),"-")</f>
        <v>-9.9999999656574801E-4</v>
      </c>
      <c r="P514" s="93">
        <f>IFERROR(IF(Readings[[#This Row],[Obs. Y]]="","-",Readings[[#This Row],[Obs. Y]]-_xlfn.XLOOKUP(Readings[[#This Row],[Sensor ID]],Table_Baseline[Sensor ID],Table_Baseline[Northing '[m']],"-")),"-")</f>
        <v>1.0000000474974513E-3</v>
      </c>
      <c r="Q514" s="93">
        <f>IFERROR(IF(Readings[[#This Row],[Obs. Z]]="","-",Readings[[#This Row],[Obs. Z]]-_xlfn.XLOOKUP(Readings[[#This Row],[Sensor ID]],Table_Baseline[Sensor ID],Table_Baseline[Level '[m']],"-")),"-")</f>
        <v>0</v>
      </c>
      <c r="R514" s="93">
        <f>IFERROR(IF(Readings[[#This Row],[Reference Angle]]="-","-",(Readings[[#This Row],[Diff E]]*COS(RADIANS(Readings[[#This Row],[Reference Angle]]))-Readings[[#This Row],[Diff N]]*SIN(RADIANS(Readings[[#This Row],[Reference Angle]])))),"-")</f>
        <v>-9.9999999656574801E-4</v>
      </c>
      <c r="S514" s="93">
        <f>IFERROR(IF(Readings[[#This Row],[Reference Angle]]="-","-",(Readings[[#This Row],[Diff E]]*SIN(RADIANS(Readings[[#This Row],[Reference Angle]]))+Readings[[#This Row],[Diff N]]*COS(RADIANS(Readings[[#This Row],[Reference Angle]])))),"-")</f>
        <v>1.0000000474974513E-3</v>
      </c>
      <c r="T514" s="94">
        <f>IFERROR(VLOOKUP(Readings[[#This Row],[Sensor ID]],Table_Baseline[],COLUMNS(Table_Baseline[[#Headers],[Sensor ID]:[Reference Angle '[Deg']]]),FALSE),"-")</f>
        <v>0</v>
      </c>
      <c r="U514" s="95" t="str">
        <f>Readings[[#This Row],[Sensor ID]]&amp;"-"&amp;Readings[[#This Row],[Epoch]]</f>
        <v>250-RL-OP-11011-45796.7708333333</v>
      </c>
      <c r="V514" s="99">
        <f ca="1">IF(Readings[[#This Row],[Epoch]]=OFFSET(Readings[[#This Row],[Epoch]],-1,0),0,1)</f>
        <v>0</v>
      </c>
    </row>
    <row r="515" spans="4:22" x14ac:dyDescent="0.2">
      <c r="D515" s="32">
        <v>45796.770833333336</v>
      </c>
      <c r="E515" s="33" t="s">
        <v>181</v>
      </c>
      <c r="F515" s="34">
        <v>60049.04</v>
      </c>
      <c r="G515" s="34">
        <v>363840.43599999999</v>
      </c>
      <c r="H515" s="34">
        <v>18.771000000000001</v>
      </c>
      <c r="I515" s="33" t="s">
        <v>85</v>
      </c>
      <c r="J515" s="33" t="s">
        <v>90</v>
      </c>
      <c r="K515" s="33">
        <v>15.6</v>
      </c>
      <c r="L515" s="33">
        <v>1016.9</v>
      </c>
      <c r="M515" s="33">
        <v>96</v>
      </c>
      <c r="N515" s="33"/>
      <c r="O515" s="93">
        <f>IFERROR(IF(Readings[[#This Row],[Obs. X]]="","-",Readings[[#This Row],[Obs. X]]-_xlfn.XLOOKUP(Readings[[#This Row],[Sensor ID]],Table_Baseline[Sensor ID],Table_Baseline[Easting '[m']],"-")),"-")</f>
        <v>-9.9999999656574801E-4</v>
      </c>
      <c r="P515" s="93">
        <f>IFERROR(IF(Readings[[#This Row],[Obs. Y]]="","-",Readings[[#This Row],[Obs. Y]]-_xlfn.XLOOKUP(Readings[[#This Row],[Sensor ID]],Table_Baseline[Sensor ID],Table_Baseline[Northing '[m']],"-")),"-")</f>
        <v>3.0000000260770321E-3</v>
      </c>
      <c r="Q515" s="93">
        <f>IFERROR(IF(Readings[[#This Row],[Obs. Z]]="","-",Readings[[#This Row],[Obs. Z]]-_xlfn.XLOOKUP(Readings[[#This Row],[Sensor ID]],Table_Baseline[Sensor ID],Table_Baseline[Level '[m']],"-")),"-")</f>
        <v>-9.9999999999766942E-5</v>
      </c>
      <c r="R515" s="93">
        <f>IFERROR(IF(Readings[[#This Row],[Reference Angle]]="-","-",(Readings[[#This Row],[Diff E]]*COS(RADIANS(Readings[[#This Row],[Reference Angle]]))-Readings[[#This Row],[Diff N]]*SIN(RADIANS(Readings[[#This Row],[Reference Angle]])))),"-")</f>
        <v>-9.9999999656574801E-4</v>
      </c>
      <c r="S515" s="93">
        <f>IFERROR(IF(Readings[[#This Row],[Reference Angle]]="-","-",(Readings[[#This Row],[Diff E]]*SIN(RADIANS(Readings[[#This Row],[Reference Angle]]))+Readings[[#This Row],[Diff N]]*COS(RADIANS(Readings[[#This Row],[Reference Angle]])))),"-")</f>
        <v>3.0000000260770321E-3</v>
      </c>
      <c r="T515" s="94">
        <f>IFERROR(VLOOKUP(Readings[[#This Row],[Sensor ID]],Table_Baseline[],COLUMNS(Table_Baseline[[#Headers],[Sensor ID]:[Reference Angle '[Deg']]]),FALSE),"-")</f>
        <v>0</v>
      </c>
      <c r="U515" s="95" t="str">
        <f>Readings[[#This Row],[Sensor ID]]&amp;"-"&amp;Readings[[#This Row],[Epoch]]</f>
        <v>250-RL-OP-11012-45796.7708333333</v>
      </c>
      <c r="V515" s="99">
        <f ca="1">IF(Readings[[#This Row],[Epoch]]=OFFSET(Readings[[#This Row],[Epoch]],-1,0),0,1)</f>
        <v>0</v>
      </c>
    </row>
    <row r="516" spans="4:22" x14ac:dyDescent="0.2">
      <c r="D516" s="32">
        <v>45796.770833333336</v>
      </c>
      <c r="E516" s="33" t="s">
        <v>184</v>
      </c>
      <c r="F516" s="34">
        <v>60052.292000000001</v>
      </c>
      <c r="G516" s="34">
        <v>363840.88699999999</v>
      </c>
      <c r="H516" s="34">
        <v>18.779</v>
      </c>
      <c r="I516" s="33" t="s">
        <v>85</v>
      </c>
      <c r="J516" s="33" t="s">
        <v>90</v>
      </c>
      <c r="K516" s="33">
        <v>15.6</v>
      </c>
      <c r="L516" s="33">
        <v>1016.9</v>
      </c>
      <c r="M516" s="33">
        <v>96</v>
      </c>
      <c r="N516" s="33"/>
      <c r="O516" s="93">
        <f>IFERROR(IF(Readings[[#This Row],[Obs. X]]="","-",Readings[[#This Row],[Obs. X]]-_xlfn.XLOOKUP(Readings[[#This Row],[Sensor ID]],Table_Baseline[Sensor ID],Table_Baseline[Easting '[m']],"-")),"-")</f>
        <v>-9.9999999656574801E-4</v>
      </c>
      <c r="P516" s="93">
        <f>IFERROR(IF(Readings[[#This Row],[Obs. Y]]="","-",Readings[[#This Row],[Obs. Y]]-_xlfn.XLOOKUP(Readings[[#This Row],[Sensor ID]],Table_Baseline[Sensor ID],Table_Baseline[Northing '[m']],"-")),"-")</f>
        <v>1.9999999785795808E-3</v>
      </c>
      <c r="Q516" s="93">
        <f>IFERROR(IF(Readings[[#This Row],[Obs. Z]]="","-",Readings[[#This Row],[Obs. Z]]-_xlfn.XLOOKUP(Readings[[#This Row],[Sensor ID]],Table_Baseline[Sensor ID],Table_Baseline[Level '[m']],"-")),"-")</f>
        <v>0</v>
      </c>
      <c r="R516" s="93">
        <f>IFERROR(IF(Readings[[#This Row],[Reference Angle]]="-","-",(Readings[[#This Row],[Diff E]]*COS(RADIANS(Readings[[#This Row],[Reference Angle]]))-Readings[[#This Row],[Diff N]]*SIN(RADIANS(Readings[[#This Row],[Reference Angle]])))),"-")</f>
        <v>-9.9999999656574801E-4</v>
      </c>
      <c r="S516" s="93">
        <f>IFERROR(IF(Readings[[#This Row],[Reference Angle]]="-","-",(Readings[[#This Row],[Diff E]]*SIN(RADIANS(Readings[[#This Row],[Reference Angle]]))+Readings[[#This Row],[Diff N]]*COS(RADIANS(Readings[[#This Row],[Reference Angle]])))),"-")</f>
        <v>1.9999999785795808E-3</v>
      </c>
      <c r="T516" s="94">
        <f>IFERROR(VLOOKUP(Readings[[#This Row],[Sensor ID]],Table_Baseline[],COLUMNS(Table_Baseline[[#Headers],[Sensor ID]:[Reference Angle '[Deg']]]),FALSE),"-")</f>
        <v>0</v>
      </c>
      <c r="U516" s="95" t="str">
        <f>Readings[[#This Row],[Sensor ID]]&amp;"-"&amp;Readings[[#This Row],[Epoch]]</f>
        <v>250-RL-OP-11013-45796.7708333333</v>
      </c>
      <c r="V516" s="99">
        <f ca="1">IF(Readings[[#This Row],[Epoch]]=OFFSET(Readings[[#This Row],[Epoch]],-1,0),0,1)</f>
        <v>0</v>
      </c>
    </row>
    <row r="517" spans="4:22" x14ac:dyDescent="0.2">
      <c r="D517" s="32">
        <v>45796.770833333336</v>
      </c>
      <c r="E517" s="33" t="s">
        <v>183</v>
      </c>
      <c r="F517" s="34">
        <v>60051.987999999998</v>
      </c>
      <c r="G517" s="34">
        <v>363839.60499999998</v>
      </c>
      <c r="H517" s="34">
        <v>18.77</v>
      </c>
      <c r="I517" s="33" t="s">
        <v>85</v>
      </c>
      <c r="J517" s="33" t="s">
        <v>90</v>
      </c>
      <c r="K517" s="33">
        <v>15.6</v>
      </c>
      <c r="L517" s="33">
        <v>1016.9</v>
      </c>
      <c r="M517" s="33">
        <v>96</v>
      </c>
      <c r="N517" s="33"/>
      <c r="O517" s="93">
        <f>IFERROR(IF(Readings[[#This Row],[Obs. X]]="","-",Readings[[#This Row],[Obs. X]]-_xlfn.XLOOKUP(Readings[[#This Row],[Sensor ID]],Table_Baseline[Sensor ID],Table_Baseline[Easting '[m']],"-")),"-")</f>
        <v>-1.0000000038417056E-3</v>
      </c>
      <c r="P517" s="93">
        <f>IFERROR(IF(Readings[[#This Row],[Obs. Y]]="","-",Readings[[#This Row],[Obs. Y]]-_xlfn.XLOOKUP(Readings[[#This Row],[Sensor ID]],Table_Baseline[Sensor ID],Table_Baseline[Northing '[m']],"-")),"-")</f>
        <v>1.9999999785795808E-3</v>
      </c>
      <c r="Q517" s="93">
        <f>IFERROR(IF(Readings[[#This Row],[Obs. Z]]="","-",Readings[[#This Row],[Obs. Z]]-_xlfn.XLOOKUP(Readings[[#This Row],[Sensor ID]],Table_Baseline[Sensor ID],Table_Baseline[Level '[m']],"-")),"-")</f>
        <v>-9.9999999999766942E-5</v>
      </c>
      <c r="R517" s="93">
        <f>IFERROR(IF(Readings[[#This Row],[Reference Angle]]="-","-",(Readings[[#This Row],[Diff E]]*COS(RADIANS(Readings[[#This Row],[Reference Angle]]))-Readings[[#This Row],[Diff N]]*SIN(RADIANS(Readings[[#This Row],[Reference Angle]])))),"-")</f>
        <v>-1.0000000038417056E-3</v>
      </c>
      <c r="S517" s="93">
        <f>IFERROR(IF(Readings[[#This Row],[Reference Angle]]="-","-",(Readings[[#This Row],[Diff E]]*SIN(RADIANS(Readings[[#This Row],[Reference Angle]]))+Readings[[#This Row],[Diff N]]*COS(RADIANS(Readings[[#This Row],[Reference Angle]])))),"-")</f>
        <v>1.9999999785795808E-3</v>
      </c>
      <c r="T517" s="94">
        <f>IFERROR(VLOOKUP(Readings[[#This Row],[Sensor ID]],Table_Baseline[],COLUMNS(Table_Baseline[[#Headers],[Sensor ID]:[Reference Angle '[Deg']]]),FALSE),"-")</f>
        <v>0</v>
      </c>
      <c r="U517" s="95" t="str">
        <f>Readings[[#This Row],[Sensor ID]]&amp;"-"&amp;Readings[[#This Row],[Epoch]]</f>
        <v>250-RL-OP-11014-45796.7708333333</v>
      </c>
      <c r="V517" s="99">
        <f ca="1">IF(Readings[[#This Row],[Epoch]]=OFFSET(Readings[[#This Row],[Epoch]],-1,0),0,1)</f>
        <v>0</v>
      </c>
    </row>
    <row r="518" spans="4:22" x14ac:dyDescent="0.2">
      <c r="D518" s="32">
        <v>45796.770833333336</v>
      </c>
      <c r="E518" s="33" t="s">
        <v>186</v>
      </c>
      <c r="F518" s="34">
        <v>60055.196000000004</v>
      </c>
      <c r="G518" s="34">
        <v>363840.09700000001</v>
      </c>
      <c r="H518" s="34">
        <v>18.780999999999999</v>
      </c>
      <c r="I518" s="33" t="s">
        <v>85</v>
      </c>
      <c r="J518" s="33" t="s">
        <v>90</v>
      </c>
      <c r="K518" s="33">
        <v>15.6</v>
      </c>
      <c r="L518" s="33">
        <v>1016.9</v>
      </c>
      <c r="M518" s="33">
        <v>96</v>
      </c>
      <c r="N518" s="33"/>
      <c r="O518" s="93">
        <f>IFERROR(IF(Readings[[#This Row],[Obs. X]]="","-",Readings[[#This Row],[Obs. X]]-_xlfn.XLOOKUP(Readings[[#This Row],[Sensor ID]],Table_Baseline[Sensor ID],Table_Baseline[Easting '[m']],"-")),"-")</f>
        <v>0</v>
      </c>
      <c r="P518" s="93">
        <f>IFERROR(IF(Readings[[#This Row],[Obs. Y]]="","-",Readings[[#This Row],[Obs. Y]]-_xlfn.XLOOKUP(Readings[[#This Row],[Sensor ID]],Table_Baseline[Sensor ID],Table_Baseline[Northing '[m']],"-")),"-")</f>
        <v>2.0000000367872417E-3</v>
      </c>
      <c r="Q518" s="93">
        <f>IFERROR(IF(Readings[[#This Row],[Obs. Z]]="","-",Readings[[#This Row],[Obs. Z]]-_xlfn.XLOOKUP(Readings[[#This Row],[Sensor ID]],Table_Baseline[Sensor ID],Table_Baseline[Level '[m']],"-")),"-")</f>
        <v>9.9999999999766942E-5</v>
      </c>
      <c r="R518" s="93">
        <f>IFERROR(IF(Readings[[#This Row],[Reference Angle]]="-","-",(Readings[[#This Row],[Diff E]]*COS(RADIANS(Readings[[#This Row],[Reference Angle]]))-Readings[[#This Row],[Diff N]]*SIN(RADIANS(Readings[[#This Row],[Reference Angle]])))),"-")</f>
        <v>0</v>
      </c>
      <c r="S518" s="93">
        <f>IFERROR(IF(Readings[[#This Row],[Reference Angle]]="-","-",(Readings[[#This Row],[Diff E]]*SIN(RADIANS(Readings[[#This Row],[Reference Angle]]))+Readings[[#This Row],[Diff N]]*COS(RADIANS(Readings[[#This Row],[Reference Angle]])))),"-")</f>
        <v>2.0000000367872417E-3</v>
      </c>
      <c r="T518" s="94">
        <f>IFERROR(VLOOKUP(Readings[[#This Row],[Sensor ID]],Table_Baseline[],COLUMNS(Table_Baseline[[#Headers],[Sensor ID]:[Reference Angle '[Deg']]]),FALSE),"-")</f>
        <v>0</v>
      </c>
      <c r="U518" s="95" t="str">
        <f>Readings[[#This Row],[Sensor ID]]&amp;"-"&amp;Readings[[#This Row],[Epoch]]</f>
        <v>250-RL-OP-11015-45796.7708333333</v>
      </c>
      <c r="V518" s="99">
        <f ca="1">IF(Readings[[#This Row],[Epoch]]=OFFSET(Readings[[#This Row],[Epoch]],-1,0),0,1)</f>
        <v>0</v>
      </c>
    </row>
    <row r="519" spans="4:22" x14ac:dyDescent="0.2">
      <c r="D519" s="32">
        <v>45796.770833333336</v>
      </c>
      <c r="E519" s="33" t="s">
        <v>185</v>
      </c>
      <c r="F519" s="34">
        <v>60054.885000000002</v>
      </c>
      <c r="G519" s="34">
        <v>363838.80700000003</v>
      </c>
      <c r="H519" s="34">
        <v>18.773</v>
      </c>
      <c r="I519" s="33" t="s">
        <v>85</v>
      </c>
      <c r="J519" s="33" t="s">
        <v>90</v>
      </c>
      <c r="K519" s="33">
        <v>15.6</v>
      </c>
      <c r="L519" s="33">
        <v>1016.9</v>
      </c>
      <c r="M519" s="33">
        <v>96</v>
      </c>
      <c r="N519" s="33"/>
      <c r="O519" s="93">
        <f>IFERROR(IF(Readings[[#This Row],[Obs. X]]="","-",Readings[[#This Row],[Obs. X]]-_xlfn.XLOOKUP(Readings[[#This Row],[Sensor ID]],Table_Baseline[Sensor ID],Table_Baseline[Easting '[m']],"-")),"-")</f>
        <v>-9.9999999656574801E-4</v>
      </c>
      <c r="P519" s="93">
        <f>IFERROR(IF(Readings[[#This Row],[Obs. Y]]="","-",Readings[[#This Row],[Obs. Y]]-_xlfn.XLOOKUP(Readings[[#This Row],[Sensor ID]],Table_Baseline[Sensor ID],Table_Baseline[Northing '[m']],"-")),"-")</f>
        <v>2.0000000367872417E-3</v>
      </c>
      <c r="Q519" s="93">
        <f>IFERROR(IF(Readings[[#This Row],[Obs. Z]]="","-",Readings[[#This Row],[Obs. Z]]-_xlfn.XLOOKUP(Readings[[#This Row],[Sensor ID]],Table_Baseline[Sensor ID],Table_Baseline[Level '[m']],"-")),"-")</f>
        <v>-9.9999999999766942E-5</v>
      </c>
      <c r="R519" s="93">
        <f>IFERROR(IF(Readings[[#This Row],[Reference Angle]]="-","-",(Readings[[#This Row],[Diff E]]*COS(RADIANS(Readings[[#This Row],[Reference Angle]]))-Readings[[#This Row],[Diff N]]*SIN(RADIANS(Readings[[#This Row],[Reference Angle]])))),"-")</f>
        <v>-9.9999999656574801E-4</v>
      </c>
      <c r="S519" s="93">
        <f>IFERROR(IF(Readings[[#This Row],[Reference Angle]]="-","-",(Readings[[#This Row],[Diff E]]*SIN(RADIANS(Readings[[#This Row],[Reference Angle]]))+Readings[[#This Row],[Diff N]]*COS(RADIANS(Readings[[#This Row],[Reference Angle]])))),"-")</f>
        <v>2.0000000367872417E-3</v>
      </c>
      <c r="T519" s="94">
        <f>IFERROR(VLOOKUP(Readings[[#This Row],[Sensor ID]],Table_Baseline[],COLUMNS(Table_Baseline[[#Headers],[Sensor ID]:[Reference Angle '[Deg']]]),FALSE),"-")</f>
        <v>0</v>
      </c>
      <c r="U519" s="95" t="str">
        <f>Readings[[#This Row],[Sensor ID]]&amp;"-"&amp;Readings[[#This Row],[Epoch]]</f>
        <v>250-RL-OP-11016-45796.7708333333</v>
      </c>
      <c r="V519" s="99">
        <f ca="1">IF(Readings[[#This Row],[Epoch]]=OFFSET(Readings[[#This Row],[Epoch]],-1,0),0,1)</f>
        <v>0</v>
      </c>
    </row>
    <row r="520" spans="4:22" x14ac:dyDescent="0.2">
      <c r="D520" s="32">
        <v>45796.770833333336</v>
      </c>
      <c r="E520" s="33" t="s">
        <v>188</v>
      </c>
      <c r="F520" s="34">
        <v>60057.951999999997</v>
      </c>
      <c r="G520" s="34">
        <v>363839.36499999999</v>
      </c>
      <c r="H520" s="34">
        <v>18.786000000000001</v>
      </c>
      <c r="I520" s="33" t="s">
        <v>85</v>
      </c>
      <c r="J520" s="33" t="s">
        <v>90</v>
      </c>
      <c r="K520" s="33">
        <v>15.6</v>
      </c>
      <c r="L520" s="33">
        <v>1016.9</v>
      </c>
      <c r="M520" s="33">
        <v>96</v>
      </c>
      <c r="N520" s="33"/>
      <c r="O520" s="93">
        <f>IFERROR(IF(Readings[[#This Row],[Obs. X]]="","-",Readings[[#This Row],[Obs. X]]-_xlfn.XLOOKUP(Readings[[#This Row],[Sensor ID]],Table_Baseline[Sensor ID],Table_Baseline[Easting '[m']],"-")),"-")</f>
        <v>0</v>
      </c>
      <c r="P520" s="93">
        <f>IFERROR(IF(Readings[[#This Row],[Obs. Y]]="","-",Readings[[#This Row],[Obs. Y]]-_xlfn.XLOOKUP(Readings[[#This Row],[Sensor ID]],Table_Baseline[Sensor ID],Table_Baseline[Northing '[m']],"-")),"-")</f>
        <v>3.0000000260770321E-3</v>
      </c>
      <c r="Q520" s="93">
        <f>IFERROR(IF(Readings[[#This Row],[Obs. Z]]="","-",Readings[[#This Row],[Obs. Z]]-_xlfn.XLOOKUP(Readings[[#This Row],[Sensor ID]],Table_Baseline[Sensor ID],Table_Baseline[Level '[m']],"-")),"-")</f>
        <v>0</v>
      </c>
      <c r="R520" s="93">
        <f>IFERROR(IF(Readings[[#This Row],[Reference Angle]]="-","-",(Readings[[#This Row],[Diff E]]*COS(RADIANS(Readings[[#This Row],[Reference Angle]]))-Readings[[#This Row],[Diff N]]*SIN(RADIANS(Readings[[#This Row],[Reference Angle]])))),"-")</f>
        <v>0</v>
      </c>
      <c r="S520" s="93">
        <f>IFERROR(IF(Readings[[#This Row],[Reference Angle]]="-","-",(Readings[[#This Row],[Diff E]]*SIN(RADIANS(Readings[[#This Row],[Reference Angle]]))+Readings[[#This Row],[Diff N]]*COS(RADIANS(Readings[[#This Row],[Reference Angle]])))),"-")</f>
        <v>3.0000000260770321E-3</v>
      </c>
      <c r="T520" s="94">
        <f>IFERROR(VLOOKUP(Readings[[#This Row],[Sensor ID]],Table_Baseline[],COLUMNS(Table_Baseline[[#Headers],[Sensor ID]:[Reference Angle '[Deg']]]),FALSE),"-")</f>
        <v>0</v>
      </c>
      <c r="U520" s="95" t="str">
        <f>Readings[[#This Row],[Sensor ID]]&amp;"-"&amp;Readings[[#This Row],[Epoch]]</f>
        <v>250-RL-OP-11017-45796.7708333333</v>
      </c>
      <c r="V520" s="99">
        <f ca="1">IF(Readings[[#This Row],[Epoch]]=OFFSET(Readings[[#This Row],[Epoch]],-1,0),0,1)</f>
        <v>0</v>
      </c>
    </row>
    <row r="521" spans="4:22" x14ac:dyDescent="0.2">
      <c r="D521" s="32">
        <v>45796.770833333336</v>
      </c>
      <c r="E521" s="33" t="s">
        <v>187</v>
      </c>
      <c r="F521" s="34">
        <v>60057.578000000001</v>
      </c>
      <c r="G521" s="34">
        <v>363838.1</v>
      </c>
      <c r="H521" s="34">
        <v>18.776</v>
      </c>
      <c r="I521" s="33" t="s">
        <v>85</v>
      </c>
      <c r="J521" s="33" t="s">
        <v>90</v>
      </c>
      <c r="K521" s="33">
        <v>15.6</v>
      </c>
      <c r="L521" s="33">
        <v>1016.9</v>
      </c>
      <c r="M521" s="33">
        <v>96</v>
      </c>
      <c r="N521" s="33"/>
      <c r="O521" s="93">
        <f>IFERROR(IF(Readings[[#This Row],[Obs. X]]="","-",Readings[[#This Row],[Obs. X]]-_xlfn.XLOOKUP(Readings[[#This Row],[Sensor ID]],Table_Baseline[Sensor ID],Table_Baseline[Easting '[m']],"-")),"-")</f>
        <v>-9.9999999656574801E-4</v>
      </c>
      <c r="P521" s="93">
        <f>IFERROR(IF(Readings[[#This Row],[Obs. Y]]="","-",Readings[[#This Row],[Obs. Y]]-_xlfn.XLOOKUP(Readings[[#This Row],[Sensor ID]],Table_Baseline[Sensor ID],Table_Baseline[Northing '[m']],"-")),"-")</f>
        <v>1.9999999785795808E-3</v>
      </c>
      <c r="Q521" s="93">
        <f>IFERROR(IF(Readings[[#This Row],[Obs. Z]]="","-",Readings[[#This Row],[Obs. Z]]-_xlfn.XLOOKUP(Readings[[#This Row],[Sensor ID]],Table_Baseline[Sensor ID],Table_Baseline[Level '[m']],"-")),"-")</f>
        <v>0</v>
      </c>
      <c r="R521" s="93">
        <f>IFERROR(IF(Readings[[#This Row],[Reference Angle]]="-","-",(Readings[[#This Row],[Diff E]]*COS(RADIANS(Readings[[#This Row],[Reference Angle]]))-Readings[[#This Row],[Diff N]]*SIN(RADIANS(Readings[[#This Row],[Reference Angle]])))),"-")</f>
        <v>-9.9999999656574801E-4</v>
      </c>
      <c r="S521" s="93">
        <f>IFERROR(IF(Readings[[#This Row],[Reference Angle]]="-","-",(Readings[[#This Row],[Diff E]]*SIN(RADIANS(Readings[[#This Row],[Reference Angle]]))+Readings[[#This Row],[Diff N]]*COS(RADIANS(Readings[[#This Row],[Reference Angle]])))),"-")</f>
        <v>1.9999999785795808E-3</v>
      </c>
      <c r="T521" s="94">
        <f>IFERROR(VLOOKUP(Readings[[#This Row],[Sensor ID]],Table_Baseline[],COLUMNS(Table_Baseline[[#Headers],[Sensor ID]:[Reference Angle '[Deg']]]),FALSE),"-")</f>
        <v>0</v>
      </c>
      <c r="U521" s="95" t="str">
        <f>Readings[[#This Row],[Sensor ID]]&amp;"-"&amp;Readings[[#This Row],[Epoch]]</f>
        <v>250-RL-OP-11018-45796.7708333333</v>
      </c>
      <c r="V521" s="99">
        <f ca="1">IF(Readings[[#This Row],[Epoch]]=OFFSET(Readings[[#This Row],[Epoch]],-1,0),0,1)</f>
        <v>0</v>
      </c>
    </row>
    <row r="522" spans="4:22" x14ac:dyDescent="0.2">
      <c r="D522" s="32">
        <v>45796.770833333336</v>
      </c>
      <c r="E522" s="33" t="s">
        <v>190</v>
      </c>
      <c r="F522" s="34">
        <v>60060.962</v>
      </c>
      <c r="G522" s="34">
        <v>363838.603</v>
      </c>
      <c r="H522" s="34">
        <v>18.794</v>
      </c>
      <c r="I522" s="33" t="s">
        <v>85</v>
      </c>
      <c r="J522" s="33" t="s">
        <v>90</v>
      </c>
      <c r="K522" s="33">
        <v>15.6</v>
      </c>
      <c r="L522" s="33">
        <v>1016.9</v>
      </c>
      <c r="M522" s="33">
        <v>96</v>
      </c>
      <c r="N522" s="33"/>
      <c r="O522" s="93">
        <f>IFERROR(IF(Readings[[#This Row],[Obs. X]]="","-",Readings[[#This Row],[Obs. X]]-_xlfn.XLOOKUP(Readings[[#This Row],[Sensor ID]],Table_Baseline[Sensor ID],Table_Baseline[Easting '[m']],"-")),"-")</f>
        <v>-1.0000000038417056E-3</v>
      </c>
      <c r="P522" s="93">
        <f>IFERROR(IF(Readings[[#This Row],[Obs. Y]]="","-",Readings[[#This Row],[Obs. Y]]-_xlfn.XLOOKUP(Readings[[#This Row],[Sensor ID]],Table_Baseline[Sensor ID],Table_Baseline[Northing '[m']],"-")),"-")</f>
        <v>1.9999999785795808E-3</v>
      </c>
      <c r="Q522" s="93">
        <f>IFERROR(IF(Readings[[#This Row],[Obs. Z]]="","-",Readings[[#This Row],[Obs. Z]]-_xlfn.XLOOKUP(Readings[[#This Row],[Sensor ID]],Table_Baseline[Sensor ID],Table_Baseline[Level '[m']],"-")),"-")</f>
        <v>-5.9999999999860165E-4</v>
      </c>
      <c r="R522" s="93">
        <f>IFERROR(IF(Readings[[#This Row],[Reference Angle]]="-","-",(Readings[[#This Row],[Diff E]]*COS(RADIANS(Readings[[#This Row],[Reference Angle]]))-Readings[[#This Row],[Diff N]]*SIN(RADIANS(Readings[[#This Row],[Reference Angle]])))),"-")</f>
        <v>-1.0000000038417056E-3</v>
      </c>
      <c r="S522" s="93">
        <f>IFERROR(IF(Readings[[#This Row],[Reference Angle]]="-","-",(Readings[[#This Row],[Diff E]]*SIN(RADIANS(Readings[[#This Row],[Reference Angle]]))+Readings[[#This Row],[Diff N]]*COS(RADIANS(Readings[[#This Row],[Reference Angle]])))),"-")</f>
        <v>1.9999999785795808E-3</v>
      </c>
      <c r="T522" s="94">
        <f>IFERROR(VLOOKUP(Readings[[#This Row],[Sensor ID]],Table_Baseline[],COLUMNS(Table_Baseline[[#Headers],[Sensor ID]:[Reference Angle '[Deg']]]),FALSE),"-")</f>
        <v>0</v>
      </c>
      <c r="U522" s="95" t="str">
        <f>Readings[[#This Row],[Sensor ID]]&amp;"-"&amp;Readings[[#This Row],[Epoch]]</f>
        <v>250-RL-OP-11019-45796.7708333333</v>
      </c>
      <c r="V522" s="99">
        <f ca="1">IF(Readings[[#This Row],[Epoch]]=OFFSET(Readings[[#This Row],[Epoch]],-1,0),0,1)</f>
        <v>0</v>
      </c>
    </row>
    <row r="523" spans="4:22" x14ac:dyDescent="0.2">
      <c r="D523" s="32">
        <v>45796.770833333336</v>
      </c>
      <c r="E523" s="33" t="s">
        <v>189</v>
      </c>
      <c r="F523" s="34">
        <v>60060.639000000003</v>
      </c>
      <c r="G523" s="34">
        <v>363837.32500000001</v>
      </c>
      <c r="H523" s="34">
        <v>18.783000000000001</v>
      </c>
      <c r="I523" s="33" t="s">
        <v>85</v>
      </c>
      <c r="J523" s="33" t="s">
        <v>90</v>
      </c>
      <c r="K523" s="33">
        <v>15.6</v>
      </c>
      <c r="L523" s="33">
        <v>1016.9</v>
      </c>
      <c r="M523" s="33">
        <v>96</v>
      </c>
      <c r="N523" s="33"/>
      <c r="O523" s="93">
        <f>IFERROR(IF(Readings[[#This Row],[Obs. X]]="","-",Readings[[#This Row],[Obs. X]]-_xlfn.XLOOKUP(Readings[[#This Row],[Sensor ID]],Table_Baseline[Sensor ID],Table_Baseline[Easting '[m']],"-")),"-")</f>
        <v>-9.9999999656574801E-4</v>
      </c>
      <c r="P523" s="93">
        <f>IFERROR(IF(Readings[[#This Row],[Obs. Y]]="","-",Readings[[#This Row],[Obs. Y]]-_xlfn.XLOOKUP(Readings[[#This Row],[Sensor ID]],Table_Baseline[Sensor ID],Table_Baseline[Northing '[m']],"-")),"-")</f>
        <v>3.0000000260770321E-3</v>
      </c>
      <c r="Q523" s="93">
        <f>IFERROR(IF(Readings[[#This Row],[Obs. Z]]="","-",Readings[[#This Row],[Obs. Z]]-_xlfn.XLOOKUP(Readings[[#This Row],[Sensor ID]],Table_Baseline[Sensor ID],Table_Baseline[Level '[m']],"-")),"-")</f>
        <v>-5.9999999999860165E-4</v>
      </c>
      <c r="R523" s="93">
        <f>IFERROR(IF(Readings[[#This Row],[Reference Angle]]="-","-",(Readings[[#This Row],[Diff E]]*COS(RADIANS(Readings[[#This Row],[Reference Angle]]))-Readings[[#This Row],[Diff N]]*SIN(RADIANS(Readings[[#This Row],[Reference Angle]])))),"-")</f>
        <v>-9.9999999656574801E-4</v>
      </c>
      <c r="S523" s="93">
        <f>IFERROR(IF(Readings[[#This Row],[Reference Angle]]="-","-",(Readings[[#This Row],[Diff E]]*SIN(RADIANS(Readings[[#This Row],[Reference Angle]]))+Readings[[#This Row],[Diff N]]*COS(RADIANS(Readings[[#This Row],[Reference Angle]])))),"-")</f>
        <v>3.0000000260770321E-3</v>
      </c>
      <c r="T523" s="94">
        <f>IFERROR(VLOOKUP(Readings[[#This Row],[Sensor ID]],Table_Baseline[],COLUMNS(Table_Baseline[[#Headers],[Sensor ID]:[Reference Angle '[Deg']]]),FALSE),"-")</f>
        <v>0</v>
      </c>
      <c r="U523" s="95" t="str">
        <f>Readings[[#This Row],[Sensor ID]]&amp;"-"&amp;Readings[[#This Row],[Epoch]]</f>
        <v>250-RL-OP-11020-45796.7708333333</v>
      </c>
      <c r="V523" s="99">
        <f ca="1">IF(Readings[[#This Row],[Epoch]]=OFFSET(Readings[[#This Row],[Epoch]],-1,0),0,1)</f>
        <v>0</v>
      </c>
    </row>
    <row r="524" spans="4:22" x14ac:dyDescent="0.2">
      <c r="D524" s="32">
        <v>45796.770833333336</v>
      </c>
      <c r="E524" s="33" t="s">
        <v>192</v>
      </c>
      <c r="F524" s="34">
        <v>60063.75</v>
      </c>
      <c r="G524" s="34">
        <v>363837.92000000004</v>
      </c>
      <c r="H524" s="34">
        <v>18.808</v>
      </c>
      <c r="I524" s="33" t="s">
        <v>85</v>
      </c>
      <c r="J524" s="33" t="s">
        <v>90</v>
      </c>
      <c r="K524" s="33">
        <v>15.6</v>
      </c>
      <c r="L524" s="33">
        <v>1016.9</v>
      </c>
      <c r="M524" s="33">
        <v>96</v>
      </c>
      <c r="N524" s="33"/>
      <c r="O524" s="93">
        <f>IFERROR(IF(Readings[[#This Row],[Obs. X]]="","-",Readings[[#This Row],[Obs. X]]-_xlfn.XLOOKUP(Readings[[#This Row],[Sensor ID]],Table_Baseline[Sensor ID],Table_Baseline[Easting '[m']],"-")),"-")</f>
        <v>-9.9999999656574801E-4</v>
      </c>
      <c r="P524" s="93">
        <f>IFERROR(IF(Readings[[#This Row],[Obs. Y]]="","-",Readings[[#This Row],[Obs. Y]]-_xlfn.XLOOKUP(Readings[[#This Row],[Sensor ID]],Table_Baseline[Sensor ID],Table_Baseline[Northing '[m']],"-")),"-")</f>
        <v>2.0000000367872417E-3</v>
      </c>
      <c r="Q524" s="93">
        <f>IFERROR(IF(Readings[[#This Row],[Obs. Z]]="","-",Readings[[#This Row],[Obs. Z]]-_xlfn.XLOOKUP(Readings[[#This Row],[Sensor ID]],Table_Baseline[Sensor ID],Table_Baseline[Level '[m']],"-")),"-")</f>
        <v>-1.0000000000012221E-3</v>
      </c>
      <c r="R524" s="93">
        <f>IFERROR(IF(Readings[[#This Row],[Reference Angle]]="-","-",(Readings[[#This Row],[Diff E]]*COS(RADIANS(Readings[[#This Row],[Reference Angle]]))-Readings[[#This Row],[Diff N]]*SIN(RADIANS(Readings[[#This Row],[Reference Angle]])))),"-")</f>
        <v>-9.9999999656574801E-4</v>
      </c>
      <c r="S524" s="93">
        <f>IFERROR(IF(Readings[[#This Row],[Reference Angle]]="-","-",(Readings[[#This Row],[Diff E]]*SIN(RADIANS(Readings[[#This Row],[Reference Angle]]))+Readings[[#This Row],[Diff N]]*COS(RADIANS(Readings[[#This Row],[Reference Angle]])))),"-")</f>
        <v>2.0000000367872417E-3</v>
      </c>
      <c r="T524" s="94">
        <f>IFERROR(VLOOKUP(Readings[[#This Row],[Sensor ID]],Table_Baseline[],COLUMNS(Table_Baseline[[#Headers],[Sensor ID]:[Reference Angle '[Deg']]]),FALSE),"-")</f>
        <v>0</v>
      </c>
      <c r="U524" s="95" t="str">
        <f>Readings[[#This Row],[Sensor ID]]&amp;"-"&amp;Readings[[#This Row],[Epoch]]</f>
        <v>250-RL-OP-11021-45796.7708333333</v>
      </c>
      <c r="V524" s="99">
        <f ca="1">IF(Readings[[#This Row],[Epoch]]=OFFSET(Readings[[#This Row],[Epoch]],-1,0),0,1)</f>
        <v>0</v>
      </c>
    </row>
    <row r="525" spans="4:22" x14ac:dyDescent="0.2">
      <c r="D525" s="32">
        <v>45796.770833333336</v>
      </c>
      <c r="E525" s="33" t="s">
        <v>191</v>
      </c>
      <c r="F525" s="34">
        <v>60063.421000000002</v>
      </c>
      <c r="G525" s="34">
        <v>363836.63800000004</v>
      </c>
      <c r="H525" s="34">
        <v>18.794</v>
      </c>
      <c r="I525" s="33" t="s">
        <v>85</v>
      </c>
      <c r="J525" s="33" t="s">
        <v>90</v>
      </c>
      <c r="K525" s="33">
        <v>15.6</v>
      </c>
      <c r="L525" s="33">
        <v>1016.9</v>
      </c>
      <c r="M525" s="33">
        <v>96</v>
      </c>
      <c r="N525" s="33"/>
      <c r="O525" s="93">
        <f>IFERROR(IF(Readings[[#This Row],[Obs. X]]="","-",Readings[[#This Row],[Obs. X]]-_xlfn.XLOOKUP(Readings[[#This Row],[Sensor ID]],Table_Baseline[Sensor ID],Table_Baseline[Easting '[m']],"-")),"-")</f>
        <v>-9.9999999656574801E-4</v>
      </c>
      <c r="P525" s="93">
        <f>IFERROR(IF(Readings[[#This Row],[Obs. Y]]="","-",Readings[[#This Row],[Obs. Y]]-_xlfn.XLOOKUP(Readings[[#This Row],[Sensor ID]],Table_Baseline[Sensor ID],Table_Baseline[Northing '[m']],"-")),"-")</f>
        <v>2.0000000367872417E-3</v>
      </c>
      <c r="Q525" s="93">
        <f>IFERROR(IF(Readings[[#This Row],[Obs. Z]]="","-",Readings[[#This Row],[Obs. Z]]-_xlfn.XLOOKUP(Readings[[#This Row],[Sensor ID]],Table_Baseline[Sensor ID],Table_Baseline[Level '[m']],"-")),"-")</f>
        <v>-8.9999999999790248E-4</v>
      </c>
      <c r="R525" s="93">
        <f>IFERROR(IF(Readings[[#This Row],[Reference Angle]]="-","-",(Readings[[#This Row],[Diff E]]*COS(RADIANS(Readings[[#This Row],[Reference Angle]]))-Readings[[#This Row],[Diff N]]*SIN(RADIANS(Readings[[#This Row],[Reference Angle]])))),"-")</f>
        <v>-9.9999999656574801E-4</v>
      </c>
      <c r="S525" s="93">
        <f>IFERROR(IF(Readings[[#This Row],[Reference Angle]]="-","-",(Readings[[#This Row],[Diff E]]*SIN(RADIANS(Readings[[#This Row],[Reference Angle]]))+Readings[[#This Row],[Diff N]]*COS(RADIANS(Readings[[#This Row],[Reference Angle]])))),"-")</f>
        <v>2.0000000367872417E-3</v>
      </c>
      <c r="T525" s="94">
        <f>IFERROR(VLOOKUP(Readings[[#This Row],[Sensor ID]],Table_Baseline[],COLUMNS(Table_Baseline[[#Headers],[Sensor ID]:[Reference Angle '[Deg']]]),FALSE),"-")</f>
        <v>0</v>
      </c>
      <c r="U525" s="95" t="str">
        <f>Readings[[#This Row],[Sensor ID]]&amp;"-"&amp;Readings[[#This Row],[Epoch]]</f>
        <v>250-RL-OP-11022-45796.7708333333</v>
      </c>
      <c r="V525" s="99">
        <f ca="1">IF(Readings[[#This Row],[Epoch]]=OFFSET(Readings[[#This Row],[Epoch]],-1,0),0,1)</f>
        <v>0</v>
      </c>
    </row>
    <row r="526" spans="4:22" x14ac:dyDescent="0.2">
      <c r="D526" s="32">
        <v>45796.770833333336</v>
      </c>
      <c r="E526" s="33" t="s">
        <v>165</v>
      </c>
      <c r="F526" s="34">
        <v>60034.538999999997</v>
      </c>
      <c r="G526" s="34">
        <v>363843.38300000003</v>
      </c>
      <c r="H526" s="34">
        <v>19.331</v>
      </c>
      <c r="I526" s="33" t="s">
        <v>85</v>
      </c>
      <c r="J526" s="33" t="s">
        <v>90</v>
      </c>
      <c r="K526" s="33">
        <v>15.6</v>
      </c>
      <c r="L526" s="33">
        <v>1016.9</v>
      </c>
      <c r="M526" s="33">
        <v>96</v>
      </c>
      <c r="N526" s="33"/>
      <c r="O526" s="93" t="str">
        <f>IFERROR(IF(Readings[[#This Row],[Obs. X]]="","-",Readings[[#This Row],[Obs. X]]-_xlfn.XLOOKUP(Readings[[#This Row],[Sensor ID]],Table_Baseline[Sensor ID],Table_Baseline[Easting '[m']],"-")),"-")</f>
        <v>-</v>
      </c>
      <c r="P526" s="93" t="str">
        <f>IFERROR(IF(Readings[[#This Row],[Obs. Y]]="","-",Readings[[#This Row],[Obs. Y]]-_xlfn.XLOOKUP(Readings[[#This Row],[Sensor ID]],Table_Baseline[Sensor ID],Table_Baseline[Northing '[m']],"-")),"-")</f>
        <v>-</v>
      </c>
      <c r="Q526" s="93" t="str">
        <f>IFERROR(IF(Readings[[#This Row],[Obs. Z]]="","-",Readings[[#This Row],[Obs. Z]]-_xlfn.XLOOKUP(Readings[[#This Row],[Sensor ID]],Table_Baseline[Sensor ID],Table_Baseline[Level '[m']],"-")),"-")</f>
        <v>-</v>
      </c>
      <c r="R526" s="93" t="str">
        <f>IFERROR(IF(Readings[[#This Row],[Reference Angle]]="-","-",(Readings[[#This Row],[Diff E]]*COS(RADIANS(Readings[[#This Row],[Reference Angle]]))-Readings[[#This Row],[Diff N]]*SIN(RADIANS(Readings[[#This Row],[Reference Angle]])))),"-")</f>
        <v>-</v>
      </c>
      <c r="S526" s="93" t="str">
        <f>IFERROR(IF(Readings[[#This Row],[Reference Angle]]="-","-",(Readings[[#This Row],[Diff E]]*SIN(RADIANS(Readings[[#This Row],[Reference Angle]]))+Readings[[#This Row],[Diff N]]*COS(RADIANS(Readings[[#This Row],[Reference Angle]])))),"-")</f>
        <v>-</v>
      </c>
      <c r="T526" s="94" t="str">
        <f>IFERROR(VLOOKUP(Readings[[#This Row],[Sensor ID]],Table_Baseline[],COLUMNS(Table_Baseline[[#Headers],[Sensor ID]:[Reference Angle '[Deg']]]),FALSE),"-")</f>
        <v>-</v>
      </c>
      <c r="U526" s="95" t="str">
        <f>Readings[[#This Row],[Sensor ID]]&amp;"-"&amp;Readings[[#This Row],[Epoch]]</f>
        <v>250-ST-OP-500-45796.7708333333</v>
      </c>
      <c r="V526" s="99">
        <f ca="1">IF(Readings[[#This Row],[Epoch]]=OFFSET(Readings[[#This Row],[Epoch]],-1,0),0,1)</f>
        <v>0</v>
      </c>
    </row>
    <row r="527" spans="4:22" x14ac:dyDescent="0.2">
      <c r="D527" s="32">
        <v>45796.770833333336</v>
      </c>
      <c r="E527" s="33" t="s">
        <v>166</v>
      </c>
      <c r="F527" s="34">
        <v>60040.286</v>
      </c>
      <c r="G527" s="34">
        <v>363841.73100000003</v>
      </c>
      <c r="H527" s="34">
        <v>19.321999999999999</v>
      </c>
      <c r="I527" s="33" t="s">
        <v>85</v>
      </c>
      <c r="J527" s="33" t="s">
        <v>90</v>
      </c>
      <c r="K527" s="33">
        <v>15.6</v>
      </c>
      <c r="L527" s="33">
        <v>1016.9</v>
      </c>
      <c r="M527" s="33">
        <v>96</v>
      </c>
      <c r="N527" s="33"/>
      <c r="O527" s="93" t="str">
        <f>IFERROR(IF(Readings[[#This Row],[Obs. X]]="","-",Readings[[#This Row],[Obs. X]]-_xlfn.XLOOKUP(Readings[[#This Row],[Sensor ID]],Table_Baseline[Sensor ID],Table_Baseline[Easting '[m']],"-")),"-")</f>
        <v>-</v>
      </c>
      <c r="P527" s="93" t="str">
        <f>IFERROR(IF(Readings[[#This Row],[Obs. Y]]="","-",Readings[[#This Row],[Obs. Y]]-_xlfn.XLOOKUP(Readings[[#This Row],[Sensor ID]],Table_Baseline[Sensor ID],Table_Baseline[Northing '[m']],"-")),"-")</f>
        <v>-</v>
      </c>
      <c r="Q527" s="93" t="str">
        <f>IFERROR(IF(Readings[[#This Row],[Obs. Z]]="","-",Readings[[#This Row],[Obs. Z]]-_xlfn.XLOOKUP(Readings[[#This Row],[Sensor ID]],Table_Baseline[Sensor ID],Table_Baseline[Level '[m']],"-")),"-")</f>
        <v>-</v>
      </c>
      <c r="R527" s="93" t="str">
        <f>IFERROR(IF(Readings[[#This Row],[Reference Angle]]="-","-",(Readings[[#This Row],[Diff E]]*COS(RADIANS(Readings[[#This Row],[Reference Angle]]))-Readings[[#This Row],[Diff N]]*SIN(RADIANS(Readings[[#This Row],[Reference Angle]])))),"-")</f>
        <v>-</v>
      </c>
      <c r="S527" s="93" t="str">
        <f>IFERROR(IF(Readings[[#This Row],[Reference Angle]]="-","-",(Readings[[#This Row],[Diff E]]*SIN(RADIANS(Readings[[#This Row],[Reference Angle]]))+Readings[[#This Row],[Diff N]]*COS(RADIANS(Readings[[#This Row],[Reference Angle]])))),"-")</f>
        <v>-</v>
      </c>
      <c r="T527" s="94" t="str">
        <f>IFERROR(VLOOKUP(Readings[[#This Row],[Sensor ID]],Table_Baseline[],COLUMNS(Table_Baseline[[#Headers],[Sensor ID]:[Reference Angle '[Deg']]]),FALSE),"-")</f>
        <v>-</v>
      </c>
      <c r="U527" s="95" t="str">
        <f>Readings[[#This Row],[Sensor ID]]&amp;"-"&amp;Readings[[#This Row],[Epoch]]</f>
        <v>250-ST-OP-501-45796.7708333333</v>
      </c>
      <c r="V527" s="99">
        <f ca="1">IF(Readings[[#This Row],[Epoch]]=OFFSET(Readings[[#This Row],[Epoch]],-1,0),0,1)</f>
        <v>0</v>
      </c>
    </row>
    <row r="528" spans="4:22" x14ac:dyDescent="0.2">
      <c r="D528" s="32">
        <v>45796.770833333336</v>
      </c>
      <c r="E528" s="33" t="s">
        <v>167</v>
      </c>
      <c r="F528" s="34">
        <v>60045.921000000002</v>
      </c>
      <c r="G528" s="34">
        <v>363840.10100000002</v>
      </c>
      <c r="H528" s="34">
        <v>19.334</v>
      </c>
      <c r="I528" s="33" t="s">
        <v>85</v>
      </c>
      <c r="J528" s="33" t="s">
        <v>90</v>
      </c>
      <c r="K528" s="33">
        <v>15.6</v>
      </c>
      <c r="L528" s="33">
        <v>1016.9</v>
      </c>
      <c r="M528" s="33">
        <v>96</v>
      </c>
      <c r="N528" s="33"/>
      <c r="O528" s="93" t="str">
        <f>IFERROR(IF(Readings[[#This Row],[Obs. X]]="","-",Readings[[#This Row],[Obs. X]]-_xlfn.XLOOKUP(Readings[[#This Row],[Sensor ID]],Table_Baseline[Sensor ID],Table_Baseline[Easting '[m']],"-")),"-")</f>
        <v>-</v>
      </c>
      <c r="P528" s="93" t="str">
        <f>IFERROR(IF(Readings[[#This Row],[Obs. Y]]="","-",Readings[[#This Row],[Obs. Y]]-_xlfn.XLOOKUP(Readings[[#This Row],[Sensor ID]],Table_Baseline[Sensor ID],Table_Baseline[Northing '[m']],"-")),"-")</f>
        <v>-</v>
      </c>
      <c r="Q528" s="93" t="str">
        <f>IFERROR(IF(Readings[[#This Row],[Obs. Z]]="","-",Readings[[#This Row],[Obs. Z]]-_xlfn.XLOOKUP(Readings[[#This Row],[Sensor ID]],Table_Baseline[Sensor ID],Table_Baseline[Level '[m']],"-")),"-")</f>
        <v>-</v>
      </c>
      <c r="R528" s="93" t="str">
        <f>IFERROR(IF(Readings[[#This Row],[Reference Angle]]="-","-",(Readings[[#This Row],[Diff E]]*COS(RADIANS(Readings[[#This Row],[Reference Angle]]))-Readings[[#This Row],[Diff N]]*SIN(RADIANS(Readings[[#This Row],[Reference Angle]])))),"-")</f>
        <v>-</v>
      </c>
      <c r="S528" s="93" t="str">
        <f>IFERROR(IF(Readings[[#This Row],[Reference Angle]]="-","-",(Readings[[#This Row],[Diff E]]*SIN(RADIANS(Readings[[#This Row],[Reference Angle]]))+Readings[[#This Row],[Diff N]]*COS(RADIANS(Readings[[#This Row],[Reference Angle]])))),"-")</f>
        <v>-</v>
      </c>
      <c r="T528" s="94" t="str">
        <f>IFERROR(VLOOKUP(Readings[[#This Row],[Sensor ID]],Table_Baseline[],COLUMNS(Table_Baseline[[#Headers],[Sensor ID]:[Reference Angle '[Deg']]]),FALSE),"-")</f>
        <v>-</v>
      </c>
      <c r="U528" s="95" t="str">
        <f>Readings[[#This Row],[Sensor ID]]&amp;"-"&amp;Readings[[#This Row],[Epoch]]</f>
        <v>250-ST-OP-502-45796.7708333333</v>
      </c>
      <c r="V528" s="99">
        <f ca="1">IF(Readings[[#This Row],[Epoch]]=OFFSET(Readings[[#This Row],[Epoch]],-1,0),0,1)</f>
        <v>0</v>
      </c>
    </row>
    <row r="529" spans="4:22" x14ac:dyDescent="0.2">
      <c r="D529" s="32">
        <v>45796.770833333336</v>
      </c>
      <c r="E529" s="33" t="s">
        <v>168</v>
      </c>
      <c r="F529" s="34">
        <v>60049.767</v>
      </c>
      <c r="G529" s="34">
        <v>363838.995</v>
      </c>
      <c r="H529" s="34">
        <v>19.344999999999999</v>
      </c>
      <c r="I529" s="33" t="s">
        <v>85</v>
      </c>
      <c r="J529" s="33" t="s">
        <v>90</v>
      </c>
      <c r="K529" s="33">
        <v>15.6</v>
      </c>
      <c r="L529" s="33">
        <v>1016.9</v>
      </c>
      <c r="M529" s="33">
        <v>96</v>
      </c>
      <c r="N529" s="33"/>
      <c r="O529" s="93" t="str">
        <f>IFERROR(IF(Readings[[#This Row],[Obs. X]]="","-",Readings[[#This Row],[Obs. X]]-_xlfn.XLOOKUP(Readings[[#This Row],[Sensor ID]],Table_Baseline[Sensor ID],Table_Baseline[Easting '[m']],"-")),"-")</f>
        <v>-</v>
      </c>
      <c r="P529" s="93" t="str">
        <f>IFERROR(IF(Readings[[#This Row],[Obs. Y]]="","-",Readings[[#This Row],[Obs. Y]]-_xlfn.XLOOKUP(Readings[[#This Row],[Sensor ID]],Table_Baseline[Sensor ID],Table_Baseline[Northing '[m']],"-")),"-")</f>
        <v>-</v>
      </c>
      <c r="Q529" s="93" t="str">
        <f>IFERROR(IF(Readings[[#This Row],[Obs. Z]]="","-",Readings[[#This Row],[Obs. Z]]-_xlfn.XLOOKUP(Readings[[#This Row],[Sensor ID]],Table_Baseline[Sensor ID],Table_Baseline[Level '[m']],"-")),"-")</f>
        <v>-</v>
      </c>
      <c r="R529" s="93" t="str">
        <f>IFERROR(IF(Readings[[#This Row],[Reference Angle]]="-","-",(Readings[[#This Row],[Diff E]]*COS(RADIANS(Readings[[#This Row],[Reference Angle]]))-Readings[[#This Row],[Diff N]]*SIN(RADIANS(Readings[[#This Row],[Reference Angle]])))),"-")</f>
        <v>-</v>
      </c>
      <c r="S529" s="93" t="str">
        <f>IFERROR(IF(Readings[[#This Row],[Reference Angle]]="-","-",(Readings[[#This Row],[Diff E]]*SIN(RADIANS(Readings[[#This Row],[Reference Angle]]))+Readings[[#This Row],[Diff N]]*COS(RADIANS(Readings[[#This Row],[Reference Angle]])))),"-")</f>
        <v>-</v>
      </c>
      <c r="T529" s="94" t="str">
        <f>IFERROR(VLOOKUP(Readings[[#This Row],[Sensor ID]],Table_Baseline[],COLUMNS(Table_Baseline[[#Headers],[Sensor ID]:[Reference Angle '[Deg']]]),FALSE),"-")</f>
        <v>-</v>
      </c>
      <c r="U529" s="95" t="str">
        <f>Readings[[#This Row],[Sensor ID]]&amp;"-"&amp;Readings[[#This Row],[Epoch]]</f>
        <v>250-ST-OP-503-45796.7708333333</v>
      </c>
      <c r="V529" s="99">
        <f ca="1">IF(Readings[[#This Row],[Epoch]]=OFFSET(Readings[[#This Row],[Epoch]],-1,0),0,1)</f>
        <v>0</v>
      </c>
    </row>
    <row r="530" spans="4:22" x14ac:dyDescent="0.2">
      <c r="D530" s="32">
        <v>45796.770833333336</v>
      </c>
      <c r="E530" s="33" t="s">
        <v>169</v>
      </c>
      <c r="F530" s="34">
        <v>60053.608</v>
      </c>
      <c r="G530" s="34">
        <v>363837.88300000003</v>
      </c>
      <c r="H530" s="34">
        <v>19.356999999999999</v>
      </c>
      <c r="I530" s="33" t="s">
        <v>85</v>
      </c>
      <c r="J530" s="33" t="s">
        <v>90</v>
      </c>
      <c r="K530" s="33">
        <v>15.6</v>
      </c>
      <c r="L530" s="33">
        <v>1016.9</v>
      </c>
      <c r="M530" s="33">
        <v>96</v>
      </c>
      <c r="N530" s="33"/>
      <c r="O530" s="93" t="str">
        <f>IFERROR(IF(Readings[[#This Row],[Obs. X]]="","-",Readings[[#This Row],[Obs. X]]-_xlfn.XLOOKUP(Readings[[#This Row],[Sensor ID]],Table_Baseline[Sensor ID],Table_Baseline[Easting '[m']],"-")),"-")</f>
        <v>-</v>
      </c>
      <c r="P530" s="93" t="str">
        <f>IFERROR(IF(Readings[[#This Row],[Obs. Y]]="","-",Readings[[#This Row],[Obs. Y]]-_xlfn.XLOOKUP(Readings[[#This Row],[Sensor ID]],Table_Baseline[Sensor ID],Table_Baseline[Northing '[m']],"-")),"-")</f>
        <v>-</v>
      </c>
      <c r="Q530" s="93" t="str">
        <f>IFERROR(IF(Readings[[#This Row],[Obs. Z]]="","-",Readings[[#This Row],[Obs. Z]]-_xlfn.XLOOKUP(Readings[[#This Row],[Sensor ID]],Table_Baseline[Sensor ID],Table_Baseline[Level '[m']],"-")),"-")</f>
        <v>-</v>
      </c>
      <c r="R530" s="93" t="str">
        <f>IFERROR(IF(Readings[[#This Row],[Reference Angle]]="-","-",(Readings[[#This Row],[Diff E]]*COS(RADIANS(Readings[[#This Row],[Reference Angle]]))-Readings[[#This Row],[Diff N]]*SIN(RADIANS(Readings[[#This Row],[Reference Angle]])))),"-")</f>
        <v>-</v>
      </c>
      <c r="S530" s="93" t="str">
        <f>IFERROR(IF(Readings[[#This Row],[Reference Angle]]="-","-",(Readings[[#This Row],[Diff E]]*SIN(RADIANS(Readings[[#This Row],[Reference Angle]]))+Readings[[#This Row],[Diff N]]*COS(RADIANS(Readings[[#This Row],[Reference Angle]])))),"-")</f>
        <v>-</v>
      </c>
      <c r="T530" s="94" t="str">
        <f>IFERROR(VLOOKUP(Readings[[#This Row],[Sensor ID]],Table_Baseline[],COLUMNS(Table_Baseline[[#Headers],[Sensor ID]:[Reference Angle '[Deg']]]),FALSE),"-")</f>
        <v>-</v>
      </c>
      <c r="U530" s="95" t="str">
        <f>Readings[[#This Row],[Sensor ID]]&amp;"-"&amp;Readings[[#This Row],[Epoch]]</f>
        <v>250-ST-OP-504-45796.7708333333</v>
      </c>
      <c r="V530" s="99">
        <f ca="1">IF(Readings[[#This Row],[Epoch]]=OFFSET(Readings[[#This Row],[Epoch]],-1,0),0,1)</f>
        <v>0</v>
      </c>
    </row>
    <row r="531" spans="4:22" x14ac:dyDescent="0.2">
      <c r="D531" s="204">
        <v>45796.770833333336</v>
      </c>
      <c r="E531" s="151" t="s">
        <v>170</v>
      </c>
      <c r="F531" s="152">
        <v>60060.065000000002</v>
      </c>
      <c r="G531" s="152">
        <v>363836.02399999998</v>
      </c>
      <c r="H531" s="152">
        <v>19.356999999999999</v>
      </c>
      <c r="I531" s="151" t="s">
        <v>85</v>
      </c>
      <c r="J531" s="151" t="s">
        <v>90</v>
      </c>
      <c r="K531" s="151">
        <v>15.6</v>
      </c>
      <c r="L531" s="151">
        <v>1016.9</v>
      </c>
      <c r="M531" s="151">
        <v>96</v>
      </c>
      <c r="N531" s="151"/>
      <c r="O531" s="96" t="str">
        <f>IFERROR(IF(Readings[[#This Row],[Obs. X]]="","-",Readings[[#This Row],[Obs. X]]-_xlfn.XLOOKUP(Readings[[#This Row],[Sensor ID]],Table_Baseline[Sensor ID],Table_Baseline[Easting '[m']],"-")),"-")</f>
        <v>-</v>
      </c>
      <c r="P531" s="96" t="str">
        <f>IFERROR(IF(Readings[[#This Row],[Obs. Y]]="","-",Readings[[#This Row],[Obs. Y]]-_xlfn.XLOOKUP(Readings[[#This Row],[Sensor ID]],Table_Baseline[Sensor ID],Table_Baseline[Northing '[m']],"-")),"-")</f>
        <v>-</v>
      </c>
      <c r="Q531" s="96" t="str">
        <f>IFERROR(IF(Readings[[#This Row],[Obs. Z]]="","-",Readings[[#This Row],[Obs. Z]]-_xlfn.XLOOKUP(Readings[[#This Row],[Sensor ID]],Table_Baseline[Sensor ID],Table_Baseline[Level '[m']],"-")),"-")</f>
        <v>-</v>
      </c>
      <c r="R531" s="96" t="str">
        <f>IFERROR(IF(Readings[[#This Row],[Reference Angle]]="-","-",(Readings[[#This Row],[Diff E]]*COS(RADIANS(Readings[[#This Row],[Reference Angle]]))-Readings[[#This Row],[Diff N]]*SIN(RADIANS(Readings[[#This Row],[Reference Angle]])))),"-")</f>
        <v>-</v>
      </c>
      <c r="S531" s="96" t="str">
        <f>IFERROR(IF(Readings[[#This Row],[Reference Angle]]="-","-",(Readings[[#This Row],[Diff E]]*SIN(RADIANS(Readings[[#This Row],[Reference Angle]]))+Readings[[#This Row],[Diff N]]*COS(RADIANS(Readings[[#This Row],[Reference Angle]])))),"-")</f>
        <v>-</v>
      </c>
      <c r="T531" s="97" t="str">
        <f>IFERROR(VLOOKUP(Readings[[#This Row],[Sensor ID]],Table_Baseline[],COLUMNS(Table_Baseline[[#Headers],[Sensor ID]:[Reference Angle '[Deg']]]),FALSE),"-")</f>
        <v>-</v>
      </c>
      <c r="U531" s="98" t="str">
        <f>Readings[[#This Row],[Sensor ID]]&amp;"-"&amp;Readings[[#This Row],[Epoch]]</f>
        <v>250-ST-OP-505-45796.7708333333</v>
      </c>
      <c r="V531" s="100">
        <f ca="1">IF(Readings[[#This Row],[Epoch]]=OFFSET(Readings[[#This Row],[Epoch]],-1,0),0,1)</f>
        <v>0</v>
      </c>
    </row>
    <row r="532" spans="4:22" x14ac:dyDescent="0.2">
      <c r="D532" s="32">
        <v>45797.777777777781</v>
      </c>
      <c r="E532" s="33" t="s">
        <v>172</v>
      </c>
      <c r="F532" s="34">
        <v>60035.338000000003</v>
      </c>
      <c r="G532" s="34">
        <v>363845.739</v>
      </c>
      <c r="H532" s="34">
        <v>18.782</v>
      </c>
      <c r="I532" s="33" t="s">
        <v>85</v>
      </c>
      <c r="J532" s="33" t="s">
        <v>90</v>
      </c>
      <c r="K532" s="33">
        <v>18</v>
      </c>
      <c r="L532" s="33">
        <v>1019.3</v>
      </c>
      <c r="M532" s="33">
        <v>63</v>
      </c>
      <c r="N532" s="33"/>
      <c r="O532" s="93">
        <f>IFERROR(IF(Readings[[#This Row],[Obs. X]]="","-",Readings[[#This Row],[Obs. X]]-_xlfn.XLOOKUP(Readings[[#This Row],[Sensor ID]],Table_Baseline[Sensor ID],Table_Baseline[Easting '[m']],"-")),"-")</f>
        <v>-1.999999993131496E-3</v>
      </c>
      <c r="P532" s="93">
        <f>IFERROR(IF(Readings[[#This Row],[Obs. Y]]="","-",Readings[[#This Row],[Obs. Y]]-_xlfn.XLOOKUP(Readings[[#This Row],[Sensor ID]],Table_Baseline[Sensor ID],Table_Baseline[Northing '[m']],"-")),"-")</f>
        <v>0</v>
      </c>
      <c r="Q532" s="93">
        <f>IFERROR(IF(Readings[[#This Row],[Obs. Z]]="","-",Readings[[#This Row],[Obs. Z]]-_xlfn.XLOOKUP(Readings[[#This Row],[Sensor ID]],Table_Baseline[Sensor ID],Table_Baseline[Level '[m']],"-")),"-")</f>
        <v>0</v>
      </c>
      <c r="R532" s="93">
        <f>IFERROR(IF(Readings[[#This Row],[Reference Angle]]="-","-",(Readings[[#This Row],[Diff E]]*COS(RADIANS(Readings[[#This Row],[Reference Angle]]))-Readings[[#This Row],[Diff N]]*SIN(RADIANS(Readings[[#This Row],[Reference Angle]])))),"-")</f>
        <v>-1.999999993131496E-3</v>
      </c>
      <c r="S532" s="93">
        <f>IFERROR(IF(Readings[[#This Row],[Reference Angle]]="-","-",(Readings[[#This Row],[Diff E]]*SIN(RADIANS(Readings[[#This Row],[Reference Angle]]))+Readings[[#This Row],[Diff N]]*COS(RADIANS(Readings[[#This Row],[Reference Angle]])))),"-")</f>
        <v>0</v>
      </c>
      <c r="T532" s="94">
        <f>IFERROR(VLOOKUP(Readings[[#This Row],[Sensor ID]],Table_Baseline[],COLUMNS(Table_Baseline[[#Headers],[Sensor ID]:[Reference Angle '[Deg']]]),FALSE),"-")</f>
        <v>0</v>
      </c>
      <c r="U532" s="95" t="str">
        <f>Readings[[#This Row],[Sensor ID]]&amp;"-"&amp;Readings[[#This Row],[Epoch]]</f>
        <v>250-RL-OP-11001-45797.7777777778</v>
      </c>
      <c r="V532" s="99">
        <f ca="1">IF(Readings[[#This Row],[Epoch]]=OFFSET(Readings[[#This Row],[Epoch]],-1,0),0,1)</f>
        <v>1</v>
      </c>
    </row>
    <row r="533" spans="4:22" x14ac:dyDescent="0.2">
      <c r="D533" s="32">
        <v>45797.777777777781</v>
      </c>
      <c r="E533" s="33" t="s">
        <v>171</v>
      </c>
      <c r="F533" s="34">
        <v>60034.957999999999</v>
      </c>
      <c r="G533" s="34">
        <v>363844.47200000001</v>
      </c>
      <c r="H533" s="34">
        <v>18.777999999999999</v>
      </c>
      <c r="I533" s="33" t="s">
        <v>85</v>
      </c>
      <c r="J533" s="33" t="s">
        <v>90</v>
      </c>
      <c r="K533" s="33">
        <v>18</v>
      </c>
      <c r="L533" s="33">
        <v>1019.3</v>
      </c>
      <c r="M533" s="33">
        <v>63</v>
      </c>
      <c r="N533" s="33"/>
      <c r="O533" s="93">
        <f>IFERROR(IF(Readings[[#This Row],[Obs. X]]="","-",Readings[[#This Row],[Obs. X]]-_xlfn.XLOOKUP(Readings[[#This Row],[Sensor ID]],Table_Baseline[Sensor ID],Table_Baseline[Easting '[m']],"-")),"-")</f>
        <v>-1.0000000038417056E-3</v>
      </c>
      <c r="P533" s="93">
        <f>IFERROR(IF(Readings[[#This Row],[Obs. Y]]="","-",Readings[[#This Row],[Obs. Y]]-_xlfn.XLOOKUP(Readings[[#This Row],[Sensor ID]],Table_Baseline[Sensor ID],Table_Baseline[Northing '[m']],"-")),"-")</f>
        <v>9.9999998928979039E-4</v>
      </c>
      <c r="Q533" s="93">
        <f>IFERROR(IF(Readings[[#This Row],[Obs. Z]]="","-",Readings[[#This Row],[Obs. Z]]-_xlfn.XLOOKUP(Readings[[#This Row],[Sensor ID]],Table_Baseline[Sensor ID],Table_Baseline[Level '[m']],"-")),"-")</f>
        <v>-9.9999999999766942E-5</v>
      </c>
      <c r="R533" s="93">
        <f>IFERROR(IF(Readings[[#This Row],[Reference Angle]]="-","-",(Readings[[#This Row],[Diff E]]*COS(RADIANS(Readings[[#This Row],[Reference Angle]]))-Readings[[#This Row],[Diff N]]*SIN(RADIANS(Readings[[#This Row],[Reference Angle]])))),"-")</f>
        <v>-1.0000000038417056E-3</v>
      </c>
      <c r="S533" s="93">
        <f>IFERROR(IF(Readings[[#This Row],[Reference Angle]]="-","-",(Readings[[#This Row],[Diff E]]*SIN(RADIANS(Readings[[#This Row],[Reference Angle]]))+Readings[[#This Row],[Diff N]]*COS(RADIANS(Readings[[#This Row],[Reference Angle]])))),"-")</f>
        <v>9.9999998928979039E-4</v>
      </c>
      <c r="T533" s="94">
        <f>IFERROR(VLOOKUP(Readings[[#This Row],[Sensor ID]],Table_Baseline[],COLUMNS(Table_Baseline[[#Headers],[Sensor ID]:[Reference Angle '[Deg']]]),FALSE),"-")</f>
        <v>0</v>
      </c>
      <c r="U533" s="95" t="str">
        <f>Readings[[#This Row],[Sensor ID]]&amp;"-"&amp;Readings[[#This Row],[Epoch]]</f>
        <v>250-RL-OP-11002-45797.7777777778</v>
      </c>
      <c r="V533" s="99">
        <f ca="1">IF(Readings[[#This Row],[Epoch]]=OFFSET(Readings[[#This Row],[Epoch]],-1,0),0,1)</f>
        <v>0</v>
      </c>
    </row>
    <row r="534" spans="4:22" x14ac:dyDescent="0.2">
      <c r="D534" s="32">
        <v>45797.777777777781</v>
      </c>
      <c r="E534" s="33" t="s">
        <v>174</v>
      </c>
      <c r="F534" s="34">
        <v>60038.116000000002</v>
      </c>
      <c r="G534" s="34">
        <v>363844.946</v>
      </c>
      <c r="H534" s="34">
        <v>18.777999999999999</v>
      </c>
      <c r="I534" s="33" t="s">
        <v>85</v>
      </c>
      <c r="J534" s="33" t="s">
        <v>90</v>
      </c>
      <c r="K534" s="33">
        <v>18</v>
      </c>
      <c r="L534" s="33">
        <v>1019.3</v>
      </c>
      <c r="M534" s="33">
        <v>63</v>
      </c>
      <c r="N534" s="33"/>
      <c r="O534" s="93">
        <f>IFERROR(IF(Readings[[#This Row],[Obs. X]]="","-",Readings[[#This Row],[Obs. X]]-_xlfn.XLOOKUP(Readings[[#This Row],[Sensor ID]],Table_Baseline[Sensor ID],Table_Baseline[Easting '[m']],"-")),"-")</f>
        <v>-2.0000000004074536E-3</v>
      </c>
      <c r="P534" s="93">
        <f>IFERROR(IF(Readings[[#This Row],[Obs. Y]]="","-",Readings[[#This Row],[Obs. Y]]-_xlfn.XLOOKUP(Readings[[#This Row],[Sensor ID]],Table_Baseline[Sensor ID],Table_Baseline[Northing '[m']],"-")),"-")</f>
        <v>9.9999998928979039E-4</v>
      </c>
      <c r="Q534" s="93">
        <f>IFERROR(IF(Readings[[#This Row],[Obs. Z]]="","-",Readings[[#This Row],[Obs. Z]]-_xlfn.XLOOKUP(Readings[[#This Row],[Sensor ID]],Table_Baseline[Sensor ID],Table_Baseline[Level '[m']],"-")),"-")</f>
        <v>-8.0000000000168825E-4</v>
      </c>
      <c r="R534" s="93">
        <f>IFERROR(IF(Readings[[#This Row],[Reference Angle]]="-","-",(Readings[[#This Row],[Diff E]]*COS(RADIANS(Readings[[#This Row],[Reference Angle]]))-Readings[[#This Row],[Diff N]]*SIN(RADIANS(Readings[[#This Row],[Reference Angle]])))),"-")</f>
        <v>-2.0000000004074536E-3</v>
      </c>
      <c r="S534" s="93">
        <f>IFERROR(IF(Readings[[#This Row],[Reference Angle]]="-","-",(Readings[[#This Row],[Diff E]]*SIN(RADIANS(Readings[[#This Row],[Reference Angle]]))+Readings[[#This Row],[Diff N]]*COS(RADIANS(Readings[[#This Row],[Reference Angle]])))),"-")</f>
        <v>9.9999998928979039E-4</v>
      </c>
      <c r="T534" s="94">
        <f>IFERROR(VLOOKUP(Readings[[#This Row],[Sensor ID]],Table_Baseline[],COLUMNS(Table_Baseline[[#Headers],[Sensor ID]:[Reference Angle '[Deg']]]),FALSE),"-")</f>
        <v>0</v>
      </c>
      <c r="U534" s="95" t="str">
        <f>Readings[[#This Row],[Sensor ID]]&amp;"-"&amp;Readings[[#This Row],[Epoch]]</f>
        <v>250-RL-OP-11003-45797.7777777778</v>
      </c>
      <c r="V534" s="99">
        <f ca="1">IF(Readings[[#This Row],[Epoch]]=OFFSET(Readings[[#This Row],[Epoch]],-1,0),0,1)</f>
        <v>0</v>
      </c>
    </row>
    <row r="535" spans="4:22" x14ac:dyDescent="0.2">
      <c r="D535" s="32">
        <v>45797.777777777781</v>
      </c>
      <c r="E535" s="33" t="s">
        <v>173</v>
      </c>
      <c r="F535" s="34">
        <v>60037.803999999996</v>
      </c>
      <c r="G535" s="34">
        <v>363843.658</v>
      </c>
      <c r="H535" s="34">
        <v>18.777999999999999</v>
      </c>
      <c r="I535" s="33" t="s">
        <v>85</v>
      </c>
      <c r="J535" s="33" t="s">
        <v>90</v>
      </c>
      <c r="K535" s="33">
        <v>18</v>
      </c>
      <c r="L535" s="33">
        <v>1019.3</v>
      </c>
      <c r="M535" s="33">
        <v>63</v>
      </c>
      <c r="N535" s="33"/>
      <c r="O535" s="93">
        <f>IFERROR(IF(Readings[[#This Row],[Obs. X]]="","-",Readings[[#This Row],[Obs. X]]-_xlfn.XLOOKUP(Readings[[#This Row],[Sensor ID]],Table_Baseline[Sensor ID],Table_Baseline[Easting '[m']],"-")),"-")</f>
        <v>-1.0000000038417056E-3</v>
      </c>
      <c r="P535" s="93">
        <f>IFERROR(IF(Readings[[#This Row],[Obs. Y]]="","-",Readings[[#This Row],[Obs. Y]]-_xlfn.XLOOKUP(Readings[[#This Row],[Sensor ID]],Table_Baseline[Sensor ID],Table_Baseline[Northing '[m']],"-")),"-")</f>
        <v>9.9999998928979039E-4</v>
      </c>
      <c r="Q535" s="93">
        <f>IFERROR(IF(Readings[[#This Row],[Obs. Z]]="","-",Readings[[#This Row],[Obs. Z]]-_xlfn.XLOOKUP(Readings[[#This Row],[Sensor ID]],Table_Baseline[Sensor ID],Table_Baseline[Level '[m']],"-")),"-")</f>
        <v>-5.0000000000238742E-4</v>
      </c>
      <c r="R535" s="93">
        <f>IFERROR(IF(Readings[[#This Row],[Reference Angle]]="-","-",(Readings[[#This Row],[Diff E]]*COS(RADIANS(Readings[[#This Row],[Reference Angle]]))-Readings[[#This Row],[Diff N]]*SIN(RADIANS(Readings[[#This Row],[Reference Angle]])))),"-")</f>
        <v>-1.0000000038417056E-3</v>
      </c>
      <c r="S535" s="93">
        <f>IFERROR(IF(Readings[[#This Row],[Reference Angle]]="-","-",(Readings[[#This Row],[Diff E]]*SIN(RADIANS(Readings[[#This Row],[Reference Angle]]))+Readings[[#This Row],[Diff N]]*COS(RADIANS(Readings[[#This Row],[Reference Angle]])))),"-")</f>
        <v>9.9999998928979039E-4</v>
      </c>
      <c r="T535" s="94">
        <f>IFERROR(VLOOKUP(Readings[[#This Row],[Sensor ID]],Table_Baseline[],COLUMNS(Table_Baseline[[#Headers],[Sensor ID]:[Reference Angle '[Deg']]]),FALSE),"-")</f>
        <v>0</v>
      </c>
      <c r="U535" s="95" t="str">
        <f>Readings[[#This Row],[Sensor ID]]&amp;"-"&amp;Readings[[#This Row],[Epoch]]</f>
        <v>250-RL-OP-11004-45797.7777777778</v>
      </c>
      <c r="V535" s="99">
        <f ca="1">IF(Readings[[#This Row],[Epoch]]=OFFSET(Readings[[#This Row],[Epoch]],-1,0),0,1)</f>
        <v>0</v>
      </c>
    </row>
    <row r="536" spans="4:22" x14ac:dyDescent="0.2">
      <c r="D536" s="32">
        <v>45797.777777777781</v>
      </c>
      <c r="E536" s="33" t="s">
        <v>176</v>
      </c>
      <c r="F536" s="34">
        <v>60040.968000000001</v>
      </c>
      <c r="G536" s="34">
        <v>363844.11800000002</v>
      </c>
      <c r="H536" s="34">
        <v>18.779</v>
      </c>
      <c r="I536" s="33" t="s">
        <v>85</v>
      </c>
      <c r="J536" s="33" t="s">
        <v>90</v>
      </c>
      <c r="K536" s="33">
        <v>18</v>
      </c>
      <c r="L536" s="33">
        <v>1019.3</v>
      </c>
      <c r="M536" s="33">
        <v>63</v>
      </c>
      <c r="N536" s="33"/>
      <c r="O536" s="93">
        <f>IFERROR(IF(Readings[[#This Row],[Obs. X]]="","-",Readings[[#This Row],[Obs. X]]-_xlfn.XLOOKUP(Readings[[#This Row],[Sensor ID]],Table_Baseline[Sensor ID],Table_Baseline[Easting '[m']],"-")),"-")</f>
        <v>-9.9999999656574801E-4</v>
      </c>
      <c r="P536" s="93">
        <f>IFERROR(IF(Readings[[#This Row],[Obs. Y]]="","-",Readings[[#This Row],[Obs. Y]]-_xlfn.XLOOKUP(Readings[[#This Row],[Sensor ID]],Table_Baseline[Sensor ID],Table_Baseline[Northing '[m']],"-")),"-")</f>
        <v>0</v>
      </c>
      <c r="Q536" s="93">
        <f>IFERROR(IF(Readings[[#This Row],[Obs. Z]]="","-",Readings[[#This Row],[Obs. Z]]-_xlfn.XLOOKUP(Readings[[#This Row],[Sensor ID]],Table_Baseline[Sensor ID],Table_Baseline[Level '[m']],"-")),"-")</f>
        <v>0</v>
      </c>
      <c r="R536" s="93">
        <f>IFERROR(IF(Readings[[#This Row],[Reference Angle]]="-","-",(Readings[[#This Row],[Diff E]]*COS(RADIANS(Readings[[#This Row],[Reference Angle]]))-Readings[[#This Row],[Diff N]]*SIN(RADIANS(Readings[[#This Row],[Reference Angle]])))),"-")</f>
        <v>-9.9999999656574801E-4</v>
      </c>
      <c r="S536" s="93">
        <f>IFERROR(IF(Readings[[#This Row],[Reference Angle]]="-","-",(Readings[[#This Row],[Diff E]]*SIN(RADIANS(Readings[[#This Row],[Reference Angle]]))+Readings[[#This Row],[Diff N]]*COS(RADIANS(Readings[[#This Row],[Reference Angle]])))),"-")</f>
        <v>0</v>
      </c>
      <c r="T536" s="94">
        <f>IFERROR(VLOOKUP(Readings[[#This Row],[Sensor ID]],Table_Baseline[],COLUMNS(Table_Baseline[[#Headers],[Sensor ID]:[Reference Angle '[Deg']]]),FALSE),"-")</f>
        <v>0</v>
      </c>
      <c r="U536" s="95" t="str">
        <f>Readings[[#This Row],[Sensor ID]]&amp;"-"&amp;Readings[[#This Row],[Epoch]]</f>
        <v>250-RL-OP-11005-45797.7777777778</v>
      </c>
      <c r="V536" s="99">
        <f ca="1">IF(Readings[[#This Row],[Epoch]]=OFFSET(Readings[[#This Row],[Epoch]],-1,0),0,1)</f>
        <v>0</v>
      </c>
    </row>
    <row r="537" spans="4:22" x14ac:dyDescent="0.2">
      <c r="D537" s="32">
        <v>45797.777777777781</v>
      </c>
      <c r="E537" s="33" t="s">
        <v>175</v>
      </c>
      <c r="F537" s="34">
        <v>60040.606</v>
      </c>
      <c r="G537" s="34">
        <v>363842.86199999996</v>
      </c>
      <c r="H537" s="34">
        <v>18.771999999999998</v>
      </c>
      <c r="I537" s="33" t="s">
        <v>85</v>
      </c>
      <c r="J537" s="33" t="s">
        <v>90</v>
      </c>
      <c r="K537" s="33">
        <v>18</v>
      </c>
      <c r="L537" s="33">
        <v>1019.3</v>
      </c>
      <c r="M537" s="33">
        <v>63</v>
      </c>
      <c r="N537" s="33"/>
      <c r="O537" s="93">
        <f>IFERROR(IF(Readings[[#This Row],[Obs. X]]="","-",Readings[[#This Row],[Obs. X]]-_xlfn.XLOOKUP(Readings[[#This Row],[Sensor ID]],Table_Baseline[Sensor ID],Table_Baseline[Easting '[m']],"-")),"-")</f>
        <v>-1.0000000038417056E-3</v>
      </c>
      <c r="P537" s="93">
        <f>IFERROR(IF(Readings[[#This Row],[Obs. Y]]="","-",Readings[[#This Row],[Obs. Y]]-_xlfn.XLOOKUP(Readings[[#This Row],[Sensor ID]],Table_Baseline[Sensor ID],Table_Baseline[Northing '[m']],"-")),"-")</f>
        <v>9.9999993108212948E-4</v>
      </c>
      <c r="Q537" s="93">
        <f>IFERROR(IF(Readings[[#This Row],[Obs. Z]]="","-",Readings[[#This Row],[Obs. Z]]-_xlfn.XLOOKUP(Readings[[#This Row],[Sensor ID]],Table_Baseline[Sensor ID],Table_Baseline[Level '[m']],"-")),"-")</f>
        <v>0</v>
      </c>
      <c r="R537" s="93">
        <f>IFERROR(IF(Readings[[#This Row],[Reference Angle]]="-","-",(Readings[[#This Row],[Diff E]]*COS(RADIANS(Readings[[#This Row],[Reference Angle]]))-Readings[[#This Row],[Diff N]]*SIN(RADIANS(Readings[[#This Row],[Reference Angle]])))),"-")</f>
        <v>-1.0000000038417056E-3</v>
      </c>
      <c r="S537" s="93">
        <f>IFERROR(IF(Readings[[#This Row],[Reference Angle]]="-","-",(Readings[[#This Row],[Diff E]]*SIN(RADIANS(Readings[[#This Row],[Reference Angle]]))+Readings[[#This Row],[Diff N]]*COS(RADIANS(Readings[[#This Row],[Reference Angle]])))),"-")</f>
        <v>9.9999993108212948E-4</v>
      </c>
      <c r="T537" s="94">
        <f>IFERROR(VLOOKUP(Readings[[#This Row],[Sensor ID]],Table_Baseline[],COLUMNS(Table_Baseline[[#Headers],[Sensor ID]:[Reference Angle '[Deg']]]),FALSE),"-")</f>
        <v>0</v>
      </c>
      <c r="U537" s="95" t="str">
        <f>Readings[[#This Row],[Sensor ID]]&amp;"-"&amp;Readings[[#This Row],[Epoch]]</f>
        <v>250-RL-OP-11006-45797.7777777778</v>
      </c>
      <c r="V537" s="99">
        <f ca="1">IF(Readings[[#This Row],[Epoch]]=OFFSET(Readings[[#This Row],[Epoch]],-1,0),0,1)</f>
        <v>0</v>
      </c>
    </row>
    <row r="538" spans="4:22" x14ac:dyDescent="0.2">
      <c r="D538" s="32">
        <v>45797.777777777781</v>
      </c>
      <c r="E538" s="33" t="s">
        <v>178</v>
      </c>
      <c r="F538" s="34">
        <v>60043.758000000002</v>
      </c>
      <c r="G538" s="34">
        <v>363843.31599999999</v>
      </c>
      <c r="H538" s="34">
        <v>18.774000000000001</v>
      </c>
      <c r="I538" s="33" t="s">
        <v>85</v>
      </c>
      <c r="J538" s="33" t="s">
        <v>90</v>
      </c>
      <c r="K538" s="33">
        <v>18</v>
      </c>
      <c r="L538" s="33">
        <v>1019.3</v>
      </c>
      <c r="M538" s="33">
        <v>63</v>
      </c>
      <c r="N538" s="33"/>
      <c r="O538" s="93">
        <f>IFERROR(IF(Readings[[#This Row],[Obs. X]]="","-",Readings[[#This Row],[Obs. X]]-_xlfn.XLOOKUP(Readings[[#This Row],[Sensor ID]],Table_Baseline[Sensor ID],Table_Baseline[Easting '[m']],"-")),"-")</f>
        <v>-9.9999999656574801E-4</v>
      </c>
      <c r="P538" s="93">
        <f>IFERROR(IF(Readings[[#This Row],[Obs. Y]]="","-",Readings[[#This Row],[Obs. Y]]-_xlfn.XLOOKUP(Readings[[#This Row],[Sensor ID]],Table_Baseline[Sensor ID],Table_Baseline[Northing '[m']],"-")),"-")</f>
        <v>1.9999999785795808E-3</v>
      </c>
      <c r="Q538" s="93">
        <f>IFERROR(IF(Readings[[#This Row],[Obs. Z]]="","-",Readings[[#This Row],[Obs. Z]]-_xlfn.XLOOKUP(Readings[[#This Row],[Sensor ID]],Table_Baseline[Sensor ID],Table_Baseline[Level '[m']],"-")),"-")</f>
        <v>-9.9999999999766942E-5</v>
      </c>
      <c r="R538" s="93">
        <f>IFERROR(IF(Readings[[#This Row],[Reference Angle]]="-","-",(Readings[[#This Row],[Diff E]]*COS(RADIANS(Readings[[#This Row],[Reference Angle]]))-Readings[[#This Row],[Diff N]]*SIN(RADIANS(Readings[[#This Row],[Reference Angle]])))),"-")</f>
        <v>-9.9999999656574801E-4</v>
      </c>
      <c r="S538" s="93">
        <f>IFERROR(IF(Readings[[#This Row],[Reference Angle]]="-","-",(Readings[[#This Row],[Diff E]]*SIN(RADIANS(Readings[[#This Row],[Reference Angle]]))+Readings[[#This Row],[Diff N]]*COS(RADIANS(Readings[[#This Row],[Reference Angle]])))),"-")</f>
        <v>1.9999999785795808E-3</v>
      </c>
      <c r="T538" s="94">
        <f>IFERROR(VLOOKUP(Readings[[#This Row],[Sensor ID]],Table_Baseline[],COLUMNS(Table_Baseline[[#Headers],[Sensor ID]:[Reference Angle '[Deg']]]),FALSE),"-")</f>
        <v>0</v>
      </c>
      <c r="U538" s="95" t="str">
        <f>Readings[[#This Row],[Sensor ID]]&amp;"-"&amp;Readings[[#This Row],[Epoch]]</f>
        <v>250-RL-OP-11007-45797.7777777778</v>
      </c>
      <c r="V538" s="99">
        <f ca="1">IF(Readings[[#This Row],[Epoch]]=OFFSET(Readings[[#This Row],[Epoch]],-1,0),0,1)</f>
        <v>0</v>
      </c>
    </row>
    <row r="539" spans="4:22" x14ac:dyDescent="0.2">
      <c r="D539" s="32">
        <v>45797.777777777781</v>
      </c>
      <c r="E539" s="33" t="s">
        <v>177</v>
      </c>
      <c r="F539" s="34">
        <v>60043.44</v>
      </c>
      <c r="G539" s="34">
        <v>363842.04200000002</v>
      </c>
      <c r="H539" s="34">
        <v>18.768000000000001</v>
      </c>
      <c r="I539" s="33" t="s">
        <v>85</v>
      </c>
      <c r="J539" s="33" t="s">
        <v>90</v>
      </c>
      <c r="K539" s="33">
        <v>18</v>
      </c>
      <c r="L539" s="33">
        <v>1019.3</v>
      </c>
      <c r="M539" s="33">
        <v>63</v>
      </c>
      <c r="N539" s="33"/>
      <c r="O539" s="93">
        <f>IFERROR(IF(Readings[[#This Row],[Obs. X]]="","-",Readings[[#This Row],[Obs. X]]-_xlfn.XLOOKUP(Readings[[#This Row],[Sensor ID]],Table_Baseline[Sensor ID],Table_Baseline[Easting '[m']],"-")),"-")</f>
        <v>-9.9999999656574801E-4</v>
      </c>
      <c r="P539" s="93">
        <f>IFERROR(IF(Readings[[#This Row],[Obs. Y]]="","-",Readings[[#This Row],[Obs. Y]]-_xlfn.XLOOKUP(Readings[[#This Row],[Sensor ID]],Table_Baseline[Sensor ID],Table_Baseline[Northing '[m']],"-")),"-")</f>
        <v>1.9999999785795808E-3</v>
      </c>
      <c r="Q539" s="93">
        <f>IFERROR(IF(Readings[[#This Row],[Obs. Z]]="","-",Readings[[#This Row],[Obs. Z]]-_xlfn.XLOOKUP(Readings[[#This Row],[Sensor ID]],Table_Baseline[Sensor ID],Table_Baseline[Level '[m']],"-")),"-")</f>
        <v>-2.9999999999930083E-4</v>
      </c>
      <c r="R539" s="93">
        <f>IFERROR(IF(Readings[[#This Row],[Reference Angle]]="-","-",(Readings[[#This Row],[Diff E]]*COS(RADIANS(Readings[[#This Row],[Reference Angle]]))-Readings[[#This Row],[Diff N]]*SIN(RADIANS(Readings[[#This Row],[Reference Angle]])))),"-")</f>
        <v>-9.9999999656574801E-4</v>
      </c>
      <c r="S539" s="93">
        <f>IFERROR(IF(Readings[[#This Row],[Reference Angle]]="-","-",(Readings[[#This Row],[Diff E]]*SIN(RADIANS(Readings[[#This Row],[Reference Angle]]))+Readings[[#This Row],[Diff N]]*COS(RADIANS(Readings[[#This Row],[Reference Angle]])))),"-")</f>
        <v>1.9999999785795808E-3</v>
      </c>
      <c r="T539" s="94">
        <f>IFERROR(VLOOKUP(Readings[[#This Row],[Sensor ID]],Table_Baseline[],COLUMNS(Table_Baseline[[#Headers],[Sensor ID]:[Reference Angle '[Deg']]]),FALSE),"-")</f>
        <v>0</v>
      </c>
      <c r="U539" s="95" t="str">
        <f>Readings[[#This Row],[Sensor ID]]&amp;"-"&amp;Readings[[#This Row],[Epoch]]</f>
        <v>250-RL-OP-11008-45797.7777777778</v>
      </c>
      <c r="V539" s="99">
        <f ca="1">IF(Readings[[#This Row],[Epoch]]=OFFSET(Readings[[#This Row],[Epoch]],-1,0),0,1)</f>
        <v>0</v>
      </c>
    </row>
    <row r="540" spans="4:22" x14ac:dyDescent="0.2">
      <c r="D540" s="32">
        <v>45797.777777777781</v>
      </c>
      <c r="E540" s="33" t="s">
        <v>180</v>
      </c>
      <c r="F540" s="34">
        <v>60046.631999999998</v>
      </c>
      <c r="G540" s="34">
        <v>363842.48600000003</v>
      </c>
      <c r="H540" s="34">
        <v>18.777000000000001</v>
      </c>
      <c r="I540" s="33" t="s">
        <v>85</v>
      </c>
      <c r="J540" s="33" t="s">
        <v>90</v>
      </c>
      <c r="K540" s="33">
        <v>18</v>
      </c>
      <c r="L540" s="33">
        <v>1019.3</v>
      </c>
      <c r="M540" s="33">
        <v>63</v>
      </c>
      <c r="N540" s="33"/>
      <c r="O540" s="93">
        <f>IFERROR(IF(Readings[[#This Row],[Obs. X]]="","-",Readings[[#This Row],[Obs. X]]-_xlfn.XLOOKUP(Readings[[#This Row],[Sensor ID]],Table_Baseline[Sensor ID],Table_Baseline[Easting '[m']],"-")),"-")</f>
        <v>-1.0000000038417056E-3</v>
      </c>
      <c r="P540" s="93">
        <f>IFERROR(IF(Readings[[#This Row],[Obs. Y]]="","-",Readings[[#This Row],[Obs. Y]]-_xlfn.XLOOKUP(Readings[[#This Row],[Sensor ID]],Table_Baseline[Sensor ID],Table_Baseline[Northing '[m']],"-")),"-")</f>
        <v>1.0000000474974513E-3</v>
      </c>
      <c r="Q540" s="93">
        <f>IFERROR(IF(Readings[[#This Row],[Obs. Z]]="","-",Readings[[#This Row],[Obs. Z]]-_xlfn.XLOOKUP(Readings[[#This Row],[Sensor ID]],Table_Baseline[Sensor ID],Table_Baseline[Level '[m']],"-")),"-")</f>
        <v>-5.9999999999860165E-4</v>
      </c>
      <c r="R540" s="93">
        <f>IFERROR(IF(Readings[[#This Row],[Reference Angle]]="-","-",(Readings[[#This Row],[Diff E]]*COS(RADIANS(Readings[[#This Row],[Reference Angle]]))-Readings[[#This Row],[Diff N]]*SIN(RADIANS(Readings[[#This Row],[Reference Angle]])))),"-")</f>
        <v>-1.0000000038417056E-3</v>
      </c>
      <c r="S540" s="93">
        <f>IFERROR(IF(Readings[[#This Row],[Reference Angle]]="-","-",(Readings[[#This Row],[Diff E]]*SIN(RADIANS(Readings[[#This Row],[Reference Angle]]))+Readings[[#This Row],[Diff N]]*COS(RADIANS(Readings[[#This Row],[Reference Angle]])))),"-")</f>
        <v>1.0000000474974513E-3</v>
      </c>
      <c r="T540" s="94">
        <f>IFERROR(VLOOKUP(Readings[[#This Row],[Sensor ID]],Table_Baseline[],COLUMNS(Table_Baseline[[#Headers],[Sensor ID]:[Reference Angle '[Deg']]]),FALSE),"-")</f>
        <v>0</v>
      </c>
      <c r="U540" s="95" t="str">
        <f>Readings[[#This Row],[Sensor ID]]&amp;"-"&amp;Readings[[#This Row],[Epoch]]</f>
        <v>250-RL-OP-11009-45797.7777777778</v>
      </c>
      <c r="V540" s="99">
        <f ca="1">IF(Readings[[#This Row],[Epoch]]=OFFSET(Readings[[#This Row],[Epoch]],-1,0),0,1)</f>
        <v>0</v>
      </c>
    </row>
    <row r="541" spans="4:22" x14ac:dyDescent="0.2">
      <c r="D541" s="32">
        <v>45797.777777777781</v>
      </c>
      <c r="E541" s="33" t="s">
        <v>179</v>
      </c>
      <c r="F541" s="34">
        <v>60046.249000000003</v>
      </c>
      <c r="G541" s="34">
        <v>363841.22700000001</v>
      </c>
      <c r="H541" s="34">
        <v>18.77</v>
      </c>
      <c r="I541" s="33" t="s">
        <v>85</v>
      </c>
      <c r="J541" s="33" t="s">
        <v>90</v>
      </c>
      <c r="K541" s="33">
        <v>18</v>
      </c>
      <c r="L541" s="33">
        <v>1019.3</v>
      </c>
      <c r="M541" s="33">
        <v>63</v>
      </c>
      <c r="N541" s="33"/>
      <c r="O541" s="93">
        <f>IFERROR(IF(Readings[[#This Row],[Obs. X]]="","-",Readings[[#This Row],[Obs. X]]-_xlfn.XLOOKUP(Readings[[#This Row],[Sensor ID]],Table_Baseline[Sensor ID],Table_Baseline[Easting '[m']],"-")),"-")</f>
        <v>-9.9999999656574801E-4</v>
      </c>
      <c r="P541" s="93">
        <f>IFERROR(IF(Readings[[#This Row],[Obs. Y]]="","-",Readings[[#This Row],[Obs. Y]]-_xlfn.XLOOKUP(Readings[[#This Row],[Sensor ID]],Table_Baseline[Sensor ID],Table_Baseline[Northing '[m']],"-")),"-")</f>
        <v>9.9999998928979039E-4</v>
      </c>
      <c r="Q541" s="93">
        <f>IFERROR(IF(Readings[[#This Row],[Obs. Z]]="","-",Readings[[#This Row],[Obs. Z]]-_xlfn.XLOOKUP(Readings[[#This Row],[Sensor ID]],Table_Baseline[Sensor ID],Table_Baseline[Level '[m']],"-")),"-")</f>
        <v>1.9999999999953388E-4</v>
      </c>
      <c r="R541" s="93">
        <f>IFERROR(IF(Readings[[#This Row],[Reference Angle]]="-","-",(Readings[[#This Row],[Diff E]]*COS(RADIANS(Readings[[#This Row],[Reference Angle]]))-Readings[[#This Row],[Diff N]]*SIN(RADIANS(Readings[[#This Row],[Reference Angle]])))),"-")</f>
        <v>-9.9999999656574801E-4</v>
      </c>
      <c r="S541" s="93">
        <f>IFERROR(IF(Readings[[#This Row],[Reference Angle]]="-","-",(Readings[[#This Row],[Diff E]]*SIN(RADIANS(Readings[[#This Row],[Reference Angle]]))+Readings[[#This Row],[Diff N]]*COS(RADIANS(Readings[[#This Row],[Reference Angle]])))),"-")</f>
        <v>9.9999998928979039E-4</v>
      </c>
      <c r="T541" s="94">
        <f>IFERROR(VLOOKUP(Readings[[#This Row],[Sensor ID]],Table_Baseline[],COLUMNS(Table_Baseline[[#Headers],[Sensor ID]:[Reference Angle '[Deg']]]),FALSE),"-")</f>
        <v>0</v>
      </c>
      <c r="U541" s="95" t="str">
        <f>Readings[[#This Row],[Sensor ID]]&amp;"-"&amp;Readings[[#This Row],[Epoch]]</f>
        <v>250-RL-OP-11010-45797.7777777778</v>
      </c>
      <c r="V541" s="99">
        <f ca="1">IF(Readings[[#This Row],[Epoch]]=OFFSET(Readings[[#This Row],[Epoch]],-1,0),0,1)</f>
        <v>0</v>
      </c>
    </row>
    <row r="542" spans="4:22" x14ac:dyDescent="0.2">
      <c r="D542" s="32">
        <v>45797.777777777781</v>
      </c>
      <c r="E542" s="33" t="s">
        <v>182</v>
      </c>
      <c r="F542" s="34">
        <v>60049.398000000001</v>
      </c>
      <c r="G542" s="34">
        <v>363841.69900000002</v>
      </c>
      <c r="H542" s="34">
        <v>18.777999999999999</v>
      </c>
      <c r="I542" s="33" t="s">
        <v>85</v>
      </c>
      <c r="J542" s="33" t="s">
        <v>90</v>
      </c>
      <c r="K542" s="33">
        <v>18</v>
      </c>
      <c r="L542" s="33">
        <v>1019.3</v>
      </c>
      <c r="M542" s="33">
        <v>63</v>
      </c>
      <c r="N542" s="33"/>
      <c r="O542" s="93">
        <f>IFERROR(IF(Readings[[#This Row],[Obs. X]]="","-",Readings[[#This Row],[Obs. X]]-_xlfn.XLOOKUP(Readings[[#This Row],[Sensor ID]],Table_Baseline[Sensor ID],Table_Baseline[Easting '[m']],"-")),"-")</f>
        <v>-9.9999999656574801E-4</v>
      </c>
      <c r="P542" s="93">
        <f>IFERROR(IF(Readings[[#This Row],[Obs. Y]]="","-",Readings[[#This Row],[Obs. Y]]-_xlfn.XLOOKUP(Readings[[#This Row],[Sensor ID]],Table_Baseline[Sensor ID],Table_Baseline[Northing '[m']],"-")),"-")</f>
        <v>1.0000000474974513E-3</v>
      </c>
      <c r="Q542" s="93">
        <f>IFERROR(IF(Readings[[#This Row],[Obs. Z]]="","-",Readings[[#This Row],[Obs. Z]]-_xlfn.XLOOKUP(Readings[[#This Row],[Sensor ID]],Table_Baseline[Sensor ID],Table_Baseline[Level '[m']],"-")),"-")</f>
        <v>0</v>
      </c>
      <c r="R542" s="93">
        <f>IFERROR(IF(Readings[[#This Row],[Reference Angle]]="-","-",(Readings[[#This Row],[Diff E]]*COS(RADIANS(Readings[[#This Row],[Reference Angle]]))-Readings[[#This Row],[Diff N]]*SIN(RADIANS(Readings[[#This Row],[Reference Angle]])))),"-")</f>
        <v>-9.9999999656574801E-4</v>
      </c>
      <c r="S542" s="93">
        <f>IFERROR(IF(Readings[[#This Row],[Reference Angle]]="-","-",(Readings[[#This Row],[Diff E]]*SIN(RADIANS(Readings[[#This Row],[Reference Angle]]))+Readings[[#This Row],[Diff N]]*COS(RADIANS(Readings[[#This Row],[Reference Angle]])))),"-")</f>
        <v>1.0000000474974513E-3</v>
      </c>
      <c r="T542" s="94">
        <f>IFERROR(VLOOKUP(Readings[[#This Row],[Sensor ID]],Table_Baseline[],COLUMNS(Table_Baseline[[#Headers],[Sensor ID]:[Reference Angle '[Deg']]]),FALSE),"-")</f>
        <v>0</v>
      </c>
      <c r="U542" s="95" t="str">
        <f>Readings[[#This Row],[Sensor ID]]&amp;"-"&amp;Readings[[#This Row],[Epoch]]</f>
        <v>250-RL-OP-11011-45797.7777777778</v>
      </c>
      <c r="V542" s="99">
        <f ca="1">IF(Readings[[#This Row],[Epoch]]=OFFSET(Readings[[#This Row],[Epoch]],-1,0),0,1)</f>
        <v>0</v>
      </c>
    </row>
    <row r="543" spans="4:22" x14ac:dyDescent="0.2">
      <c r="D543" s="32">
        <v>45797.777777777781</v>
      </c>
      <c r="E543" s="33" t="s">
        <v>181</v>
      </c>
      <c r="F543" s="34">
        <v>60049.04</v>
      </c>
      <c r="G543" s="34">
        <v>363840.43599999999</v>
      </c>
      <c r="H543" s="34">
        <v>18.771000000000001</v>
      </c>
      <c r="I543" s="33" t="s">
        <v>85</v>
      </c>
      <c r="J543" s="33" t="s">
        <v>90</v>
      </c>
      <c r="K543" s="33">
        <v>18</v>
      </c>
      <c r="L543" s="33">
        <v>1019.3</v>
      </c>
      <c r="M543" s="33">
        <v>63</v>
      </c>
      <c r="N543" s="33"/>
      <c r="O543" s="93">
        <f>IFERROR(IF(Readings[[#This Row],[Obs. X]]="","-",Readings[[#This Row],[Obs. X]]-_xlfn.XLOOKUP(Readings[[#This Row],[Sensor ID]],Table_Baseline[Sensor ID],Table_Baseline[Easting '[m']],"-")),"-")</f>
        <v>-9.9999999656574801E-4</v>
      </c>
      <c r="P543" s="93">
        <f>IFERROR(IF(Readings[[#This Row],[Obs. Y]]="","-",Readings[[#This Row],[Obs. Y]]-_xlfn.XLOOKUP(Readings[[#This Row],[Sensor ID]],Table_Baseline[Sensor ID],Table_Baseline[Northing '[m']],"-")),"-")</f>
        <v>3.0000000260770321E-3</v>
      </c>
      <c r="Q543" s="93">
        <f>IFERROR(IF(Readings[[#This Row],[Obs. Z]]="","-",Readings[[#This Row],[Obs. Z]]-_xlfn.XLOOKUP(Readings[[#This Row],[Sensor ID]],Table_Baseline[Sensor ID],Table_Baseline[Level '[m']],"-")),"-")</f>
        <v>-9.9999999999766942E-5</v>
      </c>
      <c r="R543" s="93">
        <f>IFERROR(IF(Readings[[#This Row],[Reference Angle]]="-","-",(Readings[[#This Row],[Diff E]]*COS(RADIANS(Readings[[#This Row],[Reference Angle]]))-Readings[[#This Row],[Diff N]]*SIN(RADIANS(Readings[[#This Row],[Reference Angle]])))),"-")</f>
        <v>-9.9999999656574801E-4</v>
      </c>
      <c r="S543" s="93">
        <f>IFERROR(IF(Readings[[#This Row],[Reference Angle]]="-","-",(Readings[[#This Row],[Diff E]]*SIN(RADIANS(Readings[[#This Row],[Reference Angle]]))+Readings[[#This Row],[Diff N]]*COS(RADIANS(Readings[[#This Row],[Reference Angle]])))),"-")</f>
        <v>3.0000000260770321E-3</v>
      </c>
      <c r="T543" s="94">
        <f>IFERROR(VLOOKUP(Readings[[#This Row],[Sensor ID]],Table_Baseline[],COLUMNS(Table_Baseline[[#Headers],[Sensor ID]:[Reference Angle '[Deg']]]),FALSE),"-")</f>
        <v>0</v>
      </c>
      <c r="U543" s="95" t="str">
        <f>Readings[[#This Row],[Sensor ID]]&amp;"-"&amp;Readings[[#This Row],[Epoch]]</f>
        <v>250-RL-OP-11012-45797.7777777778</v>
      </c>
      <c r="V543" s="99">
        <f ca="1">IF(Readings[[#This Row],[Epoch]]=OFFSET(Readings[[#This Row],[Epoch]],-1,0),0,1)</f>
        <v>0</v>
      </c>
    </row>
    <row r="544" spans="4:22" x14ac:dyDescent="0.2">
      <c r="D544" s="32">
        <v>45797.777777777781</v>
      </c>
      <c r="E544" s="33" t="s">
        <v>184</v>
      </c>
      <c r="F544" s="34">
        <v>60052.292000000001</v>
      </c>
      <c r="G544" s="34">
        <v>363840.88699999999</v>
      </c>
      <c r="H544" s="34">
        <v>18.779</v>
      </c>
      <c r="I544" s="33" t="s">
        <v>85</v>
      </c>
      <c r="J544" s="33" t="s">
        <v>90</v>
      </c>
      <c r="K544" s="33">
        <v>18</v>
      </c>
      <c r="L544" s="33">
        <v>1019.3</v>
      </c>
      <c r="M544" s="33">
        <v>63</v>
      </c>
      <c r="N544" s="33"/>
      <c r="O544" s="93">
        <f>IFERROR(IF(Readings[[#This Row],[Obs. X]]="","-",Readings[[#This Row],[Obs. X]]-_xlfn.XLOOKUP(Readings[[#This Row],[Sensor ID]],Table_Baseline[Sensor ID],Table_Baseline[Easting '[m']],"-")),"-")</f>
        <v>-9.9999999656574801E-4</v>
      </c>
      <c r="P544" s="93">
        <f>IFERROR(IF(Readings[[#This Row],[Obs. Y]]="","-",Readings[[#This Row],[Obs. Y]]-_xlfn.XLOOKUP(Readings[[#This Row],[Sensor ID]],Table_Baseline[Sensor ID],Table_Baseline[Northing '[m']],"-")),"-")</f>
        <v>1.9999999785795808E-3</v>
      </c>
      <c r="Q544" s="93">
        <f>IFERROR(IF(Readings[[#This Row],[Obs. Z]]="","-",Readings[[#This Row],[Obs. Z]]-_xlfn.XLOOKUP(Readings[[#This Row],[Sensor ID]],Table_Baseline[Sensor ID],Table_Baseline[Level '[m']],"-")),"-")</f>
        <v>0</v>
      </c>
      <c r="R544" s="93">
        <f>IFERROR(IF(Readings[[#This Row],[Reference Angle]]="-","-",(Readings[[#This Row],[Diff E]]*COS(RADIANS(Readings[[#This Row],[Reference Angle]]))-Readings[[#This Row],[Diff N]]*SIN(RADIANS(Readings[[#This Row],[Reference Angle]])))),"-")</f>
        <v>-9.9999999656574801E-4</v>
      </c>
      <c r="S544" s="93">
        <f>IFERROR(IF(Readings[[#This Row],[Reference Angle]]="-","-",(Readings[[#This Row],[Diff E]]*SIN(RADIANS(Readings[[#This Row],[Reference Angle]]))+Readings[[#This Row],[Diff N]]*COS(RADIANS(Readings[[#This Row],[Reference Angle]])))),"-")</f>
        <v>1.9999999785795808E-3</v>
      </c>
      <c r="T544" s="94">
        <f>IFERROR(VLOOKUP(Readings[[#This Row],[Sensor ID]],Table_Baseline[],COLUMNS(Table_Baseline[[#Headers],[Sensor ID]:[Reference Angle '[Deg']]]),FALSE),"-")</f>
        <v>0</v>
      </c>
      <c r="U544" s="95" t="str">
        <f>Readings[[#This Row],[Sensor ID]]&amp;"-"&amp;Readings[[#This Row],[Epoch]]</f>
        <v>250-RL-OP-11013-45797.7777777778</v>
      </c>
      <c r="V544" s="99">
        <f ca="1">IF(Readings[[#This Row],[Epoch]]=OFFSET(Readings[[#This Row],[Epoch]],-1,0),0,1)</f>
        <v>0</v>
      </c>
    </row>
    <row r="545" spans="4:22" x14ac:dyDescent="0.2">
      <c r="D545" s="32">
        <v>45797.777777777781</v>
      </c>
      <c r="E545" s="33" t="s">
        <v>183</v>
      </c>
      <c r="F545" s="34">
        <v>60051.987999999998</v>
      </c>
      <c r="G545" s="34">
        <v>363839.60600000003</v>
      </c>
      <c r="H545" s="34">
        <v>18.77</v>
      </c>
      <c r="I545" s="33" t="s">
        <v>85</v>
      </c>
      <c r="J545" s="33" t="s">
        <v>90</v>
      </c>
      <c r="K545" s="33">
        <v>18</v>
      </c>
      <c r="L545" s="33">
        <v>1019.3</v>
      </c>
      <c r="M545" s="33">
        <v>63</v>
      </c>
      <c r="N545" s="33"/>
      <c r="O545" s="93">
        <f>IFERROR(IF(Readings[[#This Row],[Obs. X]]="","-",Readings[[#This Row],[Obs. X]]-_xlfn.XLOOKUP(Readings[[#This Row],[Sensor ID]],Table_Baseline[Sensor ID],Table_Baseline[Easting '[m']],"-")),"-")</f>
        <v>-1.0000000038417056E-3</v>
      </c>
      <c r="P545" s="93">
        <f>IFERROR(IF(Readings[[#This Row],[Obs. Y]]="","-",Readings[[#This Row],[Obs. Y]]-_xlfn.XLOOKUP(Readings[[#This Row],[Sensor ID]],Table_Baseline[Sensor ID],Table_Baseline[Northing '[m']],"-")),"-")</f>
        <v>3.0000000260770321E-3</v>
      </c>
      <c r="Q545" s="93">
        <f>IFERROR(IF(Readings[[#This Row],[Obs. Z]]="","-",Readings[[#This Row],[Obs. Z]]-_xlfn.XLOOKUP(Readings[[#This Row],[Sensor ID]],Table_Baseline[Sensor ID],Table_Baseline[Level '[m']],"-")),"-")</f>
        <v>-9.9999999999766942E-5</v>
      </c>
      <c r="R545" s="93">
        <f>IFERROR(IF(Readings[[#This Row],[Reference Angle]]="-","-",(Readings[[#This Row],[Diff E]]*COS(RADIANS(Readings[[#This Row],[Reference Angle]]))-Readings[[#This Row],[Diff N]]*SIN(RADIANS(Readings[[#This Row],[Reference Angle]])))),"-")</f>
        <v>-1.0000000038417056E-3</v>
      </c>
      <c r="S545" s="93">
        <f>IFERROR(IF(Readings[[#This Row],[Reference Angle]]="-","-",(Readings[[#This Row],[Diff E]]*SIN(RADIANS(Readings[[#This Row],[Reference Angle]]))+Readings[[#This Row],[Diff N]]*COS(RADIANS(Readings[[#This Row],[Reference Angle]])))),"-")</f>
        <v>3.0000000260770321E-3</v>
      </c>
      <c r="T545" s="94">
        <f>IFERROR(VLOOKUP(Readings[[#This Row],[Sensor ID]],Table_Baseline[],COLUMNS(Table_Baseline[[#Headers],[Sensor ID]:[Reference Angle '[Deg']]]),FALSE),"-")</f>
        <v>0</v>
      </c>
      <c r="U545" s="95" t="str">
        <f>Readings[[#This Row],[Sensor ID]]&amp;"-"&amp;Readings[[#This Row],[Epoch]]</f>
        <v>250-RL-OP-11014-45797.7777777778</v>
      </c>
      <c r="V545" s="99">
        <f ca="1">IF(Readings[[#This Row],[Epoch]]=OFFSET(Readings[[#This Row],[Epoch]],-1,0),0,1)</f>
        <v>0</v>
      </c>
    </row>
    <row r="546" spans="4:22" x14ac:dyDescent="0.2">
      <c r="D546" s="32">
        <v>45797.777777777781</v>
      </c>
      <c r="E546" s="33" t="s">
        <v>186</v>
      </c>
      <c r="F546" s="34">
        <v>60055.196000000004</v>
      </c>
      <c r="G546" s="34">
        <v>363840.09700000001</v>
      </c>
      <c r="H546" s="34">
        <v>18.78</v>
      </c>
      <c r="I546" s="33" t="s">
        <v>85</v>
      </c>
      <c r="J546" s="33" t="s">
        <v>90</v>
      </c>
      <c r="K546" s="33">
        <v>18</v>
      </c>
      <c r="L546" s="33">
        <v>1019.3</v>
      </c>
      <c r="M546" s="33">
        <v>63</v>
      </c>
      <c r="N546" s="33"/>
      <c r="O546" s="93">
        <f>IFERROR(IF(Readings[[#This Row],[Obs. X]]="","-",Readings[[#This Row],[Obs. X]]-_xlfn.XLOOKUP(Readings[[#This Row],[Sensor ID]],Table_Baseline[Sensor ID],Table_Baseline[Easting '[m']],"-")),"-")</f>
        <v>0</v>
      </c>
      <c r="P546" s="93">
        <f>IFERROR(IF(Readings[[#This Row],[Obs. Y]]="","-",Readings[[#This Row],[Obs. Y]]-_xlfn.XLOOKUP(Readings[[#This Row],[Sensor ID]],Table_Baseline[Sensor ID],Table_Baseline[Northing '[m']],"-")),"-")</f>
        <v>2.0000000367872417E-3</v>
      </c>
      <c r="Q546" s="93">
        <f>IFERROR(IF(Readings[[#This Row],[Obs. Z]]="","-",Readings[[#This Row],[Obs. Z]]-_xlfn.XLOOKUP(Readings[[#This Row],[Sensor ID]],Table_Baseline[Sensor ID],Table_Baseline[Level '[m']],"-")),"-")</f>
        <v>-8.9999999999790248E-4</v>
      </c>
      <c r="R546" s="93">
        <f>IFERROR(IF(Readings[[#This Row],[Reference Angle]]="-","-",(Readings[[#This Row],[Diff E]]*COS(RADIANS(Readings[[#This Row],[Reference Angle]]))-Readings[[#This Row],[Diff N]]*SIN(RADIANS(Readings[[#This Row],[Reference Angle]])))),"-")</f>
        <v>0</v>
      </c>
      <c r="S546" s="93">
        <f>IFERROR(IF(Readings[[#This Row],[Reference Angle]]="-","-",(Readings[[#This Row],[Diff E]]*SIN(RADIANS(Readings[[#This Row],[Reference Angle]]))+Readings[[#This Row],[Diff N]]*COS(RADIANS(Readings[[#This Row],[Reference Angle]])))),"-")</f>
        <v>2.0000000367872417E-3</v>
      </c>
      <c r="T546" s="94">
        <f>IFERROR(VLOOKUP(Readings[[#This Row],[Sensor ID]],Table_Baseline[],COLUMNS(Table_Baseline[[#Headers],[Sensor ID]:[Reference Angle '[Deg']]]),FALSE),"-")</f>
        <v>0</v>
      </c>
      <c r="U546" s="95" t="str">
        <f>Readings[[#This Row],[Sensor ID]]&amp;"-"&amp;Readings[[#This Row],[Epoch]]</f>
        <v>250-RL-OP-11015-45797.7777777778</v>
      </c>
      <c r="V546" s="99">
        <f ca="1">IF(Readings[[#This Row],[Epoch]]=OFFSET(Readings[[#This Row],[Epoch]],-1,0),0,1)</f>
        <v>0</v>
      </c>
    </row>
    <row r="547" spans="4:22" x14ac:dyDescent="0.2">
      <c r="D547" s="32">
        <v>45797.777777777781</v>
      </c>
      <c r="E547" s="33" t="s">
        <v>185</v>
      </c>
      <c r="F547" s="34">
        <v>60054.883999999998</v>
      </c>
      <c r="G547" s="34">
        <v>363838.80700000003</v>
      </c>
      <c r="H547" s="34">
        <v>18.773</v>
      </c>
      <c r="I547" s="33" t="s">
        <v>85</v>
      </c>
      <c r="J547" s="33" t="s">
        <v>90</v>
      </c>
      <c r="K547" s="33">
        <v>18</v>
      </c>
      <c r="L547" s="33">
        <v>1019.3</v>
      </c>
      <c r="M547" s="33">
        <v>63</v>
      </c>
      <c r="N547" s="33"/>
      <c r="O547" s="93">
        <f>IFERROR(IF(Readings[[#This Row],[Obs. X]]="","-",Readings[[#This Row],[Obs. X]]-_xlfn.XLOOKUP(Readings[[#This Row],[Sensor ID]],Table_Baseline[Sensor ID],Table_Baseline[Easting '[m']],"-")),"-")</f>
        <v>-2.0000000004074536E-3</v>
      </c>
      <c r="P547" s="93">
        <f>IFERROR(IF(Readings[[#This Row],[Obs. Y]]="","-",Readings[[#This Row],[Obs. Y]]-_xlfn.XLOOKUP(Readings[[#This Row],[Sensor ID]],Table_Baseline[Sensor ID],Table_Baseline[Northing '[m']],"-")),"-")</f>
        <v>2.0000000367872417E-3</v>
      </c>
      <c r="Q547" s="93">
        <f>IFERROR(IF(Readings[[#This Row],[Obs. Z]]="","-",Readings[[#This Row],[Obs. Z]]-_xlfn.XLOOKUP(Readings[[#This Row],[Sensor ID]],Table_Baseline[Sensor ID],Table_Baseline[Level '[m']],"-")),"-")</f>
        <v>-9.9999999999766942E-5</v>
      </c>
      <c r="R547" s="93">
        <f>IFERROR(IF(Readings[[#This Row],[Reference Angle]]="-","-",(Readings[[#This Row],[Diff E]]*COS(RADIANS(Readings[[#This Row],[Reference Angle]]))-Readings[[#This Row],[Diff N]]*SIN(RADIANS(Readings[[#This Row],[Reference Angle]])))),"-")</f>
        <v>-2.0000000004074536E-3</v>
      </c>
      <c r="S547" s="93">
        <f>IFERROR(IF(Readings[[#This Row],[Reference Angle]]="-","-",(Readings[[#This Row],[Diff E]]*SIN(RADIANS(Readings[[#This Row],[Reference Angle]]))+Readings[[#This Row],[Diff N]]*COS(RADIANS(Readings[[#This Row],[Reference Angle]])))),"-")</f>
        <v>2.0000000367872417E-3</v>
      </c>
      <c r="T547" s="94">
        <f>IFERROR(VLOOKUP(Readings[[#This Row],[Sensor ID]],Table_Baseline[],COLUMNS(Table_Baseline[[#Headers],[Sensor ID]:[Reference Angle '[Deg']]]),FALSE),"-")</f>
        <v>0</v>
      </c>
      <c r="U547" s="95" t="str">
        <f>Readings[[#This Row],[Sensor ID]]&amp;"-"&amp;Readings[[#This Row],[Epoch]]</f>
        <v>250-RL-OP-11016-45797.7777777778</v>
      </c>
      <c r="V547" s="99">
        <f ca="1">IF(Readings[[#This Row],[Epoch]]=OFFSET(Readings[[#This Row],[Epoch]],-1,0),0,1)</f>
        <v>0</v>
      </c>
    </row>
    <row r="548" spans="4:22" x14ac:dyDescent="0.2">
      <c r="D548" s="32">
        <v>45797.777777777781</v>
      </c>
      <c r="E548" s="33" t="s">
        <v>188</v>
      </c>
      <c r="F548" s="34">
        <v>60057.951999999997</v>
      </c>
      <c r="G548" s="34">
        <v>363839.36499999999</v>
      </c>
      <c r="H548" s="34">
        <v>18.785</v>
      </c>
      <c r="I548" s="33" t="s">
        <v>85</v>
      </c>
      <c r="J548" s="33" t="s">
        <v>90</v>
      </c>
      <c r="K548" s="33">
        <v>18</v>
      </c>
      <c r="L548" s="33">
        <v>1019.3</v>
      </c>
      <c r="M548" s="33">
        <v>63</v>
      </c>
      <c r="N548" s="33"/>
      <c r="O548" s="93">
        <f>IFERROR(IF(Readings[[#This Row],[Obs. X]]="","-",Readings[[#This Row],[Obs. X]]-_xlfn.XLOOKUP(Readings[[#This Row],[Sensor ID]],Table_Baseline[Sensor ID],Table_Baseline[Easting '[m']],"-")),"-")</f>
        <v>0</v>
      </c>
      <c r="P548" s="93">
        <f>IFERROR(IF(Readings[[#This Row],[Obs. Y]]="","-",Readings[[#This Row],[Obs. Y]]-_xlfn.XLOOKUP(Readings[[#This Row],[Sensor ID]],Table_Baseline[Sensor ID],Table_Baseline[Northing '[m']],"-")),"-")</f>
        <v>3.0000000260770321E-3</v>
      </c>
      <c r="Q548" s="93">
        <f>IFERROR(IF(Readings[[#This Row],[Obs. Z]]="","-",Readings[[#This Row],[Obs. Z]]-_xlfn.XLOOKUP(Readings[[#This Row],[Sensor ID]],Table_Baseline[Sensor ID],Table_Baseline[Level '[m']],"-")),"-")</f>
        <v>-1.0000000000012221E-3</v>
      </c>
      <c r="R548" s="93">
        <f>IFERROR(IF(Readings[[#This Row],[Reference Angle]]="-","-",(Readings[[#This Row],[Diff E]]*COS(RADIANS(Readings[[#This Row],[Reference Angle]]))-Readings[[#This Row],[Diff N]]*SIN(RADIANS(Readings[[#This Row],[Reference Angle]])))),"-")</f>
        <v>0</v>
      </c>
      <c r="S548" s="93">
        <f>IFERROR(IF(Readings[[#This Row],[Reference Angle]]="-","-",(Readings[[#This Row],[Diff E]]*SIN(RADIANS(Readings[[#This Row],[Reference Angle]]))+Readings[[#This Row],[Diff N]]*COS(RADIANS(Readings[[#This Row],[Reference Angle]])))),"-")</f>
        <v>3.0000000260770321E-3</v>
      </c>
      <c r="T548" s="94">
        <f>IFERROR(VLOOKUP(Readings[[#This Row],[Sensor ID]],Table_Baseline[],COLUMNS(Table_Baseline[[#Headers],[Sensor ID]:[Reference Angle '[Deg']]]),FALSE),"-")</f>
        <v>0</v>
      </c>
      <c r="U548" s="95" t="str">
        <f>Readings[[#This Row],[Sensor ID]]&amp;"-"&amp;Readings[[#This Row],[Epoch]]</f>
        <v>250-RL-OP-11017-45797.7777777778</v>
      </c>
      <c r="V548" s="99">
        <f ca="1">IF(Readings[[#This Row],[Epoch]]=OFFSET(Readings[[#This Row],[Epoch]],-1,0),0,1)</f>
        <v>0</v>
      </c>
    </row>
    <row r="549" spans="4:22" x14ac:dyDescent="0.2">
      <c r="D549" s="32">
        <v>45797.777777777781</v>
      </c>
      <c r="E549" s="33" t="s">
        <v>187</v>
      </c>
      <c r="F549" s="34">
        <v>60057.578000000001</v>
      </c>
      <c r="G549" s="34">
        <v>363838.1</v>
      </c>
      <c r="H549" s="34">
        <v>18.774999999999999</v>
      </c>
      <c r="I549" s="33" t="s">
        <v>85</v>
      </c>
      <c r="J549" s="33" t="s">
        <v>90</v>
      </c>
      <c r="K549" s="33">
        <v>18</v>
      </c>
      <c r="L549" s="33">
        <v>1019.3</v>
      </c>
      <c r="M549" s="33">
        <v>63</v>
      </c>
      <c r="N549" s="33"/>
      <c r="O549" s="93">
        <f>IFERROR(IF(Readings[[#This Row],[Obs. X]]="","-",Readings[[#This Row],[Obs. X]]-_xlfn.XLOOKUP(Readings[[#This Row],[Sensor ID]],Table_Baseline[Sensor ID],Table_Baseline[Easting '[m']],"-")),"-")</f>
        <v>-9.9999999656574801E-4</v>
      </c>
      <c r="P549" s="93">
        <f>IFERROR(IF(Readings[[#This Row],[Obs. Y]]="","-",Readings[[#This Row],[Obs. Y]]-_xlfn.XLOOKUP(Readings[[#This Row],[Sensor ID]],Table_Baseline[Sensor ID],Table_Baseline[Northing '[m']],"-")),"-")</f>
        <v>1.9999999785795808E-3</v>
      </c>
      <c r="Q549" s="93">
        <f>IFERROR(IF(Readings[[#This Row],[Obs. Z]]="","-",Readings[[#This Row],[Obs. Z]]-_xlfn.XLOOKUP(Readings[[#This Row],[Sensor ID]],Table_Baseline[Sensor ID],Table_Baseline[Level '[m']],"-")),"-")</f>
        <v>-1.0000000000012221E-3</v>
      </c>
      <c r="R549" s="93">
        <f>IFERROR(IF(Readings[[#This Row],[Reference Angle]]="-","-",(Readings[[#This Row],[Diff E]]*COS(RADIANS(Readings[[#This Row],[Reference Angle]]))-Readings[[#This Row],[Diff N]]*SIN(RADIANS(Readings[[#This Row],[Reference Angle]])))),"-")</f>
        <v>-9.9999999656574801E-4</v>
      </c>
      <c r="S549" s="93">
        <f>IFERROR(IF(Readings[[#This Row],[Reference Angle]]="-","-",(Readings[[#This Row],[Diff E]]*SIN(RADIANS(Readings[[#This Row],[Reference Angle]]))+Readings[[#This Row],[Diff N]]*COS(RADIANS(Readings[[#This Row],[Reference Angle]])))),"-")</f>
        <v>1.9999999785795808E-3</v>
      </c>
      <c r="T549" s="94">
        <f>IFERROR(VLOOKUP(Readings[[#This Row],[Sensor ID]],Table_Baseline[],COLUMNS(Table_Baseline[[#Headers],[Sensor ID]:[Reference Angle '[Deg']]]),FALSE),"-")</f>
        <v>0</v>
      </c>
      <c r="U549" s="95" t="str">
        <f>Readings[[#This Row],[Sensor ID]]&amp;"-"&amp;Readings[[#This Row],[Epoch]]</f>
        <v>250-RL-OP-11018-45797.7777777778</v>
      </c>
      <c r="V549" s="99">
        <f ca="1">IF(Readings[[#This Row],[Epoch]]=OFFSET(Readings[[#This Row],[Epoch]],-1,0),0,1)</f>
        <v>0</v>
      </c>
    </row>
    <row r="550" spans="4:22" x14ac:dyDescent="0.2">
      <c r="D550" s="32">
        <v>45797.777777777781</v>
      </c>
      <c r="E550" s="33" t="s">
        <v>190</v>
      </c>
      <c r="F550" s="34">
        <v>60060.962</v>
      </c>
      <c r="G550" s="34">
        <v>363838.603</v>
      </c>
      <c r="H550" s="34">
        <v>18.794</v>
      </c>
      <c r="I550" s="33" t="s">
        <v>85</v>
      </c>
      <c r="J550" s="33" t="s">
        <v>90</v>
      </c>
      <c r="K550" s="33">
        <v>18</v>
      </c>
      <c r="L550" s="33">
        <v>1019.3</v>
      </c>
      <c r="M550" s="33">
        <v>63</v>
      </c>
      <c r="N550" s="33"/>
      <c r="O550" s="93">
        <f>IFERROR(IF(Readings[[#This Row],[Obs. X]]="","-",Readings[[#This Row],[Obs. X]]-_xlfn.XLOOKUP(Readings[[#This Row],[Sensor ID]],Table_Baseline[Sensor ID],Table_Baseline[Easting '[m']],"-")),"-")</f>
        <v>-1.0000000038417056E-3</v>
      </c>
      <c r="P550" s="93">
        <f>IFERROR(IF(Readings[[#This Row],[Obs. Y]]="","-",Readings[[#This Row],[Obs. Y]]-_xlfn.XLOOKUP(Readings[[#This Row],[Sensor ID]],Table_Baseline[Sensor ID],Table_Baseline[Northing '[m']],"-")),"-")</f>
        <v>1.9999999785795808E-3</v>
      </c>
      <c r="Q550" s="93">
        <f>IFERROR(IF(Readings[[#This Row],[Obs. Z]]="","-",Readings[[#This Row],[Obs. Z]]-_xlfn.XLOOKUP(Readings[[#This Row],[Sensor ID]],Table_Baseline[Sensor ID],Table_Baseline[Level '[m']],"-")),"-")</f>
        <v>-5.9999999999860165E-4</v>
      </c>
      <c r="R550" s="93">
        <f>IFERROR(IF(Readings[[#This Row],[Reference Angle]]="-","-",(Readings[[#This Row],[Diff E]]*COS(RADIANS(Readings[[#This Row],[Reference Angle]]))-Readings[[#This Row],[Diff N]]*SIN(RADIANS(Readings[[#This Row],[Reference Angle]])))),"-")</f>
        <v>-1.0000000038417056E-3</v>
      </c>
      <c r="S550" s="93">
        <f>IFERROR(IF(Readings[[#This Row],[Reference Angle]]="-","-",(Readings[[#This Row],[Diff E]]*SIN(RADIANS(Readings[[#This Row],[Reference Angle]]))+Readings[[#This Row],[Diff N]]*COS(RADIANS(Readings[[#This Row],[Reference Angle]])))),"-")</f>
        <v>1.9999999785795808E-3</v>
      </c>
      <c r="T550" s="94">
        <f>IFERROR(VLOOKUP(Readings[[#This Row],[Sensor ID]],Table_Baseline[],COLUMNS(Table_Baseline[[#Headers],[Sensor ID]:[Reference Angle '[Deg']]]),FALSE),"-")</f>
        <v>0</v>
      </c>
      <c r="U550" s="95" t="str">
        <f>Readings[[#This Row],[Sensor ID]]&amp;"-"&amp;Readings[[#This Row],[Epoch]]</f>
        <v>250-RL-OP-11019-45797.7777777778</v>
      </c>
      <c r="V550" s="99">
        <f ca="1">IF(Readings[[#This Row],[Epoch]]=OFFSET(Readings[[#This Row],[Epoch]],-1,0),0,1)</f>
        <v>0</v>
      </c>
    </row>
    <row r="551" spans="4:22" x14ac:dyDescent="0.2">
      <c r="D551" s="32">
        <v>45797.777777777781</v>
      </c>
      <c r="E551" s="33" t="s">
        <v>189</v>
      </c>
      <c r="F551" s="34">
        <v>60060.639000000003</v>
      </c>
      <c r="G551" s="34">
        <v>363837.32500000001</v>
      </c>
      <c r="H551" s="34">
        <v>18.783000000000001</v>
      </c>
      <c r="I551" s="33" t="s">
        <v>85</v>
      </c>
      <c r="J551" s="33" t="s">
        <v>90</v>
      </c>
      <c r="K551" s="33">
        <v>18</v>
      </c>
      <c r="L551" s="33">
        <v>1019.3</v>
      </c>
      <c r="M551" s="33">
        <v>63</v>
      </c>
      <c r="N551" s="33"/>
      <c r="O551" s="93">
        <f>IFERROR(IF(Readings[[#This Row],[Obs. X]]="","-",Readings[[#This Row],[Obs. X]]-_xlfn.XLOOKUP(Readings[[#This Row],[Sensor ID]],Table_Baseline[Sensor ID],Table_Baseline[Easting '[m']],"-")),"-")</f>
        <v>-9.9999999656574801E-4</v>
      </c>
      <c r="P551" s="93">
        <f>IFERROR(IF(Readings[[#This Row],[Obs. Y]]="","-",Readings[[#This Row],[Obs. Y]]-_xlfn.XLOOKUP(Readings[[#This Row],[Sensor ID]],Table_Baseline[Sensor ID],Table_Baseline[Northing '[m']],"-")),"-")</f>
        <v>3.0000000260770321E-3</v>
      </c>
      <c r="Q551" s="93">
        <f>IFERROR(IF(Readings[[#This Row],[Obs. Z]]="","-",Readings[[#This Row],[Obs. Z]]-_xlfn.XLOOKUP(Readings[[#This Row],[Sensor ID]],Table_Baseline[Sensor ID],Table_Baseline[Level '[m']],"-")),"-")</f>
        <v>-5.9999999999860165E-4</v>
      </c>
      <c r="R551" s="93">
        <f>IFERROR(IF(Readings[[#This Row],[Reference Angle]]="-","-",(Readings[[#This Row],[Diff E]]*COS(RADIANS(Readings[[#This Row],[Reference Angle]]))-Readings[[#This Row],[Diff N]]*SIN(RADIANS(Readings[[#This Row],[Reference Angle]])))),"-")</f>
        <v>-9.9999999656574801E-4</v>
      </c>
      <c r="S551" s="93">
        <f>IFERROR(IF(Readings[[#This Row],[Reference Angle]]="-","-",(Readings[[#This Row],[Diff E]]*SIN(RADIANS(Readings[[#This Row],[Reference Angle]]))+Readings[[#This Row],[Diff N]]*COS(RADIANS(Readings[[#This Row],[Reference Angle]])))),"-")</f>
        <v>3.0000000260770321E-3</v>
      </c>
      <c r="T551" s="94">
        <f>IFERROR(VLOOKUP(Readings[[#This Row],[Sensor ID]],Table_Baseline[],COLUMNS(Table_Baseline[[#Headers],[Sensor ID]:[Reference Angle '[Deg']]]),FALSE),"-")</f>
        <v>0</v>
      </c>
      <c r="U551" s="95" t="str">
        <f>Readings[[#This Row],[Sensor ID]]&amp;"-"&amp;Readings[[#This Row],[Epoch]]</f>
        <v>250-RL-OP-11020-45797.7777777778</v>
      </c>
      <c r="V551" s="99">
        <f ca="1">IF(Readings[[#This Row],[Epoch]]=OFFSET(Readings[[#This Row],[Epoch]],-1,0),0,1)</f>
        <v>0</v>
      </c>
    </row>
    <row r="552" spans="4:22" x14ac:dyDescent="0.2">
      <c r="D552" s="32">
        <v>45797.777777777781</v>
      </c>
      <c r="E552" s="33" t="s">
        <v>192</v>
      </c>
      <c r="F552" s="34">
        <v>60063.75</v>
      </c>
      <c r="G552" s="34">
        <v>363837.92000000004</v>
      </c>
      <c r="H552" s="34">
        <v>18.808</v>
      </c>
      <c r="I552" s="33" t="s">
        <v>85</v>
      </c>
      <c r="J552" s="33" t="s">
        <v>90</v>
      </c>
      <c r="K552" s="33">
        <v>18</v>
      </c>
      <c r="L552" s="33">
        <v>1019.3</v>
      </c>
      <c r="M552" s="33">
        <v>63</v>
      </c>
      <c r="N552" s="33"/>
      <c r="O552" s="93">
        <f>IFERROR(IF(Readings[[#This Row],[Obs. X]]="","-",Readings[[#This Row],[Obs. X]]-_xlfn.XLOOKUP(Readings[[#This Row],[Sensor ID]],Table_Baseline[Sensor ID],Table_Baseline[Easting '[m']],"-")),"-")</f>
        <v>-9.9999999656574801E-4</v>
      </c>
      <c r="P552" s="93">
        <f>IFERROR(IF(Readings[[#This Row],[Obs. Y]]="","-",Readings[[#This Row],[Obs. Y]]-_xlfn.XLOOKUP(Readings[[#This Row],[Sensor ID]],Table_Baseline[Sensor ID],Table_Baseline[Northing '[m']],"-")),"-")</f>
        <v>2.0000000367872417E-3</v>
      </c>
      <c r="Q552" s="93">
        <f>IFERROR(IF(Readings[[#This Row],[Obs. Z]]="","-",Readings[[#This Row],[Obs. Z]]-_xlfn.XLOOKUP(Readings[[#This Row],[Sensor ID]],Table_Baseline[Sensor ID],Table_Baseline[Level '[m']],"-")),"-")</f>
        <v>-1.0000000000012221E-3</v>
      </c>
      <c r="R552" s="93">
        <f>IFERROR(IF(Readings[[#This Row],[Reference Angle]]="-","-",(Readings[[#This Row],[Diff E]]*COS(RADIANS(Readings[[#This Row],[Reference Angle]]))-Readings[[#This Row],[Diff N]]*SIN(RADIANS(Readings[[#This Row],[Reference Angle]])))),"-")</f>
        <v>-9.9999999656574801E-4</v>
      </c>
      <c r="S552" s="93">
        <f>IFERROR(IF(Readings[[#This Row],[Reference Angle]]="-","-",(Readings[[#This Row],[Diff E]]*SIN(RADIANS(Readings[[#This Row],[Reference Angle]]))+Readings[[#This Row],[Diff N]]*COS(RADIANS(Readings[[#This Row],[Reference Angle]])))),"-")</f>
        <v>2.0000000367872417E-3</v>
      </c>
      <c r="T552" s="94">
        <f>IFERROR(VLOOKUP(Readings[[#This Row],[Sensor ID]],Table_Baseline[],COLUMNS(Table_Baseline[[#Headers],[Sensor ID]:[Reference Angle '[Deg']]]),FALSE),"-")</f>
        <v>0</v>
      </c>
      <c r="U552" s="95" t="str">
        <f>Readings[[#This Row],[Sensor ID]]&amp;"-"&amp;Readings[[#This Row],[Epoch]]</f>
        <v>250-RL-OP-11021-45797.7777777778</v>
      </c>
      <c r="V552" s="99">
        <f ca="1">IF(Readings[[#This Row],[Epoch]]=OFFSET(Readings[[#This Row],[Epoch]],-1,0),0,1)</f>
        <v>0</v>
      </c>
    </row>
    <row r="553" spans="4:22" x14ac:dyDescent="0.2">
      <c r="D553" s="32">
        <v>45797.777777777781</v>
      </c>
      <c r="E553" s="33" t="s">
        <v>191</v>
      </c>
      <c r="F553" s="34">
        <v>60063.42</v>
      </c>
      <c r="G553" s="34">
        <v>363836.63899999997</v>
      </c>
      <c r="H553" s="34">
        <v>18.794</v>
      </c>
      <c r="I553" s="33" t="s">
        <v>85</v>
      </c>
      <c r="J553" s="33" t="s">
        <v>90</v>
      </c>
      <c r="K553" s="33">
        <v>18</v>
      </c>
      <c r="L553" s="33">
        <v>1019.3</v>
      </c>
      <c r="M553" s="33">
        <v>63</v>
      </c>
      <c r="N553" s="33"/>
      <c r="O553" s="93">
        <f>IFERROR(IF(Readings[[#This Row],[Obs. X]]="","-",Readings[[#This Row],[Obs. X]]-_xlfn.XLOOKUP(Readings[[#This Row],[Sensor ID]],Table_Baseline[Sensor ID],Table_Baseline[Easting '[m']],"-")),"-")</f>
        <v>-2.0000000004074536E-3</v>
      </c>
      <c r="P553" s="93">
        <f>IFERROR(IF(Readings[[#This Row],[Obs. Y]]="","-",Readings[[#This Row],[Obs. Y]]-_xlfn.XLOOKUP(Readings[[#This Row],[Sensor ID]],Table_Baseline[Sensor ID],Table_Baseline[Northing '[m']],"-")),"-")</f>
        <v>2.9999999678693712E-3</v>
      </c>
      <c r="Q553" s="93">
        <f>IFERROR(IF(Readings[[#This Row],[Obs. Z]]="","-",Readings[[#This Row],[Obs. Z]]-_xlfn.XLOOKUP(Readings[[#This Row],[Sensor ID]],Table_Baseline[Sensor ID],Table_Baseline[Level '[m']],"-")),"-")</f>
        <v>-8.9999999999790248E-4</v>
      </c>
      <c r="R553" s="93">
        <f>IFERROR(IF(Readings[[#This Row],[Reference Angle]]="-","-",(Readings[[#This Row],[Diff E]]*COS(RADIANS(Readings[[#This Row],[Reference Angle]]))-Readings[[#This Row],[Diff N]]*SIN(RADIANS(Readings[[#This Row],[Reference Angle]])))),"-")</f>
        <v>-2.0000000004074536E-3</v>
      </c>
      <c r="S553" s="93">
        <f>IFERROR(IF(Readings[[#This Row],[Reference Angle]]="-","-",(Readings[[#This Row],[Diff E]]*SIN(RADIANS(Readings[[#This Row],[Reference Angle]]))+Readings[[#This Row],[Diff N]]*COS(RADIANS(Readings[[#This Row],[Reference Angle]])))),"-")</f>
        <v>2.9999999678693712E-3</v>
      </c>
      <c r="T553" s="94">
        <f>IFERROR(VLOOKUP(Readings[[#This Row],[Sensor ID]],Table_Baseline[],COLUMNS(Table_Baseline[[#Headers],[Sensor ID]:[Reference Angle '[Deg']]]),FALSE),"-")</f>
        <v>0</v>
      </c>
      <c r="U553" s="95" t="str">
        <f>Readings[[#This Row],[Sensor ID]]&amp;"-"&amp;Readings[[#This Row],[Epoch]]</f>
        <v>250-RL-OP-11022-45797.7777777778</v>
      </c>
      <c r="V553" s="99">
        <f ca="1">IF(Readings[[#This Row],[Epoch]]=OFFSET(Readings[[#This Row],[Epoch]],-1,0),0,1)</f>
        <v>0</v>
      </c>
    </row>
    <row r="554" spans="4:22" x14ac:dyDescent="0.2">
      <c r="D554" s="32">
        <v>45797.777777777781</v>
      </c>
      <c r="E554" s="33" t="s">
        <v>165</v>
      </c>
      <c r="F554" s="34">
        <v>60034.538999999997</v>
      </c>
      <c r="G554" s="34">
        <v>363843.38300000003</v>
      </c>
      <c r="H554" s="34">
        <v>19.331</v>
      </c>
      <c r="I554" s="33" t="s">
        <v>85</v>
      </c>
      <c r="J554" s="33" t="s">
        <v>90</v>
      </c>
      <c r="K554" s="33">
        <v>18</v>
      </c>
      <c r="L554" s="33">
        <v>1019.3</v>
      </c>
      <c r="M554" s="33">
        <v>63</v>
      </c>
      <c r="N554" s="33"/>
      <c r="O554" s="93" t="str">
        <f>IFERROR(IF(Readings[[#This Row],[Obs. X]]="","-",Readings[[#This Row],[Obs. X]]-_xlfn.XLOOKUP(Readings[[#This Row],[Sensor ID]],Table_Baseline[Sensor ID],Table_Baseline[Easting '[m']],"-")),"-")</f>
        <v>-</v>
      </c>
      <c r="P554" s="93" t="str">
        <f>IFERROR(IF(Readings[[#This Row],[Obs. Y]]="","-",Readings[[#This Row],[Obs. Y]]-_xlfn.XLOOKUP(Readings[[#This Row],[Sensor ID]],Table_Baseline[Sensor ID],Table_Baseline[Northing '[m']],"-")),"-")</f>
        <v>-</v>
      </c>
      <c r="Q554" s="93" t="str">
        <f>IFERROR(IF(Readings[[#This Row],[Obs. Z]]="","-",Readings[[#This Row],[Obs. Z]]-_xlfn.XLOOKUP(Readings[[#This Row],[Sensor ID]],Table_Baseline[Sensor ID],Table_Baseline[Level '[m']],"-")),"-")</f>
        <v>-</v>
      </c>
      <c r="R554" s="93" t="str">
        <f>IFERROR(IF(Readings[[#This Row],[Reference Angle]]="-","-",(Readings[[#This Row],[Diff E]]*COS(RADIANS(Readings[[#This Row],[Reference Angle]]))-Readings[[#This Row],[Diff N]]*SIN(RADIANS(Readings[[#This Row],[Reference Angle]])))),"-")</f>
        <v>-</v>
      </c>
      <c r="S554" s="93" t="str">
        <f>IFERROR(IF(Readings[[#This Row],[Reference Angle]]="-","-",(Readings[[#This Row],[Diff E]]*SIN(RADIANS(Readings[[#This Row],[Reference Angle]]))+Readings[[#This Row],[Diff N]]*COS(RADIANS(Readings[[#This Row],[Reference Angle]])))),"-")</f>
        <v>-</v>
      </c>
      <c r="T554" s="94" t="str">
        <f>IFERROR(VLOOKUP(Readings[[#This Row],[Sensor ID]],Table_Baseline[],COLUMNS(Table_Baseline[[#Headers],[Sensor ID]:[Reference Angle '[Deg']]]),FALSE),"-")</f>
        <v>-</v>
      </c>
      <c r="U554" s="95" t="str">
        <f>Readings[[#This Row],[Sensor ID]]&amp;"-"&amp;Readings[[#This Row],[Epoch]]</f>
        <v>250-ST-OP-500-45797.7777777778</v>
      </c>
      <c r="V554" s="99">
        <f ca="1">IF(Readings[[#This Row],[Epoch]]=OFFSET(Readings[[#This Row],[Epoch]],-1,0),0,1)</f>
        <v>0</v>
      </c>
    </row>
    <row r="555" spans="4:22" x14ac:dyDescent="0.2">
      <c r="D555" s="32">
        <v>45797.777777777781</v>
      </c>
      <c r="E555" s="33" t="s">
        <v>166</v>
      </c>
      <c r="F555" s="34">
        <v>60040.286</v>
      </c>
      <c r="G555" s="34">
        <v>363841.73100000003</v>
      </c>
      <c r="H555" s="34">
        <v>19.321000000000002</v>
      </c>
      <c r="I555" s="33" t="s">
        <v>85</v>
      </c>
      <c r="J555" s="33" t="s">
        <v>90</v>
      </c>
      <c r="K555" s="33">
        <v>18</v>
      </c>
      <c r="L555" s="33">
        <v>1019.3</v>
      </c>
      <c r="M555" s="33">
        <v>63</v>
      </c>
      <c r="N555" s="33"/>
      <c r="O555" s="93" t="str">
        <f>IFERROR(IF(Readings[[#This Row],[Obs. X]]="","-",Readings[[#This Row],[Obs. X]]-_xlfn.XLOOKUP(Readings[[#This Row],[Sensor ID]],Table_Baseline[Sensor ID],Table_Baseline[Easting '[m']],"-")),"-")</f>
        <v>-</v>
      </c>
      <c r="P555" s="93" t="str">
        <f>IFERROR(IF(Readings[[#This Row],[Obs. Y]]="","-",Readings[[#This Row],[Obs. Y]]-_xlfn.XLOOKUP(Readings[[#This Row],[Sensor ID]],Table_Baseline[Sensor ID],Table_Baseline[Northing '[m']],"-")),"-")</f>
        <v>-</v>
      </c>
      <c r="Q555" s="93" t="str">
        <f>IFERROR(IF(Readings[[#This Row],[Obs. Z]]="","-",Readings[[#This Row],[Obs. Z]]-_xlfn.XLOOKUP(Readings[[#This Row],[Sensor ID]],Table_Baseline[Sensor ID],Table_Baseline[Level '[m']],"-")),"-")</f>
        <v>-</v>
      </c>
      <c r="R555" s="93" t="str">
        <f>IFERROR(IF(Readings[[#This Row],[Reference Angle]]="-","-",(Readings[[#This Row],[Diff E]]*COS(RADIANS(Readings[[#This Row],[Reference Angle]]))-Readings[[#This Row],[Diff N]]*SIN(RADIANS(Readings[[#This Row],[Reference Angle]])))),"-")</f>
        <v>-</v>
      </c>
      <c r="S555" s="93" t="str">
        <f>IFERROR(IF(Readings[[#This Row],[Reference Angle]]="-","-",(Readings[[#This Row],[Diff E]]*SIN(RADIANS(Readings[[#This Row],[Reference Angle]]))+Readings[[#This Row],[Diff N]]*COS(RADIANS(Readings[[#This Row],[Reference Angle]])))),"-")</f>
        <v>-</v>
      </c>
      <c r="T555" s="94" t="str">
        <f>IFERROR(VLOOKUP(Readings[[#This Row],[Sensor ID]],Table_Baseline[],COLUMNS(Table_Baseline[[#Headers],[Sensor ID]:[Reference Angle '[Deg']]]),FALSE),"-")</f>
        <v>-</v>
      </c>
      <c r="U555" s="95" t="str">
        <f>Readings[[#This Row],[Sensor ID]]&amp;"-"&amp;Readings[[#This Row],[Epoch]]</f>
        <v>250-ST-OP-501-45797.7777777778</v>
      </c>
      <c r="V555" s="99">
        <f ca="1">IF(Readings[[#This Row],[Epoch]]=OFFSET(Readings[[#This Row],[Epoch]],-1,0),0,1)</f>
        <v>0</v>
      </c>
    </row>
    <row r="556" spans="4:22" x14ac:dyDescent="0.2">
      <c r="D556" s="32">
        <v>45797.777777777781</v>
      </c>
      <c r="E556" s="33" t="s">
        <v>167</v>
      </c>
      <c r="F556" s="34">
        <v>60045.921000000002</v>
      </c>
      <c r="G556" s="34">
        <v>363840.10100000002</v>
      </c>
      <c r="H556" s="34">
        <v>19.334</v>
      </c>
      <c r="I556" s="33" t="s">
        <v>85</v>
      </c>
      <c r="J556" s="33" t="s">
        <v>90</v>
      </c>
      <c r="K556" s="33">
        <v>18</v>
      </c>
      <c r="L556" s="33">
        <v>1019.3</v>
      </c>
      <c r="M556" s="33">
        <v>63</v>
      </c>
      <c r="N556" s="33"/>
      <c r="O556" s="93" t="str">
        <f>IFERROR(IF(Readings[[#This Row],[Obs. X]]="","-",Readings[[#This Row],[Obs. X]]-_xlfn.XLOOKUP(Readings[[#This Row],[Sensor ID]],Table_Baseline[Sensor ID],Table_Baseline[Easting '[m']],"-")),"-")</f>
        <v>-</v>
      </c>
      <c r="P556" s="93" t="str">
        <f>IFERROR(IF(Readings[[#This Row],[Obs. Y]]="","-",Readings[[#This Row],[Obs. Y]]-_xlfn.XLOOKUP(Readings[[#This Row],[Sensor ID]],Table_Baseline[Sensor ID],Table_Baseline[Northing '[m']],"-")),"-")</f>
        <v>-</v>
      </c>
      <c r="Q556" s="93" t="str">
        <f>IFERROR(IF(Readings[[#This Row],[Obs. Z]]="","-",Readings[[#This Row],[Obs. Z]]-_xlfn.XLOOKUP(Readings[[#This Row],[Sensor ID]],Table_Baseline[Sensor ID],Table_Baseline[Level '[m']],"-")),"-")</f>
        <v>-</v>
      </c>
      <c r="R556" s="93" t="str">
        <f>IFERROR(IF(Readings[[#This Row],[Reference Angle]]="-","-",(Readings[[#This Row],[Diff E]]*COS(RADIANS(Readings[[#This Row],[Reference Angle]]))-Readings[[#This Row],[Diff N]]*SIN(RADIANS(Readings[[#This Row],[Reference Angle]])))),"-")</f>
        <v>-</v>
      </c>
      <c r="S556" s="93" t="str">
        <f>IFERROR(IF(Readings[[#This Row],[Reference Angle]]="-","-",(Readings[[#This Row],[Diff E]]*SIN(RADIANS(Readings[[#This Row],[Reference Angle]]))+Readings[[#This Row],[Diff N]]*COS(RADIANS(Readings[[#This Row],[Reference Angle]])))),"-")</f>
        <v>-</v>
      </c>
      <c r="T556" s="94" t="str">
        <f>IFERROR(VLOOKUP(Readings[[#This Row],[Sensor ID]],Table_Baseline[],COLUMNS(Table_Baseline[[#Headers],[Sensor ID]:[Reference Angle '[Deg']]]),FALSE),"-")</f>
        <v>-</v>
      </c>
      <c r="U556" s="95" t="str">
        <f>Readings[[#This Row],[Sensor ID]]&amp;"-"&amp;Readings[[#This Row],[Epoch]]</f>
        <v>250-ST-OP-502-45797.7777777778</v>
      </c>
      <c r="V556" s="99">
        <f ca="1">IF(Readings[[#This Row],[Epoch]]=OFFSET(Readings[[#This Row],[Epoch]],-1,0),0,1)</f>
        <v>0</v>
      </c>
    </row>
    <row r="557" spans="4:22" x14ac:dyDescent="0.2">
      <c r="D557" s="32">
        <v>45797.777777777781</v>
      </c>
      <c r="E557" s="33" t="s">
        <v>168</v>
      </c>
      <c r="F557" s="34">
        <v>60049.767</v>
      </c>
      <c r="G557" s="34">
        <v>363838.995</v>
      </c>
      <c r="H557" s="34">
        <v>19.344999999999999</v>
      </c>
      <c r="I557" s="33" t="s">
        <v>85</v>
      </c>
      <c r="J557" s="33" t="s">
        <v>90</v>
      </c>
      <c r="K557" s="33">
        <v>18</v>
      </c>
      <c r="L557" s="33">
        <v>1019.3</v>
      </c>
      <c r="M557" s="33">
        <v>63</v>
      </c>
      <c r="N557" s="33"/>
      <c r="O557" s="93" t="str">
        <f>IFERROR(IF(Readings[[#This Row],[Obs. X]]="","-",Readings[[#This Row],[Obs. X]]-_xlfn.XLOOKUP(Readings[[#This Row],[Sensor ID]],Table_Baseline[Sensor ID],Table_Baseline[Easting '[m']],"-")),"-")</f>
        <v>-</v>
      </c>
      <c r="P557" s="93" t="str">
        <f>IFERROR(IF(Readings[[#This Row],[Obs. Y]]="","-",Readings[[#This Row],[Obs. Y]]-_xlfn.XLOOKUP(Readings[[#This Row],[Sensor ID]],Table_Baseline[Sensor ID],Table_Baseline[Northing '[m']],"-")),"-")</f>
        <v>-</v>
      </c>
      <c r="Q557" s="93" t="str">
        <f>IFERROR(IF(Readings[[#This Row],[Obs. Z]]="","-",Readings[[#This Row],[Obs. Z]]-_xlfn.XLOOKUP(Readings[[#This Row],[Sensor ID]],Table_Baseline[Sensor ID],Table_Baseline[Level '[m']],"-")),"-")</f>
        <v>-</v>
      </c>
      <c r="R557" s="93" t="str">
        <f>IFERROR(IF(Readings[[#This Row],[Reference Angle]]="-","-",(Readings[[#This Row],[Diff E]]*COS(RADIANS(Readings[[#This Row],[Reference Angle]]))-Readings[[#This Row],[Diff N]]*SIN(RADIANS(Readings[[#This Row],[Reference Angle]])))),"-")</f>
        <v>-</v>
      </c>
      <c r="S557" s="93" t="str">
        <f>IFERROR(IF(Readings[[#This Row],[Reference Angle]]="-","-",(Readings[[#This Row],[Diff E]]*SIN(RADIANS(Readings[[#This Row],[Reference Angle]]))+Readings[[#This Row],[Diff N]]*COS(RADIANS(Readings[[#This Row],[Reference Angle]])))),"-")</f>
        <v>-</v>
      </c>
      <c r="T557" s="94" t="str">
        <f>IFERROR(VLOOKUP(Readings[[#This Row],[Sensor ID]],Table_Baseline[],COLUMNS(Table_Baseline[[#Headers],[Sensor ID]:[Reference Angle '[Deg']]]),FALSE),"-")</f>
        <v>-</v>
      </c>
      <c r="U557" s="95" t="str">
        <f>Readings[[#This Row],[Sensor ID]]&amp;"-"&amp;Readings[[#This Row],[Epoch]]</f>
        <v>250-ST-OP-503-45797.7777777778</v>
      </c>
      <c r="V557" s="99">
        <f ca="1">IF(Readings[[#This Row],[Epoch]]=OFFSET(Readings[[#This Row],[Epoch]],-1,0),0,1)</f>
        <v>0</v>
      </c>
    </row>
    <row r="558" spans="4:22" x14ac:dyDescent="0.2">
      <c r="D558" s="32">
        <v>45797.777777777781</v>
      </c>
      <c r="E558" s="33" t="s">
        <v>169</v>
      </c>
      <c r="F558" s="34">
        <v>60053.608</v>
      </c>
      <c r="G558" s="34">
        <v>363837.88300000003</v>
      </c>
      <c r="H558" s="34">
        <v>19.356999999999999</v>
      </c>
      <c r="I558" s="33" t="s">
        <v>85</v>
      </c>
      <c r="J558" s="33" t="s">
        <v>90</v>
      </c>
      <c r="K558" s="33">
        <v>18</v>
      </c>
      <c r="L558" s="33">
        <v>1019.3</v>
      </c>
      <c r="M558" s="33">
        <v>63</v>
      </c>
      <c r="N558" s="33"/>
      <c r="O558" s="93" t="str">
        <f>IFERROR(IF(Readings[[#This Row],[Obs. X]]="","-",Readings[[#This Row],[Obs. X]]-_xlfn.XLOOKUP(Readings[[#This Row],[Sensor ID]],Table_Baseline[Sensor ID],Table_Baseline[Easting '[m']],"-")),"-")</f>
        <v>-</v>
      </c>
      <c r="P558" s="93" t="str">
        <f>IFERROR(IF(Readings[[#This Row],[Obs. Y]]="","-",Readings[[#This Row],[Obs. Y]]-_xlfn.XLOOKUP(Readings[[#This Row],[Sensor ID]],Table_Baseline[Sensor ID],Table_Baseline[Northing '[m']],"-")),"-")</f>
        <v>-</v>
      </c>
      <c r="Q558" s="93" t="str">
        <f>IFERROR(IF(Readings[[#This Row],[Obs. Z]]="","-",Readings[[#This Row],[Obs. Z]]-_xlfn.XLOOKUP(Readings[[#This Row],[Sensor ID]],Table_Baseline[Sensor ID],Table_Baseline[Level '[m']],"-")),"-")</f>
        <v>-</v>
      </c>
      <c r="R558" s="93" t="str">
        <f>IFERROR(IF(Readings[[#This Row],[Reference Angle]]="-","-",(Readings[[#This Row],[Diff E]]*COS(RADIANS(Readings[[#This Row],[Reference Angle]]))-Readings[[#This Row],[Diff N]]*SIN(RADIANS(Readings[[#This Row],[Reference Angle]])))),"-")</f>
        <v>-</v>
      </c>
      <c r="S558" s="93" t="str">
        <f>IFERROR(IF(Readings[[#This Row],[Reference Angle]]="-","-",(Readings[[#This Row],[Diff E]]*SIN(RADIANS(Readings[[#This Row],[Reference Angle]]))+Readings[[#This Row],[Diff N]]*COS(RADIANS(Readings[[#This Row],[Reference Angle]])))),"-")</f>
        <v>-</v>
      </c>
      <c r="T558" s="94" t="str">
        <f>IFERROR(VLOOKUP(Readings[[#This Row],[Sensor ID]],Table_Baseline[],COLUMNS(Table_Baseline[[#Headers],[Sensor ID]:[Reference Angle '[Deg']]]),FALSE),"-")</f>
        <v>-</v>
      </c>
      <c r="U558" s="95" t="str">
        <f>Readings[[#This Row],[Sensor ID]]&amp;"-"&amp;Readings[[#This Row],[Epoch]]</f>
        <v>250-ST-OP-504-45797.7777777778</v>
      </c>
      <c r="V558" s="99">
        <f ca="1">IF(Readings[[#This Row],[Epoch]]=OFFSET(Readings[[#This Row],[Epoch]],-1,0),0,1)</f>
        <v>0</v>
      </c>
    </row>
    <row r="559" spans="4:22" x14ac:dyDescent="0.2">
      <c r="D559" s="204">
        <v>45797.777777777781</v>
      </c>
      <c r="E559" s="151" t="s">
        <v>170</v>
      </c>
      <c r="F559" s="152">
        <v>60060.065000000002</v>
      </c>
      <c r="G559" s="152">
        <v>363836.02399999998</v>
      </c>
      <c r="H559" s="152">
        <v>19.356999999999999</v>
      </c>
      <c r="I559" s="151" t="s">
        <v>85</v>
      </c>
      <c r="J559" s="151" t="s">
        <v>90</v>
      </c>
      <c r="K559" s="151">
        <v>18</v>
      </c>
      <c r="L559" s="151">
        <v>1019.3</v>
      </c>
      <c r="M559" s="151">
        <v>63</v>
      </c>
      <c r="N559" s="151"/>
      <c r="O559" s="96" t="str">
        <f>IFERROR(IF(Readings[[#This Row],[Obs. X]]="","-",Readings[[#This Row],[Obs. X]]-_xlfn.XLOOKUP(Readings[[#This Row],[Sensor ID]],Table_Baseline[Sensor ID],Table_Baseline[Easting '[m']],"-")),"-")</f>
        <v>-</v>
      </c>
      <c r="P559" s="96" t="str">
        <f>IFERROR(IF(Readings[[#This Row],[Obs. Y]]="","-",Readings[[#This Row],[Obs. Y]]-_xlfn.XLOOKUP(Readings[[#This Row],[Sensor ID]],Table_Baseline[Sensor ID],Table_Baseline[Northing '[m']],"-")),"-")</f>
        <v>-</v>
      </c>
      <c r="Q559" s="96" t="str">
        <f>IFERROR(IF(Readings[[#This Row],[Obs. Z]]="","-",Readings[[#This Row],[Obs. Z]]-_xlfn.XLOOKUP(Readings[[#This Row],[Sensor ID]],Table_Baseline[Sensor ID],Table_Baseline[Level '[m']],"-")),"-")</f>
        <v>-</v>
      </c>
      <c r="R559" s="96" t="str">
        <f>IFERROR(IF(Readings[[#This Row],[Reference Angle]]="-","-",(Readings[[#This Row],[Diff E]]*COS(RADIANS(Readings[[#This Row],[Reference Angle]]))-Readings[[#This Row],[Diff N]]*SIN(RADIANS(Readings[[#This Row],[Reference Angle]])))),"-")</f>
        <v>-</v>
      </c>
      <c r="S559" s="96" t="str">
        <f>IFERROR(IF(Readings[[#This Row],[Reference Angle]]="-","-",(Readings[[#This Row],[Diff E]]*SIN(RADIANS(Readings[[#This Row],[Reference Angle]]))+Readings[[#This Row],[Diff N]]*COS(RADIANS(Readings[[#This Row],[Reference Angle]])))),"-")</f>
        <v>-</v>
      </c>
      <c r="T559" s="97" t="str">
        <f>IFERROR(VLOOKUP(Readings[[#This Row],[Sensor ID]],Table_Baseline[],COLUMNS(Table_Baseline[[#Headers],[Sensor ID]:[Reference Angle '[Deg']]]),FALSE),"-")</f>
        <v>-</v>
      </c>
      <c r="U559" s="98" t="str">
        <f>Readings[[#This Row],[Sensor ID]]&amp;"-"&amp;Readings[[#This Row],[Epoch]]</f>
        <v>250-ST-OP-505-45797.7777777778</v>
      </c>
      <c r="V559" s="100">
        <f ca="1">IF(Readings[[#This Row],[Epoch]]=OFFSET(Readings[[#This Row],[Epoch]],-1,0),0,1)</f>
        <v>0</v>
      </c>
    </row>
    <row r="560" spans="4:22" x14ac:dyDescent="0.2">
      <c r="D560" s="32">
        <v>45798.743055555555</v>
      </c>
      <c r="E560" s="33" t="s">
        <v>172</v>
      </c>
      <c r="F560" s="34">
        <v>60035.339</v>
      </c>
      <c r="G560" s="34">
        <v>363845.739</v>
      </c>
      <c r="H560" s="34">
        <v>18.782</v>
      </c>
      <c r="I560" s="33" t="s">
        <v>85</v>
      </c>
      <c r="J560" s="33" t="s">
        <v>90</v>
      </c>
      <c r="K560" s="33">
        <v>20</v>
      </c>
      <c r="L560" s="33">
        <v>1019.7</v>
      </c>
      <c r="M560" s="33">
        <v>79</v>
      </c>
      <c r="N560" s="33"/>
      <c r="O560" s="93">
        <f>IFERROR(IF(Readings[[#This Row],[Obs. X]]="","-",Readings[[#This Row],[Obs. X]]-_xlfn.XLOOKUP(Readings[[#This Row],[Sensor ID]],Table_Baseline[Sensor ID],Table_Baseline[Easting '[m']],"-")),"-")</f>
        <v>-9.9999999656574801E-4</v>
      </c>
      <c r="P560" s="93">
        <f>IFERROR(IF(Readings[[#This Row],[Obs. Y]]="","-",Readings[[#This Row],[Obs. Y]]-_xlfn.XLOOKUP(Readings[[#This Row],[Sensor ID]],Table_Baseline[Sensor ID],Table_Baseline[Northing '[m']],"-")),"-")</f>
        <v>0</v>
      </c>
      <c r="Q560" s="93">
        <f>IFERROR(IF(Readings[[#This Row],[Obs. Z]]="","-",Readings[[#This Row],[Obs. Z]]-_xlfn.XLOOKUP(Readings[[#This Row],[Sensor ID]],Table_Baseline[Sensor ID],Table_Baseline[Level '[m']],"-")),"-")</f>
        <v>0</v>
      </c>
      <c r="R560" s="93">
        <f>IFERROR(IF(Readings[[#This Row],[Reference Angle]]="-","-",(Readings[[#This Row],[Diff E]]*COS(RADIANS(Readings[[#This Row],[Reference Angle]]))-Readings[[#This Row],[Diff N]]*SIN(RADIANS(Readings[[#This Row],[Reference Angle]])))),"-")</f>
        <v>-9.9999999656574801E-4</v>
      </c>
      <c r="S560" s="93">
        <f>IFERROR(IF(Readings[[#This Row],[Reference Angle]]="-","-",(Readings[[#This Row],[Diff E]]*SIN(RADIANS(Readings[[#This Row],[Reference Angle]]))+Readings[[#This Row],[Diff N]]*COS(RADIANS(Readings[[#This Row],[Reference Angle]])))),"-")</f>
        <v>0</v>
      </c>
      <c r="T560" s="94">
        <f>IFERROR(VLOOKUP(Readings[[#This Row],[Sensor ID]],Table_Baseline[],COLUMNS(Table_Baseline[[#Headers],[Sensor ID]:[Reference Angle '[Deg']]]),FALSE),"-")</f>
        <v>0</v>
      </c>
      <c r="U560" s="95" t="str">
        <f>Readings[[#This Row],[Sensor ID]]&amp;"-"&amp;Readings[[#This Row],[Epoch]]</f>
        <v>250-RL-OP-11001-45798.7430555556</v>
      </c>
      <c r="V560" s="99">
        <f ca="1">IF(Readings[[#This Row],[Epoch]]=OFFSET(Readings[[#This Row],[Epoch]],-1,0),0,1)</f>
        <v>1</v>
      </c>
    </row>
    <row r="561" spans="4:22" x14ac:dyDescent="0.2">
      <c r="D561" s="32">
        <v>45798.743055555555</v>
      </c>
      <c r="E561" s="33" t="s">
        <v>171</v>
      </c>
      <c r="F561" s="34">
        <v>60034.957999999999</v>
      </c>
      <c r="G561" s="34">
        <v>363844.47100000002</v>
      </c>
      <c r="H561" s="34">
        <v>18.777999999999999</v>
      </c>
      <c r="I561" s="33" t="s">
        <v>85</v>
      </c>
      <c r="J561" s="33" t="s">
        <v>90</v>
      </c>
      <c r="K561" s="33">
        <v>20</v>
      </c>
      <c r="L561" s="33">
        <v>1019.7</v>
      </c>
      <c r="M561" s="33">
        <v>79</v>
      </c>
      <c r="N561" s="33"/>
      <c r="O561" s="93">
        <f>IFERROR(IF(Readings[[#This Row],[Obs. X]]="","-",Readings[[#This Row],[Obs. X]]-_xlfn.XLOOKUP(Readings[[#This Row],[Sensor ID]],Table_Baseline[Sensor ID],Table_Baseline[Easting '[m']],"-")),"-")</f>
        <v>-1.0000000038417056E-3</v>
      </c>
      <c r="P561" s="93">
        <f>IFERROR(IF(Readings[[#This Row],[Obs. Y]]="","-",Readings[[#This Row],[Obs. Y]]-_xlfn.XLOOKUP(Readings[[#This Row],[Sensor ID]],Table_Baseline[Sensor ID],Table_Baseline[Northing '[m']],"-")),"-")</f>
        <v>0</v>
      </c>
      <c r="Q561" s="93">
        <f>IFERROR(IF(Readings[[#This Row],[Obs. Z]]="","-",Readings[[#This Row],[Obs. Z]]-_xlfn.XLOOKUP(Readings[[#This Row],[Sensor ID]],Table_Baseline[Sensor ID],Table_Baseline[Level '[m']],"-")),"-")</f>
        <v>-9.9999999999766942E-5</v>
      </c>
      <c r="R561" s="93">
        <f>IFERROR(IF(Readings[[#This Row],[Reference Angle]]="-","-",(Readings[[#This Row],[Diff E]]*COS(RADIANS(Readings[[#This Row],[Reference Angle]]))-Readings[[#This Row],[Diff N]]*SIN(RADIANS(Readings[[#This Row],[Reference Angle]])))),"-")</f>
        <v>-1.0000000038417056E-3</v>
      </c>
      <c r="S561" s="93">
        <f>IFERROR(IF(Readings[[#This Row],[Reference Angle]]="-","-",(Readings[[#This Row],[Diff E]]*SIN(RADIANS(Readings[[#This Row],[Reference Angle]]))+Readings[[#This Row],[Diff N]]*COS(RADIANS(Readings[[#This Row],[Reference Angle]])))),"-")</f>
        <v>0</v>
      </c>
      <c r="T561" s="94">
        <f>IFERROR(VLOOKUP(Readings[[#This Row],[Sensor ID]],Table_Baseline[],COLUMNS(Table_Baseline[[#Headers],[Sensor ID]:[Reference Angle '[Deg']]]),FALSE),"-")</f>
        <v>0</v>
      </c>
      <c r="U561" s="95" t="str">
        <f>Readings[[#This Row],[Sensor ID]]&amp;"-"&amp;Readings[[#This Row],[Epoch]]</f>
        <v>250-RL-OP-11002-45798.7430555556</v>
      </c>
      <c r="V561" s="99">
        <f ca="1">IF(Readings[[#This Row],[Epoch]]=OFFSET(Readings[[#This Row],[Epoch]],-1,0),0,1)</f>
        <v>0</v>
      </c>
    </row>
    <row r="562" spans="4:22" x14ac:dyDescent="0.2">
      <c r="D562" s="32">
        <v>45798.743055555555</v>
      </c>
      <c r="E562" s="33" t="s">
        <v>174</v>
      </c>
      <c r="F562" s="34">
        <v>60038.116999999998</v>
      </c>
      <c r="G562" s="34">
        <v>363844.94500000001</v>
      </c>
      <c r="H562" s="34">
        <v>18.777999999999999</v>
      </c>
      <c r="I562" s="33" t="s">
        <v>85</v>
      </c>
      <c r="J562" s="33" t="s">
        <v>90</v>
      </c>
      <c r="K562" s="33">
        <v>20</v>
      </c>
      <c r="L562" s="33">
        <v>1019.7</v>
      </c>
      <c r="M562" s="33">
        <v>79</v>
      </c>
      <c r="N562" s="33"/>
      <c r="O562" s="93">
        <f>IFERROR(IF(Readings[[#This Row],[Obs. X]]="","-",Readings[[#This Row],[Obs. X]]-_xlfn.XLOOKUP(Readings[[#This Row],[Sensor ID]],Table_Baseline[Sensor ID],Table_Baseline[Easting '[m']],"-")),"-")</f>
        <v>-1.0000000038417056E-3</v>
      </c>
      <c r="P562" s="93">
        <f>IFERROR(IF(Readings[[#This Row],[Obs. Y]]="","-",Readings[[#This Row],[Obs. Y]]-_xlfn.XLOOKUP(Readings[[#This Row],[Sensor ID]],Table_Baseline[Sensor ID],Table_Baseline[Northing '[m']],"-")),"-")</f>
        <v>0</v>
      </c>
      <c r="Q562" s="93">
        <f>IFERROR(IF(Readings[[#This Row],[Obs. Z]]="","-",Readings[[#This Row],[Obs. Z]]-_xlfn.XLOOKUP(Readings[[#This Row],[Sensor ID]],Table_Baseline[Sensor ID],Table_Baseline[Level '[m']],"-")),"-")</f>
        <v>-8.0000000000168825E-4</v>
      </c>
      <c r="R562" s="93">
        <f>IFERROR(IF(Readings[[#This Row],[Reference Angle]]="-","-",(Readings[[#This Row],[Diff E]]*COS(RADIANS(Readings[[#This Row],[Reference Angle]]))-Readings[[#This Row],[Diff N]]*SIN(RADIANS(Readings[[#This Row],[Reference Angle]])))),"-")</f>
        <v>-1.0000000038417056E-3</v>
      </c>
      <c r="S562" s="93">
        <f>IFERROR(IF(Readings[[#This Row],[Reference Angle]]="-","-",(Readings[[#This Row],[Diff E]]*SIN(RADIANS(Readings[[#This Row],[Reference Angle]]))+Readings[[#This Row],[Diff N]]*COS(RADIANS(Readings[[#This Row],[Reference Angle]])))),"-")</f>
        <v>0</v>
      </c>
      <c r="T562" s="94">
        <f>IFERROR(VLOOKUP(Readings[[#This Row],[Sensor ID]],Table_Baseline[],COLUMNS(Table_Baseline[[#Headers],[Sensor ID]:[Reference Angle '[Deg']]]),FALSE),"-")</f>
        <v>0</v>
      </c>
      <c r="U562" s="95" t="str">
        <f>Readings[[#This Row],[Sensor ID]]&amp;"-"&amp;Readings[[#This Row],[Epoch]]</f>
        <v>250-RL-OP-11003-45798.7430555556</v>
      </c>
      <c r="V562" s="99">
        <f ca="1">IF(Readings[[#This Row],[Epoch]]=OFFSET(Readings[[#This Row],[Epoch]],-1,0),0,1)</f>
        <v>0</v>
      </c>
    </row>
    <row r="563" spans="4:22" x14ac:dyDescent="0.2">
      <c r="D563" s="32">
        <v>45798.743055555555</v>
      </c>
      <c r="E563" s="33" t="s">
        <v>173</v>
      </c>
      <c r="F563" s="34">
        <v>60037.803999999996</v>
      </c>
      <c r="G563" s="34">
        <v>363843.65700000001</v>
      </c>
      <c r="H563" s="34">
        <v>18.777999999999999</v>
      </c>
      <c r="I563" s="33" t="s">
        <v>85</v>
      </c>
      <c r="J563" s="33" t="s">
        <v>90</v>
      </c>
      <c r="K563" s="33">
        <v>20</v>
      </c>
      <c r="L563" s="33">
        <v>1019.7</v>
      </c>
      <c r="M563" s="33">
        <v>79</v>
      </c>
      <c r="N563" s="33"/>
      <c r="O563" s="93">
        <f>IFERROR(IF(Readings[[#This Row],[Obs. X]]="","-",Readings[[#This Row],[Obs. X]]-_xlfn.XLOOKUP(Readings[[#This Row],[Sensor ID]],Table_Baseline[Sensor ID],Table_Baseline[Easting '[m']],"-")),"-")</f>
        <v>-1.0000000038417056E-3</v>
      </c>
      <c r="P563" s="93">
        <f>IFERROR(IF(Readings[[#This Row],[Obs. Y]]="","-",Readings[[#This Row],[Obs. Y]]-_xlfn.XLOOKUP(Readings[[#This Row],[Sensor ID]],Table_Baseline[Sensor ID],Table_Baseline[Northing '[m']],"-")),"-")</f>
        <v>0</v>
      </c>
      <c r="Q563" s="93">
        <f>IFERROR(IF(Readings[[#This Row],[Obs. Z]]="","-",Readings[[#This Row],[Obs. Z]]-_xlfn.XLOOKUP(Readings[[#This Row],[Sensor ID]],Table_Baseline[Sensor ID],Table_Baseline[Level '[m']],"-")),"-")</f>
        <v>-5.0000000000238742E-4</v>
      </c>
      <c r="R563" s="93">
        <f>IFERROR(IF(Readings[[#This Row],[Reference Angle]]="-","-",(Readings[[#This Row],[Diff E]]*COS(RADIANS(Readings[[#This Row],[Reference Angle]]))-Readings[[#This Row],[Diff N]]*SIN(RADIANS(Readings[[#This Row],[Reference Angle]])))),"-")</f>
        <v>-1.0000000038417056E-3</v>
      </c>
      <c r="S563" s="93">
        <f>IFERROR(IF(Readings[[#This Row],[Reference Angle]]="-","-",(Readings[[#This Row],[Diff E]]*SIN(RADIANS(Readings[[#This Row],[Reference Angle]]))+Readings[[#This Row],[Diff N]]*COS(RADIANS(Readings[[#This Row],[Reference Angle]])))),"-")</f>
        <v>0</v>
      </c>
      <c r="T563" s="94">
        <f>IFERROR(VLOOKUP(Readings[[#This Row],[Sensor ID]],Table_Baseline[],COLUMNS(Table_Baseline[[#Headers],[Sensor ID]:[Reference Angle '[Deg']]]),FALSE),"-")</f>
        <v>0</v>
      </c>
      <c r="U563" s="95" t="str">
        <f>Readings[[#This Row],[Sensor ID]]&amp;"-"&amp;Readings[[#This Row],[Epoch]]</f>
        <v>250-RL-OP-11004-45798.7430555556</v>
      </c>
      <c r="V563" s="99">
        <f ca="1">IF(Readings[[#This Row],[Epoch]]=OFFSET(Readings[[#This Row],[Epoch]],-1,0),0,1)</f>
        <v>0</v>
      </c>
    </row>
    <row r="564" spans="4:22" x14ac:dyDescent="0.2">
      <c r="D564" s="32">
        <v>45798.743055555555</v>
      </c>
      <c r="E564" s="33" t="s">
        <v>176</v>
      </c>
      <c r="F564" s="34">
        <v>60040.968000000001</v>
      </c>
      <c r="G564" s="34">
        <v>363844.11800000002</v>
      </c>
      <c r="H564" s="34">
        <v>18.779</v>
      </c>
      <c r="I564" s="33" t="s">
        <v>85</v>
      </c>
      <c r="J564" s="33" t="s">
        <v>90</v>
      </c>
      <c r="K564" s="33">
        <v>20</v>
      </c>
      <c r="L564" s="33">
        <v>1019.7</v>
      </c>
      <c r="M564" s="33">
        <v>79</v>
      </c>
      <c r="N564" s="33"/>
      <c r="O564" s="93">
        <f>IFERROR(IF(Readings[[#This Row],[Obs. X]]="","-",Readings[[#This Row],[Obs. X]]-_xlfn.XLOOKUP(Readings[[#This Row],[Sensor ID]],Table_Baseline[Sensor ID],Table_Baseline[Easting '[m']],"-")),"-")</f>
        <v>-9.9999999656574801E-4</v>
      </c>
      <c r="P564" s="93">
        <f>IFERROR(IF(Readings[[#This Row],[Obs. Y]]="","-",Readings[[#This Row],[Obs. Y]]-_xlfn.XLOOKUP(Readings[[#This Row],[Sensor ID]],Table_Baseline[Sensor ID],Table_Baseline[Northing '[m']],"-")),"-")</f>
        <v>0</v>
      </c>
      <c r="Q564" s="93">
        <f>IFERROR(IF(Readings[[#This Row],[Obs. Z]]="","-",Readings[[#This Row],[Obs. Z]]-_xlfn.XLOOKUP(Readings[[#This Row],[Sensor ID]],Table_Baseline[Sensor ID],Table_Baseline[Level '[m']],"-")),"-")</f>
        <v>0</v>
      </c>
      <c r="R564" s="93">
        <f>IFERROR(IF(Readings[[#This Row],[Reference Angle]]="-","-",(Readings[[#This Row],[Diff E]]*COS(RADIANS(Readings[[#This Row],[Reference Angle]]))-Readings[[#This Row],[Diff N]]*SIN(RADIANS(Readings[[#This Row],[Reference Angle]])))),"-")</f>
        <v>-9.9999999656574801E-4</v>
      </c>
      <c r="S564" s="93">
        <f>IFERROR(IF(Readings[[#This Row],[Reference Angle]]="-","-",(Readings[[#This Row],[Diff E]]*SIN(RADIANS(Readings[[#This Row],[Reference Angle]]))+Readings[[#This Row],[Diff N]]*COS(RADIANS(Readings[[#This Row],[Reference Angle]])))),"-")</f>
        <v>0</v>
      </c>
      <c r="T564" s="94">
        <f>IFERROR(VLOOKUP(Readings[[#This Row],[Sensor ID]],Table_Baseline[],COLUMNS(Table_Baseline[[#Headers],[Sensor ID]:[Reference Angle '[Deg']]]),FALSE),"-")</f>
        <v>0</v>
      </c>
      <c r="U564" s="95" t="str">
        <f>Readings[[#This Row],[Sensor ID]]&amp;"-"&amp;Readings[[#This Row],[Epoch]]</f>
        <v>250-RL-OP-11005-45798.7430555556</v>
      </c>
      <c r="V564" s="99">
        <f ca="1">IF(Readings[[#This Row],[Epoch]]=OFFSET(Readings[[#This Row],[Epoch]],-1,0),0,1)</f>
        <v>0</v>
      </c>
    </row>
    <row r="565" spans="4:22" x14ac:dyDescent="0.2">
      <c r="D565" s="32">
        <v>45798.743055555555</v>
      </c>
      <c r="E565" s="33" t="s">
        <v>175</v>
      </c>
      <c r="F565" s="34">
        <v>60040.606</v>
      </c>
      <c r="G565" s="34">
        <v>363842.86199999996</v>
      </c>
      <c r="H565" s="34">
        <v>18.771999999999998</v>
      </c>
      <c r="I565" s="33" t="s">
        <v>85</v>
      </c>
      <c r="J565" s="33" t="s">
        <v>90</v>
      </c>
      <c r="K565" s="33">
        <v>20</v>
      </c>
      <c r="L565" s="33">
        <v>1019.7</v>
      </c>
      <c r="M565" s="33">
        <v>79</v>
      </c>
      <c r="N565" s="33"/>
      <c r="O565" s="93">
        <f>IFERROR(IF(Readings[[#This Row],[Obs. X]]="","-",Readings[[#This Row],[Obs. X]]-_xlfn.XLOOKUP(Readings[[#This Row],[Sensor ID]],Table_Baseline[Sensor ID],Table_Baseline[Easting '[m']],"-")),"-")</f>
        <v>-1.0000000038417056E-3</v>
      </c>
      <c r="P565" s="93">
        <f>IFERROR(IF(Readings[[#This Row],[Obs. Y]]="","-",Readings[[#This Row],[Obs. Y]]-_xlfn.XLOOKUP(Readings[[#This Row],[Sensor ID]],Table_Baseline[Sensor ID],Table_Baseline[Northing '[m']],"-")),"-")</f>
        <v>9.9999993108212948E-4</v>
      </c>
      <c r="Q565" s="93">
        <f>IFERROR(IF(Readings[[#This Row],[Obs. Z]]="","-",Readings[[#This Row],[Obs. Z]]-_xlfn.XLOOKUP(Readings[[#This Row],[Sensor ID]],Table_Baseline[Sensor ID],Table_Baseline[Level '[m']],"-")),"-")</f>
        <v>0</v>
      </c>
      <c r="R565" s="93">
        <f>IFERROR(IF(Readings[[#This Row],[Reference Angle]]="-","-",(Readings[[#This Row],[Diff E]]*COS(RADIANS(Readings[[#This Row],[Reference Angle]]))-Readings[[#This Row],[Diff N]]*SIN(RADIANS(Readings[[#This Row],[Reference Angle]])))),"-")</f>
        <v>-1.0000000038417056E-3</v>
      </c>
      <c r="S565" s="93">
        <f>IFERROR(IF(Readings[[#This Row],[Reference Angle]]="-","-",(Readings[[#This Row],[Diff E]]*SIN(RADIANS(Readings[[#This Row],[Reference Angle]]))+Readings[[#This Row],[Diff N]]*COS(RADIANS(Readings[[#This Row],[Reference Angle]])))),"-")</f>
        <v>9.9999993108212948E-4</v>
      </c>
      <c r="T565" s="94">
        <f>IFERROR(VLOOKUP(Readings[[#This Row],[Sensor ID]],Table_Baseline[],COLUMNS(Table_Baseline[[#Headers],[Sensor ID]:[Reference Angle '[Deg']]]),FALSE),"-")</f>
        <v>0</v>
      </c>
      <c r="U565" s="95" t="str">
        <f>Readings[[#This Row],[Sensor ID]]&amp;"-"&amp;Readings[[#This Row],[Epoch]]</f>
        <v>250-RL-OP-11006-45798.7430555556</v>
      </c>
      <c r="V565" s="99">
        <f ca="1">IF(Readings[[#This Row],[Epoch]]=OFFSET(Readings[[#This Row],[Epoch]],-1,0),0,1)</f>
        <v>0</v>
      </c>
    </row>
    <row r="566" spans="4:22" x14ac:dyDescent="0.2">
      <c r="D566" s="32">
        <v>45798.743055555555</v>
      </c>
      <c r="E566" s="33" t="s">
        <v>178</v>
      </c>
      <c r="F566" s="34">
        <v>60043.758000000002</v>
      </c>
      <c r="G566" s="34">
        <v>363843.315</v>
      </c>
      <c r="H566" s="34">
        <v>18.774000000000001</v>
      </c>
      <c r="I566" s="33" t="s">
        <v>85</v>
      </c>
      <c r="J566" s="33" t="s">
        <v>90</v>
      </c>
      <c r="K566" s="33">
        <v>20</v>
      </c>
      <c r="L566" s="33">
        <v>1019.7</v>
      </c>
      <c r="M566" s="33">
        <v>79</v>
      </c>
      <c r="N566" s="33"/>
      <c r="O566" s="93">
        <f>IFERROR(IF(Readings[[#This Row],[Obs. X]]="","-",Readings[[#This Row],[Obs. X]]-_xlfn.XLOOKUP(Readings[[#This Row],[Sensor ID]],Table_Baseline[Sensor ID],Table_Baseline[Easting '[m']],"-")),"-")</f>
        <v>-9.9999999656574801E-4</v>
      </c>
      <c r="P566" s="93">
        <f>IFERROR(IF(Readings[[#This Row],[Obs. Y]]="","-",Readings[[#This Row],[Obs. Y]]-_xlfn.XLOOKUP(Readings[[#This Row],[Sensor ID]],Table_Baseline[Sensor ID],Table_Baseline[Northing '[m']],"-")),"-")</f>
        <v>9.9999998928979039E-4</v>
      </c>
      <c r="Q566" s="93">
        <f>IFERROR(IF(Readings[[#This Row],[Obs. Z]]="","-",Readings[[#This Row],[Obs. Z]]-_xlfn.XLOOKUP(Readings[[#This Row],[Sensor ID]],Table_Baseline[Sensor ID],Table_Baseline[Level '[m']],"-")),"-")</f>
        <v>-9.9999999999766942E-5</v>
      </c>
      <c r="R566" s="93">
        <f>IFERROR(IF(Readings[[#This Row],[Reference Angle]]="-","-",(Readings[[#This Row],[Diff E]]*COS(RADIANS(Readings[[#This Row],[Reference Angle]]))-Readings[[#This Row],[Diff N]]*SIN(RADIANS(Readings[[#This Row],[Reference Angle]])))),"-")</f>
        <v>-9.9999999656574801E-4</v>
      </c>
      <c r="S566" s="93">
        <f>IFERROR(IF(Readings[[#This Row],[Reference Angle]]="-","-",(Readings[[#This Row],[Diff E]]*SIN(RADIANS(Readings[[#This Row],[Reference Angle]]))+Readings[[#This Row],[Diff N]]*COS(RADIANS(Readings[[#This Row],[Reference Angle]])))),"-")</f>
        <v>9.9999998928979039E-4</v>
      </c>
      <c r="T566" s="94">
        <f>IFERROR(VLOOKUP(Readings[[#This Row],[Sensor ID]],Table_Baseline[],COLUMNS(Table_Baseline[[#Headers],[Sensor ID]:[Reference Angle '[Deg']]]),FALSE),"-")</f>
        <v>0</v>
      </c>
      <c r="U566" s="95" t="str">
        <f>Readings[[#This Row],[Sensor ID]]&amp;"-"&amp;Readings[[#This Row],[Epoch]]</f>
        <v>250-RL-OP-11007-45798.7430555556</v>
      </c>
      <c r="V566" s="99">
        <f ca="1">IF(Readings[[#This Row],[Epoch]]=OFFSET(Readings[[#This Row],[Epoch]],-1,0),0,1)</f>
        <v>0</v>
      </c>
    </row>
    <row r="567" spans="4:22" x14ac:dyDescent="0.2">
      <c r="D567" s="32">
        <v>45798.743055555555</v>
      </c>
      <c r="E567" s="33" t="s">
        <v>177</v>
      </c>
      <c r="F567" s="34">
        <v>60043.440999999999</v>
      </c>
      <c r="G567" s="34">
        <v>363842.04099999997</v>
      </c>
      <c r="H567" s="34">
        <v>18.768000000000001</v>
      </c>
      <c r="I567" s="33" t="s">
        <v>85</v>
      </c>
      <c r="J567" s="33" t="s">
        <v>90</v>
      </c>
      <c r="K567" s="33">
        <v>20</v>
      </c>
      <c r="L567" s="33">
        <v>1019.7</v>
      </c>
      <c r="M567" s="33">
        <v>79</v>
      </c>
      <c r="N567" s="33"/>
      <c r="O567" s="93">
        <f>IFERROR(IF(Readings[[#This Row],[Obs. X]]="","-",Readings[[#This Row],[Obs. X]]-_xlfn.XLOOKUP(Readings[[#This Row],[Sensor ID]],Table_Baseline[Sensor ID],Table_Baseline[Easting '[m']],"-")),"-")</f>
        <v>0</v>
      </c>
      <c r="P567" s="93">
        <f>IFERROR(IF(Readings[[#This Row],[Obs. Y]]="","-",Readings[[#This Row],[Obs. Y]]-_xlfn.XLOOKUP(Readings[[#This Row],[Sensor ID]],Table_Baseline[Sensor ID],Table_Baseline[Northing '[m']],"-")),"-")</f>
        <v>9.9999993108212948E-4</v>
      </c>
      <c r="Q567" s="93">
        <f>IFERROR(IF(Readings[[#This Row],[Obs. Z]]="","-",Readings[[#This Row],[Obs. Z]]-_xlfn.XLOOKUP(Readings[[#This Row],[Sensor ID]],Table_Baseline[Sensor ID],Table_Baseline[Level '[m']],"-")),"-")</f>
        <v>-2.9999999999930083E-4</v>
      </c>
      <c r="R567" s="93">
        <f>IFERROR(IF(Readings[[#This Row],[Reference Angle]]="-","-",(Readings[[#This Row],[Diff E]]*COS(RADIANS(Readings[[#This Row],[Reference Angle]]))-Readings[[#This Row],[Diff N]]*SIN(RADIANS(Readings[[#This Row],[Reference Angle]])))),"-")</f>
        <v>0</v>
      </c>
      <c r="S567" s="93">
        <f>IFERROR(IF(Readings[[#This Row],[Reference Angle]]="-","-",(Readings[[#This Row],[Diff E]]*SIN(RADIANS(Readings[[#This Row],[Reference Angle]]))+Readings[[#This Row],[Diff N]]*COS(RADIANS(Readings[[#This Row],[Reference Angle]])))),"-")</f>
        <v>9.9999993108212948E-4</v>
      </c>
      <c r="T567" s="94">
        <f>IFERROR(VLOOKUP(Readings[[#This Row],[Sensor ID]],Table_Baseline[],COLUMNS(Table_Baseline[[#Headers],[Sensor ID]:[Reference Angle '[Deg']]]),FALSE),"-")</f>
        <v>0</v>
      </c>
      <c r="U567" s="95" t="str">
        <f>Readings[[#This Row],[Sensor ID]]&amp;"-"&amp;Readings[[#This Row],[Epoch]]</f>
        <v>250-RL-OP-11008-45798.7430555556</v>
      </c>
      <c r="V567" s="99">
        <f ca="1">IF(Readings[[#This Row],[Epoch]]=OFFSET(Readings[[#This Row],[Epoch]],-1,0),0,1)</f>
        <v>0</v>
      </c>
    </row>
    <row r="568" spans="4:22" x14ac:dyDescent="0.2">
      <c r="D568" s="32">
        <v>45798.743055555555</v>
      </c>
      <c r="E568" s="33" t="s">
        <v>180</v>
      </c>
      <c r="F568" s="34">
        <v>60046.633000000002</v>
      </c>
      <c r="G568" s="34">
        <v>363842.48499999999</v>
      </c>
      <c r="H568" s="34">
        <v>18.777000000000001</v>
      </c>
      <c r="I568" s="33" t="s">
        <v>85</v>
      </c>
      <c r="J568" s="33" t="s">
        <v>90</v>
      </c>
      <c r="K568" s="33">
        <v>20</v>
      </c>
      <c r="L568" s="33">
        <v>1019.7</v>
      </c>
      <c r="M568" s="33">
        <v>79</v>
      </c>
      <c r="N568" s="33"/>
      <c r="O568" s="93">
        <f>IFERROR(IF(Readings[[#This Row],[Obs. X]]="","-",Readings[[#This Row],[Obs. X]]-_xlfn.XLOOKUP(Readings[[#This Row],[Sensor ID]],Table_Baseline[Sensor ID],Table_Baseline[Easting '[m']],"-")),"-")</f>
        <v>0</v>
      </c>
      <c r="P568" s="93">
        <f>IFERROR(IF(Readings[[#This Row],[Obs. Y]]="","-",Readings[[#This Row],[Obs. Y]]-_xlfn.XLOOKUP(Readings[[#This Row],[Sensor ID]],Table_Baseline[Sensor ID],Table_Baseline[Northing '[m']],"-")),"-")</f>
        <v>0</v>
      </c>
      <c r="Q568" s="93">
        <f>IFERROR(IF(Readings[[#This Row],[Obs. Z]]="","-",Readings[[#This Row],[Obs. Z]]-_xlfn.XLOOKUP(Readings[[#This Row],[Sensor ID]],Table_Baseline[Sensor ID],Table_Baseline[Level '[m']],"-")),"-")</f>
        <v>-5.9999999999860165E-4</v>
      </c>
      <c r="R568" s="93">
        <f>IFERROR(IF(Readings[[#This Row],[Reference Angle]]="-","-",(Readings[[#This Row],[Diff E]]*COS(RADIANS(Readings[[#This Row],[Reference Angle]]))-Readings[[#This Row],[Diff N]]*SIN(RADIANS(Readings[[#This Row],[Reference Angle]])))),"-")</f>
        <v>0</v>
      </c>
      <c r="S568" s="93">
        <f>IFERROR(IF(Readings[[#This Row],[Reference Angle]]="-","-",(Readings[[#This Row],[Diff E]]*SIN(RADIANS(Readings[[#This Row],[Reference Angle]]))+Readings[[#This Row],[Diff N]]*COS(RADIANS(Readings[[#This Row],[Reference Angle]])))),"-")</f>
        <v>0</v>
      </c>
      <c r="T568" s="94">
        <f>IFERROR(VLOOKUP(Readings[[#This Row],[Sensor ID]],Table_Baseline[],COLUMNS(Table_Baseline[[#Headers],[Sensor ID]:[Reference Angle '[Deg']]]),FALSE),"-")</f>
        <v>0</v>
      </c>
      <c r="U568" s="95" t="str">
        <f>Readings[[#This Row],[Sensor ID]]&amp;"-"&amp;Readings[[#This Row],[Epoch]]</f>
        <v>250-RL-OP-11009-45798.7430555556</v>
      </c>
      <c r="V568" s="99">
        <f ca="1">IF(Readings[[#This Row],[Epoch]]=OFFSET(Readings[[#This Row],[Epoch]],-1,0),0,1)</f>
        <v>0</v>
      </c>
    </row>
    <row r="569" spans="4:22" x14ac:dyDescent="0.2">
      <c r="D569" s="32">
        <v>45798.743055555555</v>
      </c>
      <c r="E569" s="33" t="s">
        <v>179</v>
      </c>
      <c r="F569" s="34">
        <v>60046.249000000003</v>
      </c>
      <c r="G569" s="34">
        <v>363841.22600000002</v>
      </c>
      <c r="H569" s="34">
        <v>18.77</v>
      </c>
      <c r="I569" s="33" t="s">
        <v>85</v>
      </c>
      <c r="J569" s="33" t="s">
        <v>90</v>
      </c>
      <c r="K569" s="33">
        <v>20</v>
      </c>
      <c r="L569" s="33">
        <v>1019.7</v>
      </c>
      <c r="M569" s="33">
        <v>79</v>
      </c>
      <c r="N569" s="33"/>
      <c r="O569" s="93">
        <f>IFERROR(IF(Readings[[#This Row],[Obs. X]]="","-",Readings[[#This Row],[Obs. X]]-_xlfn.XLOOKUP(Readings[[#This Row],[Sensor ID]],Table_Baseline[Sensor ID],Table_Baseline[Easting '[m']],"-")),"-")</f>
        <v>-9.9999999656574801E-4</v>
      </c>
      <c r="P569" s="93">
        <f>IFERROR(IF(Readings[[#This Row],[Obs. Y]]="","-",Readings[[#This Row],[Obs. Y]]-_xlfn.XLOOKUP(Readings[[#This Row],[Sensor ID]],Table_Baseline[Sensor ID],Table_Baseline[Northing '[m']],"-")),"-")</f>
        <v>0</v>
      </c>
      <c r="Q569" s="93">
        <f>IFERROR(IF(Readings[[#This Row],[Obs. Z]]="","-",Readings[[#This Row],[Obs. Z]]-_xlfn.XLOOKUP(Readings[[#This Row],[Sensor ID]],Table_Baseline[Sensor ID],Table_Baseline[Level '[m']],"-")),"-")</f>
        <v>1.9999999999953388E-4</v>
      </c>
      <c r="R569" s="93">
        <f>IFERROR(IF(Readings[[#This Row],[Reference Angle]]="-","-",(Readings[[#This Row],[Diff E]]*COS(RADIANS(Readings[[#This Row],[Reference Angle]]))-Readings[[#This Row],[Diff N]]*SIN(RADIANS(Readings[[#This Row],[Reference Angle]])))),"-")</f>
        <v>-9.9999999656574801E-4</v>
      </c>
      <c r="S569" s="93">
        <f>IFERROR(IF(Readings[[#This Row],[Reference Angle]]="-","-",(Readings[[#This Row],[Diff E]]*SIN(RADIANS(Readings[[#This Row],[Reference Angle]]))+Readings[[#This Row],[Diff N]]*COS(RADIANS(Readings[[#This Row],[Reference Angle]])))),"-")</f>
        <v>0</v>
      </c>
      <c r="T569" s="94">
        <f>IFERROR(VLOOKUP(Readings[[#This Row],[Sensor ID]],Table_Baseline[],COLUMNS(Table_Baseline[[#Headers],[Sensor ID]:[Reference Angle '[Deg']]]),FALSE),"-")</f>
        <v>0</v>
      </c>
      <c r="U569" s="95" t="str">
        <f>Readings[[#This Row],[Sensor ID]]&amp;"-"&amp;Readings[[#This Row],[Epoch]]</f>
        <v>250-RL-OP-11010-45798.7430555556</v>
      </c>
      <c r="V569" s="99">
        <f ca="1">IF(Readings[[#This Row],[Epoch]]=OFFSET(Readings[[#This Row],[Epoch]],-1,0),0,1)</f>
        <v>0</v>
      </c>
    </row>
    <row r="570" spans="4:22" x14ac:dyDescent="0.2">
      <c r="D570" s="32">
        <v>45798.743055555555</v>
      </c>
      <c r="E570" s="33" t="s">
        <v>182</v>
      </c>
      <c r="F570" s="34">
        <v>60049.398999999998</v>
      </c>
      <c r="G570" s="34">
        <v>363841.69900000002</v>
      </c>
      <c r="H570" s="34">
        <v>18.777999999999999</v>
      </c>
      <c r="I570" s="33" t="s">
        <v>85</v>
      </c>
      <c r="J570" s="33" t="s">
        <v>90</v>
      </c>
      <c r="K570" s="33">
        <v>20</v>
      </c>
      <c r="L570" s="33">
        <v>1019.7</v>
      </c>
      <c r="M570" s="33">
        <v>79</v>
      </c>
      <c r="N570" s="33"/>
      <c r="O570" s="93">
        <f>IFERROR(IF(Readings[[#This Row],[Obs. X]]="","-",Readings[[#This Row],[Obs. X]]-_xlfn.XLOOKUP(Readings[[#This Row],[Sensor ID]],Table_Baseline[Sensor ID],Table_Baseline[Easting '[m']],"-")),"-")</f>
        <v>0</v>
      </c>
      <c r="P570" s="93">
        <f>IFERROR(IF(Readings[[#This Row],[Obs. Y]]="","-",Readings[[#This Row],[Obs. Y]]-_xlfn.XLOOKUP(Readings[[#This Row],[Sensor ID]],Table_Baseline[Sensor ID],Table_Baseline[Northing '[m']],"-")),"-")</f>
        <v>1.0000000474974513E-3</v>
      </c>
      <c r="Q570" s="93">
        <f>IFERROR(IF(Readings[[#This Row],[Obs. Z]]="","-",Readings[[#This Row],[Obs. Z]]-_xlfn.XLOOKUP(Readings[[#This Row],[Sensor ID]],Table_Baseline[Sensor ID],Table_Baseline[Level '[m']],"-")),"-")</f>
        <v>0</v>
      </c>
      <c r="R570" s="93">
        <f>IFERROR(IF(Readings[[#This Row],[Reference Angle]]="-","-",(Readings[[#This Row],[Diff E]]*COS(RADIANS(Readings[[#This Row],[Reference Angle]]))-Readings[[#This Row],[Diff N]]*SIN(RADIANS(Readings[[#This Row],[Reference Angle]])))),"-")</f>
        <v>0</v>
      </c>
      <c r="S570" s="93">
        <f>IFERROR(IF(Readings[[#This Row],[Reference Angle]]="-","-",(Readings[[#This Row],[Diff E]]*SIN(RADIANS(Readings[[#This Row],[Reference Angle]]))+Readings[[#This Row],[Diff N]]*COS(RADIANS(Readings[[#This Row],[Reference Angle]])))),"-")</f>
        <v>1.0000000474974513E-3</v>
      </c>
      <c r="T570" s="94">
        <f>IFERROR(VLOOKUP(Readings[[#This Row],[Sensor ID]],Table_Baseline[],COLUMNS(Table_Baseline[[#Headers],[Sensor ID]:[Reference Angle '[Deg']]]),FALSE),"-")</f>
        <v>0</v>
      </c>
      <c r="U570" s="95" t="str">
        <f>Readings[[#This Row],[Sensor ID]]&amp;"-"&amp;Readings[[#This Row],[Epoch]]</f>
        <v>250-RL-OP-11011-45798.7430555556</v>
      </c>
      <c r="V570" s="99">
        <f ca="1">IF(Readings[[#This Row],[Epoch]]=OFFSET(Readings[[#This Row],[Epoch]],-1,0),0,1)</f>
        <v>0</v>
      </c>
    </row>
    <row r="571" spans="4:22" x14ac:dyDescent="0.2">
      <c r="D571" s="32">
        <v>45798.743055555555</v>
      </c>
      <c r="E571" s="33" t="s">
        <v>181</v>
      </c>
      <c r="F571" s="34">
        <v>60049.04</v>
      </c>
      <c r="G571" s="34">
        <v>363840.435</v>
      </c>
      <c r="H571" s="34">
        <v>18.771000000000001</v>
      </c>
      <c r="I571" s="33" t="s">
        <v>85</v>
      </c>
      <c r="J571" s="33" t="s">
        <v>90</v>
      </c>
      <c r="K571" s="33">
        <v>20</v>
      </c>
      <c r="L571" s="33">
        <v>1019.7</v>
      </c>
      <c r="M571" s="33">
        <v>79</v>
      </c>
      <c r="N571" s="33"/>
      <c r="O571" s="93">
        <f>IFERROR(IF(Readings[[#This Row],[Obs. X]]="","-",Readings[[#This Row],[Obs. X]]-_xlfn.XLOOKUP(Readings[[#This Row],[Sensor ID]],Table_Baseline[Sensor ID],Table_Baseline[Easting '[m']],"-")),"-")</f>
        <v>-9.9999999656574801E-4</v>
      </c>
      <c r="P571" s="93">
        <f>IFERROR(IF(Readings[[#This Row],[Obs. Y]]="","-",Readings[[#This Row],[Obs. Y]]-_xlfn.XLOOKUP(Readings[[#This Row],[Sensor ID]],Table_Baseline[Sensor ID],Table_Baseline[Northing '[m']],"-")),"-")</f>
        <v>2.0000000367872417E-3</v>
      </c>
      <c r="Q571" s="93">
        <f>IFERROR(IF(Readings[[#This Row],[Obs. Z]]="","-",Readings[[#This Row],[Obs. Z]]-_xlfn.XLOOKUP(Readings[[#This Row],[Sensor ID]],Table_Baseline[Sensor ID],Table_Baseline[Level '[m']],"-")),"-")</f>
        <v>-9.9999999999766942E-5</v>
      </c>
      <c r="R571" s="93">
        <f>IFERROR(IF(Readings[[#This Row],[Reference Angle]]="-","-",(Readings[[#This Row],[Diff E]]*COS(RADIANS(Readings[[#This Row],[Reference Angle]]))-Readings[[#This Row],[Diff N]]*SIN(RADIANS(Readings[[#This Row],[Reference Angle]])))),"-")</f>
        <v>-9.9999999656574801E-4</v>
      </c>
      <c r="S571" s="93">
        <f>IFERROR(IF(Readings[[#This Row],[Reference Angle]]="-","-",(Readings[[#This Row],[Diff E]]*SIN(RADIANS(Readings[[#This Row],[Reference Angle]]))+Readings[[#This Row],[Diff N]]*COS(RADIANS(Readings[[#This Row],[Reference Angle]])))),"-")</f>
        <v>2.0000000367872417E-3</v>
      </c>
      <c r="T571" s="94">
        <f>IFERROR(VLOOKUP(Readings[[#This Row],[Sensor ID]],Table_Baseline[],COLUMNS(Table_Baseline[[#Headers],[Sensor ID]:[Reference Angle '[Deg']]]),FALSE),"-")</f>
        <v>0</v>
      </c>
      <c r="U571" s="95" t="str">
        <f>Readings[[#This Row],[Sensor ID]]&amp;"-"&amp;Readings[[#This Row],[Epoch]]</f>
        <v>250-RL-OP-11012-45798.7430555556</v>
      </c>
      <c r="V571" s="99">
        <f ca="1">IF(Readings[[#This Row],[Epoch]]=OFFSET(Readings[[#This Row],[Epoch]],-1,0),0,1)</f>
        <v>0</v>
      </c>
    </row>
    <row r="572" spans="4:22" x14ac:dyDescent="0.2">
      <c r="D572" s="32">
        <v>45798.743055555555</v>
      </c>
      <c r="E572" s="33" t="s">
        <v>184</v>
      </c>
      <c r="F572" s="34">
        <v>60052.292999999998</v>
      </c>
      <c r="G572" s="34">
        <v>363840.886</v>
      </c>
      <c r="H572" s="34">
        <v>18.777999999999999</v>
      </c>
      <c r="I572" s="33" t="s">
        <v>85</v>
      </c>
      <c r="J572" s="33" t="s">
        <v>90</v>
      </c>
      <c r="K572" s="33">
        <v>20</v>
      </c>
      <c r="L572" s="33">
        <v>1019.7</v>
      </c>
      <c r="M572" s="33">
        <v>79</v>
      </c>
      <c r="N572" s="33"/>
      <c r="O572" s="93">
        <f>IFERROR(IF(Readings[[#This Row],[Obs. X]]="","-",Readings[[#This Row],[Obs. X]]-_xlfn.XLOOKUP(Readings[[#This Row],[Sensor ID]],Table_Baseline[Sensor ID],Table_Baseline[Easting '[m']],"-")),"-")</f>
        <v>0</v>
      </c>
      <c r="P572" s="93">
        <f>IFERROR(IF(Readings[[#This Row],[Obs. Y]]="","-",Readings[[#This Row],[Obs. Y]]-_xlfn.XLOOKUP(Readings[[#This Row],[Sensor ID]],Table_Baseline[Sensor ID],Table_Baseline[Northing '[m']],"-")),"-")</f>
        <v>9.9999998928979039E-4</v>
      </c>
      <c r="Q572" s="93">
        <f>IFERROR(IF(Readings[[#This Row],[Obs. Z]]="","-",Readings[[#This Row],[Obs. Z]]-_xlfn.XLOOKUP(Readings[[#This Row],[Sensor ID]],Table_Baseline[Sensor ID],Table_Baseline[Level '[m']],"-")),"-")</f>
        <v>-1.0000000000012221E-3</v>
      </c>
      <c r="R572" s="93">
        <f>IFERROR(IF(Readings[[#This Row],[Reference Angle]]="-","-",(Readings[[#This Row],[Diff E]]*COS(RADIANS(Readings[[#This Row],[Reference Angle]]))-Readings[[#This Row],[Diff N]]*SIN(RADIANS(Readings[[#This Row],[Reference Angle]])))),"-")</f>
        <v>0</v>
      </c>
      <c r="S572" s="93">
        <f>IFERROR(IF(Readings[[#This Row],[Reference Angle]]="-","-",(Readings[[#This Row],[Diff E]]*SIN(RADIANS(Readings[[#This Row],[Reference Angle]]))+Readings[[#This Row],[Diff N]]*COS(RADIANS(Readings[[#This Row],[Reference Angle]])))),"-")</f>
        <v>9.9999998928979039E-4</v>
      </c>
      <c r="T572" s="94">
        <f>IFERROR(VLOOKUP(Readings[[#This Row],[Sensor ID]],Table_Baseline[],COLUMNS(Table_Baseline[[#Headers],[Sensor ID]:[Reference Angle '[Deg']]]),FALSE),"-")</f>
        <v>0</v>
      </c>
      <c r="U572" s="95" t="str">
        <f>Readings[[#This Row],[Sensor ID]]&amp;"-"&amp;Readings[[#This Row],[Epoch]]</f>
        <v>250-RL-OP-11013-45798.7430555556</v>
      </c>
      <c r="V572" s="99">
        <f ca="1">IF(Readings[[#This Row],[Epoch]]=OFFSET(Readings[[#This Row],[Epoch]],-1,0),0,1)</f>
        <v>0</v>
      </c>
    </row>
    <row r="573" spans="4:22" x14ac:dyDescent="0.2">
      <c r="D573" s="32">
        <v>45798.743055555555</v>
      </c>
      <c r="E573" s="33" t="s">
        <v>183</v>
      </c>
      <c r="F573" s="34">
        <v>60051.989000000001</v>
      </c>
      <c r="G573" s="34">
        <v>363839.60399999999</v>
      </c>
      <c r="H573" s="34">
        <v>18.77</v>
      </c>
      <c r="I573" s="33" t="s">
        <v>85</v>
      </c>
      <c r="J573" s="33" t="s">
        <v>90</v>
      </c>
      <c r="K573" s="33">
        <v>20</v>
      </c>
      <c r="L573" s="33">
        <v>1019.7</v>
      </c>
      <c r="M573" s="33">
        <v>79</v>
      </c>
      <c r="N573" s="33"/>
      <c r="O573" s="93">
        <f>IFERROR(IF(Readings[[#This Row],[Obs. X]]="","-",Readings[[#This Row],[Obs. X]]-_xlfn.XLOOKUP(Readings[[#This Row],[Sensor ID]],Table_Baseline[Sensor ID],Table_Baseline[Easting '[m']],"-")),"-")</f>
        <v>0</v>
      </c>
      <c r="P573" s="93">
        <f>IFERROR(IF(Readings[[#This Row],[Obs. Y]]="","-",Readings[[#This Row],[Obs. Y]]-_xlfn.XLOOKUP(Readings[[#This Row],[Sensor ID]],Table_Baseline[Sensor ID],Table_Baseline[Northing '[m']],"-")),"-")</f>
        <v>9.9999998928979039E-4</v>
      </c>
      <c r="Q573" s="93">
        <f>IFERROR(IF(Readings[[#This Row],[Obs. Z]]="","-",Readings[[#This Row],[Obs. Z]]-_xlfn.XLOOKUP(Readings[[#This Row],[Sensor ID]],Table_Baseline[Sensor ID],Table_Baseline[Level '[m']],"-")),"-")</f>
        <v>-9.9999999999766942E-5</v>
      </c>
      <c r="R573" s="93">
        <f>IFERROR(IF(Readings[[#This Row],[Reference Angle]]="-","-",(Readings[[#This Row],[Diff E]]*COS(RADIANS(Readings[[#This Row],[Reference Angle]]))-Readings[[#This Row],[Diff N]]*SIN(RADIANS(Readings[[#This Row],[Reference Angle]])))),"-")</f>
        <v>0</v>
      </c>
      <c r="S573" s="93">
        <f>IFERROR(IF(Readings[[#This Row],[Reference Angle]]="-","-",(Readings[[#This Row],[Diff E]]*SIN(RADIANS(Readings[[#This Row],[Reference Angle]]))+Readings[[#This Row],[Diff N]]*COS(RADIANS(Readings[[#This Row],[Reference Angle]])))),"-")</f>
        <v>9.9999998928979039E-4</v>
      </c>
      <c r="T573" s="94">
        <f>IFERROR(VLOOKUP(Readings[[#This Row],[Sensor ID]],Table_Baseline[],COLUMNS(Table_Baseline[[#Headers],[Sensor ID]:[Reference Angle '[Deg']]]),FALSE),"-")</f>
        <v>0</v>
      </c>
      <c r="U573" s="95" t="str">
        <f>Readings[[#This Row],[Sensor ID]]&amp;"-"&amp;Readings[[#This Row],[Epoch]]</f>
        <v>250-RL-OP-11014-45798.7430555556</v>
      </c>
      <c r="V573" s="99">
        <f ca="1">IF(Readings[[#This Row],[Epoch]]=OFFSET(Readings[[#This Row],[Epoch]],-1,0),0,1)</f>
        <v>0</v>
      </c>
    </row>
    <row r="574" spans="4:22" x14ac:dyDescent="0.2">
      <c r="D574" s="32">
        <v>45798.743055555555</v>
      </c>
      <c r="E574" s="33" t="s">
        <v>186</v>
      </c>
      <c r="F574" s="34">
        <v>60055.196000000004</v>
      </c>
      <c r="G574" s="34">
        <v>363840.09600000002</v>
      </c>
      <c r="H574" s="34">
        <v>18.78</v>
      </c>
      <c r="I574" s="33" t="s">
        <v>85</v>
      </c>
      <c r="J574" s="33" t="s">
        <v>90</v>
      </c>
      <c r="K574" s="33">
        <v>20</v>
      </c>
      <c r="L574" s="33">
        <v>1019.7</v>
      </c>
      <c r="M574" s="33">
        <v>79</v>
      </c>
      <c r="N574" s="33"/>
      <c r="O574" s="93">
        <f>IFERROR(IF(Readings[[#This Row],[Obs. X]]="","-",Readings[[#This Row],[Obs. X]]-_xlfn.XLOOKUP(Readings[[#This Row],[Sensor ID]],Table_Baseline[Sensor ID],Table_Baseline[Easting '[m']],"-")),"-")</f>
        <v>0</v>
      </c>
      <c r="P574" s="93">
        <f>IFERROR(IF(Readings[[#This Row],[Obs. Y]]="","-",Readings[[#This Row],[Obs. Y]]-_xlfn.XLOOKUP(Readings[[#This Row],[Sensor ID]],Table_Baseline[Sensor ID],Table_Baseline[Northing '[m']],"-")),"-")</f>
        <v>1.0000000474974513E-3</v>
      </c>
      <c r="Q574" s="93">
        <f>IFERROR(IF(Readings[[#This Row],[Obs. Z]]="","-",Readings[[#This Row],[Obs. Z]]-_xlfn.XLOOKUP(Readings[[#This Row],[Sensor ID]],Table_Baseline[Sensor ID],Table_Baseline[Level '[m']],"-")),"-")</f>
        <v>-8.9999999999790248E-4</v>
      </c>
      <c r="R574" s="93">
        <f>IFERROR(IF(Readings[[#This Row],[Reference Angle]]="-","-",(Readings[[#This Row],[Diff E]]*COS(RADIANS(Readings[[#This Row],[Reference Angle]]))-Readings[[#This Row],[Diff N]]*SIN(RADIANS(Readings[[#This Row],[Reference Angle]])))),"-")</f>
        <v>0</v>
      </c>
      <c r="S574" s="93">
        <f>IFERROR(IF(Readings[[#This Row],[Reference Angle]]="-","-",(Readings[[#This Row],[Diff E]]*SIN(RADIANS(Readings[[#This Row],[Reference Angle]]))+Readings[[#This Row],[Diff N]]*COS(RADIANS(Readings[[#This Row],[Reference Angle]])))),"-")</f>
        <v>1.0000000474974513E-3</v>
      </c>
      <c r="T574" s="94">
        <f>IFERROR(VLOOKUP(Readings[[#This Row],[Sensor ID]],Table_Baseline[],COLUMNS(Table_Baseline[[#Headers],[Sensor ID]:[Reference Angle '[Deg']]]),FALSE),"-")</f>
        <v>0</v>
      </c>
      <c r="U574" s="95" t="str">
        <f>Readings[[#This Row],[Sensor ID]]&amp;"-"&amp;Readings[[#This Row],[Epoch]]</f>
        <v>250-RL-OP-11015-45798.7430555556</v>
      </c>
      <c r="V574" s="99">
        <f ca="1">IF(Readings[[#This Row],[Epoch]]=OFFSET(Readings[[#This Row],[Epoch]],-1,0),0,1)</f>
        <v>0</v>
      </c>
    </row>
    <row r="575" spans="4:22" x14ac:dyDescent="0.2">
      <c r="D575" s="32">
        <v>45798.743055555555</v>
      </c>
      <c r="E575" s="33" t="s">
        <v>185</v>
      </c>
      <c r="F575" s="34">
        <v>60054.885000000002</v>
      </c>
      <c r="G575" s="34">
        <v>363838.80599999998</v>
      </c>
      <c r="H575" s="34">
        <v>18.773</v>
      </c>
      <c r="I575" s="33" t="s">
        <v>85</v>
      </c>
      <c r="J575" s="33" t="s">
        <v>90</v>
      </c>
      <c r="K575" s="33">
        <v>20</v>
      </c>
      <c r="L575" s="33">
        <v>1019.7</v>
      </c>
      <c r="M575" s="33">
        <v>79</v>
      </c>
      <c r="N575" s="33"/>
      <c r="O575" s="93">
        <f>IFERROR(IF(Readings[[#This Row],[Obs. X]]="","-",Readings[[#This Row],[Obs. X]]-_xlfn.XLOOKUP(Readings[[#This Row],[Sensor ID]],Table_Baseline[Sensor ID],Table_Baseline[Easting '[m']],"-")),"-")</f>
        <v>-9.9999999656574801E-4</v>
      </c>
      <c r="P575" s="93">
        <f>IFERROR(IF(Readings[[#This Row],[Obs. Y]]="","-",Readings[[#This Row],[Obs. Y]]-_xlfn.XLOOKUP(Readings[[#This Row],[Sensor ID]],Table_Baseline[Sensor ID],Table_Baseline[Northing '[m']],"-")),"-")</f>
        <v>9.9999998928979039E-4</v>
      </c>
      <c r="Q575" s="93">
        <f>IFERROR(IF(Readings[[#This Row],[Obs. Z]]="","-",Readings[[#This Row],[Obs. Z]]-_xlfn.XLOOKUP(Readings[[#This Row],[Sensor ID]],Table_Baseline[Sensor ID],Table_Baseline[Level '[m']],"-")),"-")</f>
        <v>-9.9999999999766942E-5</v>
      </c>
      <c r="R575" s="93">
        <f>IFERROR(IF(Readings[[#This Row],[Reference Angle]]="-","-",(Readings[[#This Row],[Diff E]]*COS(RADIANS(Readings[[#This Row],[Reference Angle]]))-Readings[[#This Row],[Diff N]]*SIN(RADIANS(Readings[[#This Row],[Reference Angle]])))),"-")</f>
        <v>-9.9999999656574801E-4</v>
      </c>
      <c r="S575" s="93">
        <f>IFERROR(IF(Readings[[#This Row],[Reference Angle]]="-","-",(Readings[[#This Row],[Diff E]]*SIN(RADIANS(Readings[[#This Row],[Reference Angle]]))+Readings[[#This Row],[Diff N]]*COS(RADIANS(Readings[[#This Row],[Reference Angle]])))),"-")</f>
        <v>9.9999998928979039E-4</v>
      </c>
      <c r="T575" s="94">
        <f>IFERROR(VLOOKUP(Readings[[#This Row],[Sensor ID]],Table_Baseline[],COLUMNS(Table_Baseline[[#Headers],[Sensor ID]:[Reference Angle '[Deg']]]),FALSE),"-")</f>
        <v>0</v>
      </c>
      <c r="U575" s="95" t="str">
        <f>Readings[[#This Row],[Sensor ID]]&amp;"-"&amp;Readings[[#This Row],[Epoch]]</f>
        <v>250-RL-OP-11016-45798.7430555556</v>
      </c>
      <c r="V575" s="99">
        <f ca="1">IF(Readings[[#This Row],[Epoch]]=OFFSET(Readings[[#This Row],[Epoch]],-1,0),0,1)</f>
        <v>0</v>
      </c>
    </row>
    <row r="576" spans="4:22" x14ac:dyDescent="0.2">
      <c r="D576" s="32">
        <v>45798.743055555555</v>
      </c>
      <c r="E576" s="33" t="s">
        <v>188</v>
      </c>
      <c r="F576" s="34">
        <v>60057.951999999997</v>
      </c>
      <c r="G576" s="34">
        <v>363839.364</v>
      </c>
      <c r="H576" s="34">
        <v>18.785</v>
      </c>
      <c r="I576" s="33" t="s">
        <v>85</v>
      </c>
      <c r="J576" s="33" t="s">
        <v>90</v>
      </c>
      <c r="K576" s="33">
        <v>20</v>
      </c>
      <c r="L576" s="33">
        <v>1019.7</v>
      </c>
      <c r="M576" s="33">
        <v>79</v>
      </c>
      <c r="N576" s="33"/>
      <c r="O576" s="93">
        <f>IFERROR(IF(Readings[[#This Row],[Obs. X]]="","-",Readings[[#This Row],[Obs. X]]-_xlfn.XLOOKUP(Readings[[#This Row],[Sensor ID]],Table_Baseline[Sensor ID],Table_Baseline[Easting '[m']],"-")),"-")</f>
        <v>0</v>
      </c>
      <c r="P576" s="93">
        <f>IFERROR(IF(Readings[[#This Row],[Obs. Y]]="","-",Readings[[#This Row],[Obs. Y]]-_xlfn.XLOOKUP(Readings[[#This Row],[Sensor ID]],Table_Baseline[Sensor ID],Table_Baseline[Northing '[m']],"-")),"-")</f>
        <v>2.0000000367872417E-3</v>
      </c>
      <c r="Q576" s="93">
        <f>IFERROR(IF(Readings[[#This Row],[Obs. Z]]="","-",Readings[[#This Row],[Obs. Z]]-_xlfn.XLOOKUP(Readings[[#This Row],[Sensor ID]],Table_Baseline[Sensor ID],Table_Baseline[Level '[m']],"-")),"-")</f>
        <v>-1.0000000000012221E-3</v>
      </c>
      <c r="R576" s="93">
        <f>IFERROR(IF(Readings[[#This Row],[Reference Angle]]="-","-",(Readings[[#This Row],[Diff E]]*COS(RADIANS(Readings[[#This Row],[Reference Angle]]))-Readings[[#This Row],[Diff N]]*SIN(RADIANS(Readings[[#This Row],[Reference Angle]])))),"-")</f>
        <v>0</v>
      </c>
      <c r="S576" s="93">
        <f>IFERROR(IF(Readings[[#This Row],[Reference Angle]]="-","-",(Readings[[#This Row],[Diff E]]*SIN(RADIANS(Readings[[#This Row],[Reference Angle]]))+Readings[[#This Row],[Diff N]]*COS(RADIANS(Readings[[#This Row],[Reference Angle]])))),"-")</f>
        <v>2.0000000367872417E-3</v>
      </c>
      <c r="T576" s="94">
        <f>IFERROR(VLOOKUP(Readings[[#This Row],[Sensor ID]],Table_Baseline[],COLUMNS(Table_Baseline[[#Headers],[Sensor ID]:[Reference Angle '[Deg']]]),FALSE),"-")</f>
        <v>0</v>
      </c>
      <c r="U576" s="95" t="str">
        <f>Readings[[#This Row],[Sensor ID]]&amp;"-"&amp;Readings[[#This Row],[Epoch]]</f>
        <v>250-RL-OP-11017-45798.7430555556</v>
      </c>
      <c r="V576" s="99">
        <f ca="1">IF(Readings[[#This Row],[Epoch]]=OFFSET(Readings[[#This Row],[Epoch]],-1,0),0,1)</f>
        <v>0</v>
      </c>
    </row>
    <row r="577" spans="4:22" x14ac:dyDescent="0.2">
      <c r="D577" s="32">
        <v>45798.743055555555</v>
      </c>
      <c r="E577" s="33" t="s">
        <v>187</v>
      </c>
      <c r="F577" s="34">
        <v>60057.578000000001</v>
      </c>
      <c r="G577" s="34">
        <v>363838.1</v>
      </c>
      <c r="H577" s="34">
        <v>18.774999999999999</v>
      </c>
      <c r="I577" s="33" t="s">
        <v>85</v>
      </c>
      <c r="J577" s="33" t="s">
        <v>90</v>
      </c>
      <c r="K577" s="33">
        <v>20</v>
      </c>
      <c r="L577" s="33">
        <v>1019.7</v>
      </c>
      <c r="M577" s="33">
        <v>79</v>
      </c>
      <c r="N577" s="33"/>
      <c r="O577" s="93">
        <f>IFERROR(IF(Readings[[#This Row],[Obs. X]]="","-",Readings[[#This Row],[Obs. X]]-_xlfn.XLOOKUP(Readings[[#This Row],[Sensor ID]],Table_Baseline[Sensor ID],Table_Baseline[Easting '[m']],"-")),"-")</f>
        <v>-9.9999999656574801E-4</v>
      </c>
      <c r="P577" s="93">
        <f>IFERROR(IF(Readings[[#This Row],[Obs. Y]]="","-",Readings[[#This Row],[Obs. Y]]-_xlfn.XLOOKUP(Readings[[#This Row],[Sensor ID]],Table_Baseline[Sensor ID],Table_Baseline[Northing '[m']],"-")),"-")</f>
        <v>1.9999999785795808E-3</v>
      </c>
      <c r="Q577" s="93">
        <f>IFERROR(IF(Readings[[#This Row],[Obs. Z]]="","-",Readings[[#This Row],[Obs. Z]]-_xlfn.XLOOKUP(Readings[[#This Row],[Sensor ID]],Table_Baseline[Sensor ID],Table_Baseline[Level '[m']],"-")),"-")</f>
        <v>-1.0000000000012221E-3</v>
      </c>
      <c r="R577" s="93">
        <f>IFERROR(IF(Readings[[#This Row],[Reference Angle]]="-","-",(Readings[[#This Row],[Diff E]]*COS(RADIANS(Readings[[#This Row],[Reference Angle]]))-Readings[[#This Row],[Diff N]]*SIN(RADIANS(Readings[[#This Row],[Reference Angle]])))),"-")</f>
        <v>-9.9999999656574801E-4</v>
      </c>
      <c r="S577" s="93">
        <f>IFERROR(IF(Readings[[#This Row],[Reference Angle]]="-","-",(Readings[[#This Row],[Diff E]]*SIN(RADIANS(Readings[[#This Row],[Reference Angle]]))+Readings[[#This Row],[Diff N]]*COS(RADIANS(Readings[[#This Row],[Reference Angle]])))),"-")</f>
        <v>1.9999999785795808E-3</v>
      </c>
      <c r="T577" s="94">
        <f>IFERROR(VLOOKUP(Readings[[#This Row],[Sensor ID]],Table_Baseline[],COLUMNS(Table_Baseline[[#Headers],[Sensor ID]:[Reference Angle '[Deg']]]),FALSE),"-")</f>
        <v>0</v>
      </c>
      <c r="U577" s="95" t="str">
        <f>Readings[[#This Row],[Sensor ID]]&amp;"-"&amp;Readings[[#This Row],[Epoch]]</f>
        <v>250-RL-OP-11018-45798.7430555556</v>
      </c>
      <c r="V577" s="99">
        <f ca="1">IF(Readings[[#This Row],[Epoch]]=OFFSET(Readings[[#This Row],[Epoch]],-1,0),0,1)</f>
        <v>0</v>
      </c>
    </row>
    <row r="578" spans="4:22" x14ac:dyDescent="0.2">
      <c r="D578" s="32">
        <v>45798.743055555555</v>
      </c>
      <c r="E578" s="33" t="s">
        <v>190</v>
      </c>
      <c r="F578" s="34">
        <v>60060.963000000003</v>
      </c>
      <c r="G578" s="34">
        <v>363838.603</v>
      </c>
      <c r="H578" s="34">
        <v>18.794</v>
      </c>
      <c r="I578" s="33" t="s">
        <v>85</v>
      </c>
      <c r="J578" s="33" t="s">
        <v>90</v>
      </c>
      <c r="K578" s="33">
        <v>20</v>
      </c>
      <c r="L578" s="33">
        <v>1019.7</v>
      </c>
      <c r="M578" s="33">
        <v>79</v>
      </c>
      <c r="N578" s="33"/>
      <c r="O578" s="93">
        <f>IFERROR(IF(Readings[[#This Row],[Obs. X]]="","-",Readings[[#This Row],[Obs. X]]-_xlfn.XLOOKUP(Readings[[#This Row],[Sensor ID]],Table_Baseline[Sensor ID],Table_Baseline[Easting '[m']],"-")),"-")</f>
        <v>0</v>
      </c>
      <c r="P578" s="93">
        <f>IFERROR(IF(Readings[[#This Row],[Obs. Y]]="","-",Readings[[#This Row],[Obs. Y]]-_xlfn.XLOOKUP(Readings[[#This Row],[Sensor ID]],Table_Baseline[Sensor ID],Table_Baseline[Northing '[m']],"-")),"-")</f>
        <v>1.9999999785795808E-3</v>
      </c>
      <c r="Q578" s="93">
        <f>IFERROR(IF(Readings[[#This Row],[Obs. Z]]="","-",Readings[[#This Row],[Obs. Z]]-_xlfn.XLOOKUP(Readings[[#This Row],[Sensor ID]],Table_Baseline[Sensor ID],Table_Baseline[Level '[m']],"-")),"-")</f>
        <v>-5.9999999999860165E-4</v>
      </c>
      <c r="R578" s="93">
        <f>IFERROR(IF(Readings[[#This Row],[Reference Angle]]="-","-",(Readings[[#This Row],[Diff E]]*COS(RADIANS(Readings[[#This Row],[Reference Angle]]))-Readings[[#This Row],[Diff N]]*SIN(RADIANS(Readings[[#This Row],[Reference Angle]])))),"-")</f>
        <v>0</v>
      </c>
      <c r="S578" s="93">
        <f>IFERROR(IF(Readings[[#This Row],[Reference Angle]]="-","-",(Readings[[#This Row],[Diff E]]*SIN(RADIANS(Readings[[#This Row],[Reference Angle]]))+Readings[[#This Row],[Diff N]]*COS(RADIANS(Readings[[#This Row],[Reference Angle]])))),"-")</f>
        <v>1.9999999785795808E-3</v>
      </c>
      <c r="T578" s="94">
        <f>IFERROR(VLOOKUP(Readings[[#This Row],[Sensor ID]],Table_Baseline[],COLUMNS(Table_Baseline[[#Headers],[Sensor ID]:[Reference Angle '[Deg']]]),FALSE),"-")</f>
        <v>0</v>
      </c>
      <c r="U578" s="95" t="str">
        <f>Readings[[#This Row],[Sensor ID]]&amp;"-"&amp;Readings[[#This Row],[Epoch]]</f>
        <v>250-RL-OP-11019-45798.7430555556</v>
      </c>
      <c r="V578" s="99">
        <f ca="1">IF(Readings[[#This Row],[Epoch]]=OFFSET(Readings[[#This Row],[Epoch]],-1,0),0,1)</f>
        <v>0</v>
      </c>
    </row>
    <row r="579" spans="4:22" x14ac:dyDescent="0.2">
      <c r="D579" s="32">
        <v>45798.743055555555</v>
      </c>
      <c r="E579" s="33" t="s">
        <v>189</v>
      </c>
      <c r="F579" s="34">
        <v>60060.639999999999</v>
      </c>
      <c r="G579" s="34">
        <v>363837.32400000002</v>
      </c>
      <c r="H579" s="34">
        <v>18.783000000000001</v>
      </c>
      <c r="I579" s="33" t="s">
        <v>85</v>
      </c>
      <c r="J579" s="33" t="s">
        <v>90</v>
      </c>
      <c r="K579" s="33">
        <v>20</v>
      </c>
      <c r="L579" s="33">
        <v>1019.7</v>
      </c>
      <c r="M579" s="33">
        <v>79</v>
      </c>
      <c r="N579" s="33"/>
      <c r="O579" s="93">
        <f>IFERROR(IF(Readings[[#This Row],[Obs. X]]="","-",Readings[[#This Row],[Obs. X]]-_xlfn.XLOOKUP(Readings[[#This Row],[Sensor ID]],Table_Baseline[Sensor ID],Table_Baseline[Easting '[m']],"-")),"-")</f>
        <v>0</v>
      </c>
      <c r="P579" s="93">
        <f>IFERROR(IF(Readings[[#This Row],[Obs. Y]]="","-",Readings[[#This Row],[Obs. Y]]-_xlfn.XLOOKUP(Readings[[#This Row],[Sensor ID]],Table_Baseline[Sensor ID],Table_Baseline[Northing '[m']],"-")),"-")</f>
        <v>2.0000000367872417E-3</v>
      </c>
      <c r="Q579" s="93">
        <f>IFERROR(IF(Readings[[#This Row],[Obs. Z]]="","-",Readings[[#This Row],[Obs. Z]]-_xlfn.XLOOKUP(Readings[[#This Row],[Sensor ID]],Table_Baseline[Sensor ID],Table_Baseline[Level '[m']],"-")),"-")</f>
        <v>-5.9999999999860165E-4</v>
      </c>
      <c r="R579" s="93">
        <f>IFERROR(IF(Readings[[#This Row],[Reference Angle]]="-","-",(Readings[[#This Row],[Diff E]]*COS(RADIANS(Readings[[#This Row],[Reference Angle]]))-Readings[[#This Row],[Diff N]]*SIN(RADIANS(Readings[[#This Row],[Reference Angle]])))),"-")</f>
        <v>0</v>
      </c>
      <c r="S579" s="93">
        <f>IFERROR(IF(Readings[[#This Row],[Reference Angle]]="-","-",(Readings[[#This Row],[Diff E]]*SIN(RADIANS(Readings[[#This Row],[Reference Angle]]))+Readings[[#This Row],[Diff N]]*COS(RADIANS(Readings[[#This Row],[Reference Angle]])))),"-")</f>
        <v>2.0000000367872417E-3</v>
      </c>
      <c r="T579" s="94">
        <f>IFERROR(VLOOKUP(Readings[[#This Row],[Sensor ID]],Table_Baseline[],COLUMNS(Table_Baseline[[#Headers],[Sensor ID]:[Reference Angle '[Deg']]]),FALSE),"-")</f>
        <v>0</v>
      </c>
      <c r="U579" s="95" t="str">
        <f>Readings[[#This Row],[Sensor ID]]&amp;"-"&amp;Readings[[#This Row],[Epoch]]</f>
        <v>250-RL-OP-11020-45798.7430555556</v>
      </c>
      <c r="V579" s="99">
        <f ca="1">IF(Readings[[#This Row],[Epoch]]=OFFSET(Readings[[#This Row],[Epoch]],-1,0),0,1)</f>
        <v>0</v>
      </c>
    </row>
    <row r="580" spans="4:22" x14ac:dyDescent="0.2">
      <c r="D580" s="32">
        <v>45798.743055555555</v>
      </c>
      <c r="E580" s="33" t="s">
        <v>192</v>
      </c>
      <c r="F580" s="34">
        <v>60063.750999999997</v>
      </c>
      <c r="G580" s="34">
        <v>363837.91899999999</v>
      </c>
      <c r="H580" s="34">
        <v>18.808</v>
      </c>
      <c r="I580" s="33" t="s">
        <v>85</v>
      </c>
      <c r="J580" s="33" t="s">
        <v>90</v>
      </c>
      <c r="K580" s="33">
        <v>20</v>
      </c>
      <c r="L580" s="33">
        <v>1019.7</v>
      </c>
      <c r="M580" s="33">
        <v>79</v>
      </c>
      <c r="N580" s="33"/>
      <c r="O580" s="93">
        <f>IFERROR(IF(Readings[[#This Row],[Obs. X]]="","-",Readings[[#This Row],[Obs. X]]-_xlfn.XLOOKUP(Readings[[#This Row],[Sensor ID]],Table_Baseline[Sensor ID],Table_Baseline[Easting '[m']],"-")),"-")</f>
        <v>0</v>
      </c>
      <c r="P580" s="93">
        <f>IFERROR(IF(Readings[[#This Row],[Obs. Y]]="","-",Readings[[#This Row],[Obs. Y]]-_xlfn.XLOOKUP(Readings[[#This Row],[Sensor ID]],Table_Baseline[Sensor ID],Table_Baseline[Northing '[m']],"-")),"-")</f>
        <v>9.9999998928979039E-4</v>
      </c>
      <c r="Q580" s="93">
        <f>IFERROR(IF(Readings[[#This Row],[Obs. Z]]="","-",Readings[[#This Row],[Obs. Z]]-_xlfn.XLOOKUP(Readings[[#This Row],[Sensor ID]],Table_Baseline[Sensor ID],Table_Baseline[Level '[m']],"-")),"-")</f>
        <v>-1.0000000000012221E-3</v>
      </c>
      <c r="R580" s="93">
        <f>IFERROR(IF(Readings[[#This Row],[Reference Angle]]="-","-",(Readings[[#This Row],[Diff E]]*COS(RADIANS(Readings[[#This Row],[Reference Angle]]))-Readings[[#This Row],[Diff N]]*SIN(RADIANS(Readings[[#This Row],[Reference Angle]])))),"-")</f>
        <v>0</v>
      </c>
      <c r="S580" s="93">
        <f>IFERROR(IF(Readings[[#This Row],[Reference Angle]]="-","-",(Readings[[#This Row],[Diff E]]*SIN(RADIANS(Readings[[#This Row],[Reference Angle]]))+Readings[[#This Row],[Diff N]]*COS(RADIANS(Readings[[#This Row],[Reference Angle]])))),"-")</f>
        <v>9.9999998928979039E-4</v>
      </c>
      <c r="T580" s="94">
        <f>IFERROR(VLOOKUP(Readings[[#This Row],[Sensor ID]],Table_Baseline[],COLUMNS(Table_Baseline[[#Headers],[Sensor ID]:[Reference Angle '[Deg']]]),FALSE),"-")</f>
        <v>0</v>
      </c>
      <c r="U580" s="95" t="str">
        <f>Readings[[#This Row],[Sensor ID]]&amp;"-"&amp;Readings[[#This Row],[Epoch]]</f>
        <v>250-RL-OP-11021-45798.7430555556</v>
      </c>
      <c r="V580" s="99">
        <f ca="1">IF(Readings[[#This Row],[Epoch]]=OFFSET(Readings[[#This Row],[Epoch]],-1,0),0,1)</f>
        <v>0</v>
      </c>
    </row>
    <row r="581" spans="4:22" x14ac:dyDescent="0.2">
      <c r="D581" s="32">
        <v>45798.743055555555</v>
      </c>
      <c r="E581" s="33" t="s">
        <v>191</v>
      </c>
      <c r="F581" s="34">
        <v>60063.421000000002</v>
      </c>
      <c r="G581" s="34">
        <v>363836.63800000004</v>
      </c>
      <c r="H581" s="34">
        <v>18.794</v>
      </c>
      <c r="I581" s="33" t="s">
        <v>85</v>
      </c>
      <c r="J581" s="33" t="s">
        <v>90</v>
      </c>
      <c r="K581" s="33">
        <v>20</v>
      </c>
      <c r="L581" s="33">
        <v>1019.7</v>
      </c>
      <c r="M581" s="33">
        <v>79</v>
      </c>
      <c r="N581" s="33"/>
      <c r="O581" s="93">
        <f>IFERROR(IF(Readings[[#This Row],[Obs. X]]="","-",Readings[[#This Row],[Obs. X]]-_xlfn.XLOOKUP(Readings[[#This Row],[Sensor ID]],Table_Baseline[Sensor ID],Table_Baseline[Easting '[m']],"-")),"-")</f>
        <v>-9.9999999656574801E-4</v>
      </c>
      <c r="P581" s="93">
        <f>IFERROR(IF(Readings[[#This Row],[Obs. Y]]="","-",Readings[[#This Row],[Obs. Y]]-_xlfn.XLOOKUP(Readings[[#This Row],[Sensor ID]],Table_Baseline[Sensor ID],Table_Baseline[Northing '[m']],"-")),"-")</f>
        <v>2.0000000367872417E-3</v>
      </c>
      <c r="Q581" s="93">
        <f>IFERROR(IF(Readings[[#This Row],[Obs. Z]]="","-",Readings[[#This Row],[Obs. Z]]-_xlfn.XLOOKUP(Readings[[#This Row],[Sensor ID]],Table_Baseline[Sensor ID],Table_Baseline[Level '[m']],"-")),"-")</f>
        <v>-8.9999999999790248E-4</v>
      </c>
      <c r="R581" s="93">
        <f>IFERROR(IF(Readings[[#This Row],[Reference Angle]]="-","-",(Readings[[#This Row],[Diff E]]*COS(RADIANS(Readings[[#This Row],[Reference Angle]]))-Readings[[#This Row],[Diff N]]*SIN(RADIANS(Readings[[#This Row],[Reference Angle]])))),"-")</f>
        <v>-9.9999999656574801E-4</v>
      </c>
      <c r="S581" s="93">
        <f>IFERROR(IF(Readings[[#This Row],[Reference Angle]]="-","-",(Readings[[#This Row],[Diff E]]*SIN(RADIANS(Readings[[#This Row],[Reference Angle]]))+Readings[[#This Row],[Diff N]]*COS(RADIANS(Readings[[#This Row],[Reference Angle]])))),"-")</f>
        <v>2.0000000367872417E-3</v>
      </c>
      <c r="T581" s="94">
        <f>IFERROR(VLOOKUP(Readings[[#This Row],[Sensor ID]],Table_Baseline[],COLUMNS(Table_Baseline[[#Headers],[Sensor ID]:[Reference Angle '[Deg']]]),FALSE),"-")</f>
        <v>0</v>
      </c>
      <c r="U581" s="95" t="str">
        <f>Readings[[#This Row],[Sensor ID]]&amp;"-"&amp;Readings[[#This Row],[Epoch]]</f>
        <v>250-RL-OP-11022-45798.7430555556</v>
      </c>
      <c r="V581" s="99">
        <f ca="1">IF(Readings[[#This Row],[Epoch]]=OFFSET(Readings[[#This Row],[Epoch]],-1,0),0,1)</f>
        <v>0</v>
      </c>
    </row>
    <row r="582" spans="4:22" x14ac:dyDescent="0.2">
      <c r="D582" s="32">
        <v>45798.743055555555</v>
      </c>
      <c r="E582" s="33" t="s">
        <v>165</v>
      </c>
      <c r="F582" s="34">
        <v>60034.538999999997</v>
      </c>
      <c r="G582" s="34">
        <v>363843.38199999998</v>
      </c>
      <c r="H582" s="34">
        <v>19.331</v>
      </c>
      <c r="I582" s="33" t="s">
        <v>85</v>
      </c>
      <c r="J582" s="33" t="s">
        <v>90</v>
      </c>
      <c r="K582" s="33">
        <v>20</v>
      </c>
      <c r="L582" s="33">
        <v>1019.7</v>
      </c>
      <c r="M582" s="33">
        <v>79</v>
      </c>
      <c r="N582" s="33"/>
      <c r="O582" s="93" t="str">
        <f>IFERROR(IF(Readings[[#This Row],[Obs. X]]="","-",Readings[[#This Row],[Obs. X]]-_xlfn.XLOOKUP(Readings[[#This Row],[Sensor ID]],Table_Baseline[Sensor ID],Table_Baseline[Easting '[m']],"-")),"-")</f>
        <v>-</v>
      </c>
      <c r="P582" s="93" t="str">
        <f>IFERROR(IF(Readings[[#This Row],[Obs. Y]]="","-",Readings[[#This Row],[Obs. Y]]-_xlfn.XLOOKUP(Readings[[#This Row],[Sensor ID]],Table_Baseline[Sensor ID],Table_Baseline[Northing '[m']],"-")),"-")</f>
        <v>-</v>
      </c>
      <c r="Q582" s="93" t="str">
        <f>IFERROR(IF(Readings[[#This Row],[Obs. Z]]="","-",Readings[[#This Row],[Obs. Z]]-_xlfn.XLOOKUP(Readings[[#This Row],[Sensor ID]],Table_Baseline[Sensor ID],Table_Baseline[Level '[m']],"-")),"-")</f>
        <v>-</v>
      </c>
      <c r="R582" s="93" t="str">
        <f>IFERROR(IF(Readings[[#This Row],[Reference Angle]]="-","-",(Readings[[#This Row],[Diff E]]*COS(RADIANS(Readings[[#This Row],[Reference Angle]]))-Readings[[#This Row],[Diff N]]*SIN(RADIANS(Readings[[#This Row],[Reference Angle]])))),"-")</f>
        <v>-</v>
      </c>
      <c r="S582" s="93" t="str">
        <f>IFERROR(IF(Readings[[#This Row],[Reference Angle]]="-","-",(Readings[[#This Row],[Diff E]]*SIN(RADIANS(Readings[[#This Row],[Reference Angle]]))+Readings[[#This Row],[Diff N]]*COS(RADIANS(Readings[[#This Row],[Reference Angle]])))),"-")</f>
        <v>-</v>
      </c>
      <c r="T582" s="94" t="str">
        <f>IFERROR(VLOOKUP(Readings[[#This Row],[Sensor ID]],Table_Baseline[],COLUMNS(Table_Baseline[[#Headers],[Sensor ID]:[Reference Angle '[Deg']]]),FALSE),"-")</f>
        <v>-</v>
      </c>
      <c r="U582" s="95" t="str">
        <f>Readings[[#This Row],[Sensor ID]]&amp;"-"&amp;Readings[[#This Row],[Epoch]]</f>
        <v>250-ST-OP-500-45798.7430555556</v>
      </c>
      <c r="V582" s="99">
        <f ca="1">IF(Readings[[#This Row],[Epoch]]=OFFSET(Readings[[#This Row],[Epoch]],-1,0),0,1)</f>
        <v>0</v>
      </c>
    </row>
    <row r="583" spans="4:22" x14ac:dyDescent="0.2">
      <c r="D583" s="32">
        <v>45798.743055555555</v>
      </c>
      <c r="E583" s="33" t="s">
        <v>166</v>
      </c>
      <c r="F583" s="34">
        <v>60040.286</v>
      </c>
      <c r="G583" s="34">
        <v>363841.73</v>
      </c>
      <c r="H583" s="34">
        <v>19.321000000000002</v>
      </c>
      <c r="I583" s="33" t="s">
        <v>85</v>
      </c>
      <c r="J583" s="33" t="s">
        <v>90</v>
      </c>
      <c r="K583" s="33">
        <v>20</v>
      </c>
      <c r="L583" s="33">
        <v>1019.7</v>
      </c>
      <c r="M583" s="33">
        <v>79</v>
      </c>
      <c r="N583" s="33"/>
      <c r="O583" s="93" t="str">
        <f>IFERROR(IF(Readings[[#This Row],[Obs. X]]="","-",Readings[[#This Row],[Obs. X]]-_xlfn.XLOOKUP(Readings[[#This Row],[Sensor ID]],Table_Baseline[Sensor ID],Table_Baseline[Easting '[m']],"-")),"-")</f>
        <v>-</v>
      </c>
      <c r="P583" s="93" t="str">
        <f>IFERROR(IF(Readings[[#This Row],[Obs. Y]]="","-",Readings[[#This Row],[Obs. Y]]-_xlfn.XLOOKUP(Readings[[#This Row],[Sensor ID]],Table_Baseline[Sensor ID],Table_Baseline[Northing '[m']],"-")),"-")</f>
        <v>-</v>
      </c>
      <c r="Q583" s="93" t="str">
        <f>IFERROR(IF(Readings[[#This Row],[Obs. Z]]="","-",Readings[[#This Row],[Obs. Z]]-_xlfn.XLOOKUP(Readings[[#This Row],[Sensor ID]],Table_Baseline[Sensor ID],Table_Baseline[Level '[m']],"-")),"-")</f>
        <v>-</v>
      </c>
      <c r="R583" s="93" t="str">
        <f>IFERROR(IF(Readings[[#This Row],[Reference Angle]]="-","-",(Readings[[#This Row],[Diff E]]*COS(RADIANS(Readings[[#This Row],[Reference Angle]]))-Readings[[#This Row],[Diff N]]*SIN(RADIANS(Readings[[#This Row],[Reference Angle]])))),"-")</f>
        <v>-</v>
      </c>
      <c r="S583" s="93" t="str">
        <f>IFERROR(IF(Readings[[#This Row],[Reference Angle]]="-","-",(Readings[[#This Row],[Diff E]]*SIN(RADIANS(Readings[[#This Row],[Reference Angle]]))+Readings[[#This Row],[Diff N]]*COS(RADIANS(Readings[[#This Row],[Reference Angle]])))),"-")</f>
        <v>-</v>
      </c>
      <c r="T583" s="94" t="str">
        <f>IFERROR(VLOOKUP(Readings[[#This Row],[Sensor ID]],Table_Baseline[],COLUMNS(Table_Baseline[[#Headers],[Sensor ID]:[Reference Angle '[Deg']]]),FALSE),"-")</f>
        <v>-</v>
      </c>
      <c r="U583" s="95" t="str">
        <f>Readings[[#This Row],[Sensor ID]]&amp;"-"&amp;Readings[[#This Row],[Epoch]]</f>
        <v>250-ST-OP-501-45798.7430555556</v>
      </c>
      <c r="V583" s="99">
        <f ca="1">IF(Readings[[#This Row],[Epoch]]=OFFSET(Readings[[#This Row],[Epoch]],-1,0),0,1)</f>
        <v>0</v>
      </c>
    </row>
    <row r="584" spans="4:22" x14ac:dyDescent="0.2">
      <c r="D584" s="32">
        <v>45798.743055555555</v>
      </c>
      <c r="E584" s="33" t="s">
        <v>167</v>
      </c>
      <c r="F584" s="34">
        <v>60045.921000000002</v>
      </c>
      <c r="G584" s="34">
        <v>363840.10100000002</v>
      </c>
      <c r="H584" s="34">
        <v>19.334</v>
      </c>
      <c r="I584" s="33" t="s">
        <v>85</v>
      </c>
      <c r="J584" s="33" t="s">
        <v>90</v>
      </c>
      <c r="K584" s="33">
        <v>20</v>
      </c>
      <c r="L584" s="33">
        <v>1019.7</v>
      </c>
      <c r="M584" s="33">
        <v>79</v>
      </c>
      <c r="N584" s="33"/>
      <c r="O584" s="93" t="str">
        <f>IFERROR(IF(Readings[[#This Row],[Obs. X]]="","-",Readings[[#This Row],[Obs. X]]-_xlfn.XLOOKUP(Readings[[#This Row],[Sensor ID]],Table_Baseline[Sensor ID],Table_Baseline[Easting '[m']],"-")),"-")</f>
        <v>-</v>
      </c>
      <c r="P584" s="93" t="str">
        <f>IFERROR(IF(Readings[[#This Row],[Obs. Y]]="","-",Readings[[#This Row],[Obs. Y]]-_xlfn.XLOOKUP(Readings[[#This Row],[Sensor ID]],Table_Baseline[Sensor ID],Table_Baseline[Northing '[m']],"-")),"-")</f>
        <v>-</v>
      </c>
      <c r="Q584" s="93" t="str">
        <f>IFERROR(IF(Readings[[#This Row],[Obs. Z]]="","-",Readings[[#This Row],[Obs. Z]]-_xlfn.XLOOKUP(Readings[[#This Row],[Sensor ID]],Table_Baseline[Sensor ID],Table_Baseline[Level '[m']],"-")),"-")</f>
        <v>-</v>
      </c>
      <c r="R584" s="93" t="str">
        <f>IFERROR(IF(Readings[[#This Row],[Reference Angle]]="-","-",(Readings[[#This Row],[Diff E]]*COS(RADIANS(Readings[[#This Row],[Reference Angle]]))-Readings[[#This Row],[Diff N]]*SIN(RADIANS(Readings[[#This Row],[Reference Angle]])))),"-")</f>
        <v>-</v>
      </c>
      <c r="S584" s="93" t="str">
        <f>IFERROR(IF(Readings[[#This Row],[Reference Angle]]="-","-",(Readings[[#This Row],[Diff E]]*SIN(RADIANS(Readings[[#This Row],[Reference Angle]]))+Readings[[#This Row],[Diff N]]*COS(RADIANS(Readings[[#This Row],[Reference Angle]])))),"-")</f>
        <v>-</v>
      </c>
      <c r="T584" s="94" t="str">
        <f>IFERROR(VLOOKUP(Readings[[#This Row],[Sensor ID]],Table_Baseline[],COLUMNS(Table_Baseline[[#Headers],[Sensor ID]:[Reference Angle '[Deg']]]),FALSE),"-")</f>
        <v>-</v>
      </c>
      <c r="U584" s="95" t="str">
        <f>Readings[[#This Row],[Sensor ID]]&amp;"-"&amp;Readings[[#This Row],[Epoch]]</f>
        <v>250-ST-OP-502-45798.7430555556</v>
      </c>
      <c r="V584" s="99">
        <f ca="1">IF(Readings[[#This Row],[Epoch]]=OFFSET(Readings[[#This Row],[Epoch]],-1,0),0,1)</f>
        <v>0</v>
      </c>
    </row>
    <row r="585" spans="4:22" x14ac:dyDescent="0.2">
      <c r="D585" s="32">
        <v>45798.743055555555</v>
      </c>
      <c r="E585" s="33" t="s">
        <v>168</v>
      </c>
      <c r="F585" s="34">
        <v>60049.767</v>
      </c>
      <c r="G585" s="34">
        <v>363838.99400000001</v>
      </c>
      <c r="H585" s="34">
        <v>19.344999999999999</v>
      </c>
      <c r="I585" s="33" t="s">
        <v>85</v>
      </c>
      <c r="J585" s="33" t="s">
        <v>90</v>
      </c>
      <c r="K585" s="33">
        <v>20</v>
      </c>
      <c r="L585" s="33">
        <v>1019.7</v>
      </c>
      <c r="M585" s="33">
        <v>79</v>
      </c>
      <c r="N585" s="33"/>
      <c r="O585" s="93" t="str">
        <f>IFERROR(IF(Readings[[#This Row],[Obs. X]]="","-",Readings[[#This Row],[Obs. X]]-_xlfn.XLOOKUP(Readings[[#This Row],[Sensor ID]],Table_Baseline[Sensor ID],Table_Baseline[Easting '[m']],"-")),"-")</f>
        <v>-</v>
      </c>
      <c r="P585" s="93" t="str">
        <f>IFERROR(IF(Readings[[#This Row],[Obs. Y]]="","-",Readings[[#This Row],[Obs. Y]]-_xlfn.XLOOKUP(Readings[[#This Row],[Sensor ID]],Table_Baseline[Sensor ID],Table_Baseline[Northing '[m']],"-")),"-")</f>
        <v>-</v>
      </c>
      <c r="Q585" s="93" t="str">
        <f>IFERROR(IF(Readings[[#This Row],[Obs. Z]]="","-",Readings[[#This Row],[Obs. Z]]-_xlfn.XLOOKUP(Readings[[#This Row],[Sensor ID]],Table_Baseline[Sensor ID],Table_Baseline[Level '[m']],"-")),"-")</f>
        <v>-</v>
      </c>
      <c r="R585" s="93" t="str">
        <f>IFERROR(IF(Readings[[#This Row],[Reference Angle]]="-","-",(Readings[[#This Row],[Diff E]]*COS(RADIANS(Readings[[#This Row],[Reference Angle]]))-Readings[[#This Row],[Diff N]]*SIN(RADIANS(Readings[[#This Row],[Reference Angle]])))),"-")</f>
        <v>-</v>
      </c>
      <c r="S585" s="93" t="str">
        <f>IFERROR(IF(Readings[[#This Row],[Reference Angle]]="-","-",(Readings[[#This Row],[Diff E]]*SIN(RADIANS(Readings[[#This Row],[Reference Angle]]))+Readings[[#This Row],[Diff N]]*COS(RADIANS(Readings[[#This Row],[Reference Angle]])))),"-")</f>
        <v>-</v>
      </c>
      <c r="T585" s="94" t="str">
        <f>IFERROR(VLOOKUP(Readings[[#This Row],[Sensor ID]],Table_Baseline[],COLUMNS(Table_Baseline[[#Headers],[Sensor ID]:[Reference Angle '[Deg']]]),FALSE),"-")</f>
        <v>-</v>
      </c>
      <c r="U585" s="95" t="str">
        <f>Readings[[#This Row],[Sensor ID]]&amp;"-"&amp;Readings[[#This Row],[Epoch]]</f>
        <v>250-ST-OP-503-45798.7430555556</v>
      </c>
      <c r="V585" s="99">
        <f ca="1">IF(Readings[[#This Row],[Epoch]]=OFFSET(Readings[[#This Row],[Epoch]],-1,0),0,1)</f>
        <v>0</v>
      </c>
    </row>
    <row r="586" spans="4:22" x14ac:dyDescent="0.2">
      <c r="D586" s="32">
        <v>45798.743055555555</v>
      </c>
      <c r="E586" s="33" t="s">
        <v>169</v>
      </c>
      <c r="F586" s="34">
        <v>60053.608</v>
      </c>
      <c r="G586" s="34">
        <v>363837.88300000003</v>
      </c>
      <c r="H586" s="34">
        <v>19.356000000000002</v>
      </c>
      <c r="I586" s="33" t="s">
        <v>85</v>
      </c>
      <c r="J586" s="33" t="s">
        <v>90</v>
      </c>
      <c r="K586" s="33">
        <v>20</v>
      </c>
      <c r="L586" s="33">
        <v>1019.7</v>
      </c>
      <c r="M586" s="33">
        <v>79</v>
      </c>
      <c r="N586" s="33"/>
      <c r="O586" s="93" t="str">
        <f>IFERROR(IF(Readings[[#This Row],[Obs. X]]="","-",Readings[[#This Row],[Obs. X]]-_xlfn.XLOOKUP(Readings[[#This Row],[Sensor ID]],Table_Baseline[Sensor ID],Table_Baseline[Easting '[m']],"-")),"-")</f>
        <v>-</v>
      </c>
      <c r="P586" s="93" t="str">
        <f>IFERROR(IF(Readings[[#This Row],[Obs. Y]]="","-",Readings[[#This Row],[Obs. Y]]-_xlfn.XLOOKUP(Readings[[#This Row],[Sensor ID]],Table_Baseline[Sensor ID],Table_Baseline[Northing '[m']],"-")),"-")</f>
        <v>-</v>
      </c>
      <c r="Q586" s="93" t="str">
        <f>IFERROR(IF(Readings[[#This Row],[Obs. Z]]="","-",Readings[[#This Row],[Obs. Z]]-_xlfn.XLOOKUP(Readings[[#This Row],[Sensor ID]],Table_Baseline[Sensor ID],Table_Baseline[Level '[m']],"-")),"-")</f>
        <v>-</v>
      </c>
      <c r="R586" s="93" t="str">
        <f>IFERROR(IF(Readings[[#This Row],[Reference Angle]]="-","-",(Readings[[#This Row],[Diff E]]*COS(RADIANS(Readings[[#This Row],[Reference Angle]]))-Readings[[#This Row],[Diff N]]*SIN(RADIANS(Readings[[#This Row],[Reference Angle]])))),"-")</f>
        <v>-</v>
      </c>
      <c r="S586" s="93" t="str">
        <f>IFERROR(IF(Readings[[#This Row],[Reference Angle]]="-","-",(Readings[[#This Row],[Diff E]]*SIN(RADIANS(Readings[[#This Row],[Reference Angle]]))+Readings[[#This Row],[Diff N]]*COS(RADIANS(Readings[[#This Row],[Reference Angle]])))),"-")</f>
        <v>-</v>
      </c>
      <c r="T586" s="94" t="str">
        <f>IFERROR(VLOOKUP(Readings[[#This Row],[Sensor ID]],Table_Baseline[],COLUMNS(Table_Baseline[[#Headers],[Sensor ID]:[Reference Angle '[Deg']]]),FALSE),"-")</f>
        <v>-</v>
      </c>
      <c r="U586" s="95" t="str">
        <f>Readings[[#This Row],[Sensor ID]]&amp;"-"&amp;Readings[[#This Row],[Epoch]]</f>
        <v>250-ST-OP-504-45798.7430555556</v>
      </c>
      <c r="V586" s="99">
        <f ca="1">IF(Readings[[#This Row],[Epoch]]=OFFSET(Readings[[#This Row],[Epoch]],-1,0),0,1)</f>
        <v>0</v>
      </c>
    </row>
    <row r="587" spans="4:22" x14ac:dyDescent="0.2">
      <c r="D587" s="204">
        <v>45798.743055555555</v>
      </c>
      <c r="E587" s="151" t="s">
        <v>170</v>
      </c>
      <c r="F587" s="152">
        <v>60060.065000000002</v>
      </c>
      <c r="G587" s="152">
        <v>363836.02399999998</v>
      </c>
      <c r="H587" s="152">
        <v>19.356999999999999</v>
      </c>
      <c r="I587" s="151" t="s">
        <v>85</v>
      </c>
      <c r="J587" s="151" t="s">
        <v>90</v>
      </c>
      <c r="K587" s="151">
        <v>20</v>
      </c>
      <c r="L587" s="151">
        <v>1019.7</v>
      </c>
      <c r="M587" s="151">
        <v>79</v>
      </c>
      <c r="N587" s="151"/>
      <c r="O587" s="96" t="str">
        <f>IFERROR(IF(Readings[[#This Row],[Obs. X]]="","-",Readings[[#This Row],[Obs. X]]-_xlfn.XLOOKUP(Readings[[#This Row],[Sensor ID]],Table_Baseline[Sensor ID],Table_Baseline[Easting '[m']],"-")),"-")</f>
        <v>-</v>
      </c>
      <c r="P587" s="96" t="str">
        <f>IFERROR(IF(Readings[[#This Row],[Obs. Y]]="","-",Readings[[#This Row],[Obs. Y]]-_xlfn.XLOOKUP(Readings[[#This Row],[Sensor ID]],Table_Baseline[Sensor ID],Table_Baseline[Northing '[m']],"-")),"-")</f>
        <v>-</v>
      </c>
      <c r="Q587" s="96" t="str">
        <f>IFERROR(IF(Readings[[#This Row],[Obs. Z]]="","-",Readings[[#This Row],[Obs. Z]]-_xlfn.XLOOKUP(Readings[[#This Row],[Sensor ID]],Table_Baseline[Sensor ID],Table_Baseline[Level '[m']],"-")),"-")</f>
        <v>-</v>
      </c>
      <c r="R587" s="96" t="str">
        <f>IFERROR(IF(Readings[[#This Row],[Reference Angle]]="-","-",(Readings[[#This Row],[Diff E]]*COS(RADIANS(Readings[[#This Row],[Reference Angle]]))-Readings[[#This Row],[Diff N]]*SIN(RADIANS(Readings[[#This Row],[Reference Angle]])))),"-")</f>
        <v>-</v>
      </c>
      <c r="S587" s="96" t="str">
        <f>IFERROR(IF(Readings[[#This Row],[Reference Angle]]="-","-",(Readings[[#This Row],[Diff E]]*SIN(RADIANS(Readings[[#This Row],[Reference Angle]]))+Readings[[#This Row],[Diff N]]*COS(RADIANS(Readings[[#This Row],[Reference Angle]])))),"-")</f>
        <v>-</v>
      </c>
      <c r="T587" s="97" t="str">
        <f>IFERROR(VLOOKUP(Readings[[#This Row],[Sensor ID]],Table_Baseline[],COLUMNS(Table_Baseline[[#Headers],[Sensor ID]:[Reference Angle '[Deg']]]),FALSE),"-")</f>
        <v>-</v>
      </c>
      <c r="U587" s="98" t="str">
        <f>Readings[[#This Row],[Sensor ID]]&amp;"-"&amp;Readings[[#This Row],[Epoch]]</f>
        <v>250-ST-OP-505-45798.7430555556</v>
      </c>
      <c r="V587" s="100">
        <f ca="1">IF(Readings[[#This Row],[Epoch]]=OFFSET(Readings[[#This Row],[Epoch]],-1,0),0,1)</f>
        <v>0</v>
      </c>
    </row>
    <row r="588" spans="4:22" x14ac:dyDescent="0.2">
      <c r="D588" s="32">
        <v>45803.277777777781</v>
      </c>
      <c r="E588" s="33" t="s">
        <v>172</v>
      </c>
      <c r="F588" s="34">
        <v>60035.339</v>
      </c>
      <c r="G588" s="34">
        <v>363845.73800000001</v>
      </c>
      <c r="H588" s="34">
        <v>18.783000000000001</v>
      </c>
      <c r="I588" s="33" t="s">
        <v>85</v>
      </c>
      <c r="J588" s="33" t="s">
        <v>90</v>
      </c>
      <c r="K588" s="33">
        <v>15.6</v>
      </c>
      <c r="L588" s="33">
        <v>1014.1</v>
      </c>
      <c r="M588" s="33">
        <v>77</v>
      </c>
      <c r="N588" s="33"/>
      <c r="O588" s="93">
        <f>IFERROR(IF(Readings[[#This Row],[Obs. X]]="","-",Readings[[#This Row],[Obs. X]]-_xlfn.XLOOKUP(Readings[[#This Row],[Sensor ID]],Table_Baseline[Sensor ID],Table_Baseline[Easting '[m']],"-")),"-")</f>
        <v>-9.9999999656574801E-4</v>
      </c>
      <c r="P588" s="93">
        <f>IFERROR(IF(Readings[[#This Row],[Obs. Y]]="","-",Readings[[#This Row],[Obs. Y]]-_xlfn.XLOOKUP(Readings[[#This Row],[Sensor ID]],Table_Baseline[Sensor ID],Table_Baseline[Northing '[m']],"-")),"-")</f>
        <v>-9.9999998928979039E-4</v>
      </c>
      <c r="Q588" s="93">
        <f>IFERROR(IF(Readings[[#This Row],[Obs. Z]]="","-",Readings[[#This Row],[Obs. Z]]-_xlfn.XLOOKUP(Readings[[#This Row],[Sensor ID]],Table_Baseline[Sensor ID],Table_Baseline[Level '[m']],"-")),"-")</f>
        <v>1.0000000000012221E-3</v>
      </c>
      <c r="R588" s="93">
        <f>IFERROR(IF(Readings[[#This Row],[Reference Angle]]="-","-",(Readings[[#This Row],[Diff E]]*COS(RADIANS(Readings[[#This Row],[Reference Angle]]))-Readings[[#This Row],[Diff N]]*SIN(RADIANS(Readings[[#This Row],[Reference Angle]])))),"-")</f>
        <v>-9.9999999656574801E-4</v>
      </c>
      <c r="S588" s="93">
        <f>IFERROR(IF(Readings[[#This Row],[Reference Angle]]="-","-",(Readings[[#This Row],[Diff E]]*SIN(RADIANS(Readings[[#This Row],[Reference Angle]]))+Readings[[#This Row],[Diff N]]*COS(RADIANS(Readings[[#This Row],[Reference Angle]])))),"-")</f>
        <v>-9.9999998928979039E-4</v>
      </c>
      <c r="T588" s="94">
        <f>IFERROR(VLOOKUP(Readings[[#This Row],[Sensor ID]],Table_Baseline[],COLUMNS(Table_Baseline[[#Headers],[Sensor ID]:[Reference Angle '[Deg']]]),FALSE),"-")</f>
        <v>0</v>
      </c>
      <c r="U588" s="95" t="str">
        <f>Readings[[#This Row],[Sensor ID]]&amp;"-"&amp;Readings[[#This Row],[Epoch]]</f>
        <v>250-RL-OP-11001-45803.2777777778</v>
      </c>
      <c r="V588" s="99">
        <f ca="1">IF(Readings[[#This Row],[Epoch]]=OFFSET(Readings[[#This Row],[Epoch]],-1,0),0,1)</f>
        <v>1</v>
      </c>
    </row>
    <row r="589" spans="4:22" x14ac:dyDescent="0.2">
      <c r="D589" s="32">
        <v>45803.277777777781</v>
      </c>
      <c r="E589" s="33" t="s">
        <v>171</v>
      </c>
      <c r="F589" s="34">
        <v>60034.959000000003</v>
      </c>
      <c r="G589" s="34">
        <v>363844.47100000002</v>
      </c>
      <c r="H589" s="34">
        <v>18.779</v>
      </c>
      <c r="I589" s="33" t="s">
        <v>85</v>
      </c>
      <c r="J589" s="33" t="s">
        <v>90</v>
      </c>
      <c r="K589" s="33">
        <v>15.6</v>
      </c>
      <c r="L589" s="33">
        <v>1014.1</v>
      </c>
      <c r="M589" s="33">
        <v>77</v>
      </c>
      <c r="N589" s="33"/>
      <c r="O589" s="93">
        <f>IFERROR(IF(Readings[[#This Row],[Obs. X]]="","-",Readings[[#This Row],[Obs. X]]-_xlfn.XLOOKUP(Readings[[#This Row],[Sensor ID]],Table_Baseline[Sensor ID],Table_Baseline[Easting '[m']],"-")),"-")</f>
        <v>0</v>
      </c>
      <c r="P589" s="93">
        <f>IFERROR(IF(Readings[[#This Row],[Obs. Y]]="","-",Readings[[#This Row],[Obs. Y]]-_xlfn.XLOOKUP(Readings[[#This Row],[Sensor ID]],Table_Baseline[Sensor ID],Table_Baseline[Northing '[m']],"-")),"-")</f>
        <v>0</v>
      </c>
      <c r="Q589" s="93">
        <f>IFERROR(IF(Readings[[#This Row],[Obs. Z]]="","-",Readings[[#This Row],[Obs. Z]]-_xlfn.XLOOKUP(Readings[[#This Row],[Sensor ID]],Table_Baseline[Sensor ID],Table_Baseline[Level '[m']],"-")),"-")</f>
        <v>9.0000000000145519E-4</v>
      </c>
      <c r="R589" s="93">
        <f>IFERROR(IF(Readings[[#This Row],[Reference Angle]]="-","-",(Readings[[#This Row],[Diff E]]*COS(RADIANS(Readings[[#This Row],[Reference Angle]]))-Readings[[#This Row],[Diff N]]*SIN(RADIANS(Readings[[#This Row],[Reference Angle]])))),"-")</f>
        <v>0</v>
      </c>
      <c r="S589" s="93">
        <f>IFERROR(IF(Readings[[#This Row],[Reference Angle]]="-","-",(Readings[[#This Row],[Diff E]]*SIN(RADIANS(Readings[[#This Row],[Reference Angle]]))+Readings[[#This Row],[Diff N]]*COS(RADIANS(Readings[[#This Row],[Reference Angle]])))),"-")</f>
        <v>0</v>
      </c>
      <c r="T589" s="94">
        <f>IFERROR(VLOOKUP(Readings[[#This Row],[Sensor ID]],Table_Baseline[],COLUMNS(Table_Baseline[[#Headers],[Sensor ID]:[Reference Angle '[Deg']]]),FALSE),"-")</f>
        <v>0</v>
      </c>
      <c r="U589" s="95" t="str">
        <f>Readings[[#This Row],[Sensor ID]]&amp;"-"&amp;Readings[[#This Row],[Epoch]]</f>
        <v>250-RL-OP-11002-45803.2777777778</v>
      </c>
      <c r="V589" s="99">
        <f ca="1">IF(Readings[[#This Row],[Epoch]]=OFFSET(Readings[[#This Row],[Epoch]],-1,0),0,1)</f>
        <v>0</v>
      </c>
    </row>
    <row r="590" spans="4:22" x14ac:dyDescent="0.2">
      <c r="D590" s="32">
        <v>45803.277777777781</v>
      </c>
      <c r="E590" s="33" t="s">
        <v>174</v>
      </c>
      <c r="F590" s="34">
        <v>60038.116999999998</v>
      </c>
      <c r="G590" s="34">
        <v>363844.94500000001</v>
      </c>
      <c r="H590" s="34">
        <v>18.779</v>
      </c>
      <c r="I590" s="33" t="s">
        <v>85</v>
      </c>
      <c r="J590" s="33" t="s">
        <v>90</v>
      </c>
      <c r="K590" s="33">
        <v>15.6</v>
      </c>
      <c r="L590" s="33">
        <v>1014.1</v>
      </c>
      <c r="M590" s="33">
        <v>77</v>
      </c>
      <c r="N590" s="33"/>
      <c r="O590" s="93">
        <f>IFERROR(IF(Readings[[#This Row],[Obs. X]]="","-",Readings[[#This Row],[Obs. X]]-_xlfn.XLOOKUP(Readings[[#This Row],[Sensor ID]],Table_Baseline[Sensor ID],Table_Baseline[Easting '[m']],"-")),"-")</f>
        <v>-1.0000000038417056E-3</v>
      </c>
      <c r="P590" s="93">
        <f>IFERROR(IF(Readings[[#This Row],[Obs. Y]]="","-",Readings[[#This Row],[Obs. Y]]-_xlfn.XLOOKUP(Readings[[#This Row],[Sensor ID]],Table_Baseline[Sensor ID],Table_Baseline[Northing '[m']],"-")),"-")</f>
        <v>0</v>
      </c>
      <c r="Q590" s="93">
        <f>IFERROR(IF(Readings[[#This Row],[Obs. Z]]="","-",Readings[[#This Row],[Obs. Z]]-_xlfn.XLOOKUP(Readings[[#This Row],[Sensor ID]],Table_Baseline[Sensor ID],Table_Baseline[Level '[m']],"-")),"-")</f>
        <v>1.9999999999953388E-4</v>
      </c>
      <c r="R590" s="93">
        <f>IFERROR(IF(Readings[[#This Row],[Reference Angle]]="-","-",(Readings[[#This Row],[Diff E]]*COS(RADIANS(Readings[[#This Row],[Reference Angle]]))-Readings[[#This Row],[Diff N]]*SIN(RADIANS(Readings[[#This Row],[Reference Angle]])))),"-")</f>
        <v>-1.0000000038417056E-3</v>
      </c>
      <c r="S590" s="93">
        <f>IFERROR(IF(Readings[[#This Row],[Reference Angle]]="-","-",(Readings[[#This Row],[Diff E]]*SIN(RADIANS(Readings[[#This Row],[Reference Angle]]))+Readings[[#This Row],[Diff N]]*COS(RADIANS(Readings[[#This Row],[Reference Angle]])))),"-")</f>
        <v>0</v>
      </c>
      <c r="T590" s="94">
        <f>IFERROR(VLOOKUP(Readings[[#This Row],[Sensor ID]],Table_Baseline[],COLUMNS(Table_Baseline[[#Headers],[Sensor ID]:[Reference Angle '[Deg']]]),FALSE),"-")</f>
        <v>0</v>
      </c>
      <c r="U590" s="95" t="str">
        <f>Readings[[#This Row],[Sensor ID]]&amp;"-"&amp;Readings[[#This Row],[Epoch]]</f>
        <v>250-RL-OP-11003-45803.2777777778</v>
      </c>
      <c r="V590" s="99">
        <f ca="1">IF(Readings[[#This Row],[Epoch]]=OFFSET(Readings[[#This Row],[Epoch]],-1,0),0,1)</f>
        <v>0</v>
      </c>
    </row>
    <row r="591" spans="4:22" x14ac:dyDescent="0.2">
      <c r="D591" s="32">
        <v>45803.277777777781</v>
      </c>
      <c r="E591" s="33" t="s">
        <v>173</v>
      </c>
      <c r="F591" s="34">
        <v>60037.803999999996</v>
      </c>
      <c r="G591" s="34">
        <v>363843.658</v>
      </c>
      <c r="H591" s="34">
        <v>18.779</v>
      </c>
      <c r="I591" s="33" t="s">
        <v>85</v>
      </c>
      <c r="J591" s="33" t="s">
        <v>90</v>
      </c>
      <c r="K591" s="33">
        <v>15.6</v>
      </c>
      <c r="L591" s="33">
        <v>1014.1</v>
      </c>
      <c r="M591" s="33">
        <v>77</v>
      </c>
      <c r="N591" s="33"/>
      <c r="O591" s="93">
        <f>IFERROR(IF(Readings[[#This Row],[Obs. X]]="","-",Readings[[#This Row],[Obs. X]]-_xlfn.XLOOKUP(Readings[[#This Row],[Sensor ID]],Table_Baseline[Sensor ID],Table_Baseline[Easting '[m']],"-")),"-")</f>
        <v>-1.0000000038417056E-3</v>
      </c>
      <c r="P591" s="93">
        <f>IFERROR(IF(Readings[[#This Row],[Obs. Y]]="","-",Readings[[#This Row],[Obs. Y]]-_xlfn.XLOOKUP(Readings[[#This Row],[Sensor ID]],Table_Baseline[Sensor ID],Table_Baseline[Northing '[m']],"-")),"-")</f>
        <v>9.9999998928979039E-4</v>
      </c>
      <c r="Q591" s="93">
        <f>IFERROR(IF(Readings[[#This Row],[Obs. Z]]="","-",Readings[[#This Row],[Obs. Z]]-_xlfn.XLOOKUP(Readings[[#This Row],[Sensor ID]],Table_Baseline[Sensor ID],Table_Baseline[Level '[m']],"-")),"-")</f>
        <v>4.9999999999883471E-4</v>
      </c>
      <c r="R591" s="93">
        <f>IFERROR(IF(Readings[[#This Row],[Reference Angle]]="-","-",(Readings[[#This Row],[Diff E]]*COS(RADIANS(Readings[[#This Row],[Reference Angle]]))-Readings[[#This Row],[Diff N]]*SIN(RADIANS(Readings[[#This Row],[Reference Angle]])))),"-")</f>
        <v>-1.0000000038417056E-3</v>
      </c>
      <c r="S591" s="93">
        <f>IFERROR(IF(Readings[[#This Row],[Reference Angle]]="-","-",(Readings[[#This Row],[Diff E]]*SIN(RADIANS(Readings[[#This Row],[Reference Angle]]))+Readings[[#This Row],[Diff N]]*COS(RADIANS(Readings[[#This Row],[Reference Angle]])))),"-")</f>
        <v>9.9999998928979039E-4</v>
      </c>
      <c r="T591" s="94">
        <f>IFERROR(VLOOKUP(Readings[[#This Row],[Sensor ID]],Table_Baseline[],COLUMNS(Table_Baseline[[#Headers],[Sensor ID]:[Reference Angle '[Deg']]]),FALSE),"-")</f>
        <v>0</v>
      </c>
      <c r="U591" s="95" t="str">
        <f>Readings[[#This Row],[Sensor ID]]&amp;"-"&amp;Readings[[#This Row],[Epoch]]</f>
        <v>250-RL-OP-11004-45803.2777777778</v>
      </c>
      <c r="V591" s="99">
        <f ca="1">IF(Readings[[#This Row],[Epoch]]=OFFSET(Readings[[#This Row],[Epoch]],-1,0),0,1)</f>
        <v>0</v>
      </c>
    </row>
    <row r="592" spans="4:22" x14ac:dyDescent="0.2">
      <c r="D592" s="32">
        <v>45803.277777777781</v>
      </c>
      <c r="E592" s="33" t="s">
        <v>176</v>
      </c>
      <c r="F592" s="34">
        <v>60040.968000000001</v>
      </c>
      <c r="G592" s="34">
        <v>363844.11800000002</v>
      </c>
      <c r="H592" s="34">
        <v>18.779</v>
      </c>
      <c r="I592" s="33" t="s">
        <v>85</v>
      </c>
      <c r="J592" s="33" t="s">
        <v>90</v>
      </c>
      <c r="K592" s="33">
        <v>15.6</v>
      </c>
      <c r="L592" s="33">
        <v>1014.1</v>
      </c>
      <c r="M592" s="33">
        <v>77</v>
      </c>
      <c r="N592" s="33"/>
      <c r="O592" s="93">
        <f>IFERROR(IF(Readings[[#This Row],[Obs. X]]="","-",Readings[[#This Row],[Obs. X]]-_xlfn.XLOOKUP(Readings[[#This Row],[Sensor ID]],Table_Baseline[Sensor ID],Table_Baseline[Easting '[m']],"-")),"-")</f>
        <v>-9.9999999656574801E-4</v>
      </c>
      <c r="P592" s="93">
        <f>IFERROR(IF(Readings[[#This Row],[Obs. Y]]="","-",Readings[[#This Row],[Obs. Y]]-_xlfn.XLOOKUP(Readings[[#This Row],[Sensor ID]],Table_Baseline[Sensor ID],Table_Baseline[Northing '[m']],"-")),"-")</f>
        <v>0</v>
      </c>
      <c r="Q592" s="93">
        <f>IFERROR(IF(Readings[[#This Row],[Obs. Z]]="","-",Readings[[#This Row],[Obs. Z]]-_xlfn.XLOOKUP(Readings[[#This Row],[Sensor ID]],Table_Baseline[Sensor ID],Table_Baseline[Level '[m']],"-")),"-")</f>
        <v>0</v>
      </c>
      <c r="R592" s="93">
        <f>IFERROR(IF(Readings[[#This Row],[Reference Angle]]="-","-",(Readings[[#This Row],[Diff E]]*COS(RADIANS(Readings[[#This Row],[Reference Angle]]))-Readings[[#This Row],[Diff N]]*SIN(RADIANS(Readings[[#This Row],[Reference Angle]])))),"-")</f>
        <v>-9.9999999656574801E-4</v>
      </c>
      <c r="S592" s="93">
        <f>IFERROR(IF(Readings[[#This Row],[Reference Angle]]="-","-",(Readings[[#This Row],[Diff E]]*SIN(RADIANS(Readings[[#This Row],[Reference Angle]]))+Readings[[#This Row],[Diff N]]*COS(RADIANS(Readings[[#This Row],[Reference Angle]])))),"-")</f>
        <v>0</v>
      </c>
      <c r="T592" s="94">
        <f>IFERROR(VLOOKUP(Readings[[#This Row],[Sensor ID]],Table_Baseline[],COLUMNS(Table_Baseline[[#Headers],[Sensor ID]:[Reference Angle '[Deg']]]),FALSE),"-")</f>
        <v>0</v>
      </c>
      <c r="U592" s="95" t="str">
        <f>Readings[[#This Row],[Sensor ID]]&amp;"-"&amp;Readings[[#This Row],[Epoch]]</f>
        <v>250-RL-OP-11005-45803.2777777778</v>
      </c>
      <c r="V592" s="99">
        <f ca="1">IF(Readings[[#This Row],[Epoch]]=OFFSET(Readings[[#This Row],[Epoch]],-1,0),0,1)</f>
        <v>0</v>
      </c>
    </row>
    <row r="593" spans="4:22" x14ac:dyDescent="0.2">
      <c r="D593" s="32">
        <v>45803.277777777781</v>
      </c>
      <c r="E593" s="33" t="s">
        <v>175</v>
      </c>
      <c r="F593" s="34">
        <v>60040.606</v>
      </c>
      <c r="G593" s="34">
        <v>363842.86199999996</v>
      </c>
      <c r="H593" s="34">
        <v>18.771999999999998</v>
      </c>
      <c r="I593" s="33" t="s">
        <v>85</v>
      </c>
      <c r="J593" s="33" t="s">
        <v>90</v>
      </c>
      <c r="K593" s="33">
        <v>15.6</v>
      </c>
      <c r="L593" s="33">
        <v>1014.1</v>
      </c>
      <c r="M593" s="33">
        <v>77</v>
      </c>
      <c r="N593" s="33"/>
      <c r="O593" s="93">
        <f>IFERROR(IF(Readings[[#This Row],[Obs. X]]="","-",Readings[[#This Row],[Obs. X]]-_xlfn.XLOOKUP(Readings[[#This Row],[Sensor ID]],Table_Baseline[Sensor ID],Table_Baseline[Easting '[m']],"-")),"-")</f>
        <v>-1.0000000038417056E-3</v>
      </c>
      <c r="P593" s="93">
        <f>IFERROR(IF(Readings[[#This Row],[Obs. Y]]="","-",Readings[[#This Row],[Obs. Y]]-_xlfn.XLOOKUP(Readings[[#This Row],[Sensor ID]],Table_Baseline[Sensor ID],Table_Baseline[Northing '[m']],"-")),"-")</f>
        <v>9.9999993108212948E-4</v>
      </c>
      <c r="Q593" s="93">
        <f>IFERROR(IF(Readings[[#This Row],[Obs. Z]]="","-",Readings[[#This Row],[Obs. Z]]-_xlfn.XLOOKUP(Readings[[#This Row],[Sensor ID]],Table_Baseline[Sensor ID],Table_Baseline[Level '[m']],"-")),"-")</f>
        <v>0</v>
      </c>
      <c r="R593" s="93">
        <f>IFERROR(IF(Readings[[#This Row],[Reference Angle]]="-","-",(Readings[[#This Row],[Diff E]]*COS(RADIANS(Readings[[#This Row],[Reference Angle]]))-Readings[[#This Row],[Diff N]]*SIN(RADIANS(Readings[[#This Row],[Reference Angle]])))),"-")</f>
        <v>-1.0000000038417056E-3</v>
      </c>
      <c r="S593" s="93">
        <f>IFERROR(IF(Readings[[#This Row],[Reference Angle]]="-","-",(Readings[[#This Row],[Diff E]]*SIN(RADIANS(Readings[[#This Row],[Reference Angle]]))+Readings[[#This Row],[Diff N]]*COS(RADIANS(Readings[[#This Row],[Reference Angle]])))),"-")</f>
        <v>9.9999993108212948E-4</v>
      </c>
      <c r="T593" s="94">
        <f>IFERROR(VLOOKUP(Readings[[#This Row],[Sensor ID]],Table_Baseline[],COLUMNS(Table_Baseline[[#Headers],[Sensor ID]:[Reference Angle '[Deg']]]),FALSE),"-")</f>
        <v>0</v>
      </c>
      <c r="U593" s="95" t="str">
        <f>Readings[[#This Row],[Sensor ID]]&amp;"-"&amp;Readings[[#This Row],[Epoch]]</f>
        <v>250-RL-OP-11006-45803.2777777778</v>
      </c>
      <c r="V593" s="99">
        <f ca="1">IF(Readings[[#This Row],[Epoch]]=OFFSET(Readings[[#This Row],[Epoch]],-1,0),0,1)</f>
        <v>0</v>
      </c>
    </row>
    <row r="594" spans="4:22" x14ac:dyDescent="0.2">
      <c r="D594" s="32">
        <v>45803.277777777781</v>
      </c>
      <c r="E594" s="33" t="s">
        <v>178</v>
      </c>
      <c r="F594" s="34">
        <v>60043.758000000002</v>
      </c>
      <c r="G594" s="34">
        <v>363843.315</v>
      </c>
      <c r="H594" s="34">
        <v>18.774000000000001</v>
      </c>
      <c r="I594" s="33" t="s">
        <v>85</v>
      </c>
      <c r="J594" s="33" t="s">
        <v>90</v>
      </c>
      <c r="K594" s="33">
        <v>15.6</v>
      </c>
      <c r="L594" s="33">
        <v>1014.1</v>
      </c>
      <c r="M594" s="33">
        <v>77</v>
      </c>
      <c r="N594" s="33"/>
      <c r="O594" s="93">
        <f>IFERROR(IF(Readings[[#This Row],[Obs. X]]="","-",Readings[[#This Row],[Obs. X]]-_xlfn.XLOOKUP(Readings[[#This Row],[Sensor ID]],Table_Baseline[Sensor ID],Table_Baseline[Easting '[m']],"-")),"-")</f>
        <v>-9.9999999656574801E-4</v>
      </c>
      <c r="P594" s="93">
        <f>IFERROR(IF(Readings[[#This Row],[Obs. Y]]="","-",Readings[[#This Row],[Obs. Y]]-_xlfn.XLOOKUP(Readings[[#This Row],[Sensor ID]],Table_Baseline[Sensor ID],Table_Baseline[Northing '[m']],"-")),"-")</f>
        <v>9.9999998928979039E-4</v>
      </c>
      <c r="Q594" s="93">
        <f>IFERROR(IF(Readings[[#This Row],[Obs. Z]]="","-",Readings[[#This Row],[Obs. Z]]-_xlfn.XLOOKUP(Readings[[#This Row],[Sensor ID]],Table_Baseline[Sensor ID],Table_Baseline[Level '[m']],"-")),"-")</f>
        <v>-9.9999999999766942E-5</v>
      </c>
      <c r="R594" s="93">
        <f>IFERROR(IF(Readings[[#This Row],[Reference Angle]]="-","-",(Readings[[#This Row],[Diff E]]*COS(RADIANS(Readings[[#This Row],[Reference Angle]]))-Readings[[#This Row],[Diff N]]*SIN(RADIANS(Readings[[#This Row],[Reference Angle]])))),"-")</f>
        <v>-9.9999999656574801E-4</v>
      </c>
      <c r="S594" s="93">
        <f>IFERROR(IF(Readings[[#This Row],[Reference Angle]]="-","-",(Readings[[#This Row],[Diff E]]*SIN(RADIANS(Readings[[#This Row],[Reference Angle]]))+Readings[[#This Row],[Diff N]]*COS(RADIANS(Readings[[#This Row],[Reference Angle]])))),"-")</f>
        <v>9.9999998928979039E-4</v>
      </c>
      <c r="T594" s="94">
        <f>IFERROR(VLOOKUP(Readings[[#This Row],[Sensor ID]],Table_Baseline[],COLUMNS(Table_Baseline[[#Headers],[Sensor ID]:[Reference Angle '[Deg']]]),FALSE),"-")</f>
        <v>0</v>
      </c>
      <c r="U594" s="95" t="str">
        <f>Readings[[#This Row],[Sensor ID]]&amp;"-"&amp;Readings[[#This Row],[Epoch]]</f>
        <v>250-RL-OP-11007-45803.2777777778</v>
      </c>
      <c r="V594" s="99">
        <f ca="1">IF(Readings[[#This Row],[Epoch]]=OFFSET(Readings[[#This Row],[Epoch]],-1,0),0,1)</f>
        <v>0</v>
      </c>
    </row>
    <row r="595" spans="4:22" x14ac:dyDescent="0.2">
      <c r="D595" s="32">
        <v>45803.277777777781</v>
      </c>
      <c r="E595" s="33" t="s">
        <v>177</v>
      </c>
      <c r="F595" s="34">
        <v>60043.440999999999</v>
      </c>
      <c r="G595" s="34">
        <v>363842.04099999997</v>
      </c>
      <c r="H595" s="34">
        <v>18.768999999999998</v>
      </c>
      <c r="I595" s="33" t="s">
        <v>85</v>
      </c>
      <c r="J595" s="33" t="s">
        <v>90</v>
      </c>
      <c r="K595" s="33">
        <v>15.6</v>
      </c>
      <c r="L595" s="33">
        <v>1014.1</v>
      </c>
      <c r="M595" s="33">
        <v>77</v>
      </c>
      <c r="N595" s="33"/>
      <c r="O595" s="93">
        <f>IFERROR(IF(Readings[[#This Row],[Obs. X]]="","-",Readings[[#This Row],[Obs. X]]-_xlfn.XLOOKUP(Readings[[#This Row],[Sensor ID]],Table_Baseline[Sensor ID],Table_Baseline[Easting '[m']],"-")),"-")</f>
        <v>0</v>
      </c>
      <c r="P595" s="93">
        <f>IFERROR(IF(Readings[[#This Row],[Obs. Y]]="","-",Readings[[#This Row],[Obs. Y]]-_xlfn.XLOOKUP(Readings[[#This Row],[Sensor ID]],Table_Baseline[Sensor ID],Table_Baseline[Northing '[m']],"-")),"-")</f>
        <v>9.9999993108212948E-4</v>
      </c>
      <c r="Q595" s="93">
        <f>IFERROR(IF(Readings[[#This Row],[Obs. Z]]="","-",Readings[[#This Row],[Obs. Z]]-_xlfn.XLOOKUP(Readings[[#This Row],[Sensor ID]],Table_Baseline[Sensor ID],Table_Baseline[Level '[m']],"-")),"-")</f>
        <v>6.9999999999836859E-4</v>
      </c>
      <c r="R595" s="93">
        <f>IFERROR(IF(Readings[[#This Row],[Reference Angle]]="-","-",(Readings[[#This Row],[Diff E]]*COS(RADIANS(Readings[[#This Row],[Reference Angle]]))-Readings[[#This Row],[Diff N]]*SIN(RADIANS(Readings[[#This Row],[Reference Angle]])))),"-")</f>
        <v>0</v>
      </c>
      <c r="S595" s="93">
        <f>IFERROR(IF(Readings[[#This Row],[Reference Angle]]="-","-",(Readings[[#This Row],[Diff E]]*SIN(RADIANS(Readings[[#This Row],[Reference Angle]]))+Readings[[#This Row],[Diff N]]*COS(RADIANS(Readings[[#This Row],[Reference Angle]])))),"-")</f>
        <v>9.9999993108212948E-4</v>
      </c>
      <c r="T595" s="94">
        <f>IFERROR(VLOOKUP(Readings[[#This Row],[Sensor ID]],Table_Baseline[],COLUMNS(Table_Baseline[[#Headers],[Sensor ID]:[Reference Angle '[Deg']]]),FALSE),"-")</f>
        <v>0</v>
      </c>
      <c r="U595" s="95" t="str">
        <f>Readings[[#This Row],[Sensor ID]]&amp;"-"&amp;Readings[[#This Row],[Epoch]]</f>
        <v>250-RL-OP-11008-45803.2777777778</v>
      </c>
      <c r="V595" s="99">
        <f ca="1">IF(Readings[[#This Row],[Epoch]]=OFFSET(Readings[[#This Row],[Epoch]],-1,0),0,1)</f>
        <v>0</v>
      </c>
    </row>
    <row r="596" spans="4:22" x14ac:dyDescent="0.2">
      <c r="D596" s="32">
        <v>45803.277777777781</v>
      </c>
      <c r="E596" s="33" t="s">
        <v>180</v>
      </c>
      <c r="F596" s="34">
        <v>60046.633000000002</v>
      </c>
      <c r="G596" s="34">
        <v>363842.48600000003</v>
      </c>
      <c r="H596" s="34">
        <v>18.777999999999999</v>
      </c>
      <c r="I596" s="33" t="s">
        <v>85</v>
      </c>
      <c r="J596" s="33" t="s">
        <v>90</v>
      </c>
      <c r="K596" s="33">
        <v>15.6</v>
      </c>
      <c r="L596" s="33">
        <v>1014.1</v>
      </c>
      <c r="M596" s="33">
        <v>77</v>
      </c>
      <c r="N596" s="33"/>
      <c r="O596" s="93">
        <f>IFERROR(IF(Readings[[#This Row],[Obs. X]]="","-",Readings[[#This Row],[Obs. X]]-_xlfn.XLOOKUP(Readings[[#This Row],[Sensor ID]],Table_Baseline[Sensor ID],Table_Baseline[Easting '[m']],"-")),"-")</f>
        <v>0</v>
      </c>
      <c r="P596" s="93">
        <f>IFERROR(IF(Readings[[#This Row],[Obs. Y]]="","-",Readings[[#This Row],[Obs. Y]]-_xlfn.XLOOKUP(Readings[[#This Row],[Sensor ID]],Table_Baseline[Sensor ID],Table_Baseline[Northing '[m']],"-")),"-")</f>
        <v>1.0000000474974513E-3</v>
      </c>
      <c r="Q596" s="93">
        <f>IFERROR(IF(Readings[[#This Row],[Obs. Z]]="","-",Readings[[#This Row],[Obs. Z]]-_xlfn.XLOOKUP(Readings[[#This Row],[Sensor ID]],Table_Baseline[Sensor ID],Table_Baseline[Level '[m']],"-")),"-")</f>
        <v>3.9999999999906777E-4</v>
      </c>
      <c r="R596" s="93">
        <f>IFERROR(IF(Readings[[#This Row],[Reference Angle]]="-","-",(Readings[[#This Row],[Diff E]]*COS(RADIANS(Readings[[#This Row],[Reference Angle]]))-Readings[[#This Row],[Diff N]]*SIN(RADIANS(Readings[[#This Row],[Reference Angle]])))),"-")</f>
        <v>0</v>
      </c>
      <c r="S596" s="93">
        <f>IFERROR(IF(Readings[[#This Row],[Reference Angle]]="-","-",(Readings[[#This Row],[Diff E]]*SIN(RADIANS(Readings[[#This Row],[Reference Angle]]))+Readings[[#This Row],[Diff N]]*COS(RADIANS(Readings[[#This Row],[Reference Angle]])))),"-")</f>
        <v>1.0000000474974513E-3</v>
      </c>
      <c r="T596" s="94">
        <f>IFERROR(VLOOKUP(Readings[[#This Row],[Sensor ID]],Table_Baseline[],COLUMNS(Table_Baseline[[#Headers],[Sensor ID]:[Reference Angle '[Deg']]]),FALSE),"-")</f>
        <v>0</v>
      </c>
      <c r="U596" s="95" t="str">
        <f>Readings[[#This Row],[Sensor ID]]&amp;"-"&amp;Readings[[#This Row],[Epoch]]</f>
        <v>250-RL-OP-11009-45803.2777777778</v>
      </c>
      <c r="V596" s="99">
        <f ca="1">IF(Readings[[#This Row],[Epoch]]=OFFSET(Readings[[#This Row],[Epoch]],-1,0),0,1)</f>
        <v>0</v>
      </c>
    </row>
    <row r="597" spans="4:22" x14ac:dyDescent="0.2">
      <c r="D597" s="32">
        <v>45803.277777777781</v>
      </c>
      <c r="E597" s="33" t="s">
        <v>179</v>
      </c>
      <c r="F597" s="34">
        <v>60046.249000000003</v>
      </c>
      <c r="G597" s="34">
        <v>363841.22700000001</v>
      </c>
      <c r="H597" s="34">
        <v>18.77</v>
      </c>
      <c r="I597" s="33" t="s">
        <v>85</v>
      </c>
      <c r="J597" s="33" t="s">
        <v>90</v>
      </c>
      <c r="K597" s="33">
        <v>15.6</v>
      </c>
      <c r="L597" s="33">
        <v>1014.1</v>
      </c>
      <c r="M597" s="33">
        <v>77</v>
      </c>
      <c r="N597" s="33"/>
      <c r="O597" s="93">
        <f>IFERROR(IF(Readings[[#This Row],[Obs. X]]="","-",Readings[[#This Row],[Obs. X]]-_xlfn.XLOOKUP(Readings[[#This Row],[Sensor ID]],Table_Baseline[Sensor ID],Table_Baseline[Easting '[m']],"-")),"-")</f>
        <v>-9.9999999656574801E-4</v>
      </c>
      <c r="P597" s="93">
        <f>IFERROR(IF(Readings[[#This Row],[Obs. Y]]="","-",Readings[[#This Row],[Obs. Y]]-_xlfn.XLOOKUP(Readings[[#This Row],[Sensor ID]],Table_Baseline[Sensor ID],Table_Baseline[Northing '[m']],"-")),"-")</f>
        <v>9.9999998928979039E-4</v>
      </c>
      <c r="Q597" s="93">
        <f>IFERROR(IF(Readings[[#This Row],[Obs. Z]]="","-",Readings[[#This Row],[Obs. Z]]-_xlfn.XLOOKUP(Readings[[#This Row],[Sensor ID]],Table_Baseline[Sensor ID],Table_Baseline[Level '[m']],"-")),"-")</f>
        <v>1.9999999999953388E-4</v>
      </c>
      <c r="R597" s="93">
        <f>IFERROR(IF(Readings[[#This Row],[Reference Angle]]="-","-",(Readings[[#This Row],[Diff E]]*COS(RADIANS(Readings[[#This Row],[Reference Angle]]))-Readings[[#This Row],[Diff N]]*SIN(RADIANS(Readings[[#This Row],[Reference Angle]])))),"-")</f>
        <v>-9.9999999656574801E-4</v>
      </c>
      <c r="S597" s="93">
        <f>IFERROR(IF(Readings[[#This Row],[Reference Angle]]="-","-",(Readings[[#This Row],[Diff E]]*SIN(RADIANS(Readings[[#This Row],[Reference Angle]]))+Readings[[#This Row],[Diff N]]*COS(RADIANS(Readings[[#This Row],[Reference Angle]])))),"-")</f>
        <v>9.9999998928979039E-4</v>
      </c>
      <c r="T597" s="94">
        <f>IFERROR(VLOOKUP(Readings[[#This Row],[Sensor ID]],Table_Baseline[],COLUMNS(Table_Baseline[[#Headers],[Sensor ID]:[Reference Angle '[Deg']]]),FALSE),"-")</f>
        <v>0</v>
      </c>
      <c r="U597" s="95" t="str">
        <f>Readings[[#This Row],[Sensor ID]]&amp;"-"&amp;Readings[[#This Row],[Epoch]]</f>
        <v>250-RL-OP-11010-45803.2777777778</v>
      </c>
      <c r="V597" s="99">
        <f ca="1">IF(Readings[[#This Row],[Epoch]]=OFFSET(Readings[[#This Row],[Epoch]],-1,0),0,1)</f>
        <v>0</v>
      </c>
    </row>
    <row r="598" spans="4:22" x14ac:dyDescent="0.2">
      <c r="D598" s="32">
        <v>45803.277777777781</v>
      </c>
      <c r="E598" s="33" t="s">
        <v>182</v>
      </c>
      <c r="F598" s="34">
        <v>60049.398000000001</v>
      </c>
      <c r="G598" s="34">
        <v>363841.69900000002</v>
      </c>
      <c r="H598" s="34">
        <v>18.777999999999999</v>
      </c>
      <c r="I598" s="33" t="s">
        <v>85</v>
      </c>
      <c r="J598" s="33" t="s">
        <v>90</v>
      </c>
      <c r="K598" s="33">
        <v>15.6</v>
      </c>
      <c r="L598" s="33">
        <v>1014.1</v>
      </c>
      <c r="M598" s="33">
        <v>77</v>
      </c>
      <c r="N598" s="33"/>
      <c r="O598" s="93">
        <f>IFERROR(IF(Readings[[#This Row],[Obs. X]]="","-",Readings[[#This Row],[Obs. X]]-_xlfn.XLOOKUP(Readings[[#This Row],[Sensor ID]],Table_Baseline[Sensor ID],Table_Baseline[Easting '[m']],"-")),"-")</f>
        <v>-9.9999999656574801E-4</v>
      </c>
      <c r="P598" s="93">
        <f>IFERROR(IF(Readings[[#This Row],[Obs. Y]]="","-",Readings[[#This Row],[Obs. Y]]-_xlfn.XLOOKUP(Readings[[#This Row],[Sensor ID]],Table_Baseline[Sensor ID],Table_Baseline[Northing '[m']],"-")),"-")</f>
        <v>1.0000000474974513E-3</v>
      </c>
      <c r="Q598" s="93">
        <f>IFERROR(IF(Readings[[#This Row],[Obs. Z]]="","-",Readings[[#This Row],[Obs. Z]]-_xlfn.XLOOKUP(Readings[[#This Row],[Sensor ID]],Table_Baseline[Sensor ID],Table_Baseline[Level '[m']],"-")),"-")</f>
        <v>0</v>
      </c>
      <c r="R598" s="93">
        <f>IFERROR(IF(Readings[[#This Row],[Reference Angle]]="-","-",(Readings[[#This Row],[Diff E]]*COS(RADIANS(Readings[[#This Row],[Reference Angle]]))-Readings[[#This Row],[Diff N]]*SIN(RADIANS(Readings[[#This Row],[Reference Angle]])))),"-")</f>
        <v>-9.9999999656574801E-4</v>
      </c>
      <c r="S598" s="93">
        <f>IFERROR(IF(Readings[[#This Row],[Reference Angle]]="-","-",(Readings[[#This Row],[Diff E]]*SIN(RADIANS(Readings[[#This Row],[Reference Angle]]))+Readings[[#This Row],[Diff N]]*COS(RADIANS(Readings[[#This Row],[Reference Angle]])))),"-")</f>
        <v>1.0000000474974513E-3</v>
      </c>
      <c r="T598" s="94">
        <f>IFERROR(VLOOKUP(Readings[[#This Row],[Sensor ID]],Table_Baseline[],COLUMNS(Table_Baseline[[#Headers],[Sensor ID]:[Reference Angle '[Deg']]]),FALSE),"-")</f>
        <v>0</v>
      </c>
      <c r="U598" s="95" t="str">
        <f>Readings[[#This Row],[Sensor ID]]&amp;"-"&amp;Readings[[#This Row],[Epoch]]</f>
        <v>250-RL-OP-11011-45803.2777777778</v>
      </c>
      <c r="V598" s="99">
        <f ca="1">IF(Readings[[#This Row],[Epoch]]=OFFSET(Readings[[#This Row],[Epoch]],-1,0),0,1)</f>
        <v>0</v>
      </c>
    </row>
    <row r="599" spans="4:22" x14ac:dyDescent="0.2">
      <c r="D599" s="32">
        <v>45803.277777777781</v>
      </c>
      <c r="E599" s="33" t="s">
        <v>181</v>
      </c>
      <c r="F599" s="34">
        <v>60049.04</v>
      </c>
      <c r="G599" s="34">
        <v>363840.435</v>
      </c>
      <c r="H599" s="34">
        <v>18.771000000000001</v>
      </c>
      <c r="I599" s="33" t="s">
        <v>85</v>
      </c>
      <c r="J599" s="33" t="s">
        <v>90</v>
      </c>
      <c r="K599" s="33">
        <v>15.6</v>
      </c>
      <c r="L599" s="33">
        <v>1014.1</v>
      </c>
      <c r="M599" s="33">
        <v>77</v>
      </c>
      <c r="N599" s="33"/>
      <c r="O599" s="93">
        <f>IFERROR(IF(Readings[[#This Row],[Obs. X]]="","-",Readings[[#This Row],[Obs. X]]-_xlfn.XLOOKUP(Readings[[#This Row],[Sensor ID]],Table_Baseline[Sensor ID],Table_Baseline[Easting '[m']],"-")),"-")</f>
        <v>-9.9999999656574801E-4</v>
      </c>
      <c r="P599" s="93">
        <f>IFERROR(IF(Readings[[#This Row],[Obs. Y]]="","-",Readings[[#This Row],[Obs. Y]]-_xlfn.XLOOKUP(Readings[[#This Row],[Sensor ID]],Table_Baseline[Sensor ID],Table_Baseline[Northing '[m']],"-")),"-")</f>
        <v>2.0000000367872417E-3</v>
      </c>
      <c r="Q599" s="93">
        <f>IFERROR(IF(Readings[[#This Row],[Obs. Z]]="","-",Readings[[#This Row],[Obs. Z]]-_xlfn.XLOOKUP(Readings[[#This Row],[Sensor ID]],Table_Baseline[Sensor ID],Table_Baseline[Level '[m']],"-")),"-")</f>
        <v>-9.9999999999766942E-5</v>
      </c>
      <c r="R599" s="93">
        <f>IFERROR(IF(Readings[[#This Row],[Reference Angle]]="-","-",(Readings[[#This Row],[Diff E]]*COS(RADIANS(Readings[[#This Row],[Reference Angle]]))-Readings[[#This Row],[Diff N]]*SIN(RADIANS(Readings[[#This Row],[Reference Angle]])))),"-")</f>
        <v>-9.9999999656574801E-4</v>
      </c>
      <c r="S599" s="93">
        <f>IFERROR(IF(Readings[[#This Row],[Reference Angle]]="-","-",(Readings[[#This Row],[Diff E]]*SIN(RADIANS(Readings[[#This Row],[Reference Angle]]))+Readings[[#This Row],[Diff N]]*COS(RADIANS(Readings[[#This Row],[Reference Angle]])))),"-")</f>
        <v>2.0000000367872417E-3</v>
      </c>
      <c r="T599" s="94">
        <f>IFERROR(VLOOKUP(Readings[[#This Row],[Sensor ID]],Table_Baseline[],COLUMNS(Table_Baseline[[#Headers],[Sensor ID]:[Reference Angle '[Deg']]]),FALSE),"-")</f>
        <v>0</v>
      </c>
      <c r="U599" s="95" t="str">
        <f>Readings[[#This Row],[Sensor ID]]&amp;"-"&amp;Readings[[#This Row],[Epoch]]</f>
        <v>250-RL-OP-11012-45803.2777777778</v>
      </c>
      <c r="V599" s="99">
        <f ca="1">IF(Readings[[#This Row],[Epoch]]=OFFSET(Readings[[#This Row],[Epoch]],-1,0),0,1)</f>
        <v>0</v>
      </c>
    </row>
    <row r="600" spans="4:22" x14ac:dyDescent="0.2">
      <c r="D600" s="32">
        <v>45803.277777777781</v>
      </c>
      <c r="E600" s="33" t="s">
        <v>184</v>
      </c>
      <c r="F600" s="34">
        <v>60052.292000000001</v>
      </c>
      <c r="G600" s="34">
        <v>363840.88699999999</v>
      </c>
      <c r="H600" s="34">
        <v>18.779</v>
      </c>
      <c r="I600" s="33" t="s">
        <v>85</v>
      </c>
      <c r="J600" s="33" t="s">
        <v>90</v>
      </c>
      <c r="K600" s="33">
        <v>15.6</v>
      </c>
      <c r="L600" s="33">
        <v>1014.1</v>
      </c>
      <c r="M600" s="33">
        <v>77</v>
      </c>
      <c r="N600" s="33"/>
      <c r="O600" s="93">
        <f>IFERROR(IF(Readings[[#This Row],[Obs. X]]="","-",Readings[[#This Row],[Obs. X]]-_xlfn.XLOOKUP(Readings[[#This Row],[Sensor ID]],Table_Baseline[Sensor ID],Table_Baseline[Easting '[m']],"-")),"-")</f>
        <v>-9.9999999656574801E-4</v>
      </c>
      <c r="P600" s="93">
        <f>IFERROR(IF(Readings[[#This Row],[Obs. Y]]="","-",Readings[[#This Row],[Obs. Y]]-_xlfn.XLOOKUP(Readings[[#This Row],[Sensor ID]],Table_Baseline[Sensor ID],Table_Baseline[Northing '[m']],"-")),"-")</f>
        <v>1.9999999785795808E-3</v>
      </c>
      <c r="Q600" s="93">
        <f>IFERROR(IF(Readings[[#This Row],[Obs. Z]]="","-",Readings[[#This Row],[Obs. Z]]-_xlfn.XLOOKUP(Readings[[#This Row],[Sensor ID]],Table_Baseline[Sensor ID],Table_Baseline[Level '[m']],"-")),"-")</f>
        <v>0</v>
      </c>
      <c r="R600" s="93">
        <f>IFERROR(IF(Readings[[#This Row],[Reference Angle]]="-","-",(Readings[[#This Row],[Diff E]]*COS(RADIANS(Readings[[#This Row],[Reference Angle]]))-Readings[[#This Row],[Diff N]]*SIN(RADIANS(Readings[[#This Row],[Reference Angle]])))),"-")</f>
        <v>-9.9999999656574801E-4</v>
      </c>
      <c r="S600" s="93">
        <f>IFERROR(IF(Readings[[#This Row],[Reference Angle]]="-","-",(Readings[[#This Row],[Diff E]]*SIN(RADIANS(Readings[[#This Row],[Reference Angle]]))+Readings[[#This Row],[Diff N]]*COS(RADIANS(Readings[[#This Row],[Reference Angle]])))),"-")</f>
        <v>1.9999999785795808E-3</v>
      </c>
      <c r="T600" s="94">
        <f>IFERROR(VLOOKUP(Readings[[#This Row],[Sensor ID]],Table_Baseline[],COLUMNS(Table_Baseline[[#Headers],[Sensor ID]:[Reference Angle '[Deg']]]),FALSE),"-")</f>
        <v>0</v>
      </c>
      <c r="U600" s="95" t="str">
        <f>Readings[[#This Row],[Sensor ID]]&amp;"-"&amp;Readings[[#This Row],[Epoch]]</f>
        <v>250-RL-OP-11013-45803.2777777778</v>
      </c>
      <c r="V600" s="99">
        <f ca="1">IF(Readings[[#This Row],[Epoch]]=OFFSET(Readings[[#This Row],[Epoch]],-1,0),0,1)</f>
        <v>0</v>
      </c>
    </row>
    <row r="601" spans="4:22" x14ac:dyDescent="0.2">
      <c r="D601" s="32">
        <v>45803.277777777781</v>
      </c>
      <c r="E601" s="33" t="s">
        <v>183</v>
      </c>
      <c r="F601" s="34">
        <v>60051.987999999998</v>
      </c>
      <c r="G601" s="34">
        <v>363839.60600000003</v>
      </c>
      <c r="H601" s="34">
        <v>18.77</v>
      </c>
      <c r="I601" s="33" t="s">
        <v>85</v>
      </c>
      <c r="J601" s="33" t="s">
        <v>90</v>
      </c>
      <c r="K601" s="33">
        <v>15.6</v>
      </c>
      <c r="L601" s="33">
        <v>1014.1</v>
      </c>
      <c r="M601" s="33">
        <v>77</v>
      </c>
      <c r="N601" s="33"/>
      <c r="O601" s="93">
        <f>IFERROR(IF(Readings[[#This Row],[Obs. X]]="","-",Readings[[#This Row],[Obs. X]]-_xlfn.XLOOKUP(Readings[[#This Row],[Sensor ID]],Table_Baseline[Sensor ID],Table_Baseline[Easting '[m']],"-")),"-")</f>
        <v>-1.0000000038417056E-3</v>
      </c>
      <c r="P601" s="93">
        <f>IFERROR(IF(Readings[[#This Row],[Obs. Y]]="","-",Readings[[#This Row],[Obs. Y]]-_xlfn.XLOOKUP(Readings[[#This Row],[Sensor ID]],Table_Baseline[Sensor ID],Table_Baseline[Northing '[m']],"-")),"-")</f>
        <v>3.0000000260770321E-3</v>
      </c>
      <c r="Q601" s="93">
        <f>IFERROR(IF(Readings[[#This Row],[Obs. Z]]="","-",Readings[[#This Row],[Obs. Z]]-_xlfn.XLOOKUP(Readings[[#This Row],[Sensor ID]],Table_Baseline[Sensor ID],Table_Baseline[Level '[m']],"-")),"-")</f>
        <v>-9.9999999999766942E-5</v>
      </c>
      <c r="R601" s="93">
        <f>IFERROR(IF(Readings[[#This Row],[Reference Angle]]="-","-",(Readings[[#This Row],[Diff E]]*COS(RADIANS(Readings[[#This Row],[Reference Angle]]))-Readings[[#This Row],[Diff N]]*SIN(RADIANS(Readings[[#This Row],[Reference Angle]])))),"-")</f>
        <v>-1.0000000038417056E-3</v>
      </c>
      <c r="S601" s="93">
        <f>IFERROR(IF(Readings[[#This Row],[Reference Angle]]="-","-",(Readings[[#This Row],[Diff E]]*SIN(RADIANS(Readings[[#This Row],[Reference Angle]]))+Readings[[#This Row],[Diff N]]*COS(RADIANS(Readings[[#This Row],[Reference Angle]])))),"-")</f>
        <v>3.0000000260770321E-3</v>
      </c>
      <c r="T601" s="94">
        <f>IFERROR(VLOOKUP(Readings[[#This Row],[Sensor ID]],Table_Baseline[],COLUMNS(Table_Baseline[[#Headers],[Sensor ID]:[Reference Angle '[Deg']]]),FALSE),"-")</f>
        <v>0</v>
      </c>
      <c r="U601" s="95" t="str">
        <f>Readings[[#This Row],[Sensor ID]]&amp;"-"&amp;Readings[[#This Row],[Epoch]]</f>
        <v>250-RL-OP-11014-45803.2777777778</v>
      </c>
      <c r="V601" s="99">
        <f ca="1">IF(Readings[[#This Row],[Epoch]]=OFFSET(Readings[[#This Row],[Epoch]],-1,0),0,1)</f>
        <v>0</v>
      </c>
    </row>
    <row r="602" spans="4:22" x14ac:dyDescent="0.2">
      <c r="D602" s="32">
        <v>45803.277777777781</v>
      </c>
      <c r="E602" s="33" t="s">
        <v>186</v>
      </c>
      <c r="F602" s="34">
        <v>60055.196000000004</v>
      </c>
      <c r="G602" s="34">
        <v>363840.09700000001</v>
      </c>
      <c r="H602" s="34">
        <v>18.780999999999999</v>
      </c>
      <c r="I602" s="33" t="s">
        <v>85</v>
      </c>
      <c r="J602" s="33" t="s">
        <v>90</v>
      </c>
      <c r="K602" s="33">
        <v>15.6</v>
      </c>
      <c r="L602" s="33">
        <v>1014.1</v>
      </c>
      <c r="M602" s="33">
        <v>77</v>
      </c>
      <c r="N602" s="33"/>
      <c r="O602" s="93">
        <f>IFERROR(IF(Readings[[#This Row],[Obs. X]]="","-",Readings[[#This Row],[Obs. X]]-_xlfn.XLOOKUP(Readings[[#This Row],[Sensor ID]],Table_Baseline[Sensor ID],Table_Baseline[Easting '[m']],"-")),"-")</f>
        <v>0</v>
      </c>
      <c r="P602" s="93">
        <f>IFERROR(IF(Readings[[#This Row],[Obs. Y]]="","-",Readings[[#This Row],[Obs. Y]]-_xlfn.XLOOKUP(Readings[[#This Row],[Sensor ID]],Table_Baseline[Sensor ID],Table_Baseline[Northing '[m']],"-")),"-")</f>
        <v>2.0000000367872417E-3</v>
      </c>
      <c r="Q602" s="93">
        <f>IFERROR(IF(Readings[[#This Row],[Obs. Z]]="","-",Readings[[#This Row],[Obs. Z]]-_xlfn.XLOOKUP(Readings[[#This Row],[Sensor ID]],Table_Baseline[Sensor ID],Table_Baseline[Level '[m']],"-")),"-")</f>
        <v>9.9999999999766942E-5</v>
      </c>
      <c r="R602" s="93">
        <f>IFERROR(IF(Readings[[#This Row],[Reference Angle]]="-","-",(Readings[[#This Row],[Diff E]]*COS(RADIANS(Readings[[#This Row],[Reference Angle]]))-Readings[[#This Row],[Diff N]]*SIN(RADIANS(Readings[[#This Row],[Reference Angle]])))),"-")</f>
        <v>0</v>
      </c>
      <c r="S602" s="93">
        <f>IFERROR(IF(Readings[[#This Row],[Reference Angle]]="-","-",(Readings[[#This Row],[Diff E]]*SIN(RADIANS(Readings[[#This Row],[Reference Angle]]))+Readings[[#This Row],[Diff N]]*COS(RADIANS(Readings[[#This Row],[Reference Angle]])))),"-")</f>
        <v>2.0000000367872417E-3</v>
      </c>
      <c r="T602" s="94">
        <f>IFERROR(VLOOKUP(Readings[[#This Row],[Sensor ID]],Table_Baseline[],COLUMNS(Table_Baseline[[#Headers],[Sensor ID]:[Reference Angle '[Deg']]]),FALSE),"-")</f>
        <v>0</v>
      </c>
      <c r="U602" s="95" t="str">
        <f>Readings[[#This Row],[Sensor ID]]&amp;"-"&amp;Readings[[#This Row],[Epoch]]</f>
        <v>250-RL-OP-11015-45803.2777777778</v>
      </c>
      <c r="V602" s="99">
        <f ca="1">IF(Readings[[#This Row],[Epoch]]=OFFSET(Readings[[#This Row],[Epoch]],-1,0),0,1)</f>
        <v>0</v>
      </c>
    </row>
    <row r="603" spans="4:22" x14ac:dyDescent="0.2">
      <c r="D603" s="32">
        <v>45803.277777777781</v>
      </c>
      <c r="E603" s="33" t="s">
        <v>185</v>
      </c>
      <c r="F603" s="34">
        <v>60054.885000000002</v>
      </c>
      <c r="G603" s="34">
        <v>363838.80700000003</v>
      </c>
      <c r="H603" s="34">
        <v>18.773</v>
      </c>
      <c r="I603" s="33" t="s">
        <v>85</v>
      </c>
      <c r="J603" s="33" t="s">
        <v>90</v>
      </c>
      <c r="K603" s="33">
        <v>15.6</v>
      </c>
      <c r="L603" s="33">
        <v>1014.1</v>
      </c>
      <c r="M603" s="33">
        <v>77</v>
      </c>
      <c r="N603" s="33"/>
      <c r="O603" s="93">
        <f>IFERROR(IF(Readings[[#This Row],[Obs. X]]="","-",Readings[[#This Row],[Obs. X]]-_xlfn.XLOOKUP(Readings[[#This Row],[Sensor ID]],Table_Baseline[Sensor ID],Table_Baseline[Easting '[m']],"-")),"-")</f>
        <v>-9.9999999656574801E-4</v>
      </c>
      <c r="P603" s="93">
        <f>IFERROR(IF(Readings[[#This Row],[Obs. Y]]="","-",Readings[[#This Row],[Obs. Y]]-_xlfn.XLOOKUP(Readings[[#This Row],[Sensor ID]],Table_Baseline[Sensor ID],Table_Baseline[Northing '[m']],"-")),"-")</f>
        <v>2.0000000367872417E-3</v>
      </c>
      <c r="Q603" s="93">
        <f>IFERROR(IF(Readings[[#This Row],[Obs. Z]]="","-",Readings[[#This Row],[Obs. Z]]-_xlfn.XLOOKUP(Readings[[#This Row],[Sensor ID]],Table_Baseline[Sensor ID],Table_Baseline[Level '[m']],"-")),"-")</f>
        <v>-9.9999999999766942E-5</v>
      </c>
      <c r="R603" s="93">
        <f>IFERROR(IF(Readings[[#This Row],[Reference Angle]]="-","-",(Readings[[#This Row],[Diff E]]*COS(RADIANS(Readings[[#This Row],[Reference Angle]]))-Readings[[#This Row],[Diff N]]*SIN(RADIANS(Readings[[#This Row],[Reference Angle]])))),"-")</f>
        <v>-9.9999999656574801E-4</v>
      </c>
      <c r="S603" s="93">
        <f>IFERROR(IF(Readings[[#This Row],[Reference Angle]]="-","-",(Readings[[#This Row],[Diff E]]*SIN(RADIANS(Readings[[#This Row],[Reference Angle]]))+Readings[[#This Row],[Diff N]]*COS(RADIANS(Readings[[#This Row],[Reference Angle]])))),"-")</f>
        <v>2.0000000367872417E-3</v>
      </c>
      <c r="T603" s="94">
        <f>IFERROR(VLOOKUP(Readings[[#This Row],[Sensor ID]],Table_Baseline[],COLUMNS(Table_Baseline[[#Headers],[Sensor ID]:[Reference Angle '[Deg']]]),FALSE),"-")</f>
        <v>0</v>
      </c>
      <c r="U603" s="95" t="str">
        <f>Readings[[#This Row],[Sensor ID]]&amp;"-"&amp;Readings[[#This Row],[Epoch]]</f>
        <v>250-RL-OP-11016-45803.2777777778</v>
      </c>
      <c r="V603" s="99">
        <f ca="1">IF(Readings[[#This Row],[Epoch]]=OFFSET(Readings[[#This Row],[Epoch]],-1,0),0,1)</f>
        <v>0</v>
      </c>
    </row>
    <row r="604" spans="4:22" x14ac:dyDescent="0.2">
      <c r="D604" s="32">
        <v>45803.277777777781</v>
      </c>
      <c r="E604" s="33" t="s">
        <v>188</v>
      </c>
      <c r="F604" s="34">
        <v>60057.951999999997</v>
      </c>
      <c r="G604" s="34">
        <v>363839.36499999999</v>
      </c>
      <c r="H604" s="34">
        <v>18.786000000000001</v>
      </c>
      <c r="I604" s="33" t="s">
        <v>85</v>
      </c>
      <c r="J604" s="33" t="s">
        <v>90</v>
      </c>
      <c r="K604" s="33">
        <v>15.6</v>
      </c>
      <c r="L604" s="33">
        <v>1014.1</v>
      </c>
      <c r="M604" s="33">
        <v>77</v>
      </c>
      <c r="N604" s="33"/>
      <c r="O604" s="93">
        <f>IFERROR(IF(Readings[[#This Row],[Obs. X]]="","-",Readings[[#This Row],[Obs. X]]-_xlfn.XLOOKUP(Readings[[#This Row],[Sensor ID]],Table_Baseline[Sensor ID],Table_Baseline[Easting '[m']],"-")),"-")</f>
        <v>0</v>
      </c>
      <c r="P604" s="93">
        <f>IFERROR(IF(Readings[[#This Row],[Obs. Y]]="","-",Readings[[#This Row],[Obs. Y]]-_xlfn.XLOOKUP(Readings[[#This Row],[Sensor ID]],Table_Baseline[Sensor ID],Table_Baseline[Northing '[m']],"-")),"-")</f>
        <v>3.0000000260770321E-3</v>
      </c>
      <c r="Q604" s="93">
        <f>IFERROR(IF(Readings[[#This Row],[Obs. Z]]="","-",Readings[[#This Row],[Obs. Z]]-_xlfn.XLOOKUP(Readings[[#This Row],[Sensor ID]],Table_Baseline[Sensor ID],Table_Baseline[Level '[m']],"-")),"-")</f>
        <v>0</v>
      </c>
      <c r="R604" s="93">
        <f>IFERROR(IF(Readings[[#This Row],[Reference Angle]]="-","-",(Readings[[#This Row],[Diff E]]*COS(RADIANS(Readings[[#This Row],[Reference Angle]]))-Readings[[#This Row],[Diff N]]*SIN(RADIANS(Readings[[#This Row],[Reference Angle]])))),"-")</f>
        <v>0</v>
      </c>
      <c r="S604" s="93">
        <f>IFERROR(IF(Readings[[#This Row],[Reference Angle]]="-","-",(Readings[[#This Row],[Diff E]]*SIN(RADIANS(Readings[[#This Row],[Reference Angle]]))+Readings[[#This Row],[Diff N]]*COS(RADIANS(Readings[[#This Row],[Reference Angle]])))),"-")</f>
        <v>3.0000000260770321E-3</v>
      </c>
      <c r="T604" s="94">
        <f>IFERROR(VLOOKUP(Readings[[#This Row],[Sensor ID]],Table_Baseline[],COLUMNS(Table_Baseline[[#Headers],[Sensor ID]:[Reference Angle '[Deg']]]),FALSE),"-")</f>
        <v>0</v>
      </c>
      <c r="U604" s="95" t="str">
        <f>Readings[[#This Row],[Sensor ID]]&amp;"-"&amp;Readings[[#This Row],[Epoch]]</f>
        <v>250-RL-OP-11017-45803.2777777778</v>
      </c>
      <c r="V604" s="99">
        <f ca="1">IF(Readings[[#This Row],[Epoch]]=OFFSET(Readings[[#This Row],[Epoch]],-1,0),0,1)</f>
        <v>0</v>
      </c>
    </row>
    <row r="605" spans="4:22" x14ac:dyDescent="0.2">
      <c r="D605" s="32">
        <v>45803.277777777781</v>
      </c>
      <c r="E605" s="33" t="s">
        <v>187</v>
      </c>
      <c r="F605" s="34">
        <v>60057.578000000001</v>
      </c>
      <c r="G605" s="34">
        <v>363838.10100000002</v>
      </c>
      <c r="H605" s="34">
        <v>18.776</v>
      </c>
      <c r="I605" s="33" t="s">
        <v>85</v>
      </c>
      <c r="J605" s="33" t="s">
        <v>90</v>
      </c>
      <c r="K605" s="33">
        <v>15.6</v>
      </c>
      <c r="L605" s="33">
        <v>1014.1</v>
      </c>
      <c r="M605" s="33">
        <v>77</v>
      </c>
      <c r="N605" s="33"/>
      <c r="O605" s="93">
        <f>IFERROR(IF(Readings[[#This Row],[Obs. X]]="","-",Readings[[#This Row],[Obs. X]]-_xlfn.XLOOKUP(Readings[[#This Row],[Sensor ID]],Table_Baseline[Sensor ID],Table_Baseline[Easting '[m']],"-")),"-")</f>
        <v>-9.9999999656574801E-4</v>
      </c>
      <c r="P605" s="93">
        <f>IFERROR(IF(Readings[[#This Row],[Obs. Y]]="","-",Readings[[#This Row],[Obs. Y]]-_xlfn.XLOOKUP(Readings[[#This Row],[Sensor ID]],Table_Baseline[Sensor ID],Table_Baseline[Northing '[m']],"-")),"-")</f>
        <v>3.0000000260770321E-3</v>
      </c>
      <c r="Q605" s="93">
        <f>IFERROR(IF(Readings[[#This Row],[Obs. Z]]="","-",Readings[[#This Row],[Obs. Z]]-_xlfn.XLOOKUP(Readings[[#This Row],[Sensor ID]],Table_Baseline[Sensor ID],Table_Baseline[Level '[m']],"-")),"-")</f>
        <v>0</v>
      </c>
      <c r="R605" s="93">
        <f>IFERROR(IF(Readings[[#This Row],[Reference Angle]]="-","-",(Readings[[#This Row],[Diff E]]*COS(RADIANS(Readings[[#This Row],[Reference Angle]]))-Readings[[#This Row],[Diff N]]*SIN(RADIANS(Readings[[#This Row],[Reference Angle]])))),"-")</f>
        <v>-9.9999999656574801E-4</v>
      </c>
      <c r="S605" s="93">
        <f>IFERROR(IF(Readings[[#This Row],[Reference Angle]]="-","-",(Readings[[#This Row],[Diff E]]*SIN(RADIANS(Readings[[#This Row],[Reference Angle]]))+Readings[[#This Row],[Diff N]]*COS(RADIANS(Readings[[#This Row],[Reference Angle]])))),"-")</f>
        <v>3.0000000260770321E-3</v>
      </c>
      <c r="T605" s="94">
        <f>IFERROR(VLOOKUP(Readings[[#This Row],[Sensor ID]],Table_Baseline[],COLUMNS(Table_Baseline[[#Headers],[Sensor ID]:[Reference Angle '[Deg']]]),FALSE),"-")</f>
        <v>0</v>
      </c>
      <c r="U605" s="95" t="str">
        <f>Readings[[#This Row],[Sensor ID]]&amp;"-"&amp;Readings[[#This Row],[Epoch]]</f>
        <v>250-RL-OP-11018-45803.2777777778</v>
      </c>
      <c r="V605" s="99">
        <f ca="1">IF(Readings[[#This Row],[Epoch]]=OFFSET(Readings[[#This Row],[Epoch]],-1,0),0,1)</f>
        <v>0</v>
      </c>
    </row>
    <row r="606" spans="4:22" x14ac:dyDescent="0.2">
      <c r="D606" s="32">
        <v>45803.277777777781</v>
      </c>
      <c r="E606" s="33" t="s">
        <v>190</v>
      </c>
      <c r="F606" s="34">
        <v>60060.962</v>
      </c>
      <c r="G606" s="34">
        <v>363838.60399999999</v>
      </c>
      <c r="H606" s="34">
        <v>18.794</v>
      </c>
      <c r="I606" s="33" t="s">
        <v>85</v>
      </c>
      <c r="J606" s="33" t="s">
        <v>90</v>
      </c>
      <c r="K606" s="33">
        <v>15.6</v>
      </c>
      <c r="L606" s="33">
        <v>1014.1</v>
      </c>
      <c r="M606" s="33">
        <v>77</v>
      </c>
      <c r="N606" s="33"/>
      <c r="O606" s="93">
        <f>IFERROR(IF(Readings[[#This Row],[Obs. X]]="","-",Readings[[#This Row],[Obs. X]]-_xlfn.XLOOKUP(Readings[[#This Row],[Sensor ID]],Table_Baseline[Sensor ID],Table_Baseline[Easting '[m']],"-")),"-")</f>
        <v>-1.0000000038417056E-3</v>
      </c>
      <c r="P606" s="93">
        <f>IFERROR(IF(Readings[[#This Row],[Obs. Y]]="","-",Readings[[#This Row],[Obs. Y]]-_xlfn.XLOOKUP(Readings[[#This Row],[Sensor ID]],Table_Baseline[Sensor ID],Table_Baseline[Northing '[m']],"-")),"-")</f>
        <v>2.9999999678693712E-3</v>
      </c>
      <c r="Q606" s="93">
        <f>IFERROR(IF(Readings[[#This Row],[Obs. Z]]="","-",Readings[[#This Row],[Obs. Z]]-_xlfn.XLOOKUP(Readings[[#This Row],[Sensor ID]],Table_Baseline[Sensor ID],Table_Baseline[Level '[m']],"-")),"-")</f>
        <v>-5.9999999999860165E-4</v>
      </c>
      <c r="R606" s="93">
        <f>IFERROR(IF(Readings[[#This Row],[Reference Angle]]="-","-",(Readings[[#This Row],[Diff E]]*COS(RADIANS(Readings[[#This Row],[Reference Angle]]))-Readings[[#This Row],[Diff N]]*SIN(RADIANS(Readings[[#This Row],[Reference Angle]])))),"-")</f>
        <v>-1.0000000038417056E-3</v>
      </c>
      <c r="S606" s="93">
        <f>IFERROR(IF(Readings[[#This Row],[Reference Angle]]="-","-",(Readings[[#This Row],[Diff E]]*SIN(RADIANS(Readings[[#This Row],[Reference Angle]]))+Readings[[#This Row],[Diff N]]*COS(RADIANS(Readings[[#This Row],[Reference Angle]])))),"-")</f>
        <v>2.9999999678693712E-3</v>
      </c>
      <c r="T606" s="94">
        <f>IFERROR(VLOOKUP(Readings[[#This Row],[Sensor ID]],Table_Baseline[],COLUMNS(Table_Baseline[[#Headers],[Sensor ID]:[Reference Angle '[Deg']]]),FALSE),"-")</f>
        <v>0</v>
      </c>
      <c r="U606" s="95" t="str">
        <f>Readings[[#This Row],[Sensor ID]]&amp;"-"&amp;Readings[[#This Row],[Epoch]]</f>
        <v>250-RL-OP-11019-45803.2777777778</v>
      </c>
      <c r="V606" s="99">
        <f ca="1">IF(Readings[[#This Row],[Epoch]]=OFFSET(Readings[[#This Row],[Epoch]],-1,0),0,1)</f>
        <v>0</v>
      </c>
    </row>
    <row r="607" spans="4:22" x14ac:dyDescent="0.2">
      <c r="D607" s="32">
        <v>45803.277777777781</v>
      </c>
      <c r="E607" s="33" t="s">
        <v>189</v>
      </c>
      <c r="F607" s="34">
        <v>60060.639000000003</v>
      </c>
      <c r="G607" s="34">
        <v>363837.32500000001</v>
      </c>
      <c r="H607" s="34">
        <v>18.783000000000001</v>
      </c>
      <c r="I607" s="33" t="s">
        <v>85</v>
      </c>
      <c r="J607" s="33" t="s">
        <v>90</v>
      </c>
      <c r="K607" s="33">
        <v>15.6</v>
      </c>
      <c r="L607" s="33">
        <v>1014.1</v>
      </c>
      <c r="M607" s="33">
        <v>77</v>
      </c>
      <c r="N607" s="33"/>
      <c r="O607" s="93">
        <f>IFERROR(IF(Readings[[#This Row],[Obs. X]]="","-",Readings[[#This Row],[Obs. X]]-_xlfn.XLOOKUP(Readings[[#This Row],[Sensor ID]],Table_Baseline[Sensor ID],Table_Baseline[Easting '[m']],"-")),"-")</f>
        <v>-9.9999999656574801E-4</v>
      </c>
      <c r="P607" s="93">
        <f>IFERROR(IF(Readings[[#This Row],[Obs. Y]]="","-",Readings[[#This Row],[Obs. Y]]-_xlfn.XLOOKUP(Readings[[#This Row],[Sensor ID]],Table_Baseline[Sensor ID],Table_Baseline[Northing '[m']],"-")),"-")</f>
        <v>3.0000000260770321E-3</v>
      </c>
      <c r="Q607" s="93">
        <f>IFERROR(IF(Readings[[#This Row],[Obs. Z]]="","-",Readings[[#This Row],[Obs. Z]]-_xlfn.XLOOKUP(Readings[[#This Row],[Sensor ID]],Table_Baseline[Sensor ID],Table_Baseline[Level '[m']],"-")),"-")</f>
        <v>-5.9999999999860165E-4</v>
      </c>
      <c r="R607" s="93">
        <f>IFERROR(IF(Readings[[#This Row],[Reference Angle]]="-","-",(Readings[[#This Row],[Diff E]]*COS(RADIANS(Readings[[#This Row],[Reference Angle]]))-Readings[[#This Row],[Diff N]]*SIN(RADIANS(Readings[[#This Row],[Reference Angle]])))),"-")</f>
        <v>-9.9999999656574801E-4</v>
      </c>
      <c r="S607" s="93">
        <f>IFERROR(IF(Readings[[#This Row],[Reference Angle]]="-","-",(Readings[[#This Row],[Diff E]]*SIN(RADIANS(Readings[[#This Row],[Reference Angle]]))+Readings[[#This Row],[Diff N]]*COS(RADIANS(Readings[[#This Row],[Reference Angle]])))),"-")</f>
        <v>3.0000000260770321E-3</v>
      </c>
      <c r="T607" s="94">
        <f>IFERROR(VLOOKUP(Readings[[#This Row],[Sensor ID]],Table_Baseline[],COLUMNS(Table_Baseline[[#Headers],[Sensor ID]:[Reference Angle '[Deg']]]),FALSE),"-")</f>
        <v>0</v>
      </c>
      <c r="U607" s="95" t="str">
        <f>Readings[[#This Row],[Sensor ID]]&amp;"-"&amp;Readings[[#This Row],[Epoch]]</f>
        <v>250-RL-OP-11020-45803.2777777778</v>
      </c>
      <c r="V607" s="99">
        <f ca="1">IF(Readings[[#This Row],[Epoch]]=OFFSET(Readings[[#This Row],[Epoch]],-1,0),0,1)</f>
        <v>0</v>
      </c>
    </row>
    <row r="608" spans="4:22" x14ac:dyDescent="0.2">
      <c r="D608" s="32">
        <v>45803.277777777781</v>
      </c>
      <c r="E608" s="33" t="s">
        <v>192</v>
      </c>
      <c r="F608" s="34">
        <v>60063.75</v>
      </c>
      <c r="G608" s="34">
        <v>363837.92000000004</v>
      </c>
      <c r="H608" s="34">
        <v>18.808</v>
      </c>
      <c r="I608" s="33" t="s">
        <v>85</v>
      </c>
      <c r="J608" s="33" t="s">
        <v>90</v>
      </c>
      <c r="K608" s="33">
        <v>15.6</v>
      </c>
      <c r="L608" s="33">
        <v>1014.1</v>
      </c>
      <c r="M608" s="33">
        <v>77</v>
      </c>
      <c r="N608" s="33"/>
      <c r="O608" s="93">
        <f>IFERROR(IF(Readings[[#This Row],[Obs. X]]="","-",Readings[[#This Row],[Obs. X]]-_xlfn.XLOOKUP(Readings[[#This Row],[Sensor ID]],Table_Baseline[Sensor ID],Table_Baseline[Easting '[m']],"-")),"-")</f>
        <v>-9.9999999656574801E-4</v>
      </c>
      <c r="P608" s="93">
        <f>IFERROR(IF(Readings[[#This Row],[Obs. Y]]="","-",Readings[[#This Row],[Obs. Y]]-_xlfn.XLOOKUP(Readings[[#This Row],[Sensor ID]],Table_Baseline[Sensor ID],Table_Baseline[Northing '[m']],"-")),"-")</f>
        <v>2.0000000367872417E-3</v>
      </c>
      <c r="Q608" s="93">
        <f>IFERROR(IF(Readings[[#This Row],[Obs. Z]]="","-",Readings[[#This Row],[Obs. Z]]-_xlfn.XLOOKUP(Readings[[#This Row],[Sensor ID]],Table_Baseline[Sensor ID],Table_Baseline[Level '[m']],"-")),"-")</f>
        <v>-1.0000000000012221E-3</v>
      </c>
      <c r="R608" s="93">
        <f>IFERROR(IF(Readings[[#This Row],[Reference Angle]]="-","-",(Readings[[#This Row],[Diff E]]*COS(RADIANS(Readings[[#This Row],[Reference Angle]]))-Readings[[#This Row],[Diff N]]*SIN(RADIANS(Readings[[#This Row],[Reference Angle]])))),"-")</f>
        <v>-9.9999999656574801E-4</v>
      </c>
      <c r="S608" s="93">
        <f>IFERROR(IF(Readings[[#This Row],[Reference Angle]]="-","-",(Readings[[#This Row],[Diff E]]*SIN(RADIANS(Readings[[#This Row],[Reference Angle]]))+Readings[[#This Row],[Diff N]]*COS(RADIANS(Readings[[#This Row],[Reference Angle]])))),"-")</f>
        <v>2.0000000367872417E-3</v>
      </c>
      <c r="T608" s="94">
        <f>IFERROR(VLOOKUP(Readings[[#This Row],[Sensor ID]],Table_Baseline[],COLUMNS(Table_Baseline[[#Headers],[Sensor ID]:[Reference Angle '[Deg']]]),FALSE),"-")</f>
        <v>0</v>
      </c>
      <c r="U608" s="95" t="str">
        <f>Readings[[#This Row],[Sensor ID]]&amp;"-"&amp;Readings[[#This Row],[Epoch]]</f>
        <v>250-RL-OP-11021-45803.2777777778</v>
      </c>
      <c r="V608" s="99">
        <f ca="1">IF(Readings[[#This Row],[Epoch]]=OFFSET(Readings[[#This Row],[Epoch]],-1,0),0,1)</f>
        <v>0</v>
      </c>
    </row>
    <row r="609" spans="4:22" x14ac:dyDescent="0.2">
      <c r="D609" s="32">
        <v>45803.277777777781</v>
      </c>
      <c r="E609" s="33" t="s">
        <v>191</v>
      </c>
      <c r="F609" s="34">
        <v>60063.421000000002</v>
      </c>
      <c r="G609" s="34">
        <v>363836.63899999997</v>
      </c>
      <c r="H609" s="34">
        <v>18.794</v>
      </c>
      <c r="I609" s="33" t="s">
        <v>85</v>
      </c>
      <c r="J609" s="33" t="s">
        <v>90</v>
      </c>
      <c r="K609" s="33">
        <v>15.6</v>
      </c>
      <c r="L609" s="33">
        <v>1014.1</v>
      </c>
      <c r="M609" s="33">
        <v>77</v>
      </c>
      <c r="N609" s="33"/>
      <c r="O609" s="93">
        <f>IFERROR(IF(Readings[[#This Row],[Obs. X]]="","-",Readings[[#This Row],[Obs. X]]-_xlfn.XLOOKUP(Readings[[#This Row],[Sensor ID]],Table_Baseline[Sensor ID],Table_Baseline[Easting '[m']],"-")),"-")</f>
        <v>-9.9999999656574801E-4</v>
      </c>
      <c r="P609" s="93">
        <f>IFERROR(IF(Readings[[#This Row],[Obs. Y]]="","-",Readings[[#This Row],[Obs. Y]]-_xlfn.XLOOKUP(Readings[[#This Row],[Sensor ID]],Table_Baseline[Sensor ID],Table_Baseline[Northing '[m']],"-")),"-")</f>
        <v>2.9999999678693712E-3</v>
      </c>
      <c r="Q609" s="93">
        <f>IFERROR(IF(Readings[[#This Row],[Obs. Z]]="","-",Readings[[#This Row],[Obs. Z]]-_xlfn.XLOOKUP(Readings[[#This Row],[Sensor ID]],Table_Baseline[Sensor ID],Table_Baseline[Level '[m']],"-")),"-")</f>
        <v>-8.9999999999790248E-4</v>
      </c>
      <c r="R609" s="93">
        <f>IFERROR(IF(Readings[[#This Row],[Reference Angle]]="-","-",(Readings[[#This Row],[Diff E]]*COS(RADIANS(Readings[[#This Row],[Reference Angle]]))-Readings[[#This Row],[Diff N]]*SIN(RADIANS(Readings[[#This Row],[Reference Angle]])))),"-")</f>
        <v>-9.9999999656574801E-4</v>
      </c>
      <c r="S609" s="93">
        <f>IFERROR(IF(Readings[[#This Row],[Reference Angle]]="-","-",(Readings[[#This Row],[Diff E]]*SIN(RADIANS(Readings[[#This Row],[Reference Angle]]))+Readings[[#This Row],[Diff N]]*COS(RADIANS(Readings[[#This Row],[Reference Angle]])))),"-")</f>
        <v>2.9999999678693712E-3</v>
      </c>
      <c r="T609" s="94">
        <f>IFERROR(VLOOKUP(Readings[[#This Row],[Sensor ID]],Table_Baseline[],COLUMNS(Table_Baseline[[#Headers],[Sensor ID]:[Reference Angle '[Deg']]]),FALSE),"-")</f>
        <v>0</v>
      </c>
      <c r="U609" s="95" t="str">
        <f>Readings[[#This Row],[Sensor ID]]&amp;"-"&amp;Readings[[#This Row],[Epoch]]</f>
        <v>250-RL-OP-11022-45803.2777777778</v>
      </c>
      <c r="V609" s="99">
        <f ca="1">IF(Readings[[#This Row],[Epoch]]=OFFSET(Readings[[#This Row],[Epoch]],-1,0),0,1)</f>
        <v>0</v>
      </c>
    </row>
    <row r="610" spans="4:22" x14ac:dyDescent="0.2">
      <c r="D610" s="32">
        <v>45803.277777777781</v>
      </c>
      <c r="E610" s="33" t="s">
        <v>165</v>
      </c>
      <c r="F610" s="34">
        <v>60034.538999999997</v>
      </c>
      <c r="G610" s="34">
        <v>363843.38199999998</v>
      </c>
      <c r="H610" s="34">
        <v>19.332000000000001</v>
      </c>
      <c r="I610" s="33" t="s">
        <v>85</v>
      </c>
      <c r="J610" s="33" t="s">
        <v>90</v>
      </c>
      <c r="K610" s="33">
        <v>15.6</v>
      </c>
      <c r="L610" s="33">
        <v>1014.1</v>
      </c>
      <c r="M610" s="33">
        <v>77</v>
      </c>
      <c r="N610" s="33"/>
      <c r="O610" s="93" t="str">
        <f>IFERROR(IF(Readings[[#This Row],[Obs. X]]="","-",Readings[[#This Row],[Obs. X]]-_xlfn.XLOOKUP(Readings[[#This Row],[Sensor ID]],Table_Baseline[Sensor ID],Table_Baseline[Easting '[m']],"-")),"-")</f>
        <v>-</v>
      </c>
      <c r="P610" s="93" t="str">
        <f>IFERROR(IF(Readings[[#This Row],[Obs. Y]]="","-",Readings[[#This Row],[Obs. Y]]-_xlfn.XLOOKUP(Readings[[#This Row],[Sensor ID]],Table_Baseline[Sensor ID],Table_Baseline[Northing '[m']],"-")),"-")</f>
        <v>-</v>
      </c>
      <c r="Q610" s="93" t="str">
        <f>IFERROR(IF(Readings[[#This Row],[Obs. Z]]="","-",Readings[[#This Row],[Obs. Z]]-_xlfn.XLOOKUP(Readings[[#This Row],[Sensor ID]],Table_Baseline[Sensor ID],Table_Baseline[Level '[m']],"-")),"-")</f>
        <v>-</v>
      </c>
      <c r="R610" s="93" t="str">
        <f>IFERROR(IF(Readings[[#This Row],[Reference Angle]]="-","-",(Readings[[#This Row],[Diff E]]*COS(RADIANS(Readings[[#This Row],[Reference Angle]]))-Readings[[#This Row],[Diff N]]*SIN(RADIANS(Readings[[#This Row],[Reference Angle]])))),"-")</f>
        <v>-</v>
      </c>
      <c r="S610" s="93" t="str">
        <f>IFERROR(IF(Readings[[#This Row],[Reference Angle]]="-","-",(Readings[[#This Row],[Diff E]]*SIN(RADIANS(Readings[[#This Row],[Reference Angle]]))+Readings[[#This Row],[Diff N]]*COS(RADIANS(Readings[[#This Row],[Reference Angle]])))),"-")</f>
        <v>-</v>
      </c>
      <c r="T610" s="94" t="str">
        <f>IFERROR(VLOOKUP(Readings[[#This Row],[Sensor ID]],Table_Baseline[],COLUMNS(Table_Baseline[[#Headers],[Sensor ID]:[Reference Angle '[Deg']]]),FALSE),"-")</f>
        <v>-</v>
      </c>
      <c r="U610" s="95" t="str">
        <f>Readings[[#This Row],[Sensor ID]]&amp;"-"&amp;Readings[[#This Row],[Epoch]]</f>
        <v>250-ST-OP-500-45803.2777777778</v>
      </c>
      <c r="V610" s="99">
        <f ca="1">IF(Readings[[#This Row],[Epoch]]=OFFSET(Readings[[#This Row],[Epoch]],-1,0),0,1)</f>
        <v>0</v>
      </c>
    </row>
    <row r="611" spans="4:22" x14ac:dyDescent="0.2">
      <c r="D611" s="32">
        <v>45803.277777777781</v>
      </c>
      <c r="E611" s="33" t="s">
        <v>166</v>
      </c>
      <c r="F611" s="34">
        <v>60040.286</v>
      </c>
      <c r="G611" s="34">
        <v>363841.73</v>
      </c>
      <c r="H611" s="34">
        <v>19.321999999999999</v>
      </c>
      <c r="I611" s="33" t="s">
        <v>85</v>
      </c>
      <c r="J611" s="33" t="s">
        <v>90</v>
      </c>
      <c r="K611" s="33">
        <v>15.6</v>
      </c>
      <c r="L611" s="33">
        <v>1014.1</v>
      </c>
      <c r="M611" s="33">
        <v>77</v>
      </c>
      <c r="N611" s="33"/>
      <c r="O611" s="93" t="str">
        <f>IFERROR(IF(Readings[[#This Row],[Obs. X]]="","-",Readings[[#This Row],[Obs. X]]-_xlfn.XLOOKUP(Readings[[#This Row],[Sensor ID]],Table_Baseline[Sensor ID],Table_Baseline[Easting '[m']],"-")),"-")</f>
        <v>-</v>
      </c>
      <c r="P611" s="93" t="str">
        <f>IFERROR(IF(Readings[[#This Row],[Obs. Y]]="","-",Readings[[#This Row],[Obs. Y]]-_xlfn.XLOOKUP(Readings[[#This Row],[Sensor ID]],Table_Baseline[Sensor ID],Table_Baseline[Northing '[m']],"-")),"-")</f>
        <v>-</v>
      </c>
      <c r="Q611" s="93" t="str">
        <f>IFERROR(IF(Readings[[#This Row],[Obs. Z]]="","-",Readings[[#This Row],[Obs. Z]]-_xlfn.XLOOKUP(Readings[[#This Row],[Sensor ID]],Table_Baseline[Sensor ID],Table_Baseline[Level '[m']],"-")),"-")</f>
        <v>-</v>
      </c>
      <c r="R611" s="93" t="str">
        <f>IFERROR(IF(Readings[[#This Row],[Reference Angle]]="-","-",(Readings[[#This Row],[Diff E]]*COS(RADIANS(Readings[[#This Row],[Reference Angle]]))-Readings[[#This Row],[Diff N]]*SIN(RADIANS(Readings[[#This Row],[Reference Angle]])))),"-")</f>
        <v>-</v>
      </c>
      <c r="S611" s="93" t="str">
        <f>IFERROR(IF(Readings[[#This Row],[Reference Angle]]="-","-",(Readings[[#This Row],[Diff E]]*SIN(RADIANS(Readings[[#This Row],[Reference Angle]]))+Readings[[#This Row],[Diff N]]*COS(RADIANS(Readings[[#This Row],[Reference Angle]])))),"-")</f>
        <v>-</v>
      </c>
      <c r="T611" s="94" t="str">
        <f>IFERROR(VLOOKUP(Readings[[#This Row],[Sensor ID]],Table_Baseline[],COLUMNS(Table_Baseline[[#Headers],[Sensor ID]:[Reference Angle '[Deg']]]),FALSE),"-")</f>
        <v>-</v>
      </c>
      <c r="U611" s="95" t="str">
        <f>Readings[[#This Row],[Sensor ID]]&amp;"-"&amp;Readings[[#This Row],[Epoch]]</f>
        <v>250-ST-OP-501-45803.2777777778</v>
      </c>
      <c r="V611" s="99">
        <f ca="1">IF(Readings[[#This Row],[Epoch]]=OFFSET(Readings[[#This Row],[Epoch]],-1,0),0,1)</f>
        <v>0</v>
      </c>
    </row>
    <row r="612" spans="4:22" x14ac:dyDescent="0.2">
      <c r="D612" s="32">
        <v>45803.277777777781</v>
      </c>
      <c r="E612" s="33" t="s">
        <v>167</v>
      </c>
      <c r="F612" s="34">
        <v>60045.921000000002</v>
      </c>
      <c r="G612" s="34">
        <v>363840.10100000002</v>
      </c>
      <c r="H612" s="34">
        <v>19.334</v>
      </c>
      <c r="I612" s="33" t="s">
        <v>85</v>
      </c>
      <c r="J612" s="33" t="s">
        <v>90</v>
      </c>
      <c r="K612" s="33">
        <v>15.6</v>
      </c>
      <c r="L612" s="33">
        <v>1014.1</v>
      </c>
      <c r="M612" s="33">
        <v>77</v>
      </c>
      <c r="N612" s="33"/>
      <c r="O612" s="93" t="str">
        <f>IFERROR(IF(Readings[[#This Row],[Obs. X]]="","-",Readings[[#This Row],[Obs. X]]-_xlfn.XLOOKUP(Readings[[#This Row],[Sensor ID]],Table_Baseline[Sensor ID],Table_Baseline[Easting '[m']],"-")),"-")</f>
        <v>-</v>
      </c>
      <c r="P612" s="93" t="str">
        <f>IFERROR(IF(Readings[[#This Row],[Obs. Y]]="","-",Readings[[#This Row],[Obs. Y]]-_xlfn.XLOOKUP(Readings[[#This Row],[Sensor ID]],Table_Baseline[Sensor ID],Table_Baseline[Northing '[m']],"-")),"-")</f>
        <v>-</v>
      </c>
      <c r="Q612" s="93" t="str">
        <f>IFERROR(IF(Readings[[#This Row],[Obs. Z]]="","-",Readings[[#This Row],[Obs. Z]]-_xlfn.XLOOKUP(Readings[[#This Row],[Sensor ID]],Table_Baseline[Sensor ID],Table_Baseline[Level '[m']],"-")),"-")</f>
        <v>-</v>
      </c>
      <c r="R612" s="93" t="str">
        <f>IFERROR(IF(Readings[[#This Row],[Reference Angle]]="-","-",(Readings[[#This Row],[Diff E]]*COS(RADIANS(Readings[[#This Row],[Reference Angle]]))-Readings[[#This Row],[Diff N]]*SIN(RADIANS(Readings[[#This Row],[Reference Angle]])))),"-")</f>
        <v>-</v>
      </c>
      <c r="S612" s="93" t="str">
        <f>IFERROR(IF(Readings[[#This Row],[Reference Angle]]="-","-",(Readings[[#This Row],[Diff E]]*SIN(RADIANS(Readings[[#This Row],[Reference Angle]]))+Readings[[#This Row],[Diff N]]*COS(RADIANS(Readings[[#This Row],[Reference Angle]])))),"-")</f>
        <v>-</v>
      </c>
      <c r="T612" s="94" t="str">
        <f>IFERROR(VLOOKUP(Readings[[#This Row],[Sensor ID]],Table_Baseline[],COLUMNS(Table_Baseline[[#Headers],[Sensor ID]:[Reference Angle '[Deg']]]),FALSE),"-")</f>
        <v>-</v>
      </c>
      <c r="U612" s="95" t="str">
        <f>Readings[[#This Row],[Sensor ID]]&amp;"-"&amp;Readings[[#This Row],[Epoch]]</f>
        <v>250-ST-OP-502-45803.2777777778</v>
      </c>
      <c r="V612" s="99">
        <f ca="1">IF(Readings[[#This Row],[Epoch]]=OFFSET(Readings[[#This Row],[Epoch]],-1,0),0,1)</f>
        <v>0</v>
      </c>
    </row>
    <row r="613" spans="4:22" x14ac:dyDescent="0.2">
      <c r="D613" s="32">
        <v>45803.277777777781</v>
      </c>
      <c r="E613" s="33" t="s">
        <v>168</v>
      </c>
      <c r="F613" s="34">
        <v>60049.767</v>
      </c>
      <c r="G613" s="34">
        <v>363838.99400000001</v>
      </c>
      <c r="H613" s="34">
        <v>19.344999999999999</v>
      </c>
      <c r="I613" s="33" t="s">
        <v>85</v>
      </c>
      <c r="J613" s="33" t="s">
        <v>90</v>
      </c>
      <c r="K613" s="33">
        <v>15.6</v>
      </c>
      <c r="L613" s="33">
        <v>1014.1</v>
      </c>
      <c r="M613" s="33">
        <v>77</v>
      </c>
      <c r="N613" s="33"/>
      <c r="O613" s="93" t="str">
        <f>IFERROR(IF(Readings[[#This Row],[Obs. X]]="","-",Readings[[#This Row],[Obs. X]]-_xlfn.XLOOKUP(Readings[[#This Row],[Sensor ID]],Table_Baseline[Sensor ID],Table_Baseline[Easting '[m']],"-")),"-")</f>
        <v>-</v>
      </c>
      <c r="P613" s="93" t="str">
        <f>IFERROR(IF(Readings[[#This Row],[Obs. Y]]="","-",Readings[[#This Row],[Obs. Y]]-_xlfn.XLOOKUP(Readings[[#This Row],[Sensor ID]],Table_Baseline[Sensor ID],Table_Baseline[Northing '[m']],"-")),"-")</f>
        <v>-</v>
      </c>
      <c r="Q613" s="93" t="str">
        <f>IFERROR(IF(Readings[[#This Row],[Obs. Z]]="","-",Readings[[#This Row],[Obs. Z]]-_xlfn.XLOOKUP(Readings[[#This Row],[Sensor ID]],Table_Baseline[Sensor ID],Table_Baseline[Level '[m']],"-")),"-")</f>
        <v>-</v>
      </c>
      <c r="R613" s="93" t="str">
        <f>IFERROR(IF(Readings[[#This Row],[Reference Angle]]="-","-",(Readings[[#This Row],[Diff E]]*COS(RADIANS(Readings[[#This Row],[Reference Angle]]))-Readings[[#This Row],[Diff N]]*SIN(RADIANS(Readings[[#This Row],[Reference Angle]])))),"-")</f>
        <v>-</v>
      </c>
      <c r="S613" s="93" t="str">
        <f>IFERROR(IF(Readings[[#This Row],[Reference Angle]]="-","-",(Readings[[#This Row],[Diff E]]*SIN(RADIANS(Readings[[#This Row],[Reference Angle]]))+Readings[[#This Row],[Diff N]]*COS(RADIANS(Readings[[#This Row],[Reference Angle]])))),"-")</f>
        <v>-</v>
      </c>
      <c r="T613" s="94" t="str">
        <f>IFERROR(VLOOKUP(Readings[[#This Row],[Sensor ID]],Table_Baseline[],COLUMNS(Table_Baseline[[#Headers],[Sensor ID]:[Reference Angle '[Deg']]]),FALSE),"-")</f>
        <v>-</v>
      </c>
      <c r="U613" s="95" t="str">
        <f>Readings[[#This Row],[Sensor ID]]&amp;"-"&amp;Readings[[#This Row],[Epoch]]</f>
        <v>250-ST-OP-503-45803.2777777778</v>
      </c>
      <c r="V613" s="99">
        <f ca="1">IF(Readings[[#This Row],[Epoch]]=OFFSET(Readings[[#This Row],[Epoch]],-1,0),0,1)</f>
        <v>0</v>
      </c>
    </row>
    <row r="614" spans="4:22" x14ac:dyDescent="0.2">
      <c r="D614" s="32">
        <v>45803.277777777781</v>
      </c>
      <c r="E614" s="33" t="s">
        <v>169</v>
      </c>
      <c r="F614" s="34">
        <v>60053.608</v>
      </c>
      <c r="G614" s="34">
        <v>363837.88300000003</v>
      </c>
      <c r="H614" s="34">
        <v>19.356999999999999</v>
      </c>
      <c r="I614" s="33" t="s">
        <v>85</v>
      </c>
      <c r="J614" s="33" t="s">
        <v>90</v>
      </c>
      <c r="K614" s="33">
        <v>15.6</v>
      </c>
      <c r="L614" s="33">
        <v>1014.1</v>
      </c>
      <c r="M614" s="33">
        <v>77</v>
      </c>
      <c r="N614" s="33"/>
      <c r="O614" s="93" t="str">
        <f>IFERROR(IF(Readings[[#This Row],[Obs. X]]="","-",Readings[[#This Row],[Obs. X]]-_xlfn.XLOOKUP(Readings[[#This Row],[Sensor ID]],Table_Baseline[Sensor ID],Table_Baseline[Easting '[m']],"-")),"-")</f>
        <v>-</v>
      </c>
      <c r="P614" s="93" t="str">
        <f>IFERROR(IF(Readings[[#This Row],[Obs. Y]]="","-",Readings[[#This Row],[Obs. Y]]-_xlfn.XLOOKUP(Readings[[#This Row],[Sensor ID]],Table_Baseline[Sensor ID],Table_Baseline[Northing '[m']],"-")),"-")</f>
        <v>-</v>
      </c>
      <c r="Q614" s="93" t="str">
        <f>IFERROR(IF(Readings[[#This Row],[Obs. Z]]="","-",Readings[[#This Row],[Obs. Z]]-_xlfn.XLOOKUP(Readings[[#This Row],[Sensor ID]],Table_Baseline[Sensor ID],Table_Baseline[Level '[m']],"-")),"-")</f>
        <v>-</v>
      </c>
      <c r="R614" s="93" t="str">
        <f>IFERROR(IF(Readings[[#This Row],[Reference Angle]]="-","-",(Readings[[#This Row],[Diff E]]*COS(RADIANS(Readings[[#This Row],[Reference Angle]]))-Readings[[#This Row],[Diff N]]*SIN(RADIANS(Readings[[#This Row],[Reference Angle]])))),"-")</f>
        <v>-</v>
      </c>
      <c r="S614" s="93" t="str">
        <f>IFERROR(IF(Readings[[#This Row],[Reference Angle]]="-","-",(Readings[[#This Row],[Diff E]]*SIN(RADIANS(Readings[[#This Row],[Reference Angle]]))+Readings[[#This Row],[Diff N]]*COS(RADIANS(Readings[[#This Row],[Reference Angle]])))),"-")</f>
        <v>-</v>
      </c>
      <c r="T614" s="94" t="str">
        <f>IFERROR(VLOOKUP(Readings[[#This Row],[Sensor ID]],Table_Baseline[],COLUMNS(Table_Baseline[[#Headers],[Sensor ID]:[Reference Angle '[Deg']]]),FALSE),"-")</f>
        <v>-</v>
      </c>
      <c r="U614" s="95" t="str">
        <f>Readings[[#This Row],[Sensor ID]]&amp;"-"&amp;Readings[[#This Row],[Epoch]]</f>
        <v>250-ST-OP-504-45803.2777777778</v>
      </c>
      <c r="V614" s="99">
        <f ca="1">IF(Readings[[#This Row],[Epoch]]=OFFSET(Readings[[#This Row],[Epoch]],-1,0),0,1)</f>
        <v>0</v>
      </c>
    </row>
    <row r="615" spans="4:22" x14ac:dyDescent="0.2">
      <c r="D615" s="204">
        <v>45803.277777777781</v>
      </c>
      <c r="E615" s="151" t="s">
        <v>170</v>
      </c>
      <c r="F615" s="152">
        <v>60060.065000000002</v>
      </c>
      <c r="G615" s="152">
        <v>363836.02500000002</v>
      </c>
      <c r="H615" s="152">
        <v>19.356999999999999</v>
      </c>
      <c r="I615" s="151" t="s">
        <v>85</v>
      </c>
      <c r="J615" s="151" t="s">
        <v>90</v>
      </c>
      <c r="K615" s="151">
        <v>15.6</v>
      </c>
      <c r="L615" s="151">
        <v>1014.1</v>
      </c>
      <c r="M615" s="151">
        <v>77</v>
      </c>
      <c r="N615" s="151"/>
      <c r="O615" s="96" t="str">
        <f>IFERROR(IF(Readings[[#This Row],[Obs. X]]="","-",Readings[[#This Row],[Obs. X]]-_xlfn.XLOOKUP(Readings[[#This Row],[Sensor ID]],Table_Baseline[Sensor ID],Table_Baseline[Easting '[m']],"-")),"-")</f>
        <v>-</v>
      </c>
      <c r="P615" s="96" t="str">
        <f>IFERROR(IF(Readings[[#This Row],[Obs. Y]]="","-",Readings[[#This Row],[Obs. Y]]-_xlfn.XLOOKUP(Readings[[#This Row],[Sensor ID]],Table_Baseline[Sensor ID],Table_Baseline[Northing '[m']],"-")),"-")</f>
        <v>-</v>
      </c>
      <c r="Q615" s="96" t="str">
        <f>IFERROR(IF(Readings[[#This Row],[Obs. Z]]="","-",Readings[[#This Row],[Obs. Z]]-_xlfn.XLOOKUP(Readings[[#This Row],[Sensor ID]],Table_Baseline[Sensor ID],Table_Baseline[Level '[m']],"-")),"-")</f>
        <v>-</v>
      </c>
      <c r="R615" s="96" t="str">
        <f>IFERROR(IF(Readings[[#This Row],[Reference Angle]]="-","-",(Readings[[#This Row],[Diff E]]*COS(RADIANS(Readings[[#This Row],[Reference Angle]]))-Readings[[#This Row],[Diff N]]*SIN(RADIANS(Readings[[#This Row],[Reference Angle]])))),"-")</f>
        <v>-</v>
      </c>
      <c r="S615" s="96" t="str">
        <f>IFERROR(IF(Readings[[#This Row],[Reference Angle]]="-","-",(Readings[[#This Row],[Diff E]]*SIN(RADIANS(Readings[[#This Row],[Reference Angle]]))+Readings[[#This Row],[Diff N]]*COS(RADIANS(Readings[[#This Row],[Reference Angle]])))),"-")</f>
        <v>-</v>
      </c>
      <c r="T615" s="97" t="str">
        <f>IFERROR(VLOOKUP(Readings[[#This Row],[Sensor ID]],Table_Baseline[],COLUMNS(Table_Baseline[[#Headers],[Sensor ID]:[Reference Angle '[Deg']]]),FALSE),"-")</f>
        <v>-</v>
      </c>
      <c r="U615" s="98" t="str">
        <f>Readings[[#This Row],[Sensor ID]]&amp;"-"&amp;Readings[[#This Row],[Epoch]]</f>
        <v>250-ST-OP-505-45803.2777777778</v>
      </c>
      <c r="V615" s="100">
        <f ca="1">IF(Readings[[#This Row],[Epoch]]=OFFSET(Readings[[#This Row],[Epoch]],-1,0),0,1)</f>
        <v>0</v>
      </c>
    </row>
    <row r="616" spans="4:22" x14ac:dyDescent="0.2">
      <c r="D616" s="32">
        <v>45805.229166666664</v>
      </c>
      <c r="E616" s="33" t="s">
        <v>172</v>
      </c>
      <c r="F616" s="34">
        <v>60035.339</v>
      </c>
      <c r="G616" s="34">
        <v>363845.73800000001</v>
      </c>
      <c r="H616" s="34">
        <v>18.782</v>
      </c>
      <c r="I616" s="33" t="s">
        <v>85</v>
      </c>
      <c r="J616" s="33" t="s">
        <v>90</v>
      </c>
      <c r="K616" s="33">
        <v>17.3</v>
      </c>
      <c r="L616" s="33">
        <v>1019.4</v>
      </c>
      <c r="M616" s="33">
        <v>92</v>
      </c>
      <c r="N616" s="33"/>
      <c r="O616" s="93">
        <f>IFERROR(IF(Readings[[#This Row],[Obs. X]]="","-",Readings[[#This Row],[Obs. X]]-_xlfn.XLOOKUP(Readings[[#This Row],[Sensor ID]],Table_Baseline[Sensor ID],Table_Baseline[Easting '[m']],"-")),"-")</f>
        <v>-9.9999999656574801E-4</v>
      </c>
      <c r="P616" s="93">
        <f>IFERROR(IF(Readings[[#This Row],[Obs. Y]]="","-",Readings[[#This Row],[Obs. Y]]-_xlfn.XLOOKUP(Readings[[#This Row],[Sensor ID]],Table_Baseline[Sensor ID],Table_Baseline[Northing '[m']],"-")),"-")</f>
        <v>-9.9999998928979039E-4</v>
      </c>
      <c r="Q616" s="93">
        <f>IFERROR(IF(Readings[[#This Row],[Obs. Z]]="","-",Readings[[#This Row],[Obs. Z]]-_xlfn.XLOOKUP(Readings[[#This Row],[Sensor ID]],Table_Baseline[Sensor ID],Table_Baseline[Level '[m']],"-")),"-")</f>
        <v>0</v>
      </c>
      <c r="R616" s="93">
        <f>IFERROR(IF(Readings[[#This Row],[Reference Angle]]="-","-",(Readings[[#This Row],[Diff E]]*COS(RADIANS(Readings[[#This Row],[Reference Angle]]))-Readings[[#This Row],[Diff N]]*SIN(RADIANS(Readings[[#This Row],[Reference Angle]])))),"-")</f>
        <v>-9.9999999656574801E-4</v>
      </c>
      <c r="S616" s="93">
        <f>IFERROR(IF(Readings[[#This Row],[Reference Angle]]="-","-",(Readings[[#This Row],[Diff E]]*SIN(RADIANS(Readings[[#This Row],[Reference Angle]]))+Readings[[#This Row],[Diff N]]*COS(RADIANS(Readings[[#This Row],[Reference Angle]])))),"-")</f>
        <v>-9.9999998928979039E-4</v>
      </c>
      <c r="T616" s="94">
        <f>IFERROR(VLOOKUP(Readings[[#This Row],[Sensor ID]],Table_Baseline[],COLUMNS(Table_Baseline[[#Headers],[Sensor ID]:[Reference Angle '[Deg']]]),FALSE),"-")</f>
        <v>0</v>
      </c>
      <c r="U616" s="95" t="str">
        <f>Readings[[#This Row],[Sensor ID]]&amp;"-"&amp;Readings[[#This Row],[Epoch]]</f>
        <v>250-RL-OP-11001-45805.2291666667</v>
      </c>
      <c r="V616" s="99">
        <f ca="1">IF(Readings[[#This Row],[Epoch]]=OFFSET(Readings[[#This Row],[Epoch]],-1,0),0,1)</f>
        <v>1</v>
      </c>
    </row>
    <row r="617" spans="4:22" x14ac:dyDescent="0.2">
      <c r="D617" s="32">
        <v>45805.229166666664</v>
      </c>
      <c r="E617" s="33" t="s">
        <v>171</v>
      </c>
      <c r="F617" s="34">
        <v>60034.959000000003</v>
      </c>
      <c r="G617" s="34">
        <v>363844.47100000002</v>
      </c>
      <c r="H617" s="34">
        <v>18.777999999999999</v>
      </c>
      <c r="I617" s="33" t="s">
        <v>85</v>
      </c>
      <c r="J617" s="33" t="s">
        <v>90</v>
      </c>
      <c r="K617" s="33">
        <v>17.3</v>
      </c>
      <c r="L617" s="33">
        <v>1019.4</v>
      </c>
      <c r="M617" s="33">
        <v>92</v>
      </c>
      <c r="N617" s="33"/>
      <c r="O617" s="93">
        <f>IFERROR(IF(Readings[[#This Row],[Obs. X]]="","-",Readings[[#This Row],[Obs. X]]-_xlfn.XLOOKUP(Readings[[#This Row],[Sensor ID]],Table_Baseline[Sensor ID],Table_Baseline[Easting '[m']],"-")),"-")</f>
        <v>0</v>
      </c>
      <c r="P617" s="93">
        <f>IFERROR(IF(Readings[[#This Row],[Obs. Y]]="","-",Readings[[#This Row],[Obs. Y]]-_xlfn.XLOOKUP(Readings[[#This Row],[Sensor ID]],Table_Baseline[Sensor ID],Table_Baseline[Northing '[m']],"-")),"-")</f>
        <v>0</v>
      </c>
      <c r="Q617" s="93">
        <f>IFERROR(IF(Readings[[#This Row],[Obs. Z]]="","-",Readings[[#This Row],[Obs. Z]]-_xlfn.XLOOKUP(Readings[[#This Row],[Sensor ID]],Table_Baseline[Sensor ID],Table_Baseline[Level '[m']],"-")),"-")</f>
        <v>-9.9999999999766942E-5</v>
      </c>
      <c r="R617" s="93">
        <f>IFERROR(IF(Readings[[#This Row],[Reference Angle]]="-","-",(Readings[[#This Row],[Diff E]]*COS(RADIANS(Readings[[#This Row],[Reference Angle]]))-Readings[[#This Row],[Diff N]]*SIN(RADIANS(Readings[[#This Row],[Reference Angle]])))),"-")</f>
        <v>0</v>
      </c>
      <c r="S617" s="93">
        <f>IFERROR(IF(Readings[[#This Row],[Reference Angle]]="-","-",(Readings[[#This Row],[Diff E]]*SIN(RADIANS(Readings[[#This Row],[Reference Angle]]))+Readings[[#This Row],[Diff N]]*COS(RADIANS(Readings[[#This Row],[Reference Angle]])))),"-")</f>
        <v>0</v>
      </c>
      <c r="T617" s="94">
        <f>IFERROR(VLOOKUP(Readings[[#This Row],[Sensor ID]],Table_Baseline[],COLUMNS(Table_Baseline[[#Headers],[Sensor ID]:[Reference Angle '[Deg']]]),FALSE),"-")</f>
        <v>0</v>
      </c>
      <c r="U617" s="95" t="str">
        <f>Readings[[#This Row],[Sensor ID]]&amp;"-"&amp;Readings[[#This Row],[Epoch]]</f>
        <v>250-RL-OP-11002-45805.2291666667</v>
      </c>
      <c r="V617" s="99">
        <f ca="1">IF(Readings[[#This Row],[Epoch]]=OFFSET(Readings[[#This Row],[Epoch]],-1,0),0,1)</f>
        <v>0</v>
      </c>
    </row>
    <row r="618" spans="4:22" x14ac:dyDescent="0.2">
      <c r="D618" s="32">
        <v>45805.229166666664</v>
      </c>
      <c r="E618" s="33" t="s">
        <v>174</v>
      </c>
      <c r="F618" s="34">
        <v>60038.116999999998</v>
      </c>
      <c r="G618" s="34">
        <v>363844.94500000001</v>
      </c>
      <c r="H618" s="34">
        <v>18.777999999999999</v>
      </c>
      <c r="I618" s="33" t="s">
        <v>85</v>
      </c>
      <c r="J618" s="33" t="s">
        <v>90</v>
      </c>
      <c r="K618" s="33">
        <v>17.3</v>
      </c>
      <c r="L618" s="33">
        <v>1019.4</v>
      </c>
      <c r="M618" s="33">
        <v>92</v>
      </c>
      <c r="N618" s="33"/>
      <c r="O618" s="93">
        <f>IFERROR(IF(Readings[[#This Row],[Obs. X]]="","-",Readings[[#This Row],[Obs. X]]-_xlfn.XLOOKUP(Readings[[#This Row],[Sensor ID]],Table_Baseline[Sensor ID],Table_Baseline[Easting '[m']],"-")),"-")</f>
        <v>-1.0000000038417056E-3</v>
      </c>
      <c r="P618" s="93">
        <f>IFERROR(IF(Readings[[#This Row],[Obs. Y]]="","-",Readings[[#This Row],[Obs. Y]]-_xlfn.XLOOKUP(Readings[[#This Row],[Sensor ID]],Table_Baseline[Sensor ID],Table_Baseline[Northing '[m']],"-")),"-")</f>
        <v>0</v>
      </c>
      <c r="Q618" s="93">
        <f>IFERROR(IF(Readings[[#This Row],[Obs. Z]]="","-",Readings[[#This Row],[Obs. Z]]-_xlfn.XLOOKUP(Readings[[#This Row],[Sensor ID]],Table_Baseline[Sensor ID],Table_Baseline[Level '[m']],"-")),"-")</f>
        <v>-8.0000000000168825E-4</v>
      </c>
      <c r="R618" s="93">
        <f>IFERROR(IF(Readings[[#This Row],[Reference Angle]]="-","-",(Readings[[#This Row],[Diff E]]*COS(RADIANS(Readings[[#This Row],[Reference Angle]]))-Readings[[#This Row],[Diff N]]*SIN(RADIANS(Readings[[#This Row],[Reference Angle]])))),"-")</f>
        <v>-1.0000000038417056E-3</v>
      </c>
      <c r="S618" s="93">
        <f>IFERROR(IF(Readings[[#This Row],[Reference Angle]]="-","-",(Readings[[#This Row],[Diff E]]*SIN(RADIANS(Readings[[#This Row],[Reference Angle]]))+Readings[[#This Row],[Diff N]]*COS(RADIANS(Readings[[#This Row],[Reference Angle]])))),"-")</f>
        <v>0</v>
      </c>
      <c r="T618" s="94">
        <f>IFERROR(VLOOKUP(Readings[[#This Row],[Sensor ID]],Table_Baseline[],COLUMNS(Table_Baseline[[#Headers],[Sensor ID]:[Reference Angle '[Deg']]]),FALSE),"-")</f>
        <v>0</v>
      </c>
      <c r="U618" s="95" t="str">
        <f>Readings[[#This Row],[Sensor ID]]&amp;"-"&amp;Readings[[#This Row],[Epoch]]</f>
        <v>250-RL-OP-11003-45805.2291666667</v>
      </c>
      <c r="V618" s="99">
        <f ca="1">IF(Readings[[#This Row],[Epoch]]=OFFSET(Readings[[#This Row],[Epoch]],-1,0),0,1)</f>
        <v>0</v>
      </c>
    </row>
    <row r="619" spans="4:22" x14ac:dyDescent="0.2">
      <c r="D619" s="32">
        <v>45805.229166666664</v>
      </c>
      <c r="E619" s="33" t="s">
        <v>173</v>
      </c>
      <c r="F619" s="34">
        <v>60037.803999999996</v>
      </c>
      <c r="G619" s="34">
        <v>363843.658</v>
      </c>
      <c r="H619" s="34">
        <v>18.777999999999999</v>
      </c>
      <c r="I619" s="33" t="s">
        <v>85</v>
      </c>
      <c r="J619" s="33" t="s">
        <v>90</v>
      </c>
      <c r="K619" s="33">
        <v>17.3</v>
      </c>
      <c r="L619" s="33">
        <v>1019.4</v>
      </c>
      <c r="M619" s="33">
        <v>92</v>
      </c>
      <c r="N619" s="33"/>
      <c r="O619" s="93">
        <f>IFERROR(IF(Readings[[#This Row],[Obs. X]]="","-",Readings[[#This Row],[Obs. X]]-_xlfn.XLOOKUP(Readings[[#This Row],[Sensor ID]],Table_Baseline[Sensor ID],Table_Baseline[Easting '[m']],"-")),"-")</f>
        <v>-1.0000000038417056E-3</v>
      </c>
      <c r="P619" s="93">
        <f>IFERROR(IF(Readings[[#This Row],[Obs. Y]]="","-",Readings[[#This Row],[Obs. Y]]-_xlfn.XLOOKUP(Readings[[#This Row],[Sensor ID]],Table_Baseline[Sensor ID],Table_Baseline[Northing '[m']],"-")),"-")</f>
        <v>9.9999998928979039E-4</v>
      </c>
      <c r="Q619" s="93">
        <f>IFERROR(IF(Readings[[#This Row],[Obs. Z]]="","-",Readings[[#This Row],[Obs. Z]]-_xlfn.XLOOKUP(Readings[[#This Row],[Sensor ID]],Table_Baseline[Sensor ID],Table_Baseline[Level '[m']],"-")),"-")</f>
        <v>-5.0000000000238742E-4</v>
      </c>
      <c r="R619" s="93">
        <f>IFERROR(IF(Readings[[#This Row],[Reference Angle]]="-","-",(Readings[[#This Row],[Diff E]]*COS(RADIANS(Readings[[#This Row],[Reference Angle]]))-Readings[[#This Row],[Diff N]]*SIN(RADIANS(Readings[[#This Row],[Reference Angle]])))),"-")</f>
        <v>-1.0000000038417056E-3</v>
      </c>
      <c r="S619" s="93">
        <f>IFERROR(IF(Readings[[#This Row],[Reference Angle]]="-","-",(Readings[[#This Row],[Diff E]]*SIN(RADIANS(Readings[[#This Row],[Reference Angle]]))+Readings[[#This Row],[Diff N]]*COS(RADIANS(Readings[[#This Row],[Reference Angle]])))),"-")</f>
        <v>9.9999998928979039E-4</v>
      </c>
      <c r="T619" s="94">
        <f>IFERROR(VLOOKUP(Readings[[#This Row],[Sensor ID]],Table_Baseline[],COLUMNS(Table_Baseline[[#Headers],[Sensor ID]:[Reference Angle '[Deg']]]),FALSE),"-")</f>
        <v>0</v>
      </c>
      <c r="U619" s="95" t="str">
        <f>Readings[[#This Row],[Sensor ID]]&amp;"-"&amp;Readings[[#This Row],[Epoch]]</f>
        <v>250-RL-OP-11004-45805.2291666667</v>
      </c>
      <c r="V619" s="99">
        <f ca="1">IF(Readings[[#This Row],[Epoch]]=OFFSET(Readings[[#This Row],[Epoch]],-1,0),0,1)</f>
        <v>0</v>
      </c>
    </row>
    <row r="620" spans="4:22" x14ac:dyDescent="0.2">
      <c r="D620" s="32">
        <v>45805.229166666664</v>
      </c>
      <c r="E620" s="33" t="s">
        <v>176</v>
      </c>
      <c r="F620" s="34">
        <v>60040.968000000001</v>
      </c>
      <c r="G620" s="34">
        <v>363844.11800000002</v>
      </c>
      <c r="H620" s="34">
        <v>18.779</v>
      </c>
      <c r="I620" s="33" t="s">
        <v>85</v>
      </c>
      <c r="J620" s="33" t="s">
        <v>90</v>
      </c>
      <c r="K620" s="33">
        <v>17.3</v>
      </c>
      <c r="L620" s="33">
        <v>1019.4</v>
      </c>
      <c r="M620" s="33">
        <v>92</v>
      </c>
      <c r="N620" s="33"/>
      <c r="O620" s="93">
        <f>IFERROR(IF(Readings[[#This Row],[Obs. X]]="","-",Readings[[#This Row],[Obs. X]]-_xlfn.XLOOKUP(Readings[[#This Row],[Sensor ID]],Table_Baseline[Sensor ID],Table_Baseline[Easting '[m']],"-")),"-")</f>
        <v>-9.9999999656574801E-4</v>
      </c>
      <c r="P620" s="93">
        <f>IFERROR(IF(Readings[[#This Row],[Obs. Y]]="","-",Readings[[#This Row],[Obs. Y]]-_xlfn.XLOOKUP(Readings[[#This Row],[Sensor ID]],Table_Baseline[Sensor ID],Table_Baseline[Northing '[m']],"-")),"-")</f>
        <v>0</v>
      </c>
      <c r="Q620" s="93">
        <f>IFERROR(IF(Readings[[#This Row],[Obs. Z]]="","-",Readings[[#This Row],[Obs. Z]]-_xlfn.XLOOKUP(Readings[[#This Row],[Sensor ID]],Table_Baseline[Sensor ID],Table_Baseline[Level '[m']],"-")),"-")</f>
        <v>0</v>
      </c>
      <c r="R620" s="93">
        <f>IFERROR(IF(Readings[[#This Row],[Reference Angle]]="-","-",(Readings[[#This Row],[Diff E]]*COS(RADIANS(Readings[[#This Row],[Reference Angle]]))-Readings[[#This Row],[Diff N]]*SIN(RADIANS(Readings[[#This Row],[Reference Angle]])))),"-")</f>
        <v>-9.9999999656574801E-4</v>
      </c>
      <c r="S620" s="93">
        <f>IFERROR(IF(Readings[[#This Row],[Reference Angle]]="-","-",(Readings[[#This Row],[Diff E]]*SIN(RADIANS(Readings[[#This Row],[Reference Angle]]))+Readings[[#This Row],[Diff N]]*COS(RADIANS(Readings[[#This Row],[Reference Angle]])))),"-")</f>
        <v>0</v>
      </c>
      <c r="T620" s="94">
        <f>IFERROR(VLOOKUP(Readings[[#This Row],[Sensor ID]],Table_Baseline[],COLUMNS(Table_Baseline[[#Headers],[Sensor ID]:[Reference Angle '[Deg']]]),FALSE),"-")</f>
        <v>0</v>
      </c>
      <c r="U620" s="95" t="str">
        <f>Readings[[#This Row],[Sensor ID]]&amp;"-"&amp;Readings[[#This Row],[Epoch]]</f>
        <v>250-RL-OP-11005-45805.2291666667</v>
      </c>
      <c r="V620" s="99">
        <f ca="1">IF(Readings[[#This Row],[Epoch]]=OFFSET(Readings[[#This Row],[Epoch]],-1,0),0,1)</f>
        <v>0</v>
      </c>
    </row>
    <row r="621" spans="4:22" x14ac:dyDescent="0.2">
      <c r="D621" s="32">
        <v>45805.229166666664</v>
      </c>
      <c r="E621" s="33" t="s">
        <v>175</v>
      </c>
      <c r="F621" s="34">
        <v>60040.606</v>
      </c>
      <c r="G621" s="34">
        <v>363842.86199999996</v>
      </c>
      <c r="H621" s="34">
        <v>18.771999999999998</v>
      </c>
      <c r="I621" s="33" t="s">
        <v>85</v>
      </c>
      <c r="J621" s="33" t="s">
        <v>90</v>
      </c>
      <c r="K621" s="33">
        <v>17.3</v>
      </c>
      <c r="L621" s="33">
        <v>1019.4</v>
      </c>
      <c r="M621" s="33">
        <v>92</v>
      </c>
      <c r="N621" s="33"/>
      <c r="O621" s="93">
        <f>IFERROR(IF(Readings[[#This Row],[Obs. X]]="","-",Readings[[#This Row],[Obs. X]]-_xlfn.XLOOKUP(Readings[[#This Row],[Sensor ID]],Table_Baseline[Sensor ID],Table_Baseline[Easting '[m']],"-")),"-")</f>
        <v>-1.0000000038417056E-3</v>
      </c>
      <c r="P621" s="93">
        <f>IFERROR(IF(Readings[[#This Row],[Obs. Y]]="","-",Readings[[#This Row],[Obs. Y]]-_xlfn.XLOOKUP(Readings[[#This Row],[Sensor ID]],Table_Baseline[Sensor ID],Table_Baseline[Northing '[m']],"-")),"-")</f>
        <v>9.9999993108212948E-4</v>
      </c>
      <c r="Q621" s="93">
        <f>IFERROR(IF(Readings[[#This Row],[Obs. Z]]="","-",Readings[[#This Row],[Obs. Z]]-_xlfn.XLOOKUP(Readings[[#This Row],[Sensor ID]],Table_Baseline[Sensor ID],Table_Baseline[Level '[m']],"-")),"-")</f>
        <v>0</v>
      </c>
      <c r="R621" s="93">
        <f>IFERROR(IF(Readings[[#This Row],[Reference Angle]]="-","-",(Readings[[#This Row],[Diff E]]*COS(RADIANS(Readings[[#This Row],[Reference Angle]]))-Readings[[#This Row],[Diff N]]*SIN(RADIANS(Readings[[#This Row],[Reference Angle]])))),"-")</f>
        <v>-1.0000000038417056E-3</v>
      </c>
      <c r="S621" s="93">
        <f>IFERROR(IF(Readings[[#This Row],[Reference Angle]]="-","-",(Readings[[#This Row],[Diff E]]*SIN(RADIANS(Readings[[#This Row],[Reference Angle]]))+Readings[[#This Row],[Diff N]]*COS(RADIANS(Readings[[#This Row],[Reference Angle]])))),"-")</f>
        <v>9.9999993108212948E-4</v>
      </c>
      <c r="T621" s="94">
        <f>IFERROR(VLOOKUP(Readings[[#This Row],[Sensor ID]],Table_Baseline[],COLUMNS(Table_Baseline[[#Headers],[Sensor ID]:[Reference Angle '[Deg']]]),FALSE),"-")</f>
        <v>0</v>
      </c>
      <c r="U621" s="95" t="str">
        <f>Readings[[#This Row],[Sensor ID]]&amp;"-"&amp;Readings[[#This Row],[Epoch]]</f>
        <v>250-RL-OP-11006-45805.2291666667</v>
      </c>
      <c r="V621" s="99">
        <f ca="1">IF(Readings[[#This Row],[Epoch]]=OFFSET(Readings[[#This Row],[Epoch]],-1,0),0,1)</f>
        <v>0</v>
      </c>
    </row>
    <row r="622" spans="4:22" x14ac:dyDescent="0.2">
      <c r="D622" s="32">
        <v>45805.229166666664</v>
      </c>
      <c r="E622" s="33" t="s">
        <v>178</v>
      </c>
      <c r="F622" s="34">
        <v>60043.758000000002</v>
      </c>
      <c r="G622" s="34">
        <v>363843.315</v>
      </c>
      <c r="H622" s="34">
        <v>18.774000000000001</v>
      </c>
      <c r="I622" s="33" t="s">
        <v>85</v>
      </c>
      <c r="J622" s="33" t="s">
        <v>90</v>
      </c>
      <c r="K622" s="33">
        <v>17.3</v>
      </c>
      <c r="L622" s="33">
        <v>1019.4</v>
      </c>
      <c r="M622" s="33">
        <v>92</v>
      </c>
      <c r="N622" s="33"/>
      <c r="O622" s="93">
        <f>IFERROR(IF(Readings[[#This Row],[Obs. X]]="","-",Readings[[#This Row],[Obs. X]]-_xlfn.XLOOKUP(Readings[[#This Row],[Sensor ID]],Table_Baseline[Sensor ID],Table_Baseline[Easting '[m']],"-")),"-")</f>
        <v>-9.9999999656574801E-4</v>
      </c>
      <c r="P622" s="93">
        <f>IFERROR(IF(Readings[[#This Row],[Obs. Y]]="","-",Readings[[#This Row],[Obs. Y]]-_xlfn.XLOOKUP(Readings[[#This Row],[Sensor ID]],Table_Baseline[Sensor ID],Table_Baseline[Northing '[m']],"-")),"-")</f>
        <v>9.9999998928979039E-4</v>
      </c>
      <c r="Q622" s="93">
        <f>IFERROR(IF(Readings[[#This Row],[Obs. Z]]="","-",Readings[[#This Row],[Obs. Z]]-_xlfn.XLOOKUP(Readings[[#This Row],[Sensor ID]],Table_Baseline[Sensor ID],Table_Baseline[Level '[m']],"-")),"-")</f>
        <v>-9.9999999999766942E-5</v>
      </c>
      <c r="R622" s="93">
        <f>IFERROR(IF(Readings[[#This Row],[Reference Angle]]="-","-",(Readings[[#This Row],[Diff E]]*COS(RADIANS(Readings[[#This Row],[Reference Angle]]))-Readings[[#This Row],[Diff N]]*SIN(RADIANS(Readings[[#This Row],[Reference Angle]])))),"-")</f>
        <v>-9.9999999656574801E-4</v>
      </c>
      <c r="S622" s="93">
        <f>IFERROR(IF(Readings[[#This Row],[Reference Angle]]="-","-",(Readings[[#This Row],[Diff E]]*SIN(RADIANS(Readings[[#This Row],[Reference Angle]]))+Readings[[#This Row],[Diff N]]*COS(RADIANS(Readings[[#This Row],[Reference Angle]])))),"-")</f>
        <v>9.9999998928979039E-4</v>
      </c>
      <c r="T622" s="94">
        <f>IFERROR(VLOOKUP(Readings[[#This Row],[Sensor ID]],Table_Baseline[],COLUMNS(Table_Baseline[[#Headers],[Sensor ID]:[Reference Angle '[Deg']]]),FALSE),"-")</f>
        <v>0</v>
      </c>
      <c r="U622" s="95" t="str">
        <f>Readings[[#This Row],[Sensor ID]]&amp;"-"&amp;Readings[[#This Row],[Epoch]]</f>
        <v>250-RL-OP-11007-45805.2291666667</v>
      </c>
      <c r="V622" s="99">
        <f ca="1">IF(Readings[[#This Row],[Epoch]]=OFFSET(Readings[[#This Row],[Epoch]],-1,0),0,1)</f>
        <v>0</v>
      </c>
    </row>
    <row r="623" spans="4:22" x14ac:dyDescent="0.2">
      <c r="D623" s="32">
        <v>45805.229166666664</v>
      </c>
      <c r="E623" s="33" t="s">
        <v>177</v>
      </c>
      <c r="F623" s="34">
        <v>60043.440999999999</v>
      </c>
      <c r="G623" s="34">
        <v>363842.04099999997</v>
      </c>
      <c r="H623" s="34">
        <v>18.768999999999998</v>
      </c>
      <c r="I623" s="33" t="s">
        <v>85</v>
      </c>
      <c r="J623" s="33" t="s">
        <v>90</v>
      </c>
      <c r="K623" s="33">
        <v>17.3</v>
      </c>
      <c r="L623" s="33">
        <v>1019.4</v>
      </c>
      <c r="M623" s="33">
        <v>92</v>
      </c>
      <c r="N623" s="33"/>
      <c r="O623" s="93">
        <f>IFERROR(IF(Readings[[#This Row],[Obs. X]]="","-",Readings[[#This Row],[Obs. X]]-_xlfn.XLOOKUP(Readings[[#This Row],[Sensor ID]],Table_Baseline[Sensor ID],Table_Baseline[Easting '[m']],"-")),"-")</f>
        <v>0</v>
      </c>
      <c r="P623" s="93">
        <f>IFERROR(IF(Readings[[#This Row],[Obs. Y]]="","-",Readings[[#This Row],[Obs. Y]]-_xlfn.XLOOKUP(Readings[[#This Row],[Sensor ID]],Table_Baseline[Sensor ID],Table_Baseline[Northing '[m']],"-")),"-")</f>
        <v>9.9999993108212948E-4</v>
      </c>
      <c r="Q623" s="93">
        <f>IFERROR(IF(Readings[[#This Row],[Obs. Z]]="","-",Readings[[#This Row],[Obs. Z]]-_xlfn.XLOOKUP(Readings[[#This Row],[Sensor ID]],Table_Baseline[Sensor ID],Table_Baseline[Level '[m']],"-")),"-")</f>
        <v>6.9999999999836859E-4</v>
      </c>
      <c r="R623" s="93">
        <f>IFERROR(IF(Readings[[#This Row],[Reference Angle]]="-","-",(Readings[[#This Row],[Diff E]]*COS(RADIANS(Readings[[#This Row],[Reference Angle]]))-Readings[[#This Row],[Diff N]]*SIN(RADIANS(Readings[[#This Row],[Reference Angle]])))),"-")</f>
        <v>0</v>
      </c>
      <c r="S623" s="93">
        <f>IFERROR(IF(Readings[[#This Row],[Reference Angle]]="-","-",(Readings[[#This Row],[Diff E]]*SIN(RADIANS(Readings[[#This Row],[Reference Angle]]))+Readings[[#This Row],[Diff N]]*COS(RADIANS(Readings[[#This Row],[Reference Angle]])))),"-")</f>
        <v>9.9999993108212948E-4</v>
      </c>
      <c r="T623" s="94">
        <f>IFERROR(VLOOKUP(Readings[[#This Row],[Sensor ID]],Table_Baseline[],COLUMNS(Table_Baseline[[#Headers],[Sensor ID]:[Reference Angle '[Deg']]]),FALSE),"-")</f>
        <v>0</v>
      </c>
      <c r="U623" s="95" t="str">
        <f>Readings[[#This Row],[Sensor ID]]&amp;"-"&amp;Readings[[#This Row],[Epoch]]</f>
        <v>250-RL-OP-11008-45805.2291666667</v>
      </c>
      <c r="V623" s="99">
        <f ca="1">IF(Readings[[#This Row],[Epoch]]=OFFSET(Readings[[#This Row],[Epoch]],-1,0),0,1)</f>
        <v>0</v>
      </c>
    </row>
    <row r="624" spans="4:22" x14ac:dyDescent="0.2">
      <c r="D624" s="32">
        <v>45805.229166666664</v>
      </c>
      <c r="E624" s="33" t="s">
        <v>180</v>
      </c>
      <c r="F624" s="34">
        <v>60046.633000000002</v>
      </c>
      <c r="G624" s="34">
        <v>363842.48600000003</v>
      </c>
      <c r="H624" s="34">
        <v>18.777000000000001</v>
      </c>
      <c r="I624" s="33" t="s">
        <v>85</v>
      </c>
      <c r="J624" s="33" t="s">
        <v>90</v>
      </c>
      <c r="K624" s="33">
        <v>17.3</v>
      </c>
      <c r="L624" s="33">
        <v>1019.4</v>
      </c>
      <c r="M624" s="33">
        <v>92</v>
      </c>
      <c r="N624" s="33"/>
      <c r="O624" s="93">
        <f>IFERROR(IF(Readings[[#This Row],[Obs. X]]="","-",Readings[[#This Row],[Obs. X]]-_xlfn.XLOOKUP(Readings[[#This Row],[Sensor ID]],Table_Baseline[Sensor ID],Table_Baseline[Easting '[m']],"-")),"-")</f>
        <v>0</v>
      </c>
      <c r="P624" s="93">
        <f>IFERROR(IF(Readings[[#This Row],[Obs. Y]]="","-",Readings[[#This Row],[Obs. Y]]-_xlfn.XLOOKUP(Readings[[#This Row],[Sensor ID]],Table_Baseline[Sensor ID],Table_Baseline[Northing '[m']],"-")),"-")</f>
        <v>1.0000000474974513E-3</v>
      </c>
      <c r="Q624" s="93">
        <f>IFERROR(IF(Readings[[#This Row],[Obs. Z]]="","-",Readings[[#This Row],[Obs. Z]]-_xlfn.XLOOKUP(Readings[[#This Row],[Sensor ID]],Table_Baseline[Sensor ID],Table_Baseline[Level '[m']],"-")),"-")</f>
        <v>-5.9999999999860165E-4</v>
      </c>
      <c r="R624" s="93">
        <f>IFERROR(IF(Readings[[#This Row],[Reference Angle]]="-","-",(Readings[[#This Row],[Diff E]]*COS(RADIANS(Readings[[#This Row],[Reference Angle]]))-Readings[[#This Row],[Diff N]]*SIN(RADIANS(Readings[[#This Row],[Reference Angle]])))),"-")</f>
        <v>0</v>
      </c>
      <c r="S624" s="93">
        <f>IFERROR(IF(Readings[[#This Row],[Reference Angle]]="-","-",(Readings[[#This Row],[Diff E]]*SIN(RADIANS(Readings[[#This Row],[Reference Angle]]))+Readings[[#This Row],[Diff N]]*COS(RADIANS(Readings[[#This Row],[Reference Angle]])))),"-")</f>
        <v>1.0000000474974513E-3</v>
      </c>
      <c r="T624" s="94">
        <f>IFERROR(VLOOKUP(Readings[[#This Row],[Sensor ID]],Table_Baseline[],COLUMNS(Table_Baseline[[#Headers],[Sensor ID]:[Reference Angle '[Deg']]]),FALSE),"-")</f>
        <v>0</v>
      </c>
      <c r="U624" s="95" t="str">
        <f>Readings[[#This Row],[Sensor ID]]&amp;"-"&amp;Readings[[#This Row],[Epoch]]</f>
        <v>250-RL-OP-11009-45805.2291666667</v>
      </c>
      <c r="V624" s="99">
        <f ca="1">IF(Readings[[#This Row],[Epoch]]=OFFSET(Readings[[#This Row],[Epoch]],-1,0),0,1)</f>
        <v>0</v>
      </c>
    </row>
    <row r="625" spans="4:22" x14ac:dyDescent="0.2">
      <c r="D625" s="32">
        <v>45805.229166666664</v>
      </c>
      <c r="E625" s="33" t="s">
        <v>179</v>
      </c>
      <c r="F625" s="34">
        <v>60046.249000000003</v>
      </c>
      <c r="G625" s="34">
        <v>363841.22700000001</v>
      </c>
      <c r="H625" s="34">
        <v>18.77</v>
      </c>
      <c r="I625" s="33" t="s">
        <v>85</v>
      </c>
      <c r="J625" s="33" t="s">
        <v>90</v>
      </c>
      <c r="K625" s="33">
        <v>17.3</v>
      </c>
      <c r="L625" s="33">
        <v>1019.4</v>
      </c>
      <c r="M625" s="33">
        <v>92</v>
      </c>
      <c r="N625" s="33"/>
      <c r="O625" s="93">
        <f>IFERROR(IF(Readings[[#This Row],[Obs. X]]="","-",Readings[[#This Row],[Obs. X]]-_xlfn.XLOOKUP(Readings[[#This Row],[Sensor ID]],Table_Baseline[Sensor ID],Table_Baseline[Easting '[m']],"-")),"-")</f>
        <v>-9.9999999656574801E-4</v>
      </c>
      <c r="P625" s="93">
        <f>IFERROR(IF(Readings[[#This Row],[Obs. Y]]="","-",Readings[[#This Row],[Obs. Y]]-_xlfn.XLOOKUP(Readings[[#This Row],[Sensor ID]],Table_Baseline[Sensor ID],Table_Baseline[Northing '[m']],"-")),"-")</f>
        <v>9.9999998928979039E-4</v>
      </c>
      <c r="Q625" s="93">
        <f>IFERROR(IF(Readings[[#This Row],[Obs. Z]]="","-",Readings[[#This Row],[Obs. Z]]-_xlfn.XLOOKUP(Readings[[#This Row],[Sensor ID]],Table_Baseline[Sensor ID],Table_Baseline[Level '[m']],"-")),"-")</f>
        <v>1.9999999999953388E-4</v>
      </c>
      <c r="R625" s="93">
        <f>IFERROR(IF(Readings[[#This Row],[Reference Angle]]="-","-",(Readings[[#This Row],[Diff E]]*COS(RADIANS(Readings[[#This Row],[Reference Angle]]))-Readings[[#This Row],[Diff N]]*SIN(RADIANS(Readings[[#This Row],[Reference Angle]])))),"-")</f>
        <v>-9.9999999656574801E-4</v>
      </c>
      <c r="S625" s="93">
        <f>IFERROR(IF(Readings[[#This Row],[Reference Angle]]="-","-",(Readings[[#This Row],[Diff E]]*SIN(RADIANS(Readings[[#This Row],[Reference Angle]]))+Readings[[#This Row],[Diff N]]*COS(RADIANS(Readings[[#This Row],[Reference Angle]])))),"-")</f>
        <v>9.9999998928979039E-4</v>
      </c>
      <c r="T625" s="94">
        <f>IFERROR(VLOOKUP(Readings[[#This Row],[Sensor ID]],Table_Baseline[],COLUMNS(Table_Baseline[[#Headers],[Sensor ID]:[Reference Angle '[Deg']]]),FALSE),"-")</f>
        <v>0</v>
      </c>
      <c r="U625" s="95" t="str">
        <f>Readings[[#This Row],[Sensor ID]]&amp;"-"&amp;Readings[[#This Row],[Epoch]]</f>
        <v>250-RL-OP-11010-45805.2291666667</v>
      </c>
      <c r="V625" s="99">
        <f ca="1">IF(Readings[[#This Row],[Epoch]]=OFFSET(Readings[[#This Row],[Epoch]],-1,0),0,1)</f>
        <v>0</v>
      </c>
    </row>
    <row r="626" spans="4:22" x14ac:dyDescent="0.2">
      <c r="D626" s="32">
        <v>45805.229166666664</v>
      </c>
      <c r="E626" s="33" t="s">
        <v>182</v>
      </c>
      <c r="F626" s="34">
        <v>60049.398000000001</v>
      </c>
      <c r="G626" s="34">
        <v>363841.69900000002</v>
      </c>
      <c r="H626" s="34">
        <v>18.777999999999999</v>
      </c>
      <c r="I626" s="33" t="s">
        <v>85</v>
      </c>
      <c r="J626" s="33" t="s">
        <v>90</v>
      </c>
      <c r="K626" s="33">
        <v>17.3</v>
      </c>
      <c r="L626" s="33">
        <v>1019.4</v>
      </c>
      <c r="M626" s="33">
        <v>92</v>
      </c>
      <c r="N626" s="33"/>
      <c r="O626" s="93">
        <f>IFERROR(IF(Readings[[#This Row],[Obs. X]]="","-",Readings[[#This Row],[Obs. X]]-_xlfn.XLOOKUP(Readings[[#This Row],[Sensor ID]],Table_Baseline[Sensor ID],Table_Baseline[Easting '[m']],"-")),"-")</f>
        <v>-9.9999999656574801E-4</v>
      </c>
      <c r="P626" s="93">
        <f>IFERROR(IF(Readings[[#This Row],[Obs. Y]]="","-",Readings[[#This Row],[Obs. Y]]-_xlfn.XLOOKUP(Readings[[#This Row],[Sensor ID]],Table_Baseline[Sensor ID],Table_Baseline[Northing '[m']],"-")),"-")</f>
        <v>1.0000000474974513E-3</v>
      </c>
      <c r="Q626" s="93">
        <f>IFERROR(IF(Readings[[#This Row],[Obs. Z]]="","-",Readings[[#This Row],[Obs. Z]]-_xlfn.XLOOKUP(Readings[[#This Row],[Sensor ID]],Table_Baseline[Sensor ID],Table_Baseline[Level '[m']],"-")),"-")</f>
        <v>0</v>
      </c>
      <c r="R626" s="93">
        <f>IFERROR(IF(Readings[[#This Row],[Reference Angle]]="-","-",(Readings[[#This Row],[Diff E]]*COS(RADIANS(Readings[[#This Row],[Reference Angle]]))-Readings[[#This Row],[Diff N]]*SIN(RADIANS(Readings[[#This Row],[Reference Angle]])))),"-")</f>
        <v>-9.9999999656574801E-4</v>
      </c>
      <c r="S626" s="93">
        <f>IFERROR(IF(Readings[[#This Row],[Reference Angle]]="-","-",(Readings[[#This Row],[Diff E]]*SIN(RADIANS(Readings[[#This Row],[Reference Angle]]))+Readings[[#This Row],[Diff N]]*COS(RADIANS(Readings[[#This Row],[Reference Angle]])))),"-")</f>
        <v>1.0000000474974513E-3</v>
      </c>
      <c r="T626" s="94">
        <f>IFERROR(VLOOKUP(Readings[[#This Row],[Sensor ID]],Table_Baseline[],COLUMNS(Table_Baseline[[#Headers],[Sensor ID]:[Reference Angle '[Deg']]]),FALSE),"-")</f>
        <v>0</v>
      </c>
      <c r="U626" s="95" t="str">
        <f>Readings[[#This Row],[Sensor ID]]&amp;"-"&amp;Readings[[#This Row],[Epoch]]</f>
        <v>250-RL-OP-11011-45805.2291666667</v>
      </c>
      <c r="V626" s="99">
        <f ca="1">IF(Readings[[#This Row],[Epoch]]=OFFSET(Readings[[#This Row],[Epoch]],-1,0),0,1)</f>
        <v>0</v>
      </c>
    </row>
    <row r="627" spans="4:22" x14ac:dyDescent="0.2">
      <c r="D627" s="32">
        <v>45805.229166666664</v>
      </c>
      <c r="E627" s="33" t="s">
        <v>181</v>
      </c>
      <c r="F627" s="34">
        <v>60049.04</v>
      </c>
      <c r="G627" s="34">
        <v>363840.43599999999</v>
      </c>
      <c r="H627" s="34">
        <v>18.771000000000001</v>
      </c>
      <c r="I627" s="33" t="s">
        <v>85</v>
      </c>
      <c r="J627" s="33" t="s">
        <v>90</v>
      </c>
      <c r="K627" s="33">
        <v>17.3</v>
      </c>
      <c r="L627" s="33">
        <v>1019.4</v>
      </c>
      <c r="M627" s="33">
        <v>92</v>
      </c>
      <c r="N627" s="33"/>
      <c r="O627" s="93">
        <f>IFERROR(IF(Readings[[#This Row],[Obs. X]]="","-",Readings[[#This Row],[Obs. X]]-_xlfn.XLOOKUP(Readings[[#This Row],[Sensor ID]],Table_Baseline[Sensor ID],Table_Baseline[Easting '[m']],"-")),"-")</f>
        <v>-9.9999999656574801E-4</v>
      </c>
      <c r="P627" s="93">
        <f>IFERROR(IF(Readings[[#This Row],[Obs. Y]]="","-",Readings[[#This Row],[Obs. Y]]-_xlfn.XLOOKUP(Readings[[#This Row],[Sensor ID]],Table_Baseline[Sensor ID],Table_Baseline[Northing '[m']],"-")),"-")</f>
        <v>3.0000000260770321E-3</v>
      </c>
      <c r="Q627" s="93">
        <f>IFERROR(IF(Readings[[#This Row],[Obs. Z]]="","-",Readings[[#This Row],[Obs. Z]]-_xlfn.XLOOKUP(Readings[[#This Row],[Sensor ID]],Table_Baseline[Sensor ID],Table_Baseline[Level '[m']],"-")),"-")</f>
        <v>-9.9999999999766942E-5</v>
      </c>
      <c r="R627" s="93">
        <f>IFERROR(IF(Readings[[#This Row],[Reference Angle]]="-","-",(Readings[[#This Row],[Diff E]]*COS(RADIANS(Readings[[#This Row],[Reference Angle]]))-Readings[[#This Row],[Diff N]]*SIN(RADIANS(Readings[[#This Row],[Reference Angle]])))),"-")</f>
        <v>-9.9999999656574801E-4</v>
      </c>
      <c r="S627" s="93">
        <f>IFERROR(IF(Readings[[#This Row],[Reference Angle]]="-","-",(Readings[[#This Row],[Diff E]]*SIN(RADIANS(Readings[[#This Row],[Reference Angle]]))+Readings[[#This Row],[Diff N]]*COS(RADIANS(Readings[[#This Row],[Reference Angle]])))),"-")</f>
        <v>3.0000000260770321E-3</v>
      </c>
      <c r="T627" s="94">
        <f>IFERROR(VLOOKUP(Readings[[#This Row],[Sensor ID]],Table_Baseline[],COLUMNS(Table_Baseline[[#Headers],[Sensor ID]:[Reference Angle '[Deg']]]),FALSE),"-")</f>
        <v>0</v>
      </c>
      <c r="U627" s="95" t="str">
        <f>Readings[[#This Row],[Sensor ID]]&amp;"-"&amp;Readings[[#This Row],[Epoch]]</f>
        <v>250-RL-OP-11012-45805.2291666667</v>
      </c>
      <c r="V627" s="99">
        <f ca="1">IF(Readings[[#This Row],[Epoch]]=OFFSET(Readings[[#This Row],[Epoch]],-1,0),0,1)</f>
        <v>0</v>
      </c>
    </row>
    <row r="628" spans="4:22" x14ac:dyDescent="0.2">
      <c r="D628" s="32">
        <v>45805.229166666664</v>
      </c>
      <c r="E628" s="33" t="s">
        <v>184</v>
      </c>
      <c r="F628" s="34">
        <v>60052.292000000001</v>
      </c>
      <c r="G628" s="34">
        <v>363840.88699999999</v>
      </c>
      <c r="H628" s="34">
        <v>18.779</v>
      </c>
      <c r="I628" s="33" t="s">
        <v>85</v>
      </c>
      <c r="J628" s="33" t="s">
        <v>90</v>
      </c>
      <c r="K628" s="33">
        <v>17.3</v>
      </c>
      <c r="L628" s="33">
        <v>1019.4</v>
      </c>
      <c r="M628" s="33">
        <v>92</v>
      </c>
      <c r="N628" s="33"/>
      <c r="O628" s="93">
        <f>IFERROR(IF(Readings[[#This Row],[Obs. X]]="","-",Readings[[#This Row],[Obs. X]]-_xlfn.XLOOKUP(Readings[[#This Row],[Sensor ID]],Table_Baseline[Sensor ID],Table_Baseline[Easting '[m']],"-")),"-")</f>
        <v>-9.9999999656574801E-4</v>
      </c>
      <c r="P628" s="93">
        <f>IFERROR(IF(Readings[[#This Row],[Obs. Y]]="","-",Readings[[#This Row],[Obs. Y]]-_xlfn.XLOOKUP(Readings[[#This Row],[Sensor ID]],Table_Baseline[Sensor ID],Table_Baseline[Northing '[m']],"-")),"-")</f>
        <v>1.9999999785795808E-3</v>
      </c>
      <c r="Q628" s="93">
        <f>IFERROR(IF(Readings[[#This Row],[Obs. Z]]="","-",Readings[[#This Row],[Obs. Z]]-_xlfn.XLOOKUP(Readings[[#This Row],[Sensor ID]],Table_Baseline[Sensor ID],Table_Baseline[Level '[m']],"-")),"-")</f>
        <v>0</v>
      </c>
      <c r="R628" s="93">
        <f>IFERROR(IF(Readings[[#This Row],[Reference Angle]]="-","-",(Readings[[#This Row],[Diff E]]*COS(RADIANS(Readings[[#This Row],[Reference Angle]]))-Readings[[#This Row],[Diff N]]*SIN(RADIANS(Readings[[#This Row],[Reference Angle]])))),"-")</f>
        <v>-9.9999999656574801E-4</v>
      </c>
      <c r="S628" s="93">
        <f>IFERROR(IF(Readings[[#This Row],[Reference Angle]]="-","-",(Readings[[#This Row],[Diff E]]*SIN(RADIANS(Readings[[#This Row],[Reference Angle]]))+Readings[[#This Row],[Diff N]]*COS(RADIANS(Readings[[#This Row],[Reference Angle]])))),"-")</f>
        <v>1.9999999785795808E-3</v>
      </c>
      <c r="T628" s="94">
        <f>IFERROR(VLOOKUP(Readings[[#This Row],[Sensor ID]],Table_Baseline[],COLUMNS(Table_Baseline[[#Headers],[Sensor ID]:[Reference Angle '[Deg']]]),FALSE),"-")</f>
        <v>0</v>
      </c>
      <c r="U628" s="95" t="str">
        <f>Readings[[#This Row],[Sensor ID]]&amp;"-"&amp;Readings[[#This Row],[Epoch]]</f>
        <v>250-RL-OP-11013-45805.2291666667</v>
      </c>
      <c r="V628" s="99">
        <f ca="1">IF(Readings[[#This Row],[Epoch]]=OFFSET(Readings[[#This Row],[Epoch]],-1,0),0,1)</f>
        <v>0</v>
      </c>
    </row>
    <row r="629" spans="4:22" x14ac:dyDescent="0.2">
      <c r="D629" s="32">
        <v>45805.229166666664</v>
      </c>
      <c r="E629" s="33" t="s">
        <v>183</v>
      </c>
      <c r="F629" s="34">
        <v>60051.989000000001</v>
      </c>
      <c r="G629" s="34">
        <v>363839.60600000003</v>
      </c>
      <c r="H629" s="34">
        <v>18.77</v>
      </c>
      <c r="I629" s="33" t="s">
        <v>85</v>
      </c>
      <c r="J629" s="33" t="s">
        <v>90</v>
      </c>
      <c r="K629" s="33">
        <v>17.3</v>
      </c>
      <c r="L629" s="33">
        <v>1019.4</v>
      </c>
      <c r="M629" s="33">
        <v>92</v>
      </c>
      <c r="N629" s="33"/>
      <c r="O629" s="93">
        <f>IFERROR(IF(Readings[[#This Row],[Obs. X]]="","-",Readings[[#This Row],[Obs. X]]-_xlfn.XLOOKUP(Readings[[#This Row],[Sensor ID]],Table_Baseline[Sensor ID],Table_Baseline[Easting '[m']],"-")),"-")</f>
        <v>0</v>
      </c>
      <c r="P629" s="93">
        <f>IFERROR(IF(Readings[[#This Row],[Obs. Y]]="","-",Readings[[#This Row],[Obs. Y]]-_xlfn.XLOOKUP(Readings[[#This Row],[Sensor ID]],Table_Baseline[Sensor ID],Table_Baseline[Northing '[m']],"-")),"-")</f>
        <v>3.0000000260770321E-3</v>
      </c>
      <c r="Q629" s="93">
        <f>IFERROR(IF(Readings[[#This Row],[Obs. Z]]="","-",Readings[[#This Row],[Obs. Z]]-_xlfn.XLOOKUP(Readings[[#This Row],[Sensor ID]],Table_Baseline[Sensor ID],Table_Baseline[Level '[m']],"-")),"-")</f>
        <v>-9.9999999999766942E-5</v>
      </c>
      <c r="R629" s="93">
        <f>IFERROR(IF(Readings[[#This Row],[Reference Angle]]="-","-",(Readings[[#This Row],[Diff E]]*COS(RADIANS(Readings[[#This Row],[Reference Angle]]))-Readings[[#This Row],[Diff N]]*SIN(RADIANS(Readings[[#This Row],[Reference Angle]])))),"-")</f>
        <v>0</v>
      </c>
      <c r="S629" s="93">
        <f>IFERROR(IF(Readings[[#This Row],[Reference Angle]]="-","-",(Readings[[#This Row],[Diff E]]*SIN(RADIANS(Readings[[#This Row],[Reference Angle]]))+Readings[[#This Row],[Diff N]]*COS(RADIANS(Readings[[#This Row],[Reference Angle]])))),"-")</f>
        <v>3.0000000260770321E-3</v>
      </c>
      <c r="T629" s="94">
        <f>IFERROR(VLOOKUP(Readings[[#This Row],[Sensor ID]],Table_Baseline[],COLUMNS(Table_Baseline[[#Headers],[Sensor ID]:[Reference Angle '[Deg']]]),FALSE),"-")</f>
        <v>0</v>
      </c>
      <c r="U629" s="95" t="str">
        <f>Readings[[#This Row],[Sensor ID]]&amp;"-"&amp;Readings[[#This Row],[Epoch]]</f>
        <v>250-RL-OP-11014-45805.2291666667</v>
      </c>
      <c r="V629" s="99">
        <f ca="1">IF(Readings[[#This Row],[Epoch]]=OFFSET(Readings[[#This Row],[Epoch]],-1,0),0,1)</f>
        <v>0</v>
      </c>
    </row>
    <row r="630" spans="4:22" x14ac:dyDescent="0.2">
      <c r="D630" s="32">
        <v>45805.229166666664</v>
      </c>
      <c r="E630" s="33" t="s">
        <v>186</v>
      </c>
      <c r="F630" s="34">
        <v>60055.196000000004</v>
      </c>
      <c r="G630" s="34">
        <v>363840.09700000001</v>
      </c>
      <c r="H630" s="34">
        <v>18.78</v>
      </c>
      <c r="I630" s="33" t="s">
        <v>85</v>
      </c>
      <c r="J630" s="33" t="s">
        <v>90</v>
      </c>
      <c r="K630" s="33">
        <v>17.3</v>
      </c>
      <c r="L630" s="33">
        <v>1019.4</v>
      </c>
      <c r="M630" s="33">
        <v>92</v>
      </c>
      <c r="N630" s="33"/>
      <c r="O630" s="93">
        <f>IFERROR(IF(Readings[[#This Row],[Obs. X]]="","-",Readings[[#This Row],[Obs. X]]-_xlfn.XLOOKUP(Readings[[#This Row],[Sensor ID]],Table_Baseline[Sensor ID],Table_Baseline[Easting '[m']],"-")),"-")</f>
        <v>0</v>
      </c>
      <c r="P630" s="93">
        <f>IFERROR(IF(Readings[[#This Row],[Obs. Y]]="","-",Readings[[#This Row],[Obs. Y]]-_xlfn.XLOOKUP(Readings[[#This Row],[Sensor ID]],Table_Baseline[Sensor ID],Table_Baseline[Northing '[m']],"-")),"-")</f>
        <v>2.0000000367872417E-3</v>
      </c>
      <c r="Q630" s="93">
        <f>IFERROR(IF(Readings[[#This Row],[Obs. Z]]="","-",Readings[[#This Row],[Obs. Z]]-_xlfn.XLOOKUP(Readings[[#This Row],[Sensor ID]],Table_Baseline[Sensor ID],Table_Baseline[Level '[m']],"-")),"-")</f>
        <v>-8.9999999999790248E-4</v>
      </c>
      <c r="R630" s="93">
        <f>IFERROR(IF(Readings[[#This Row],[Reference Angle]]="-","-",(Readings[[#This Row],[Diff E]]*COS(RADIANS(Readings[[#This Row],[Reference Angle]]))-Readings[[#This Row],[Diff N]]*SIN(RADIANS(Readings[[#This Row],[Reference Angle]])))),"-")</f>
        <v>0</v>
      </c>
      <c r="S630" s="93">
        <f>IFERROR(IF(Readings[[#This Row],[Reference Angle]]="-","-",(Readings[[#This Row],[Diff E]]*SIN(RADIANS(Readings[[#This Row],[Reference Angle]]))+Readings[[#This Row],[Diff N]]*COS(RADIANS(Readings[[#This Row],[Reference Angle]])))),"-")</f>
        <v>2.0000000367872417E-3</v>
      </c>
      <c r="T630" s="94">
        <f>IFERROR(VLOOKUP(Readings[[#This Row],[Sensor ID]],Table_Baseline[],COLUMNS(Table_Baseline[[#Headers],[Sensor ID]:[Reference Angle '[Deg']]]),FALSE),"-")</f>
        <v>0</v>
      </c>
      <c r="U630" s="95" t="str">
        <f>Readings[[#This Row],[Sensor ID]]&amp;"-"&amp;Readings[[#This Row],[Epoch]]</f>
        <v>250-RL-OP-11015-45805.2291666667</v>
      </c>
      <c r="V630" s="99">
        <f ca="1">IF(Readings[[#This Row],[Epoch]]=OFFSET(Readings[[#This Row],[Epoch]],-1,0),0,1)</f>
        <v>0</v>
      </c>
    </row>
    <row r="631" spans="4:22" x14ac:dyDescent="0.2">
      <c r="D631" s="32">
        <v>45805.229166666664</v>
      </c>
      <c r="E631" s="33" t="s">
        <v>185</v>
      </c>
      <c r="F631" s="34">
        <v>60054.885000000002</v>
      </c>
      <c r="G631" s="34">
        <v>363838.80799999996</v>
      </c>
      <c r="H631" s="34">
        <v>18.773</v>
      </c>
      <c r="I631" s="33" t="s">
        <v>85</v>
      </c>
      <c r="J631" s="33" t="s">
        <v>90</v>
      </c>
      <c r="K631" s="33">
        <v>17.3</v>
      </c>
      <c r="L631" s="33">
        <v>1019.4</v>
      </c>
      <c r="M631" s="33">
        <v>92</v>
      </c>
      <c r="N631" s="33"/>
      <c r="O631" s="93">
        <f>IFERROR(IF(Readings[[#This Row],[Obs. X]]="","-",Readings[[#This Row],[Obs. X]]-_xlfn.XLOOKUP(Readings[[#This Row],[Sensor ID]],Table_Baseline[Sensor ID],Table_Baseline[Easting '[m']],"-")),"-")</f>
        <v>-9.9999999656574801E-4</v>
      </c>
      <c r="P631" s="93">
        <f>IFERROR(IF(Readings[[#This Row],[Obs. Y]]="","-",Readings[[#This Row],[Obs. Y]]-_xlfn.XLOOKUP(Readings[[#This Row],[Sensor ID]],Table_Baseline[Sensor ID],Table_Baseline[Northing '[m']],"-")),"-")</f>
        <v>2.9999999678693712E-3</v>
      </c>
      <c r="Q631" s="93">
        <f>IFERROR(IF(Readings[[#This Row],[Obs. Z]]="","-",Readings[[#This Row],[Obs. Z]]-_xlfn.XLOOKUP(Readings[[#This Row],[Sensor ID]],Table_Baseline[Sensor ID],Table_Baseline[Level '[m']],"-")),"-")</f>
        <v>-9.9999999999766942E-5</v>
      </c>
      <c r="R631" s="93">
        <f>IFERROR(IF(Readings[[#This Row],[Reference Angle]]="-","-",(Readings[[#This Row],[Diff E]]*COS(RADIANS(Readings[[#This Row],[Reference Angle]]))-Readings[[#This Row],[Diff N]]*SIN(RADIANS(Readings[[#This Row],[Reference Angle]])))),"-")</f>
        <v>-9.9999999656574801E-4</v>
      </c>
      <c r="S631" s="93">
        <f>IFERROR(IF(Readings[[#This Row],[Reference Angle]]="-","-",(Readings[[#This Row],[Diff E]]*SIN(RADIANS(Readings[[#This Row],[Reference Angle]]))+Readings[[#This Row],[Diff N]]*COS(RADIANS(Readings[[#This Row],[Reference Angle]])))),"-")</f>
        <v>2.9999999678693712E-3</v>
      </c>
      <c r="T631" s="94">
        <f>IFERROR(VLOOKUP(Readings[[#This Row],[Sensor ID]],Table_Baseline[],COLUMNS(Table_Baseline[[#Headers],[Sensor ID]:[Reference Angle '[Deg']]]),FALSE),"-")</f>
        <v>0</v>
      </c>
      <c r="U631" s="95" t="str">
        <f>Readings[[#This Row],[Sensor ID]]&amp;"-"&amp;Readings[[#This Row],[Epoch]]</f>
        <v>250-RL-OP-11016-45805.2291666667</v>
      </c>
      <c r="V631" s="99">
        <f ca="1">IF(Readings[[#This Row],[Epoch]]=OFFSET(Readings[[#This Row],[Epoch]],-1,0),0,1)</f>
        <v>0</v>
      </c>
    </row>
    <row r="632" spans="4:22" x14ac:dyDescent="0.2">
      <c r="D632" s="32">
        <v>45805.229166666664</v>
      </c>
      <c r="E632" s="33" t="s">
        <v>188</v>
      </c>
      <c r="F632" s="34">
        <v>60057.951999999997</v>
      </c>
      <c r="G632" s="34">
        <v>363839.36499999999</v>
      </c>
      <c r="H632" s="34">
        <v>18.785</v>
      </c>
      <c r="I632" s="33" t="s">
        <v>85</v>
      </c>
      <c r="J632" s="33" t="s">
        <v>90</v>
      </c>
      <c r="K632" s="33">
        <v>17.3</v>
      </c>
      <c r="L632" s="33">
        <v>1019.4</v>
      </c>
      <c r="M632" s="33">
        <v>92</v>
      </c>
      <c r="N632" s="33"/>
      <c r="O632" s="93">
        <f>IFERROR(IF(Readings[[#This Row],[Obs. X]]="","-",Readings[[#This Row],[Obs. X]]-_xlfn.XLOOKUP(Readings[[#This Row],[Sensor ID]],Table_Baseline[Sensor ID],Table_Baseline[Easting '[m']],"-")),"-")</f>
        <v>0</v>
      </c>
      <c r="P632" s="93">
        <f>IFERROR(IF(Readings[[#This Row],[Obs. Y]]="","-",Readings[[#This Row],[Obs. Y]]-_xlfn.XLOOKUP(Readings[[#This Row],[Sensor ID]],Table_Baseline[Sensor ID],Table_Baseline[Northing '[m']],"-")),"-")</f>
        <v>3.0000000260770321E-3</v>
      </c>
      <c r="Q632" s="93">
        <f>IFERROR(IF(Readings[[#This Row],[Obs. Z]]="","-",Readings[[#This Row],[Obs. Z]]-_xlfn.XLOOKUP(Readings[[#This Row],[Sensor ID]],Table_Baseline[Sensor ID],Table_Baseline[Level '[m']],"-")),"-")</f>
        <v>-1.0000000000012221E-3</v>
      </c>
      <c r="R632" s="93">
        <f>IFERROR(IF(Readings[[#This Row],[Reference Angle]]="-","-",(Readings[[#This Row],[Diff E]]*COS(RADIANS(Readings[[#This Row],[Reference Angle]]))-Readings[[#This Row],[Diff N]]*SIN(RADIANS(Readings[[#This Row],[Reference Angle]])))),"-")</f>
        <v>0</v>
      </c>
      <c r="S632" s="93">
        <f>IFERROR(IF(Readings[[#This Row],[Reference Angle]]="-","-",(Readings[[#This Row],[Diff E]]*SIN(RADIANS(Readings[[#This Row],[Reference Angle]]))+Readings[[#This Row],[Diff N]]*COS(RADIANS(Readings[[#This Row],[Reference Angle]])))),"-")</f>
        <v>3.0000000260770321E-3</v>
      </c>
      <c r="T632" s="94">
        <f>IFERROR(VLOOKUP(Readings[[#This Row],[Sensor ID]],Table_Baseline[],COLUMNS(Table_Baseline[[#Headers],[Sensor ID]:[Reference Angle '[Deg']]]),FALSE),"-")</f>
        <v>0</v>
      </c>
      <c r="U632" s="95" t="str">
        <f>Readings[[#This Row],[Sensor ID]]&amp;"-"&amp;Readings[[#This Row],[Epoch]]</f>
        <v>250-RL-OP-11017-45805.2291666667</v>
      </c>
      <c r="V632" s="99">
        <f ca="1">IF(Readings[[#This Row],[Epoch]]=OFFSET(Readings[[#This Row],[Epoch]],-1,0),0,1)</f>
        <v>0</v>
      </c>
    </row>
    <row r="633" spans="4:22" x14ac:dyDescent="0.2">
      <c r="D633" s="32">
        <v>45805.229166666664</v>
      </c>
      <c r="E633" s="33" t="s">
        <v>187</v>
      </c>
      <c r="F633" s="34">
        <v>60057.578000000001</v>
      </c>
      <c r="G633" s="34">
        <v>363838.10100000002</v>
      </c>
      <c r="H633" s="34">
        <v>18.774999999999999</v>
      </c>
      <c r="I633" s="33" t="s">
        <v>85</v>
      </c>
      <c r="J633" s="33" t="s">
        <v>90</v>
      </c>
      <c r="K633" s="33">
        <v>17.3</v>
      </c>
      <c r="L633" s="33">
        <v>1019.4</v>
      </c>
      <c r="M633" s="33">
        <v>92</v>
      </c>
      <c r="N633" s="33"/>
      <c r="O633" s="93">
        <f>IFERROR(IF(Readings[[#This Row],[Obs. X]]="","-",Readings[[#This Row],[Obs. X]]-_xlfn.XLOOKUP(Readings[[#This Row],[Sensor ID]],Table_Baseline[Sensor ID],Table_Baseline[Easting '[m']],"-")),"-")</f>
        <v>-9.9999999656574801E-4</v>
      </c>
      <c r="P633" s="93">
        <f>IFERROR(IF(Readings[[#This Row],[Obs. Y]]="","-",Readings[[#This Row],[Obs. Y]]-_xlfn.XLOOKUP(Readings[[#This Row],[Sensor ID]],Table_Baseline[Sensor ID],Table_Baseline[Northing '[m']],"-")),"-")</f>
        <v>3.0000000260770321E-3</v>
      </c>
      <c r="Q633" s="93">
        <f>IFERROR(IF(Readings[[#This Row],[Obs. Z]]="","-",Readings[[#This Row],[Obs. Z]]-_xlfn.XLOOKUP(Readings[[#This Row],[Sensor ID]],Table_Baseline[Sensor ID],Table_Baseline[Level '[m']],"-")),"-")</f>
        <v>-1.0000000000012221E-3</v>
      </c>
      <c r="R633" s="93">
        <f>IFERROR(IF(Readings[[#This Row],[Reference Angle]]="-","-",(Readings[[#This Row],[Diff E]]*COS(RADIANS(Readings[[#This Row],[Reference Angle]]))-Readings[[#This Row],[Diff N]]*SIN(RADIANS(Readings[[#This Row],[Reference Angle]])))),"-")</f>
        <v>-9.9999999656574801E-4</v>
      </c>
      <c r="S633" s="93">
        <f>IFERROR(IF(Readings[[#This Row],[Reference Angle]]="-","-",(Readings[[#This Row],[Diff E]]*SIN(RADIANS(Readings[[#This Row],[Reference Angle]]))+Readings[[#This Row],[Diff N]]*COS(RADIANS(Readings[[#This Row],[Reference Angle]])))),"-")</f>
        <v>3.0000000260770321E-3</v>
      </c>
      <c r="T633" s="94">
        <f>IFERROR(VLOOKUP(Readings[[#This Row],[Sensor ID]],Table_Baseline[],COLUMNS(Table_Baseline[[#Headers],[Sensor ID]:[Reference Angle '[Deg']]]),FALSE),"-")</f>
        <v>0</v>
      </c>
      <c r="U633" s="95" t="str">
        <f>Readings[[#This Row],[Sensor ID]]&amp;"-"&amp;Readings[[#This Row],[Epoch]]</f>
        <v>250-RL-OP-11018-45805.2291666667</v>
      </c>
      <c r="V633" s="99">
        <f ca="1">IF(Readings[[#This Row],[Epoch]]=OFFSET(Readings[[#This Row],[Epoch]],-1,0),0,1)</f>
        <v>0</v>
      </c>
    </row>
    <row r="634" spans="4:22" x14ac:dyDescent="0.2">
      <c r="D634" s="32">
        <v>45805.229166666664</v>
      </c>
      <c r="E634" s="33" t="s">
        <v>190</v>
      </c>
      <c r="F634" s="34">
        <v>60060.962</v>
      </c>
      <c r="G634" s="34">
        <v>363838.60399999999</v>
      </c>
      <c r="H634" s="34">
        <v>18.794</v>
      </c>
      <c r="I634" s="33" t="s">
        <v>85</v>
      </c>
      <c r="J634" s="33" t="s">
        <v>90</v>
      </c>
      <c r="K634" s="33">
        <v>17.3</v>
      </c>
      <c r="L634" s="33">
        <v>1019.4</v>
      </c>
      <c r="M634" s="33">
        <v>92</v>
      </c>
      <c r="N634" s="33"/>
      <c r="O634" s="93">
        <f>IFERROR(IF(Readings[[#This Row],[Obs. X]]="","-",Readings[[#This Row],[Obs. X]]-_xlfn.XLOOKUP(Readings[[#This Row],[Sensor ID]],Table_Baseline[Sensor ID],Table_Baseline[Easting '[m']],"-")),"-")</f>
        <v>-1.0000000038417056E-3</v>
      </c>
      <c r="P634" s="93">
        <f>IFERROR(IF(Readings[[#This Row],[Obs. Y]]="","-",Readings[[#This Row],[Obs. Y]]-_xlfn.XLOOKUP(Readings[[#This Row],[Sensor ID]],Table_Baseline[Sensor ID],Table_Baseline[Northing '[m']],"-")),"-")</f>
        <v>2.9999999678693712E-3</v>
      </c>
      <c r="Q634" s="93">
        <f>IFERROR(IF(Readings[[#This Row],[Obs. Z]]="","-",Readings[[#This Row],[Obs. Z]]-_xlfn.XLOOKUP(Readings[[#This Row],[Sensor ID]],Table_Baseline[Sensor ID],Table_Baseline[Level '[m']],"-")),"-")</f>
        <v>-5.9999999999860165E-4</v>
      </c>
      <c r="R634" s="93">
        <f>IFERROR(IF(Readings[[#This Row],[Reference Angle]]="-","-",(Readings[[#This Row],[Diff E]]*COS(RADIANS(Readings[[#This Row],[Reference Angle]]))-Readings[[#This Row],[Diff N]]*SIN(RADIANS(Readings[[#This Row],[Reference Angle]])))),"-")</f>
        <v>-1.0000000038417056E-3</v>
      </c>
      <c r="S634" s="93">
        <f>IFERROR(IF(Readings[[#This Row],[Reference Angle]]="-","-",(Readings[[#This Row],[Diff E]]*SIN(RADIANS(Readings[[#This Row],[Reference Angle]]))+Readings[[#This Row],[Diff N]]*COS(RADIANS(Readings[[#This Row],[Reference Angle]])))),"-")</f>
        <v>2.9999999678693712E-3</v>
      </c>
      <c r="T634" s="94">
        <f>IFERROR(VLOOKUP(Readings[[#This Row],[Sensor ID]],Table_Baseline[],COLUMNS(Table_Baseline[[#Headers],[Sensor ID]:[Reference Angle '[Deg']]]),FALSE),"-")</f>
        <v>0</v>
      </c>
      <c r="U634" s="95" t="str">
        <f>Readings[[#This Row],[Sensor ID]]&amp;"-"&amp;Readings[[#This Row],[Epoch]]</f>
        <v>250-RL-OP-11019-45805.2291666667</v>
      </c>
      <c r="V634" s="99">
        <f ca="1">IF(Readings[[#This Row],[Epoch]]=OFFSET(Readings[[#This Row],[Epoch]],-1,0),0,1)</f>
        <v>0</v>
      </c>
    </row>
    <row r="635" spans="4:22" x14ac:dyDescent="0.2">
      <c r="D635" s="32">
        <v>45805.229166666664</v>
      </c>
      <c r="E635" s="33" t="s">
        <v>189</v>
      </c>
      <c r="F635" s="34">
        <v>60060.639999999999</v>
      </c>
      <c r="G635" s="34">
        <v>363837.326</v>
      </c>
      <c r="H635" s="34">
        <v>18.783000000000001</v>
      </c>
      <c r="I635" s="33" t="s">
        <v>85</v>
      </c>
      <c r="J635" s="33" t="s">
        <v>90</v>
      </c>
      <c r="K635" s="33">
        <v>17.3</v>
      </c>
      <c r="L635" s="33">
        <v>1019.4</v>
      </c>
      <c r="M635" s="33">
        <v>92</v>
      </c>
      <c r="N635" s="33"/>
      <c r="O635" s="93">
        <f>IFERROR(IF(Readings[[#This Row],[Obs. X]]="","-",Readings[[#This Row],[Obs. X]]-_xlfn.XLOOKUP(Readings[[#This Row],[Sensor ID]],Table_Baseline[Sensor ID],Table_Baseline[Easting '[m']],"-")),"-")</f>
        <v>0</v>
      </c>
      <c r="P635" s="93">
        <f>IFERROR(IF(Readings[[#This Row],[Obs. Y]]="","-",Readings[[#This Row],[Obs. Y]]-_xlfn.XLOOKUP(Readings[[#This Row],[Sensor ID]],Table_Baseline[Sensor ID],Table_Baseline[Northing '[m']],"-")),"-")</f>
        <v>4.0000000153668225E-3</v>
      </c>
      <c r="Q635" s="93">
        <f>IFERROR(IF(Readings[[#This Row],[Obs. Z]]="","-",Readings[[#This Row],[Obs. Z]]-_xlfn.XLOOKUP(Readings[[#This Row],[Sensor ID]],Table_Baseline[Sensor ID],Table_Baseline[Level '[m']],"-")),"-")</f>
        <v>-5.9999999999860165E-4</v>
      </c>
      <c r="R635" s="93">
        <f>IFERROR(IF(Readings[[#This Row],[Reference Angle]]="-","-",(Readings[[#This Row],[Diff E]]*COS(RADIANS(Readings[[#This Row],[Reference Angle]]))-Readings[[#This Row],[Diff N]]*SIN(RADIANS(Readings[[#This Row],[Reference Angle]])))),"-")</f>
        <v>0</v>
      </c>
      <c r="S635" s="93">
        <f>IFERROR(IF(Readings[[#This Row],[Reference Angle]]="-","-",(Readings[[#This Row],[Diff E]]*SIN(RADIANS(Readings[[#This Row],[Reference Angle]]))+Readings[[#This Row],[Diff N]]*COS(RADIANS(Readings[[#This Row],[Reference Angle]])))),"-")</f>
        <v>4.0000000153668225E-3</v>
      </c>
      <c r="T635" s="94">
        <f>IFERROR(VLOOKUP(Readings[[#This Row],[Sensor ID]],Table_Baseline[],COLUMNS(Table_Baseline[[#Headers],[Sensor ID]:[Reference Angle '[Deg']]]),FALSE),"-")</f>
        <v>0</v>
      </c>
      <c r="U635" s="95" t="str">
        <f>Readings[[#This Row],[Sensor ID]]&amp;"-"&amp;Readings[[#This Row],[Epoch]]</f>
        <v>250-RL-OP-11020-45805.2291666667</v>
      </c>
      <c r="V635" s="99">
        <f ca="1">IF(Readings[[#This Row],[Epoch]]=OFFSET(Readings[[#This Row],[Epoch]],-1,0),0,1)</f>
        <v>0</v>
      </c>
    </row>
    <row r="636" spans="4:22" x14ac:dyDescent="0.2">
      <c r="D636" s="32">
        <v>45805.229166666664</v>
      </c>
      <c r="E636" s="33" t="s">
        <v>192</v>
      </c>
      <c r="F636" s="34">
        <v>60063.75</v>
      </c>
      <c r="G636" s="34">
        <v>363837.92000000004</v>
      </c>
      <c r="H636" s="34">
        <v>18.808</v>
      </c>
      <c r="I636" s="33" t="s">
        <v>85</v>
      </c>
      <c r="J636" s="33" t="s">
        <v>90</v>
      </c>
      <c r="K636" s="33">
        <v>17.3</v>
      </c>
      <c r="L636" s="33">
        <v>1019.4</v>
      </c>
      <c r="M636" s="33">
        <v>92</v>
      </c>
      <c r="N636" s="33"/>
      <c r="O636" s="93">
        <f>IFERROR(IF(Readings[[#This Row],[Obs. X]]="","-",Readings[[#This Row],[Obs. X]]-_xlfn.XLOOKUP(Readings[[#This Row],[Sensor ID]],Table_Baseline[Sensor ID],Table_Baseline[Easting '[m']],"-")),"-")</f>
        <v>-9.9999999656574801E-4</v>
      </c>
      <c r="P636" s="93">
        <f>IFERROR(IF(Readings[[#This Row],[Obs. Y]]="","-",Readings[[#This Row],[Obs. Y]]-_xlfn.XLOOKUP(Readings[[#This Row],[Sensor ID]],Table_Baseline[Sensor ID],Table_Baseline[Northing '[m']],"-")),"-")</f>
        <v>2.0000000367872417E-3</v>
      </c>
      <c r="Q636" s="93">
        <f>IFERROR(IF(Readings[[#This Row],[Obs. Z]]="","-",Readings[[#This Row],[Obs. Z]]-_xlfn.XLOOKUP(Readings[[#This Row],[Sensor ID]],Table_Baseline[Sensor ID],Table_Baseline[Level '[m']],"-")),"-")</f>
        <v>-1.0000000000012221E-3</v>
      </c>
      <c r="R636" s="93">
        <f>IFERROR(IF(Readings[[#This Row],[Reference Angle]]="-","-",(Readings[[#This Row],[Diff E]]*COS(RADIANS(Readings[[#This Row],[Reference Angle]]))-Readings[[#This Row],[Diff N]]*SIN(RADIANS(Readings[[#This Row],[Reference Angle]])))),"-")</f>
        <v>-9.9999999656574801E-4</v>
      </c>
      <c r="S636" s="93">
        <f>IFERROR(IF(Readings[[#This Row],[Reference Angle]]="-","-",(Readings[[#This Row],[Diff E]]*SIN(RADIANS(Readings[[#This Row],[Reference Angle]]))+Readings[[#This Row],[Diff N]]*COS(RADIANS(Readings[[#This Row],[Reference Angle]])))),"-")</f>
        <v>2.0000000367872417E-3</v>
      </c>
      <c r="T636" s="94">
        <f>IFERROR(VLOOKUP(Readings[[#This Row],[Sensor ID]],Table_Baseline[],COLUMNS(Table_Baseline[[#Headers],[Sensor ID]:[Reference Angle '[Deg']]]),FALSE),"-")</f>
        <v>0</v>
      </c>
      <c r="U636" s="95" t="str">
        <f>Readings[[#This Row],[Sensor ID]]&amp;"-"&amp;Readings[[#This Row],[Epoch]]</f>
        <v>250-RL-OP-11021-45805.2291666667</v>
      </c>
      <c r="V636" s="99">
        <f ca="1">IF(Readings[[#This Row],[Epoch]]=OFFSET(Readings[[#This Row],[Epoch]],-1,0),0,1)</f>
        <v>0</v>
      </c>
    </row>
    <row r="637" spans="4:22" x14ac:dyDescent="0.2">
      <c r="D637" s="32">
        <v>45805.229166666664</v>
      </c>
      <c r="E637" s="33" t="s">
        <v>191</v>
      </c>
      <c r="F637" s="34">
        <v>60063.421000000002</v>
      </c>
      <c r="G637" s="34">
        <v>363836.63899999997</v>
      </c>
      <c r="H637" s="34">
        <v>18.794</v>
      </c>
      <c r="I637" s="33" t="s">
        <v>85</v>
      </c>
      <c r="J637" s="33" t="s">
        <v>90</v>
      </c>
      <c r="K637" s="33">
        <v>17.3</v>
      </c>
      <c r="L637" s="33">
        <v>1019.4</v>
      </c>
      <c r="M637" s="33">
        <v>92</v>
      </c>
      <c r="N637" s="33"/>
      <c r="O637" s="93">
        <f>IFERROR(IF(Readings[[#This Row],[Obs. X]]="","-",Readings[[#This Row],[Obs. X]]-_xlfn.XLOOKUP(Readings[[#This Row],[Sensor ID]],Table_Baseline[Sensor ID],Table_Baseline[Easting '[m']],"-")),"-")</f>
        <v>-9.9999999656574801E-4</v>
      </c>
      <c r="P637" s="93">
        <f>IFERROR(IF(Readings[[#This Row],[Obs. Y]]="","-",Readings[[#This Row],[Obs. Y]]-_xlfn.XLOOKUP(Readings[[#This Row],[Sensor ID]],Table_Baseline[Sensor ID],Table_Baseline[Northing '[m']],"-")),"-")</f>
        <v>2.9999999678693712E-3</v>
      </c>
      <c r="Q637" s="93">
        <f>IFERROR(IF(Readings[[#This Row],[Obs. Z]]="","-",Readings[[#This Row],[Obs. Z]]-_xlfn.XLOOKUP(Readings[[#This Row],[Sensor ID]],Table_Baseline[Sensor ID],Table_Baseline[Level '[m']],"-")),"-")</f>
        <v>-8.9999999999790248E-4</v>
      </c>
      <c r="R637" s="93">
        <f>IFERROR(IF(Readings[[#This Row],[Reference Angle]]="-","-",(Readings[[#This Row],[Diff E]]*COS(RADIANS(Readings[[#This Row],[Reference Angle]]))-Readings[[#This Row],[Diff N]]*SIN(RADIANS(Readings[[#This Row],[Reference Angle]])))),"-")</f>
        <v>-9.9999999656574801E-4</v>
      </c>
      <c r="S637" s="93">
        <f>IFERROR(IF(Readings[[#This Row],[Reference Angle]]="-","-",(Readings[[#This Row],[Diff E]]*SIN(RADIANS(Readings[[#This Row],[Reference Angle]]))+Readings[[#This Row],[Diff N]]*COS(RADIANS(Readings[[#This Row],[Reference Angle]])))),"-")</f>
        <v>2.9999999678693712E-3</v>
      </c>
      <c r="T637" s="94">
        <f>IFERROR(VLOOKUP(Readings[[#This Row],[Sensor ID]],Table_Baseline[],COLUMNS(Table_Baseline[[#Headers],[Sensor ID]:[Reference Angle '[Deg']]]),FALSE),"-")</f>
        <v>0</v>
      </c>
      <c r="U637" s="95" t="str">
        <f>Readings[[#This Row],[Sensor ID]]&amp;"-"&amp;Readings[[#This Row],[Epoch]]</f>
        <v>250-RL-OP-11022-45805.2291666667</v>
      </c>
      <c r="V637" s="99">
        <f ca="1">IF(Readings[[#This Row],[Epoch]]=OFFSET(Readings[[#This Row],[Epoch]],-1,0),0,1)</f>
        <v>0</v>
      </c>
    </row>
    <row r="638" spans="4:22" x14ac:dyDescent="0.2">
      <c r="D638" s="32">
        <v>45805.229166666664</v>
      </c>
      <c r="E638" s="33" t="s">
        <v>165</v>
      </c>
      <c r="F638" s="34">
        <v>60034.538999999997</v>
      </c>
      <c r="G638" s="34">
        <v>363843.38199999998</v>
      </c>
      <c r="H638" s="34">
        <v>19.331</v>
      </c>
      <c r="I638" s="33" t="s">
        <v>85</v>
      </c>
      <c r="J638" s="33" t="s">
        <v>90</v>
      </c>
      <c r="K638" s="33">
        <v>17.3</v>
      </c>
      <c r="L638" s="33">
        <v>1019.4</v>
      </c>
      <c r="M638" s="33">
        <v>92</v>
      </c>
      <c r="N638" s="33"/>
      <c r="O638" s="93" t="str">
        <f>IFERROR(IF(Readings[[#This Row],[Obs. X]]="","-",Readings[[#This Row],[Obs. X]]-_xlfn.XLOOKUP(Readings[[#This Row],[Sensor ID]],Table_Baseline[Sensor ID],Table_Baseline[Easting '[m']],"-")),"-")</f>
        <v>-</v>
      </c>
      <c r="P638" s="93" t="str">
        <f>IFERROR(IF(Readings[[#This Row],[Obs. Y]]="","-",Readings[[#This Row],[Obs. Y]]-_xlfn.XLOOKUP(Readings[[#This Row],[Sensor ID]],Table_Baseline[Sensor ID],Table_Baseline[Northing '[m']],"-")),"-")</f>
        <v>-</v>
      </c>
      <c r="Q638" s="93" t="str">
        <f>IFERROR(IF(Readings[[#This Row],[Obs. Z]]="","-",Readings[[#This Row],[Obs. Z]]-_xlfn.XLOOKUP(Readings[[#This Row],[Sensor ID]],Table_Baseline[Sensor ID],Table_Baseline[Level '[m']],"-")),"-")</f>
        <v>-</v>
      </c>
      <c r="R638" s="93" t="str">
        <f>IFERROR(IF(Readings[[#This Row],[Reference Angle]]="-","-",(Readings[[#This Row],[Diff E]]*COS(RADIANS(Readings[[#This Row],[Reference Angle]]))-Readings[[#This Row],[Diff N]]*SIN(RADIANS(Readings[[#This Row],[Reference Angle]])))),"-")</f>
        <v>-</v>
      </c>
      <c r="S638" s="93" t="str">
        <f>IFERROR(IF(Readings[[#This Row],[Reference Angle]]="-","-",(Readings[[#This Row],[Diff E]]*SIN(RADIANS(Readings[[#This Row],[Reference Angle]]))+Readings[[#This Row],[Diff N]]*COS(RADIANS(Readings[[#This Row],[Reference Angle]])))),"-")</f>
        <v>-</v>
      </c>
      <c r="T638" s="94" t="str">
        <f>IFERROR(VLOOKUP(Readings[[#This Row],[Sensor ID]],Table_Baseline[],COLUMNS(Table_Baseline[[#Headers],[Sensor ID]:[Reference Angle '[Deg']]]),FALSE),"-")</f>
        <v>-</v>
      </c>
      <c r="U638" s="95" t="str">
        <f>Readings[[#This Row],[Sensor ID]]&amp;"-"&amp;Readings[[#This Row],[Epoch]]</f>
        <v>250-ST-OP-500-45805.2291666667</v>
      </c>
      <c r="V638" s="99">
        <f ca="1">IF(Readings[[#This Row],[Epoch]]=OFFSET(Readings[[#This Row],[Epoch]],-1,0),0,1)</f>
        <v>0</v>
      </c>
    </row>
    <row r="639" spans="4:22" x14ac:dyDescent="0.2">
      <c r="D639" s="32">
        <v>45805.229166666664</v>
      </c>
      <c r="E639" s="33" t="s">
        <v>166</v>
      </c>
      <c r="F639" s="34">
        <v>60040.286999999997</v>
      </c>
      <c r="G639" s="34">
        <v>363841.73100000003</v>
      </c>
      <c r="H639" s="34">
        <v>19.321999999999999</v>
      </c>
      <c r="I639" s="33" t="s">
        <v>85</v>
      </c>
      <c r="J639" s="33" t="s">
        <v>90</v>
      </c>
      <c r="K639" s="33">
        <v>17.3</v>
      </c>
      <c r="L639" s="33">
        <v>1019.4</v>
      </c>
      <c r="M639" s="33">
        <v>92</v>
      </c>
      <c r="N639" s="33"/>
      <c r="O639" s="93" t="str">
        <f>IFERROR(IF(Readings[[#This Row],[Obs. X]]="","-",Readings[[#This Row],[Obs. X]]-_xlfn.XLOOKUP(Readings[[#This Row],[Sensor ID]],Table_Baseline[Sensor ID],Table_Baseline[Easting '[m']],"-")),"-")</f>
        <v>-</v>
      </c>
      <c r="P639" s="93" t="str">
        <f>IFERROR(IF(Readings[[#This Row],[Obs. Y]]="","-",Readings[[#This Row],[Obs. Y]]-_xlfn.XLOOKUP(Readings[[#This Row],[Sensor ID]],Table_Baseline[Sensor ID],Table_Baseline[Northing '[m']],"-")),"-")</f>
        <v>-</v>
      </c>
      <c r="Q639" s="93" t="str">
        <f>IFERROR(IF(Readings[[#This Row],[Obs. Z]]="","-",Readings[[#This Row],[Obs. Z]]-_xlfn.XLOOKUP(Readings[[#This Row],[Sensor ID]],Table_Baseline[Sensor ID],Table_Baseline[Level '[m']],"-")),"-")</f>
        <v>-</v>
      </c>
      <c r="R639" s="93" t="str">
        <f>IFERROR(IF(Readings[[#This Row],[Reference Angle]]="-","-",(Readings[[#This Row],[Diff E]]*COS(RADIANS(Readings[[#This Row],[Reference Angle]]))-Readings[[#This Row],[Diff N]]*SIN(RADIANS(Readings[[#This Row],[Reference Angle]])))),"-")</f>
        <v>-</v>
      </c>
      <c r="S639" s="93" t="str">
        <f>IFERROR(IF(Readings[[#This Row],[Reference Angle]]="-","-",(Readings[[#This Row],[Diff E]]*SIN(RADIANS(Readings[[#This Row],[Reference Angle]]))+Readings[[#This Row],[Diff N]]*COS(RADIANS(Readings[[#This Row],[Reference Angle]])))),"-")</f>
        <v>-</v>
      </c>
      <c r="T639" s="94" t="str">
        <f>IFERROR(VLOOKUP(Readings[[#This Row],[Sensor ID]],Table_Baseline[],COLUMNS(Table_Baseline[[#Headers],[Sensor ID]:[Reference Angle '[Deg']]]),FALSE),"-")</f>
        <v>-</v>
      </c>
      <c r="U639" s="95" t="str">
        <f>Readings[[#This Row],[Sensor ID]]&amp;"-"&amp;Readings[[#This Row],[Epoch]]</f>
        <v>250-ST-OP-501-45805.2291666667</v>
      </c>
      <c r="V639" s="99">
        <f ca="1">IF(Readings[[#This Row],[Epoch]]=OFFSET(Readings[[#This Row],[Epoch]],-1,0),0,1)</f>
        <v>0</v>
      </c>
    </row>
    <row r="640" spans="4:22" x14ac:dyDescent="0.2">
      <c r="D640" s="32">
        <v>45805.229166666664</v>
      </c>
      <c r="E640" s="33" t="s">
        <v>167</v>
      </c>
      <c r="F640" s="34">
        <v>60045.921000000002</v>
      </c>
      <c r="G640" s="34">
        <v>363840.10100000002</v>
      </c>
      <c r="H640" s="34">
        <v>19.334</v>
      </c>
      <c r="I640" s="33" t="s">
        <v>85</v>
      </c>
      <c r="J640" s="33" t="s">
        <v>90</v>
      </c>
      <c r="K640" s="33">
        <v>17.3</v>
      </c>
      <c r="L640" s="33">
        <v>1019.4</v>
      </c>
      <c r="M640" s="33">
        <v>92</v>
      </c>
      <c r="N640" s="33"/>
      <c r="O640" s="93" t="str">
        <f>IFERROR(IF(Readings[[#This Row],[Obs. X]]="","-",Readings[[#This Row],[Obs. X]]-_xlfn.XLOOKUP(Readings[[#This Row],[Sensor ID]],Table_Baseline[Sensor ID],Table_Baseline[Easting '[m']],"-")),"-")</f>
        <v>-</v>
      </c>
      <c r="P640" s="93" t="str">
        <f>IFERROR(IF(Readings[[#This Row],[Obs. Y]]="","-",Readings[[#This Row],[Obs. Y]]-_xlfn.XLOOKUP(Readings[[#This Row],[Sensor ID]],Table_Baseline[Sensor ID],Table_Baseline[Northing '[m']],"-")),"-")</f>
        <v>-</v>
      </c>
      <c r="Q640" s="93" t="str">
        <f>IFERROR(IF(Readings[[#This Row],[Obs. Z]]="","-",Readings[[#This Row],[Obs. Z]]-_xlfn.XLOOKUP(Readings[[#This Row],[Sensor ID]],Table_Baseline[Sensor ID],Table_Baseline[Level '[m']],"-")),"-")</f>
        <v>-</v>
      </c>
      <c r="R640" s="93" t="str">
        <f>IFERROR(IF(Readings[[#This Row],[Reference Angle]]="-","-",(Readings[[#This Row],[Diff E]]*COS(RADIANS(Readings[[#This Row],[Reference Angle]]))-Readings[[#This Row],[Diff N]]*SIN(RADIANS(Readings[[#This Row],[Reference Angle]])))),"-")</f>
        <v>-</v>
      </c>
      <c r="S640" s="93" t="str">
        <f>IFERROR(IF(Readings[[#This Row],[Reference Angle]]="-","-",(Readings[[#This Row],[Diff E]]*SIN(RADIANS(Readings[[#This Row],[Reference Angle]]))+Readings[[#This Row],[Diff N]]*COS(RADIANS(Readings[[#This Row],[Reference Angle]])))),"-")</f>
        <v>-</v>
      </c>
      <c r="T640" s="94" t="str">
        <f>IFERROR(VLOOKUP(Readings[[#This Row],[Sensor ID]],Table_Baseline[],COLUMNS(Table_Baseline[[#Headers],[Sensor ID]:[Reference Angle '[Deg']]]),FALSE),"-")</f>
        <v>-</v>
      </c>
      <c r="U640" s="95" t="str">
        <f>Readings[[#This Row],[Sensor ID]]&amp;"-"&amp;Readings[[#This Row],[Epoch]]</f>
        <v>250-ST-OP-502-45805.2291666667</v>
      </c>
      <c r="V640" s="99">
        <f ca="1">IF(Readings[[#This Row],[Epoch]]=OFFSET(Readings[[#This Row],[Epoch]],-1,0),0,1)</f>
        <v>0</v>
      </c>
    </row>
    <row r="641" spans="4:22" x14ac:dyDescent="0.2">
      <c r="D641" s="32">
        <v>45805.229166666664</v>
      </c>
      <c r="E641" s="33" t="s">
        <v>168</v>
      </c>
      <c r="F641" s="34">
        <v>60049.767</v>
      </c>
      <c r="G641" s="34">
        <v>363838.99400000001</v>
      </c>
      <c r="H641" s="34">
        <v>19.344999999999999</v>
      </c>
      <c r="I641" s="33" t="s">
        <v>85</v>
      </c>
      <c r="J641" s="33" t="s">
        <v>90</v>
      </c>
      <c r="K641" s="33">
        <v>17.3</v>
      </c>
      <c r="L641" s="33">
        <v>1019.4</v>
      </c>
      <c r="M641" s="33">
        <v>92</v>
      </c>
      <c r="N641" s="33"/>
      <c r="O641" s="93" t="str">
        <f>IFERROR(IF(Readings[[#This Row],[Obs. X]]="","-",Readings[[#This Row],[Obs. X]]-_xlfn.XLOOKUP(Readings[[#This Row],[Sensor ID]],Table_Baseline[Sensor ID],Table_Baseline[Easting '[m']],"-")),"-")</f>
        <v>-</v>
      </c>
      <c r="P641" s="93" t="str">
        <f>IFERROR(IF(Readings[[#This Row],[Obs. Y]]="","-",Readings[[#This Row],[Obs. Y]]-_xlfn.XLOOKUP(Readings[[#This Row],[Sensor ID]],Table_Baseline[Sensor ID],Table_Baseline[Northing '[m']],"-")),"-")</f>
        <v>-</v>
      </c>
      <c r="Q641" s="93" t="str">
        <f>IFERROR(IF(Readings[[#This Row],[Obs. Z]]="","-",Readings[[#This Row],[Obs. Z]]-_xlfn.XLOOKUP(Readings[[#This Row],[Sensor ID]],Table_Baseline[Sensor ID],Table_Baseline[Level '[m']],"-")),"-")</f>
        <v>-</v>
      </c>
      <c r="R641" s="93" t="str">
        <f>IFERROR(IF(Readings[[#This Row],[Reference Angle]]="-","-",(Readings[[#This Row],[Diff E]]*COS(RADIANS(Readings[[#This Row],[Reference Angle]]))-Readings[[#This Row],[Diff N]]*SIN(RADIANS(Readings[[#This Row],[Reference Angle]])))),"-")</f>
        <v>-</v>
      </c>
      <c r="S641" s="93" t="str">
        <f>IFERROR(IF(Readings[[#This Row],[Reference Angle]]="-","-",(Readings[[#This Row],[Diff E]]*SIN(RADIANS(Readings[[#This Row],[Reference Angle]]))+Readings[[#This Row],[Diff N]]*COS(RADIANS(Readings[[#This Row],[Reference Angle]])))),"-")</f>
        <v>-</v>
      </c>
      <c r="T641" s="94" t="str">
        <f>IFERROR(VLOOKUP(Readings[[#This Row],[Sensor ID]],Table_Baseline[],COLUMNS(Table_Baseline[[#Headers],[Sensor ID]:[Reference Angle '[Deg']]]),FALSE),"-")</f>
        <v>-</v>
      </c>
      <c r="U641" s="95" t="str">
        <f>Readings[[#This Row],[Sensor ID]]&amp;"-"&amp;Readings[[#This Row],[Epoch]]</f>
        <v>250-ST-OP-503-45805.2291666667</v>
      </c>
      <c r="V641" s="99">
        <f ca="1">IF(Readings[[#This Row],[Epoch]]=OFFSET(Readings[[#This Row],[Epoch]],-1,0),0,1)</f>
        <v>0</v>
      </c>
    </row>
    <row r="642" spans="4:22" x14ac:dyDescent="0.2">
      <c r="D642" s="32">
        <v>45805.229166666664</v>
      </c>
      <c r="E642" s="33" t="s">
        <v>169</v>
      </c>
      <c r="F642" s="34">
        <v>60053.608</v>
      </c>
      <c r="G642" s="34">
        <v>363837.88300000003</v>
      </c>
      <c r="H642" s="34">
        <v>19.356999999999999</v>
      </c>
      <c r="I642" s="33" t="s">
        <v>85</v>
      </c>
      <c r="J642" s="33" t="s">
        <v>90</v>
      </c>
      <c r="K642" s="33">
        <v>17.3</v>
      </c>
      <c r="L642" s="33">
        <v>1019.4</v>
      </c>
      <c r="M642" s="33">
        <v>92</v>
      </c>
      <c r="N642" s="33"/>
      <c r="O642" s="93" t="str">
        <f>IFERROR(IF(Readings[[#This Row],[Obs. X]]="","-",Readings[[#This Row],[Obs. X]]-_xlfn.XLOOKUP(Readings[[#This Row],[Sensor ID]],Table_Baseline[Sensor ID],Table_Baseline[Easting '[m']],"-")),"-")</f>
        <v>-</v>
      </c>
      <c r="P642" s="93" t="str">
        <f>IFERROR(IF(Readings[[#This Row],[Obs. Y]]="","-",Readings[[#This Row],[Obs. Y]]-_xlfn.XLOOKUP(Readings[[#This Row],[Sensor ID]],Table_Baseline[Sensor ID],Table_Baseline[Northing '[m']],"-")),"-")</f>
        <v>-</v>
      </c>
      <c r="Q642" s="93" t="str">
        <f>IFERROR(IF(Readings[[#This Row],[Obs. Z]]="","-",Readings[[#This Row],[Obs. Z]]-_xlfn.XLOOKUP(Readings[[#This Row],[Sensor ID]],Table_Baseline[Sensor ID],Table_Baseline[Level '[m']],"-")),"-")</f>
        <v>-</v>
      </c>
      <c r="R642" s="93" t="str">
        <f>IFERROR(IF(Readings[[#This Row],[Reference Angle]]="-","-",(Readings[[#This Row],[Diff E]]*COS(RADIANS(Readings[[#This Row],[Reference Angle]]))-Readings[[#This Row],[Diff N]]*SIN(RADIANS(Readings[[#This Row],[Reference Angle]])))),"-")</f>
        <v>-</v>
      </c>
      <c r="S642" s="93" t="str">
        <f>IFERROR(IF(Readings[[#This Row],[Reference Angle]]="-","-",(Readings[[#This Row],[Diff E]]*SIN(RADIANS(Readings[[#This Row],[Reference Angle]]))+Readings[[#This Row],[Diff N]]*COS(RADIANS(Readings[[#This Row],[Reference Angle]])))),"-")</f>
        <v>-</v>
      </c>
      <c r="T642" s="94" t="str">
        <f>IFERROR(VLOOKUP(Readings[[#This Row],[Sensor ID]],Table_Baseline[],COLUMNS(Table_Baseline[[#Headers],[Sensor ID]:[Reference Angle '[Deg']]]),FALSE),"-")</f>
        <v>-</v>
      </c>
      <c r="U642" s="95" t="str">
        <f>Readings[[#This Row],[Sensor ID]]&amp;"-"&amp;Readings[[#This Row],[Epoch]]</f>
        <v>250-ST-OP-504-45805.2291666667</v>
      </c>
      <c r="V642" s="99">
        <f ca="1">IF(Readings[[#This Row],[Epoch]]=OFFSET(Readings[[#This Row],[Epoch]],-1,0),0,1)</f>
        <v>0</v>
      </c>
    </row>
    <row r="643" spans="4:22" x14ac:dyDescent="0.2">
      <c r="D643" s="204">
        <v>45805.229166666664</v>
      </c>
      <c r="E643" s="151" t="s">
        <v>170</v>
      </c>
      <c r="F643" s="152">
        <v>60060.065000000002</v>
      </c>
      <c r="G643" s="152">
        <v>363836.02399999998</v>
      </c>
      <c r="H643" s="152">
        <v>19.356999999999999</v>
      </c>
      <c r="I643" s="151" t="s">
        <v>85</v>
      </c>
      <c r="J643" s="151" t="s">
        <v>90</v>
      </c>
      <c r="K643" s="151">
        <v>17.3</v>
      </c>
      <c r="L643" s="151">
        <v>1019.4</v>
      </c>
      <c r="M643" s="151">
        <v>92</v>
      </c>
      <c r="N643" s="151"/>
      <c r="O643" s="96" t="str">
        <f>IFERROR(IF(Readings[[#This Row],[Obs. X]]="","-",Readings[[#This Row],[Obs. X]]-_xlfn.XLOOKUP(Readings[[#This Row],[Sensor ID]],Table_Baseline[Sensor ID],Table_Baseline[Easting '[m']],"-")),"-")</f>
        <v>-</v>
      </c>
      <c r="P643" s="96" t="str">
        <f>IFERROR(IF(Readings[[#This Row],[Obs. Y]]="","-",Readings[[#This Row],[Obs. Y]]-_xlfn.XLOOKUP(Readings[[#This Row],[Sensor ID]],Table_Baseline[Sensor ID],Table_Baseline[Northing '[m']],"-")),"-")</f>
        <v>-</v>
      </c>
      <c r="Q643" s="96" t="str">
        <f>IFERROR(IF(Readings[[#This Row],[Obs. Z]]="","-",Readings[[#This Row],[Obs. Z]]-_xlfn.XLOOKUP(Readings[[#This Row],[Sensor ID]],Table_Baseline[Sensor ID],Table_Baseline[Level '[m']],"-")),"-")</f>
        <v>-</v>
      </c>
      <c r="R643" s="96" t="str">
        <f>IFERROR(IF(Readings[[#This Row],[Reference Angle]]="-","-",(Readings[[#This Row],[Diff E]]*COS(RADIANS(Readings[[#This Row],[Reference Angle]]))-Readings[[#This Row],[Diff N]]*SIN(RADIANS(Readings[[#This Row],[Reference Angle]])))),"-")</f>
        <v>-</v>
      </c>
      <c r="S643" s="96" t="str">
        <f>IFERROR(IF(Readings[[#This Row],[Reference Angle]]="-","-",(Readings[[#This Row],[Diff E]]*SIN(RADIANS(Readings[[#This Row],[Reference Angle]]))+Readings[[#This Row],[Diff N]]*COS(RADIANS(Readings[[#This Row],[Reference Angle]])))),"-")</f>
        <v>-</v>
      </c>
      <c r="T643" s="97" t="str">
        <f>IFERROR(VLOOKUP(Readings[[#This Row],[Sensor ID]],Table_Baseline[],COLUMNS(Table_Baseline[[#Headers],[Sensor ID]:[Reference Angle '[Deg']]]),FALSE),"-")</f>
        <v>-</v>
      </c>
      <c r="U643" s="98" t="str">
        <f>Readings[[#This Row],[Sensor ID]]&amp;"-"&amp;Readings[[#This Row],[Epoch]]</f>
        <v>250-ST-OP-505-45805.2291666667</v>
      </c>
      <c r="V643" s="100">
        <f ca="1">IF(Readings[[#This Row],[Epoch]]=OFFSET(Readings[[#This Row],[Epoch]],-1,0),0,1)</f>
        <v>0</v>
      </c>
    </row>
    <row r="644" spans="4:22" x14ac:dyDescent="0.2">
      <c r="D644" s="32">
        <v>45807.263888888891</v>
      </c>
      <c r="E644" s="33" t="s">
        <v>172</v>
      </c>
      <c r="F644" s="34">
        <v>60035.339</v>
      </c>
      <c r="G644" s="34">
        <v>363845.739</v>
      </c>
      <c r="H644" s="34">
        <v>18.782</v>
      </c>
      <c r="I644" s="33" t="s">
        <v>85</v>
      </c>
      <c r="J644" s="33" t="s">
        <v>90</v>
      </c>
      <c r="K644" s="33">
        <v>15.3</v>
      </c>
      <c r="L644" s="33">
        <v>1015.6</v>
      </c>
      <c r="M644" s="33">
        <v>51</v>
      </c>
      <c r="N644" s="33"/>
      <c r="O644" s="93">
        <f>IFERROR(IF(Readings[[#This Row],[Obs. X]]="","-",Readings[[#This Row],[Obs. X]]-_xlfn.XLOOKUP(Readings[[#This Row],[Sensor ID]],Table_Baseline[Sensor ID],Table_Baseline[Easting '[m']],"-")),"-")</f>
        <v>-9.9999999656574801E-4</v>
      </c>
      <c r="P644" s="93">
        <f>IFERROR(IF(Readings[[#This Row],[Obs. Y]]="","-",Readings[[#This Row],[Obs. Y]]-_xlfn.XLOOKUP(Readings[[#This Row],[Sensor ID]],Table_Baseline[Sensor ID],Table_Baseline[Northing '[m']],"-")),"-")</f>
        <v>0</v>
      </c>
      <c r="Q644" s="93">
        <f>IFERROR(IF(Readings[[#This Row],[Obs. Z]]="","-",Readings[[#This Row],[Obs. Z]]-_xlfn.XLOOKUP(Readings[[#This Row],[Sensor ID]],Table_Baseline[Sensor ID],Table_Baseline[Level '[m']],"-")),"-")</f>
        <v>0</v>
      </c>
      <c r="R644" s="93">
        <f>IFERROR(IF(Readings[[#This Row],[Reference Angle]]="-","-",(Readings[[#This Row],[Diff E]]*COS(RADIANS(Readings[[#This Row],[Reference Angle]]))-Readings[[#This Row],[Diff N]]*SIN(RADIANS(Readings[[#This Row],[Reference Angle]])))),"-")</f>
        <v>-9.9999999656574801E-4</v>
      </c>
      <c r="S644" s="93">
        <f>IFERROR(IF(Readings[[#This Row],[Reference Angle]]="-","-",(Readings[[#This Row],[Diff E]]*SIN(RADIANS(Readings[[#This Row],[Reference Angle]]))+Readings[[#This Row],[Diff N]]*COS(RADIANS(Readings[[#This Row],[Reference Angle]])))),"-")</f>
        <v>0</v>
      </c>
      <c r="T644" s="94">
        <f>IFERROR(VLOOKUP(Readings[[#This Row],[Sensor ID]],Table_Baseline[],COLUMNS(Table_Baseline[[#Headers],[Sensor ID]:[Reference Angle '[Deg']]]),FALSE),"-")</f>
        <v>0</v>
      </c>
      <c r="U644" s="95" t="str">
        <f>Readings[[#This Row],[Sensor ID]]&amp;"-"&amp;Readings[[#This Row],[Epoch]]</f>
        <v>250-RL-OP-11001-45807.2638888889</v>
      </c>
      <c r="V644" s="99">
        <f ca="1">IF(Readings[[#This Row],[Epoch]]=OFFSET(Readings[[#This Row],[Epoch]],-1,0),0,1)</f>
        <v>1</v>
      </c>
    </row>
    <row r="645" spans="4:22" x14ac:dyDescent="0.2">
      <c r="D645" s="32">
        <v>45807.263888888891</v>
      </c>
      <c r="E645" s="33" t="s">
        <v>171</v>
      </c>
      <c r="F645" s="34">
        <v>60034.959000000003</v>
      </c>
      <c r="G645" s="34">
        <v>363844.47100000002</v>
      </c>
      <c r="H645" s="34">
        <v>18.777999999999999</v>
      </c>
      <c r="I645" s="33" t="s">
        <v>85</v>
      </c>
      <c r="J645" s="33" t="s">
        <v>90</v>
      </c>
      <c r="K645" s="33">
        <v>15.3</v>
      </c>
      <c r="L645" s="33">
        <v>1015.6</v>
      </c>
      <c r="M645" s="33">
        <v>51</v>
      </c>
      <c r="N645" s="33"/>
      <c r="O645" s="93">
        <f>IFERROR(IF(Readings[[#This Row],[Obs. X]]="","-",Readings[[#This Row],[Obs. X]]-_xlfn.XLOOKUP(Readings[[#This Row],[Sensor ID]],Table_Baseline[Sensor ID],Table_Baseline[Easting '[m']],"-")),"-")</f>
        <v>0</v>
      </c>
      <c r="P645" s="93">
        <f>IFERROR(IF(Readings[[#This Row],[Obs. Y]]="","-",Readings[[#This Row],[Obs. Y]]-_xlfn.XLOOKUP(Readings[[#This Row],[Sensor ID]],Table_Baseline[Sensor ID],Table_Baseline[Northing '[m']],"-")),"-")</f>
        <v>0</v>
      </c>
      <c r="Q645" s="93">
        <f>IFERROR(IF(Readings[[#This Row],[Obs. Z]]="","-",Readings[[#This Row],[Obs. Z]]-_xlfn.XLOOKUP(Readings[[#This Row],[Sensor ID]],Table_Baseline[Sensor ID],Table_Baseline[Level '[m']],"-")),"-")</f>
        <v>-9.9999999999766942E-5</v>
      </c>
      <c r="R645" s="93">
        <f>IFERROR(IF(Readings[[#This Row],[Reference Angle]]="-","-",(Readings[[#This Row],[Diff E]]*COS(RADIANS(Readings[[#This Row],[Reference Angle]]))-Readings[[#This Row],[Diff N]]*SIN(RADIANS(Readings[[#This Row],[Reference Angle]])))),"-")</f>
        <v>0</v>
      </c>
      <c r="S645" s="93">
        <f>IFERROR(IF(Readings[[#This Row],[Reference Angle]]="-","-",(Readings[[#This Row],[Diff E]]*SIN(RADIANS(Readings[[#This Row],[Reference Angle]]))+Readings[[#This Row],[Diff N]]*COS(RADIANS(Readings[[#This Row],[Reference Angle]])))),"-")</f>
        <v>0</v>
      </c>
      <c r="T645" s="94">
        <f>IFERROR(VLOOKUP(Readings[[#This Row],[Sensor ID]],Table_Baseline[],COLUMNS(Table_Baseline[[#Headers],[Sensor ID]:[Reference Angle '[Deg']]]),FALSE),"-")</f>
        <v>0</v>
      </c>
      <c r="U645" s="95" t="str">
        <f>Readings[[#This Row],[Sensor ID]]&amp;"-"&amp;Readings[[#This Row],[Epoch]]</f>
        <v>250-RL-OP-11002-45807.2638888889</v>
      </c>
      <c r="V645" s="99">
        <f ca="1">IF(Readings[[#This Row],[Epoch]]=OFFSET(Readings[[#This Row],[Epoch]],-1,0),0,1)</f>
        <v>0</v>
      </c>
    </row>
    <row r="646" spans="4:22" x14ac:dyDescent="0.2">
      <c r="D646" s="32">
        <v>45807.263888888891</v>
      </c>
      <c r="E646" s="33" t="s">
        <v>174</v>
      </c>
      <c r="F646" s="34">
        <v>60038.116999999998</v>
      </c>
      <c r="G646" s="34">
        <v>363844.94500000001</v>
      </c>
      <c r="H646" s="34">
        <v>18.779</v>
      </c>
      <c r="I646" s="33" t="s">
        <v>85</v>
      </c>
      <c r="J646" s="33" t="s">
        <v>90</v>
      </c>
      <c r="K646" s="33">
        <v>15.3</v>
      </c>
      <c r="L646" s="33">
        <v>1015.6</v>
      </c>
      <c r="M646" s="33">
        <v>51</v>
      </c>
      <c r="N646" s="33"/>
      <c r="O646" s="93">
        <f>IFERROR(IF(Readings[[#This Row],[Obs. X]]="","-",Readings[[#This Row],[Obs. X]]-_xlfn.XLOOKUP(Readings[[#This Row],[Sensor ID]],Table_Baseline[Sensor ID],Table_Baseline[Easting '[m']],"-")),"-")</f>
        <v>-1.0000000038417056E-3</v>
      </c>
      <c r="P646" s="93">
        <f>IFERROR(IF(Readings[[#This Row],[Obs. Y]]="","-",Readings[[#This Row],[Obs. Y]]-_xlfn.XLOOKUP(Readings[[#This Row],[Sensor ID]],Table_Baseline[Sensor ID],Table_Baseline[Northing '[m']],"-")),"-")</f>
        <v>0</v>
      </c>
      <c r="Q646" s="93">
        <f>IFERROR(IF(Readings[[#This Row],[Obs. Z]]="","-",Readings[[#This Row],[Obs. Z]]-_xlfn.XLOOKUP(Readings[[#This Row],[Sensor ID]],Table_Baseline[Sensor ID],Table_Baseline[Level '[m']],"-")),"-")</f>
        <v>1.9999999999953388E-4</v>
      </c>
      <c r="R646" s="93">
        <f>IFERROR(IF(Readings[[#This Row],[Reference Angle]]="-","-",(Readings[[#This Row],[Diff E]]*COS(RADIANS(Readings[[#This Row],[Reference Angle]]))-Readings[[#This Row],[Diff N]]*SIN(RADIANS(Readings[[#This Row],[Reference Angle]])))),"-")</f>
        <v>-1.0000000038417056E-3</v>
      </c>
      <c r="S646" s="93">
        <f>IFERROR(IF(Readings[[#This Row],[Reference Angle]]="-","-",(Readings[[#This Row],[Diff E]]*SIN(RADIANS(Readings[[#This Row],[Reference Angle]]))+Readings[[#This Row],[Diff N]]*COS(RADIANS(Readings[[#This Row],[Reference Angle]])))),"-")</f>
        <v>0</v>
      </c>
      <c r="T646" s="94">
        <f>IFERROR(VLOOKUP(Readings[[#This Row],[Sensor ID]],Table_Baseline[],COLUMNS(Table_Baseline[[#Headers],[Sensor ID]:[Reference Angle '[Deg']]]),FALSE),"-")</f>
        <v>0</v>
      </c>
      <c r="U646" s="95" t="str">
        <f>Readings[[#This Row],[Sensor ID]]&amp;"-"&amp;Readings[[#This Row],[Epoch]]</f>
        <v>250-RL-OP-11003-45807.2638888889</v>
      </c>
      <c r="V646" s="99">
        <f ca="1">IF(Readings[[#This Row],[Epoch]]=OFFSET(Readings[[#This Row],[Epoch]],-1,0),0,1)</f>
        <v>0</v>
      </c>
    </row>
    <row r="647" spans="4:22" x14ac:dyDescent="0.2">
      <c r="D647" s="32">
        <v>45807.263888888891</v>
      </c>
      <c r="E647" s="33" t="s">
        <v>173</v>
      </c>
      <c r="F647" s="34">
        <v>60037.803999999996</v>
      </c>
      <c r="G647" s="34">
        <v>363843.658</v>
      </c>
      <c r="H647" s="34">
        <v>18.779</v>
      </c>
      <c r="I647" s="33" t="s">
        <v>85</v>
      </c>
      <c r="J647" s="33" t="s">
        <v>90</v>
      </c>
      <c r="K647" s="33">
        <v>15.3</v>
      </c>
      <c r="L647" s="33">
        <v>1015.6</v>
      </c>
      <c r="M647" s="33">
        <v>51</v>
      </c>
      <c r="N647" s="33"/>
      <c r="O647" s="93">
        <f>IFERROR(IF(Readings[[#This Row],[Obs. X]]="","-",Readings[[#This Row],[Obs. X]]-_xlfn.XLOOKUP(Readings[[#This Row],[Sensor ID]],Table_Baseline[Sensor ID],Table_Baseline[Easting '[m']],"-")),"-")</f>
        <v>-1.0000000038417056E-3</v>
      </c>
      <c r="P647" s="93">
        <f>IFERROR(IF(Readings[[#This Row],[Obs. Y]]="","-",Readings[[#This Row],[Obs. Y]]-_xlfn.XLOOKUP(Readings[[#This Row],[Sensor ID]],Table_Baseline[Sensor ID],Table_Baseline[Northing '[m']],"-")),"-")</f>
        <v>9.9999998928979039E-4</v>
      </c>
      <c r="Q647" s="93">
        <f>IFERROR(IF(Readings[[#This Row],[Obs. Z]]="","-",Readings[[#This Row],[Obs. Z]]-_xlfn.XLOOKUP(Readings[[#This Row],[Sensor ID]],Table_Baseline[Sensor ID],Table_Baseline[Level '[m']],"-")),"-")</f>
        <v>4.9999999999883471E-4</v>
      </c>
      <c r="R647" s="93">
        <f>IFERROR(IF(Readings[[#This Row],[Reference Angle]]="-","-",(Readings[[#This Row],[Diff E]]*COS(RADIANS(Readings[[#This Row],[Reference Angle]]))-Readings[[#This Row],[Diff N]]*SIN(RADIANS(Readings[[#This Row],[Reference Angle]])))),"-")</f>
        <v>-1.0000000038417056E-3</v>
      </c>
      <c r="S647" s="93">
        <f>IFERROR(IF(Readings[[#This Row],[Reference Angle]]="-","-",(Readings[[#This Row],[Diff E]]*SIN(RADIANS(Readings[[#This Row],[Reference Angle]]))+Readings[[#This Row],[Diff N]]*COS(RADIANS(Readings[[#This Row],[Reference Angle]])))),"-")</f>
        <v>9.9999998928979039E-4</v>
      </c>
      <c r="T647" s="94">
        <f>IFERROR(VLOOKUP(Readings[[#This Row],[Sensor ID]],Table_Baseline[],COLUMNS(Table_Baseline[[#Headers],[Sensor ID]:[Reference Angle '[Deg']]]),FALSE),"-")</f>
        <v>0</v>
      </c>
      <c r="U647" s="95" t="str">
        <f>Readings[[#This Row],[Sensor ID]]&amp;"-"&amp;Readings[[#This Row],[Epoch]]</f>
        <v>250-RL-OP-11004-45807.2638888889</v>
      </c>
      <c r="V647" s="99">
        <f ca="1">IF(Readings[[#This Row],[Epoch]]=OFFSET(Readings[[#This Row],[Epoch]],-1,0),0,1)</f>
        <v>0</v>
      </c>
    </row>
    <row r="648" spans="4:22" x14ac:dyDescent="0.2">
      <c r="D648" s="32">
        <v>45807.263888888891</v>
      </c>
      <c r="E648" s="33" t="s">
        <v>176</v>
      </c>
      <c r="F648" s="34">
        <v>60040.968000000001</v>
      </c>
      <c r="G648" s="34">
        <v>363844.11800000002</v>
      </c>
      <c r="H648" s="34">
        <v>18.779</v>
      </c>
      <c r="I648" s="33" t="s">
        <v>85</v>
      </c>
      <c r="J648" s="33" t="s">
        <v>90</v>
      </c>
      <c r="K648" s="33">
        <v>15.3</v>
      </c>
      <c r="L648" s="33">
        <v>1015.6</v>
      </c>
      <c r="M648" s="33">
        <v>51</v>
      </c>
      <c r="N648" s="33"/>
      <c r="O648" s="93">
        <f>IFERROR(IF(Readings[[#This Row],[Obs. X]]="","-",Readings[[#This Row],[Obs. X]]-_xlfn.XLOOKUP(Readings[[#This Row],[Sensor ID]],Table_Baseline[Sensor ID],Table_Baseline[Easting '[m']],"-")),"-")</f>
        <v>-9.9999999656574801E-4</v>
      </c>
      <c r="P648" s="93">
        <f>IFERROR(IF(Readings[[#This Row],[Obs. Y]]="","-",Readings[[#This Row],[Obs. Y]]-_xlfn.XLOOKUP(Readings[[#This Row],[Sensor ID]],Table_Baseline[Sensor ID],Table_Baseline[Northing '[m']],"-")),"-")</f>
        <v>0</v>
      </c>
      <c r="Q648" s="93">
        <f>IFERROR(IF(Readings[[#This Row],[Obs. Z]]="","-",Readings[[#This Row],[Obs. Z]]-_xlfn.XLOOKUP(Readings[[#This Row],[Sensor ID]],Table_Baseline[Sensor ID],Table_Baseline[Level '[m']],"-")),"-")</f>
        <v>0</v>
      </c>
      <c r="R648" s="93">
        <f>IFERROR(IF(Readings[[#This Row],[Reference Angle]]="-","-",(Readings[[#This Row],[Diff E]]*COS(RADIANS(Readings[[#This Row],[Reference Angle]]))-Readings[[#This Row],[Diff N]]*SIN(RADIANS(Readings[[#This Row],[Reference Angle]])))),"-")</f>
        <v>-9.9999999656574801E-4</v>
      </c>
      <c r="S648" s="93">
        <f>IFERROR(IF(Readings[[#This Row],[Reference Angle]]="-","-",(Readings[[#This Row],[Diff E]]*SIN(RADIANS(Readings[[#This Row],[Reference Angle]]))+Readings[[#This Row],[Diff N]]*COS(RADIANS(Readings[[#This Row],[Reference Angle]])))),"-")</f>
        <v>0</v>
      </c>
      <c r="T648" s="94">
        <f>IFERROR(VLOOKUP(Readings[[#This Row],[Sensor ID]],Table_Baseline[],COLUMNS(Table_Baseline[[#Headers],[Sensor ID]:[Reference Angle '[Deg']]]),FALSE),"-")</f>
        <v>0</v>
      </c>
      <c r="U648" s="95" t="str">
        <f>Readings[[#This Row],[Sensor ID]]&amp;"-"&amp;Readings[[#This Row],[Epoch]]</f>
        <v>250-RL-OP-11005-45807.2638888889</v>
      </c>
      <c r="V648" s="99">
        <f ca="1">IF(Readings[[#This Row],[Epoch]]=OFFSET(Readings[[#This Row],[Epoch]],-1,0),0,1)</f>
        <v>0</v>
      </c>
    </row>
    <row r="649" spans="4:22" x14ac:dyDescent="0.2">
      <c r="D649" s="32">
        <v>45807.263888888891</v>
      </c>
      <c r="E649" s="33" t="s">
        <v>175</v>
      </c>
      <c r="F649" s="34">
        <v>60040.606</v>
      </c>
      <c r="G649" s="34">
        <v>363842.86199999996</v>
      </c>
      <c r="H649" s="34">
        <v>18.771999999999998</v>
      </c>
      <c r="I649" s="33" t="s">
        <v>85</v>
      </c>
      <c r="J649" s="33" t="s">
        <v>90</v>
      </c>
      <c r="K649" s="33">
        <v>15.3</v>
      </c>
      <c r="L649" s="33">
        <v>1015.6</v>
      </c>
      <c r="M649" s="33">
        <v>51</v>
      </c>
      <c r="N649" s="33"/>
      <c r="O649" s="93">
        <f>IFERROR(IF(Readings[[#This Row],[Obs. X]]="","-",Readings[[#This Row],[Obs. X]]-_xlfn.XLOOKUP(Readings[[#This Row],[Sensor ID]],Table_Baseline[Sensor ID],Table_Baseline[Easting '[m']],"-")),"-")</f>
        <v>-1.0000000038417056E-3</v>
      </c>
      <c r="P649" s="93">
        <f>IFERROR(IF(Readings[[#This Row],[Obs. Y]]="","-",Readings[[#This Row],[Obs. Y]]-_xlfn.XLOOKUP(Readings[[#This Row],[Sensor ID]],Table_Baseline[Sensor ID],Table_Baseline[Northing '[m']],"-")),"-")</f>
        <v>9.9999993108212948E-4</v>
      </c>
      <c r="Q649" s="93">
        <f>IFERROR(IF(Readings[[#This Row],[Obs. Z]]="","-",Readings[[#This Row],[Obs. Z]]-_xlfn.XLOOKUP(Readings[[#This Row],[Sensor ID]],Table_Baseline[Sensor ID],Table_Baseline[Level '[m']],"-")),"-")</f>
        <v>0</v>
      </c>
      <c r="R649" s="93">
        <f>IFERROR(IF(Readings[[#This Row],[Reference Angle]]="-","-",(Readings[[#This Row],[Diff E]]*COS(RADIANS(Readings[[#This Row],[Reference Angle]]))-Readings[[#This Row],[Diff N]]*SIN(RADIANS(Readings[[#This Row],[Reference Angle]])))),"-")</f>
        <v>-1.0000000038417056E-3</v>
      </c>
      <c r="S649" s="93">
        <f>IFERROR(IF(Readings[[#This Row],[Reference Angle]]="-","-",(Readings[[#This Row],[Diff E]]*SIN(RADIANS(Readings[[#This Row],[Reference Angle]]))+Readings[[#This Row],[Diff N]]*COS(RADIANS(Readings[[#This Row],[Reference Angle]])))),"-")</f>
        <v>9.9999993108212948E-4</v>
      </c>
      <c r="T649" s="94">
        <f>IFERROR(VLOOKUP(Readings[[#This Row],[Sensor ID]],Table_Baseline[],COLUMNS(Table_Baseline[[#Headers],[Sensor ID]:[Reference Angle '[Deg']]]),FALSE),"-")</f>
        <v>0</v>
      </c>
      <c r="U649" s="95" t="str">
        <f>Readings[[#This Row],[Sensor ID]]&amp;"-"&amp;Readings[[#This Row],[Epoch]]</f>
        <v>250-RL-OP-11006-45807.2638888889</v>
      </c>
      <c r="V649" s="99">
        <f ca="1">IF(Readings[[#This Row],[Epoch]]=OFFSET(Readings[[#This Row],[Epoch]],-1,0),0,1)</f>
        <v>0</v>
      </c>
    </row>
    <row r="650" spans="4:22" x14ac:dyDescent="0.2">
      <c r="D650" s="32">
        <v>45807.263888888891</v>
      </c>
      <c r="E650" s="33" t="s">
        <v>178</v>
      </c>
      <c r="F650" s="34">
        <v>60043.758000000002</v>
      </c>
      <c r="G650" s="34">
        <v>363843.315</v>
      </c>
      <c r="H650" s="34">
        <v>18.774000000000001</v>
      </c>
      <c r="I650" s="33" t="s">
        <v>85</v>
      </c>
      <c r="J650" s="33" t="s">
        <v>90</v>
      </c>
      <c r="K650" s="33">
        <v>15.3</v>
      </c>
      <c r="L650" s="33">
        <v>1015.6</v>
      </c>
      <c r="M650" s="33">
        <v>51</v>
      </c>
      <c r="N650" s="33"/>
      <c r="O650" s="93">
        <f>IFERROR(IF(Readings[[#This Row],[Obs. X]]="","-",Readings[[#This Row],[Obs. X]]-_xlfn.XLOOKUP(Readings[[#This Row],[Sensor ID]],Table_Baseline[Sensor ID],Table_Baseline[Easting '[m']],"-")),"-")</f>
        <v>-9.9999999656574801E-4</v>
      </c>
      <c r="P650" s="93">
        <f>IFERROR(IF(Readings[[#This Row],[Obs. Y]]="","-",Readings[[#This Row],[Obs. Y]]-_xlfn.XLOOKUP(Readings[[#This Row],[Sensor ID]],Table_Baseline[Sensor ID],Table_Baseline[Northing '[m']],"-")),"-")</f>
        <v>9.9999998928979039E-4</v>
      </c>
      <c r="Q650" s="93">
        <f>IFERROR(IF(Readings[[#This Row],[Obs. Z]]="","-",Readings[[#This Row],[Obs. Z]]-_xlfn.XLOOKUP(Readings[[#This Row],[Sensor ID]],Table_Baseline[Sensor ID],Table_Baseline[Level '[m']],"-")),"-")</f>
        <v>-9.9999999999766942E-5</v>
      </c>
      <c r="R650" s="93">
        <f>IFERROR(IF(Readings[[#This Row],[Reference Angle]]="-","-",(Readings[[#This Row],[Diff E]]*COS(RADIANS(Readings[[#This Row],[Reference Angle]]))-Readings[[#This Row],[Diff N]]*SIN(RADIANS(Readings[[#This Row],[Reference Angle]])))),"-")</f>
        <v>-9.9999999656574801E-4</v>
      </c>
      <c r="S650" s="93">
        <f>IFERROR(IF(Readings[[#This Row],[Reference Angle]]="-","-",(Readings[[#This Row],[Diff E]]*SIN(RADIANS(Readings[[#This Row],[Reference Angle]]))+Readings[[#This Row],[Diff N]]*COS(RADIANS(Readings[[#This Row],[Reference Angle]])))),"-")</f>
        <v>9.9999998928979039E-4</v>
      </c>
      <c r="T650" s="94">
        <f>IFERROR(VLOOKUP(Readings[[#This Row],[Sensor ID]],Table_Baseline[],COLUMNS(Table_Baseline[[#Headers],[Sensor ID]:[Reference Angle '[Deg']]]),FALSE),"-")</f>
        <v>0</v>
      </c>
      <c r="U650" s="95" t="str">
        <f>Readings[[#This Row],[Sensor ID]]&amp;"-"&amp;Readings[[#This Row],[Epoch]]</f>
        <v>250-RL-OP-11007-45807.2638888889</v>
      </c>
      <c r="V650" s="99">
        <f ca="1">IF(Readings[[#This Row],[Epoch]]=OFFSET(Readings[[#This Row],[Epoch]],-1,0),0,1)</f>
        <v>0</v>
      </c>
    </row>
    <row r="651" spans="4:22" x14ac:dyDescent="0.2">
      <c r="D651" s="32">
        <v>45807.263888888891</v>
      </c>
      <c r="E651" s="33" t="s">
        <v>177</v>
      </c>
      <c r="F651" s="34">
        <v>60043.440999999999</v>
      </c>
      <c r="G651" s="34">
        <v>363842.04200000002</v>
      </c>
      <c r="H651" s="34">
        <v>18.768999999999998</v>
      </c>
      <c r="I651" s="33" t="s">
        <v>85</v>
      </c>
      <c r="J651" s="33" t="s">
        <v>90</v>
      </c>
      <c r="K651" s="33">
        <v>15.3</v>
      </c>
      <c r="L651" s="33">
        <v>1015.6</v>
      </c>
      <c r="M651" s="33">
        <v>51</v>
      </c>
      <c r="N651" s="33"/>
      <c r="O651" s="93">
        <f>IFERROR(IF(Readings[[#This Row],[Obs. X]]="","-",Readings[[#This Row],[Obs. X]]-_xlfn.XLOOKUP(Readings[[#This Row],[Sensor ID]],Table_Baseline[Sensor ID],Table_Baseline[Easting '[m']],"-")),"-")</f>
        <v>0</v>
      </c>
      <c r="P651" s="93">
        <f>IFERROR(IF(Readings[[#This Row],[Obs. Y]]="","-",Readings[[#This Row],[Obs. Y]]-_xlfn.XLOOKUP(Readings[[#This Row],[Sensor ID]],Table_Baseline[Sensor ID],Table_Baseline[Northing '[m']],"-")),"-")</f>
        <v>1.9999999785795808E-3</v>
      </c>
      <c r="Q651" s="93">
        <f>IFERROR(IF(Readings[[#This Row],[Obs. Z]]="","-",Readings[[#This Row],[Obs. Z]]-_xlfn.XLOOKUP(Readings[[#This Row],[Sensor ID]],Table_Baseline[Sensor ID],Table_Baseline[Level '[m']],"-")),"-")</f>
        <v>6.9999999999836859E-4</v>
      </c>
      <c r="R651" s="93">
        <f>IFERROR(IF(Readings[[#This Row],[Reference Angle]]="-","-",(Readings[[#This Row],[Diff E]]*COS(RADIANS(Readings[[#This Row],[Reference Angle]]))-Readings[[#This Row],[Diff N]]*SIN(RADIANS(Readings[[#This Row],[Reference Angle]])))),"-")</f>
        <v>0</v>
      </c>
      <c r="S651" s="93">
        <f>IFERROR(IF(Readings[[#This Row],[Reference Angle]]="-","-",(Readings[[#This Row],[Diff E]]*SIN(RADIANS(Readings[[#This Row],[Reference Angle]]))+Readings[[#This Row],[Diff N]]*COS(RADIANS(Readings[[#This Row],[Reference Angle]])))),"-")</f>
        <v>1.9999999785795808E-3</v>
      </c>
      <c r="T651" s="94">
        <f>IFERROR(VLOOKUP(Readings[[#This Row],[Sensor ID]],Table_Baseline[],COLUMNS(Table_Baseline[[#Headers],[Sensor ID]:[Reference Angle '[Deg']]]),FALSE),"-")</f>
        <v>0</v>
      </c>
      <c r="U651" s="95" t="str">
        <f>Readings[[#This Row],[Sensor ID]]&amp;"-"&amp;Readings[[#This Row],[Epoch]]</f>
        <v>250-RL-OP-11008-45807.2638888889</v>
      </c>
      <c r="V651" s="99">
        <f ca="1">IF(Readings[[#This Row],[Epoch]]=OFFSET(Readings[[#This Row],[Epoch]],-1,0),0,1)</f>
        <v>0</v>
      </c>
    </row>
    <row r="652" spans="4:22" x14ac:dyDescent="0.2">
      <c r="D652" s="32">
        <v>45807.263888888891</v>
      </c>
      <c r="E652" s="33" t="s">
        <v>180</v>
      </c>
      <c r="F652" s="34">
        <v>60046.633000000002</v>
      </c>
      <c r="G652" s="34">
        <v>363842.48600000003</v>
      </c>
      <c r="H652" s="34">
        <v>18.777999999999999</v>
      </c>
      <c r="I652" s="33" t="s">
        <v>85</v>
      </c>
      <c r="J652" s="33" t="s">
        <v>90</v>
      </c>
      <c r="K652" s="33">
        <v>15.3</v>
      </c>
      <c r="L652" s="33">
        <v>1015.6</v>
      </c>
      <c r="M652" s="33">
        <v>51</v>
      </c>
      <c r="N652" s="33"/>
      <c r="O652" s="93">
        <f>IFERROR(IF(Readings[[#This Row],[Obs. X]]="","-",Readings[[#This Row],[Obs. X]]-_xlfn.XLOOKUP(Readings[[#This Row],[Sensor ID]],Table_Baseline[Sensor ID],Table_Baseline[Easting '[m']],"-")),"-")</f>
        <v>0</v>
      </c>
      <c r="P652" s="93">
        <f>IFERROR(IF(Readings[[#This Row],[Obs. Y]]="","-",Readings[[#This Row],[Obs. Y]]-_xlfn.XLOOKUP(Readings[[#This Row],[Sensor ID]],Table_Baseline[Sensor ID],Table_Baseline[Northing '[m']],"-")),"-")</f>
        <v>1.0000000474974513E-3</v>
      </c>
      <c r="Q652" s="93">
        <f>IFERROR(IF(Readings[[#This Row],[Obs. Z]]="","-",Readings[[#This Row],[Obs. Z]]-_xlfn.XLOOKUP(Readings[[#This Row],[Sensor ID]],Table_Baseline[Sensor ID],Table_Baseline[Level '[m']],"-")),"-")</f>
        <v>3.9999999999906777E-4</v>
      </c>
      <c r="R652" s="93">
        <f>IFERROR(IF(Readings[[#This Row],[Reference Angle]]="-","-",(Readings[[#This Row],[Diff E]]*COS(RADIANS(Readings[[#This Row],[Reference Angle]]))-Readings[[#This Row],[Diff N]]*SIN(RADIANS(Readings[[#This Row],[Reference Angle]])))),"-")</f>
        <v>0</v>
      </c>
      <c r="S652" s="93">
        <f>IFERROR(IF(Readings[[#This Row],[Reference Angle]]="-","-",(Readings[[#This Row],[Diff E]]*SIN(RADIANS(Readings[[#This Row],[Reference Angle]]))+Readings[[#This Row],[Diff N]]*COS(RADIANS(Readings[[#This Row],[Reference Angle]])))),"-")</f>
        <v>1.0000000474974513E-3</v>
      </c>
      <c r="T652" s="94">
        <f>IFERROR(VLOOKUP(Readings[[#This Row],[Sensor ID]],Table_Baseline[],COLUMNS(Table_Baseline[[#Headers],[Sensor ID]:[Reference Angle '[Deg']]]),FALSE),"-")</f>
        <v>0</v>
      </c>
      <c r="U652" s="95" t="str">
        <f>Readings[[#This Row],[Sensor ID]]&amp;"-"&amp;Readings[[#This Row],[Epoch]]</f>
        <v>250-RL-OP-11009-45807.2638888889</v>
      </c>
      <c r="V652" s="99">
        <f ca="1">IF(Readings[[#This Row],[Epoch]]=OFFSET(Readings[[#This Row],[Epoch]],-1,0),0,1)</f>
        <v>0</v>
      </c>
    </row>
    <row r="653" spans="4:22" x14ac:dyDescent="0.2">
      <c r="D653" s="32">
        <v>45807.263888888891</v>
      </c>
      <c r="E653" s="33" t="s">
        <v>179</v>
      </c>
      <c r="F653" s="34">
        <v>60046.249000000003</v>
      </c>
      <c r="G653" s="34">
        <v>363841.22700000001</v>
      </c>
      <c r="H653" s="34">
        <v>18.77</v>
      </c>
      <c r="I653" s="33" t="s">
        <v>85</v>
      </c>
      <c r="J653" s="33" t="s">
        <v>90</v>
      </c>
      <c r="K653" s="33">
        <v>15.3</v>
      </c>
      <c r="L653" s="33">
        <v>1015.6</v>
      </c>
      <c r="M653" s="33">
        <v>51</v>
      </c>
      <c r="N653" s="33"/>
      <c r="O653" s="93">
        <f>IFERROR(IF(Readings[[#This Row],[Obs. X]]="","-",Readings[[#This Row],[Obs. X]]-_xlfn.XLOOKUP(Readings[[#This Row],[Sensor ID]],Table_Baseline[Sensor ID],Table_Baseline[Easting '[m']],"-")),"-")</f>
        <v>-9.9999999656574801E-4</v>
      </c>
      <c r="P653" s="93">
        <f>IFERROR(IF(Readings[[#This Row],[Obs. Y]]="","-",Readings[[#This Row],[Obs. Y]]-_xlfn.XLOOKUP(Readings[[#This Row],[Sensor ID]],Table_Baseline[Sensor ID],Table_Baseline[Northing '[m']],"-")),"-")</f>
        <v>9.9999998928979039E-4</v>
      </c>
      <c r="Q653" s="93">
        <f>IFERROR(IF(Readings[[#This Row],[Obs. Z]]="","-",Readings[[#This Row],[Obs. Z]]-_xlfn.XLOOKUP(Readings[[#This Row],[Sensor ID]],Table_Baseline[Sensor ID],Table_Baseline[Level '[m']],"-")),"-")</f>
        <v>1.9999999999953388E-4</v>
      </c>
      <c r="R653" s="93">
        <f>IFERROR(IF(Readings[[#This Row],[Reference Angle]]="-","-",(Readings[[#This Row],[Diff E]]*COS(RADIANS(Readings[[#This Row],[Reference Angle]]))-Readings[[#This Row],[Diff N]]*SIN(RADIANS(Readings[[#This Row],[Reference Angle]])))),"-")</f>
        <v>-9.9999999656574801E-4</v>
      </c>
      <c r="S653" s="93">
        <f>IFERROR(IF(Readings[[#This Row],[Reference Angle]]="-","-",(Readings[[#This Row],[Diff E]]*SIN(RADIANS(Readings[[#This Row],[Reference Angle]]))+Readings[[#This Row],[Diff N]]*COS(RADIANS(Readings[[#This Row],[Reference Angle]])))),"-")</f>
        <v>9.9999998928979039E-4</v>
      </c>
      <c r="T653" s="94">
        <f>IFERROR(VLOOKUP(Readings[[#This Row],[Sensor ID]],Table_Baseline[],COLUMNS(Table_Baseline[[#Headers],[Sensor ID]:[Reference Angle '[Deg']]]),FALSE),"-")</f>
        <v>0</v>
      </c>
      <c r="U653" s="95" t="str">
        <f>Readings[[#This Row],[Sensor ID]]&amp;"-"&amp;Readings[[#This Row],[Epoch]]</f>
        <v>250-RL-OP-11010-45807.2638888889</v>
      </c>
      <c r="V653" s="99">
        <f ca="1">IF(Readings[[#This Row],[Epoch]]=OFFSET(Readings[[#This Row],[Epoch]],-1,0),0,1)</f>
        <v>0</v>
      </c>
    </row>
    <row r="654" spans="4:22" x14ac:dyDescent="0.2">
      <c r="D654" s="32">
        <v>45807.263888888891</v>
      </c>
      <c r="E654" s="33" t="s">
        <v>182</v>
      </c>
      <c r="F654" s="34">
        <v>60049.398000000001</v>
      </c>
      <c r="G654" s="34">
        <v>363841.69900000002</v>
      </c>
      <c r="H654" s="34">
        <v>18.777999999999999</v>
      </c>
      <c r="I654" s="33" t="s">
        <v>85</v>
      </c>
      <c r="J654" s="33" t="s">
        <v>90</v>
      </c>
      <c r="K654" s="33">
        <v>15.3</v>
      </c>
      <c r="L654" s="33">
        <v>1015.6</v>
      </c>
      <c r="M654" s="33">
        <v>51</v>
      </c>
      <c r="N654" s="33"/>
      <c r="O654" s="93">
        <f>IFERROR(IF(Readings[[#This Row],[Obs. X]]="","-",Readings[[#This Row],[Obs. X]]-_xlfn.XLOOKUP(Readings[[#This Row],[Sensor ID]],Table_Baseline[Sensor ID],Table_Baseline[Easting '[m']],"-")),"-")</f>
        <v>-9.9999999656574801E-4</v>
      </c>
      <c r="P654" s="93">
        <f>IFERROR(IF(Readings[[#This Row],[Obs. Y]]="","-",Readings[[#This Row],[Obs. Y]]-_xlfn.XLOOKUP(Readings[[#This Row],[Sensor ID]],Table_Baseline[Sensor ID],Table_Baseline[Northing '[m']],"-")),"-")</f>
        <v>1.0000000474974513E-3</v>
      </c>
      <c r="Q654" s="93">
        <f>IFERROR(IF(Readings[[#This Row],[Obs. Z]]="","-",Readings[[#This Row],[Obs. Z]]-_xlfn.XLOOKUP(Readings[[#This Row],[Sensor ID]],Table_Baseline[Sensor ID],Table_Baseline[Level '[m']],"-")),"-")</f>
        <v>0</v>
      </c>
      <c r="R654" s="93">
        <f>IFERROR(IF(Readings[[#This Row],[Reference Angle]]="-","-",(Readings[[#This Row],[Diff E]]*COS(RADIANS(Readings[[#This Row],[Reference Angle]]))-Readings[[#This Row],[Diff N]]*SIN(RADIANS(Readings[[#This Row],[Reference Angle]])))),"-")</f>
        <v>-9.9999999656574801E-4</v>
      </c>
      <c r="S654" s="93">
        <f>IFERROR(IF(Readings[[#This Row],[Reference Angle]]="-","-",(Readings[[#This Row],[Diff E]]*SIN(RADIANS(Readings[[#This Row],[Reference Angle]]))+Readings[[#This Row],[Diff N]]*COS(RADIANS(Readings[[#This Row],[Reference Angle]])))),"-")</f>
        <v>1.0000000474974513E-3</v>
      </c>
      <c r="T654" s="94">
        <f>IFERROR(VLOOKUP(Readings[[#This Row],[Sensor ID]],Table_Baseline[],COLUMNS(Table_Baseline[[#Headers],[Sensor ID]:[Reference Angle '[Deg']]]),FALSE),"-")</f>
        <v>0</v>
      </c>
      <c r="U654" s="95" t="str">
        <f>Readings[[#This Row],[Sensor ID]]&amp;"-"&amp;Readings[[#This Row],[Epoch]]</f>
        <v>250-RL-OP-11011-45807.2638888889</v>
      </c>
      <c r="V654" s="99">
        <f ca="1">IF(Readings[[#This Row],[Epoch]]=OFFSET(Readings[[#This Row],[Epoch]],-1,0),0,1)</f>
        <v>0</v>
      </c>
    </row>
    <row r="655" spans="4:22" x14ac:dyDescent="0.2">
      <c r="D655" s="32">
        <v>45807.263888888891</v>
      </c>
      <c r="E655" s="33" t="s">
        <v>181</v>
      </c>
      <c r="F655" s="34">
        <v>60049.04</v>
      </c>
      <c r="G655" s="34">
        <v>363840.43599999999</v>
      </c>
      <c r="H655" s="34">
        <v>18.771000000000001</v>
      </c>
      <c r="I655" s="33" t="s">
        <v>85</v>
      </c>
      <c r="J655" s="33" t="s">
        <v>90</v>
      </c>
      <c r="K655" s="33">
        <v>15.3</v>
      </c>
      <c r="L655" s="33">
        <v>1015.6</v>
      </c>
      <c r="M655" s="33">
        <v>51</v>
      </c>
      <c r="N655" s="33"/>
      <c r="O655" s="93">
        <f>IFERROR(IF(Readings[[#This Row],[Obs. X]]="","-",Readings[[#This Row],[Obs. X]]-_xlfn.XLOOKUP(Readings[[#This Row],[Sensor ID]],Table_Baseline[Sensor ID],Table_Baseline[Easting '[m']],"-")),"-")</f>
        <v>-9.9999999656574801E-4</v>
      </c>
      <c r="P655" s="93">
        <f>IFERROR(IF(Readings[[#This Row],[Obs. Y]]="","-",Readings[[#This Row],[Obs. Y]]-_xlfn.XLOOKUP(Readings[[#This Row],[Sensor ID]],Table_Baseline[Sensor ID],Table_Baseline[Northing '[m']],"-")),"-")</f>
        <v>3.0000000260770321E-3</v>
      </c>
      <c r="Q655" s="93">
        <f>IFERROR(IF(Readings[[#This Row],[Obs. Z]]="","-",Readings[[#This Row],[Obs. Z]]-_xlfn.XLOOKUP(Readings[[#This Row],[Sensor ID]],Table_Baseline[Sensor ID],Table_Baseline[Level '[m']],"-")),"-")</f>
        <v>-9.9999999999766942E-5</v>
      </c>
      <c r="R655" s="93">
        <f>IFERROR(IF(Readings[[#This Row],[Reference Angle]]="-","-",(Readings[[#This Row],[Diff E]]*COS(RADIANS(Readings[[#This Row],[Reference Angle]]))-Readings[[#This Row],[Diff N]]*SIN(RADIANS(Readings[[#This Row],[Reference Angle]])))),"-")</f>
        <v>-9.9999999656574801E-4</v>
      </c>
      <c r="S655" s="93">
        <f>IFERROR(IF(Readings[[#This Row],[Reference Angle]]="-","-",(Readings[[#This Row],[Diff E]]*SIN(RADIANS(Readings[[#This Row],[Reference Angle]]))+Readings[[#This Row],[Diff N]]*COS(RADIANS(Readings[[#This Row],[Reference Angle]])))),"-")</f>
        <v>3.0000000260770321E-3</v>
      </c>
      <c r="T655" s="94">
        <f>IFERROR(VLOOKUP(Readings[[#This Row],[Sensor ID]],Table_Baseline[],COLUMNS(Table_Baseline[[#Headers],[Sensor ID]:[Reference Angle '[Deg']]]),FALSE),"-")</f>
        <v>0</v>
      </c>
      <c r="U655" s="95" t="str">
        <f>Readings[[#This Row],[Sensor ID]]&amp;"-"&amp;Readings[[#This Row],[Epoch]]</f>
        <v>250-RL-OP-11012-45807.2638888889</v>
      </c>
      <c r="V655" s="99">
        <f ca="1">IF(Readings[[#This Row],[Epoch]]=OFFSET(Readings[[#This Row],[Epoch]],-1,0),0,1)</f>
        <v>0</v>
      </c>
    </row>
    <row r="656" spans="4:22" x14ac:dyDescent="0.2">
      <c r="D656" s="32">
        <v>45807.263888888891</v>
      </c>
      <c r="E656" s="33" t="s">
        <v>184</v>
      </c>
      <c r="F656" s="34">
        <v>60052.292000000001</v>
      </c>
      <c r="G656" s="34">
        <v>363840.88699999999</v>
      </c>
      <c r="H656" s="34">
        <v>18.779</v>
      </c>
      <c r="I656" s="33" t="s">
        <v>85</v>
      </c>
      <c r="J656" s="33" t="s">
        <v>90</v>
      </c>
      <c r="K656" s="33">
        <v>15.3</v>
      </c>
      <c r="L656" s="33">
        <v>1015.6</v>
      </c>
      <c r="M656" s="33">
        <v>51</v>
      </c>
      <c r="N656" s="33"/>
      <c r="O656" s="93">
        <f>IFERROR(IF(Readings[[#This Row],[Obs. X]]="","-",Readings[[#This Row],[Obs. X]]-_xlfn.XLOOKUP(Readings[[#This Row],[Sensor ID]],Table_Baseline[Sensor ID],Table_Baseline[Easting '[m']],"-")),"-")</f>
        <v>-9.9999999656574801E-4</v>
      </c>
      <c r="P656" s="93">
        <f>IFERROR(IF(Readings[[#This Row],[Obs. Y]]="","-",Readings[[#This Row],[Obs. Y]]-_xlfn.XLOOKUP(Readings[[#This Row],[Sensor ID]],Table_Baseline[Sensor ID],Table_Baseline[Northing '[m']],"-")),"-")</f>
        <v>1.9999999785795808E-3</v>
      </c>
      <c r="Q656" s="93">
        <f>IFERROR(IF(Readings[[#This Row],[Obs. Z]]="","-",Readings[[#This Row],[Obs. Z]]-_xlfn.XLOOKUP(Readings[[#This Row],[Sensor ID]],Table_Baseline[Sensor ID],Table_Baseline[Level '[m']],"-")),"-")</f>
        <v>0</v>
      </c>
      <c r="R656" s="93">
        <f>IFERROR(IF(Readings[[#This Row],[Reference Angle]]="-","-",(Readings[[#This Row],[Diff E]]*COS(RADIANS(Readings[[#This Row],[Reference Angle]]))-Readings[[#This Row],[Diff N]]*SIN(RADIANS(Readings[[#This Row],[Reference Angle]])))),"-")</f>
        <v>-9.9999999656574801E-4</v>
      </c>
      <c r="S656" s="93">
        <f>IFERROR(IF(Readings[[#This Row],[Reference Angle]]="-","-",(Readings[[#This Row],[Diff E]]*SIN(RADIANS(Readings[[#This Row],[Reference Angle]]))+Readings[[#This Row],[Diff N]]*COS(RADIANS(Readings[[#This Row],[Reference Angle]])))),"-")</f>
        <v>1.9999999785795808E-3</v>
      </c>
      <c r="T656" s="94">
        <f>IFERROR(VLOOKUP(Readings[[#This Row],[Sensor ID]],Table_Baseline[],COLUMNS(Table_Baseline[[#Headers],[Sensor ID]:[Reference Angle '[Deg']]]),FALSE),"-")</f>
        <v>0</v>
      </c>
      <c r="U656" s="95" t="str">
        <f>Readings[[#This Row],[Sensor ID]]&amp;"-"&amp;Readings[[#This Row],[Epoch]]</f>
        <v>250-RL-OP-11013-45807.2638888889</v>
      </c>
      <c r="V656" s="99">
        <f ca="1">IF(Readings[[#This Row],[Epoch]]=OFFSET(Readings[[#This Row],[Epoch]],-1,0),0,1)</f>
        <v>0</v>
      </c>
    </row>
    <row r="657" spans="4:22" x14ac:dyDescent="0.2">
      <c r="D657" s="32">
        <v>45807.263888888891</v>
      </c>
      <c r="E657" s="33" t="s">
        <v>183</v>
      </c>
      <c r="F657" s="34">
        <v>60051.989000000001</v>
      </c>
      <c r="G657" s="34">
        <v>363839.60600000003</v>
      </c>
      <c r="H657" s="34">
        <v>18.77</v>
      </c>
      <c r="I657" s="33" t="s">
        <v>85</v>
      </c>
      <c r="J657" s="33" t="s">
        <v>90</v>
      </c>
      <c r="K657" s="33">
        <v>15.3</v>
      </c>
      <c r="L657" s="33">
        <v>1015.6</v>
      </c>
      <c r="M657" s="33">
        <v>51</v>
      </c>
      <c r="N657" s="33"/>
      <c r="O657" s="93">
        <f>IFERROR(IF(Readings[[#This Row],[Obs. X]]="","-",Readings[[#This Row],[Obs. X]]-_xlfn.XLOOKUP(Readings[[#This Row],[Sensor ID]],Table_Baseline[Sensor ID],Table_Baseline[Easting '[m']],"-")),"-")</f>
        <v>0</v>
      </c>
      <c r="P657" s="93">
        <f>IFERROR(IF(Readings[[#This Row],[Obs. Y]]="","-",Readings[[#This Row],[Obs. Y]]-_xlfn.XLOOKUP(Readings[[#This Row],[Sensor ID]],Table_Baseline[Sensor ID],Table_Baseline[Northing '[m']],"-")),"-")</f>
        <v>3.0000000260770321E-3</v>
      </c>
      <c r="Q657" s="93">
        <f>IFERROR(IF(Readings[[#This Row],[Obs. Z]]="","-",Readings[[#This Row],[Obs. Z]]-_xlfn.XLOOKUP(Readings[[#This Row],[Sensor ID]],Table_Baseline[Sensor ID],Table_Baseline[Level '[m']],"-")),"-")</f>
        <v>-9.9999999999766942E-5</v>
      </c>
      <c r="R657" s="93">
        <f>IFERROR(IF(Readings[[#This Row],[Reference Angle]]="-","-",(Readings[[#This Row],[Diff E]]*COS(RADIANS(Readings[[#This Row],[Reference Angle]]))-Readings[[#This Row],[Diff N]]*SIN(RADIANS(Readings[[#This Row],[Reference Angle]])))),"-")</f>
        <v>0</v>
      </c>
      <c r="S657" s="93">
        <f>IFERROR(IF(Readings[[#This Row],[Reference Angle]]="-","-",(Readings[[#This Row],[Diff E]]*SIN(RADIANS(Readings[[#This Row],[Reference Angle]]))+Readings[[#This Row],[Diff N]]*COS(RADIANS(Readings[[#This Row],[Reference Angle]])))),"-")</f>
        <v>3.0000000260770321E-3</v>
      </c>
      <c r="T657" s="94">
        <f>IFERROR(VLOOKUP(Readings[[#This Row],[Sensor ID]],Table_Baseline[],COLUMNS(Table_Baseline[[#Headers],[Sensor ID]:[Reference Angle '[Deg']]]),FALSE),"-")</f>
        <v>0</v>
      </c>
      <c r="U657" s="95" t="str">
        <f>Readings[[#This Row],[Sensor ID]]&amp;"-"&amp;Readings[[#This Row],[Epoch]]</f>
        <v>250-RL-OP-11014-45807.2638888889</v>
      </c>
      <c r="V657" s="99">
        <f ca="1">IF(Readings[[#This Row],[Epoch]]=OFFSET(Readings[[#This Row],[Epoch]],-1,0),0,1)</f>
        <v>0</v>
      </c>
    </row>
    <row r="658" spans="4:22" x14ac:dyDescent="0.2">
      <c r="D658" s="32">
        <v>45807.263888888891</v>
      </c>
      <c r="E658" s="33" t="s">
        <v>186</v>
      </c>
      <c r="F658" s="34">
        <v>60055.196000000004</v>
      </c>
      <c r="G658" s="34">
        <v>363840.09700000001</v>
      </c>
      <c r="H658" s="34">
        <v>18.78</v>
      </c>
      <c r="I658" s="33" t="s">
        <v>85</v>
      </c>
      <c r="J658" s="33" t="s">
        <v>90</v>
      </c>
      <c r="K658" s="33">
        <v>15.3</v>
      </c>
      <c r="L658" s="33">
        <v>1015.6</v>
      </c>
      <c r="M658" s="33">
        <v>51</v>
      </c>
      <c r="N658" s="33"/>
      <c r="O658" s="93">
        <f>IFERROR(IF(Readings[[#This Row],[Obs. X]]="","-",Readings[[#This Row],[Obs. X]]-_xlfn.XLOOKUP(Readings[[#This Row],[Sensor ID]],Table_Baseline[Sensor ID],Table_Baseline[Easting '[m']],"-")),"-")</f>
        <v>0</v>
      </c>
      <c r="P658" s="93">
        <f>IFERROR(IF(Readings[[#This Row],[Obs. Y]]="","-",Readings[[#This Row],[Obs. Y]]-_xlfn.XLOOKUP(Readings[[#This Row],[Sensor ID]],Table_Baseline[Sensor ID],Table_Baseline[Northing '[m']],"-")),"-")</f>
        <v>2.0000000367872417E-3</v>
      </c>
      <c r="Q658" s="93">
        <f>IFERROR(IF(Readings[[#This Row],[Obs. Z]]="","-",Readings[[#This Row],[Obs. Z]]-_xlfn.XLOOKUP(Readings[[#This Row],[Sensor ID]],Table_Baseline[Sensor ID],Table_Baseline[Level '[m']],"-")),"-")</f>
        <v>-8.9999999999790248E-4</v>
      </c>
      <c r="R658" s="93">
        <f>IFERROR(IF(Readings[[#This Row],[Reference Angle]]="-","-",(Readings[[#This Row],[Diff E]]*COS(RADIANS(Readings[[#This Row],[Reference Angle]]))-Readings[[#This Row],[Diff N]]*SIN(RADIANS(Readings[[#This Row],[Reference Angle]])))),"-")</f>
        <v>0</v>
      </c>
      <c r="S658" s="93">
        <f>IFERROR(IF(Readings[[#This Row],[Reference Angle]]="-","-",(Readings[[#This Row],[Diff E]]*SIN(RADIANS(Readings[[#This Row],[Reference Angle]]))+Readings[[#This Row],[Diff N]]*COS(RADIANS(Readings[[#This Row],[Reference Angle]])))),"-")</f>
        <v>2.0000000367872417E-3</v>
      </c>
      <c r="T658" s="94">
        <f>IFERROR(VLOOKUP(Readings[[#This Row],[Sensor ID]],Table_Baseline[],COLUMNS(Table_Baseline[[#Headers],[Sensor ID]:[Reference Angle '[Deg']]]),FALSE),"-")</f>
        <v>0</v>
      </c>
      <c r="U658" s="95" t="str">
        <f>Readings[[#This Row],[Sensor ID]]&amp;"-"&amp;Readings[[#This Row],[Epoch]]</f>
        <v>250-RL-OP-11015-45807.2638888889</v>
      </c>
      <c r="V658" s="99">
        <f ca="1">IF(Readings[[#This Row],[Epoch]]=OFFSET(Readings[[#This Row],[Epoch]],-1,0),0,1)</f>
        <v>0</v>
      </c>
    </row>
    <row r="659" spans="4:22" x14ac:dyDescent="0.2">
      <c r="D659" s="32">
        <v>45807.263888888891</v>
      </c>
      <c r="E659" s="33" t="s">
        <v>185</v>
      </c>
      <c r="F659" s="34">
        <v>60054.885000000002</v>
      </c>
      <c r="G659" s="34">
        <v>363838.80700000003</v>
      </c>
      <c r="H659" s="34">
        <v>18.773</v>
      </c>
      <c r="I659" s="33" t="s">
        <v>85</v>
      </c>
      <c r="J659" s="33" t="s">
        <v>90</v>
      </c>
      <c r="K659" s="33">
        <v>15.3</v>
      </c>
      <c r="L659" s="33">
        <v>1015.6</v>
      </c>
      <c r="M659" s="33">
        <v>51</v>
      </c>
      <c r="N659" s="33"/>
      <c r="O659" s="93">
        <f>IFERROR(IF(Readings[[#This Row],[Obs. X]]="","-",Readings[[#This Row],[Obs. X]]-_xlfn.XLOOKUP(Readings[[#This Row],[Sensor ID]],Table_Baseline[Sensor ID],Table_Baseline[Easting '[m']],"-")),"-")</f>
        <v>-9.9999999656574801E-4</v>
      </c>
      <c r="P659" s="93">
        <f>IFERROR(IF(Readings[[#This Row],[Obs. Y]]="","-",Readings[[#This Row],[Obs. Y]]-_xlfn.XLOOKUP(Readings[[#This Row],[Sensor ID]],Table_Baseline[Sensor ID],Table_Baseline[Northing '[m']],"-")),"-")</f>
        <v>2.0000000367872417E-3</v>
      </c>
      <c r="Q659" s="93">
        <f>IFERROR(IF(Readings[[#This Row],[Obs. Z]]="","-",Readings[[#This Row],[Obs. Z]]-_xlfn.XLOOKUP(Readings[[#This Row],[Sensor ID]],Table_Baseline[Sensor ID],Table_Baseline[Level '[m']],"-")),"-")</f>
        <v>-9.9999999999766942E-5</v>
      </c>
      <c r="R659" s="93">
        <f>IFERROR(IF(Readings[[#This Row],[Reference Angle]]="-","-",(Readings[[#This Row],[Diff E]]*COS(RADIANS(Readings[[#This Row],[Reference Angle]]))-Readings[[#This Row],[Diff N]]*SIN(RADIANS(Readings[[#This Row],[Reference Angle]])))),"-")</f>
        <v>-9.9999999656574801E-4</v>
      </c>
      <c r="S659" s="93">
        <f>IFERROR(IF(Readings[[#This Row],[Reference Angle]]="-","-",(Readings[[#This Row],[Diff E]]*SIN(RADIANS(Readings[[#This Row],[Reference Angle]]))+Readings[[#This Row],[Diff N]]*COS(RADIANS(Readings[[#This Row],[Reference Angle]])))),"-")</f>
        <v>2.0000000367872417E-3</v>
      </c>
      <c r="T659" s="94">
        <f>IFERROR(VLOOKUP(Readings[[#This Row],[Sensor ID]],Table_Baseline[],COLUMNS(Table_Baseline[[#Headers],[Sensor ID]:[Reference Angle '[Deg']]]),FALSE),"-")</f>
        <v>0</v>
      </c>
      <c r="U659" s="95" t="str">
        <f>Readings[[#This Row],[Sensor ID]]&amp;"-"&amp;Readings[[#This Row],[Epoch]]</f>
        <v>250-RL-OP-11016-45807.2638888889</v>
      </c>
      <c r="V659" s="99">
        <f ca="1">IF(Readings[[#This Row],[Epoch]]=OFFSET(Readings[[#This Row],[Epoch]],-1,0),0,1)</f>
        <v>0</v>
      </c>
    </row>
    <row r="660" spans="4:22" x14ac:dyDescent="0.2">
      <c r="D660" s="32">
        <v>45807.263888888891</v>
      </c>
      <c r="E660" s="33" t="s">
        <v>188</v>
      </c>
      <c r="F660" s="34">
        <v>60057.951999999997</v>
      </c>
      <c r="G660" s="34">
        <v>363839.36499999999</v>
      </c>
      <c r="H660" s="34">
        <v>18.786000000000001</v>
      </c>
      <c r="I660" s="33" t="s">
        <v>85</v>
      </c>
      <c r="J660" s="33" t="s">
        <v>90</v>
      </c>
      <c r="K660" s="33">
        <v>15.3</v>
      </c>
      <c r="L660" s="33">
        <v>1015.6</v>
      </c>
      <c r="M660" s="33">
        <v>51</v>
      </c>
      <c r="N660" s="33"/>
      <c r="O660" s="93">
        <f>IFERROR(IF(Readings[[#This Row],[Obs. X]]="","-",Readings[[#This Row],[Obs. X]]-_xlfn.XLOOKUP(Readings[[#This Row],[Sensor ID]],Table_Baseline[Sensor ID],Table_Baseline[Easting '[m']],"-")),"-")</f>
        <v>0</v>
      </c>
      <c r="P660" s="93">
        <f>IFERROR(IF(Readings[[#This Row],[Obs. Y]]="","-",Readings[[#This Row],[Obs. Y]]-_xlfn.XLOOKUP(Readings[[#This Row],[Sensor ID]],Table_Baseline[Sensor ID],Table_Baseline[Northing '[m']],"-")),"-")</f>
        <v>3.0000000260770321E-3</v>
      </c>
      <c r="Q660" s="93">
        <f>IFERROR(IF(Readings[[#This Row],[Obs. Z]]="","-",Readings[[#This Row],[Obs. Z]]-_xlfn.XLOOKUP(Readings[[#This Row],[Sensor ID]],Table_Baseline[Sensor ID],Table_Baseline[Level '[m']],"-")),"-")</f>
        <v>0</v>
      </c>
      <c r="R660" s="93">
        <f>IFERROR(IF(Readings[[#This Row],[Reference Angle]]="-","-",(Readings[[#This Row],[Diff E]]*COS(RADIANS(Readings[[#This Row],[Reference Angle]]))-Readings[[#This Row],[Diff N]]*SIN(RADIANS(Readings[[#This Row],[Reference Angle]])))),"-")</f>
        <v>0</v>
      </c>
      <c r="S660" s="93">
        <f>IFERROR(IF(Readings[[#This Row],[Reference Angle]]="-","-",(Readings[[#This Row],[Diff E]]*SIN(RADIANS(Readings[[#This Row],[Reference Angle]]))+Readings[[#This Row],[Diff N]]*COS(RADIANS(Readings[[#This Row],[Reference Angle]])))),"-")</f>
        <v>3.0000000260770321E-3</v>
      </c>
      <c r="T660" s="94">
        <f>IFERROR(VLOOKUP(Readings[[#This Row],[Sensor ID]],Table_Baseline[],COLUMNS(Table_Baseline[[#Headers],[Sensor ID]:[Reference Angle '[Deg']]]),FALSE),"-")</f>
        <v>0</v>
      </c>
      <c r="U660" s="95" t="str">
        <f>Readings[[#This Row],[Sensor ID]]&amp;"-"&amp;Readings[[#This Row],[Epoch]]</f>
        <v>250-RL-OP-11017-45807.2638888889</v>
      </c>
      <c r="V660" s="99">
        <f ca="1">IF(Readings[[#This Row],[Epoch]]=OFFSET(Readings[[#This Row],[Epoch]],-1,0),0,1)</f>
        <v>0</v>
      </c>
    </row>
    <row r="661" spans="4:22" x14ac:dyDescent="0.2">
      <c r="D661" s="32">
        <v>45807.263888888891</v>
      </c>
      <c r="E661" s="33" t="s">
        <v>187</v>
      </c>
      <c r="F661" s="34">
        <v>60057.578000000001</v>
      </c>
      <c r="G661" s="34">
        <v>363838.10100000002</v>
      </c>
      <c r="H661" s="34">
        <v>18.776</v>
      </c>
      <c r="I661" s="33" t="s">
        <v>85</v>
      </c>
      <c r="J661" s="33" t="s">
        <v>90</v>
      </c>
      <c r="K661" s="33">
        <v>15.3</v>
      </c>
      <c r="L661" s="33">
        <v>1015.6</v>
      </c>
      <c r="M661" s="33">
        <v>51</v>
      </c>
      <c r="N661" s="33"/>
      <c r="O661" s="93">
        <f>IFERROR(IF(Readings[[#This Row],[Obs. X]]="","-",Readings[[#This Row],[Obs. X]]-_xlfn.XLOOKUP(Readings[[#This Row],[Sensor ID]],Table_Baseline[Sensor ID],Table_Baseline[Easting '[m']],"-")),"-")</f>
        <v>-9.9999999656574801E-4</v>
      </c>
      <c r="P661" s="93">
        <f>IFERROR(IF(Readings[[#This Row],[Obs. Y]]="","-",Readings[[#This Row],[Obs. Y]]-_xlfn.XLOOKUP(Readings[[#This Row],[Sensor ID]],Table_Baseline[Sensor ID],Table_Baseline[Northing '[m']],"-")),"-")</f>
        <v>3.0000000260770321E-3</v>
      </c>
      <c r="Q661" s="93">
        <f>IFERROR(IF(Readings[[#This Row],[Obs. Z]]="","-",Readings[[#This Row],[Obs. Z]]-_xlfn.XLOOKUP(Readings[[#This Row],[Sensor ID]],Table_Baseline[Sensor ID],Table_Baseline[Level '[m']],"-")),"-")</f>
        <v>0</v>
      </c>
      <c r="R661" s="93">
        <f>IFERROR(IF(Readings[[#This Row],[Reference Angle]]="-","-",(Readings[[#This Row],[Diff E]]*COS(RADIANS(Readings[[#This Row],[Reference Angle]]))-Readings[[#This Row],[Diff N]]*SIN(RADIANS(Readings[[#This Row],[Reference Angle]])))),"-")</f>
        <v>-9.9999999656574801E-4</v>
      </c>
      <c r="S661" s="93">
        <f>IFERROR(IF(Readings[[#This Row],[Reference Angle]]="-","-",(Readings[[#This Row],[Diff E]]*SIN(RADIANS(Readings[[#This Row],[Reference Angle]]))+Readings[[#This Row],[Diff N]]*COS(RADIANS(Readings[[#This Row],[Reference Angle]])))),"-")</f>
        <v>3.0000000260770321E-3</v>
      </c>
      <c r="T661" s="94">
        <f>IFERROR(VLOOKUP(Readings[[#This Row],[Sensor ID]],Table_Baseline[],COLUMNS(Table_Baseline[[#Headers],[Sensor ID]:[Reference Angle '[Deg']]]),FALSE),"-")</f>
        <v>0</v>
      </c>
      <c r="U661" s="95" t="str">
        <f>Readings[[#This Row],[Sensor ID]]&amp;"-"&amp;Readings[[#This Row],[Epoch]]</f>
        <v>250-RL-OP-11018-45807.2638888889</v>
      </c>
      <c r="V661" s="99">
        <f ca="1">IF(Readings[[#This Row],[Epoch]]=OFFSET(Readings[[#This Row],[Epoch]],-1,0),0,1)</f>
        <v>0</v>
      </c>
    </row>
    <row r="662" spans="4:22" x14ac:dyDescent="0.2">
      <c r="D662" s="32">
        <v>45807.263888888891</v>
      </c>
      <c r="E662" s="33" t="s">
        <v>190</v>
      </c>
      <c r="F662" s="34">
        <v>60060.962</v>
      </c>
      <c r="G662" s="34">
        <v>363838.60399999999</v>
      </c>
      <c r="H662" s="34">
        <v>18.794</v>
      </c>
      <c r="I662" s="33" t="s">
        <v>85</v>
      </c>
      <c r="J662" s="33" t="s">
        <v>90</v>
      </c>
      <c r="K662" s="33">
        <v>15.3</v>
      </c>
      <c r="L662" s="33">
        <v>1015.6</v>
      </c>
      <c r="M662" s="33">
        <v>51</v>
      </c>
      <c r="N662" s="33"/>
      <c r="O662" s="93">
        <f>IFERROR(IF(Readings[[#This Row],[Obs. X]]="","-",Readings[[#This Row],[Obs. X]]-_xlfn.XLOOKUP(Readings[[#This Row],[Sensor ID]],Table_Baseline[Sensor ID],Table_Baseline[Easting '[m']],"-")),"-")</f>
        <v>-1.0000000038417056E-3</v>
      </c>
      <c r="P662" s="93">
        <f>IFERROR(IF(Readings[[#This Row],[Obs. Y]]="","-",Readings[[#This Row],[Obs. Y]]-_xlfn.XLOOKUP(Readings[[#This Row],[Sensor ID]],Table_Baseline[Sensor ID],Table_Baseline[Northing '[m']],"-")),"-")</f>
        <v>2.9999999678693712E-3</v>
      </c>
      <c r="Q662" s="93">
        <f>IFERROR(IF(Readings[[#This Row],[Obs. Z]]="","-",Readings[[#This Row],[Obs. Z]]-_xlfn.XLOOKUP(Readings[[#This Row],[Sensor ID]],Table_Baseline[Sensor ID],Table_Baseline[Level '[m']],"-")),"-")</f>
        <v>-5.9999999999860165E-4</v>
      </c>
      <c r="R662" s="93">
        <f>IFERROR(IF(Readings[[#This Row],[Reference Angle]]="-","-",(Readings[[#This Row],[Diff E]]*COS(RADIANS(Readings[[#This Row],[Reference Angle]]))-Readings[[#This Row],[Diff N]]*SIN(RADIANS(Readings[[#This Row],[Reference Angle]])))),"-")</f>
        <v>-1.0000000038417056E-3</v>
      </c>
      <c r="S662" s="93">
        <f>IFERROR(IF(Readings[[#This Row],[Reference Angle]]="-","-",(Readings[[#This Row],[Diff E]]*SIN(RADIANS(Readings[[#This Row],[Reference Angle]]))+Readings[[#This Row],[Diff N]]*COS(RADIANS(Readings[[#This Row],[Reference Angle]])))),"-")</f>
        <v>2.9999999678693712E-3</v>
      </c>
      <c r="T662" s="94">
        <f>IFERROR(VLOOKUP(Readings[[#This Row],[Sensor ID]],Table_Baseline[],COLUMNS(Table_Baseline[[#Headers],[Sensor ID]:[Reference Angle '[Deg']]]),FALSE),"-")</f>
        <v>0</v>
      </c>
      <c r="U662" s="95" t="str">
        <f>Readings[[#This Row],[Sensor ID]]&amp;"-"&amp;Readings[[#This Row],[Epoch]]</f>
        <v>250-RL-OP-11019-45807.2638888889</v>
      </c>
      <c r="V662" s="99">
        <f ca="1">IF(Readings[[#This Row],[Epoch]]=OFFSET(Readings[[#This Row],[Epoch]],-1,0),0,1)</f>
        <v>0</v>
      </c>
    </row>
    <row r="663" spans="4:22" x14ac:dyDescent="0.2">
      <c r="D663" s="32">
        <v>45807.263888888891</v>
      </c>
      <c r="E663" s="33" t="s">
        <v>189</v>
      </c>
      <c r="F663" s="34">
        <v>60060.639999999999</v>
      </c>
      <c r="G663" s="34">
        <v>363837.32500000001</v>
      </c>
      <c r="H663" s="34">
        <v>18.783000000000001</v>
      </c>
      <c r="I663" s="33" t="s">
        <v>85</v>
      </c>
      <c r="J663" s="33" t="s">
        <v>90</v>
      </c>
      <c r="K663" s="33">
        <v>15.3</v>
      </c>
      <c r="L663" s="33">
        <v>1015.6</v>
      </c>
      <c r="M663" s="33">
        <v>51</v>
      </c>
      <c r="N663" s="33"/>
      <c r="O663" s="93">
        <f>IFERROR(IF(Readings[[#This Row],[Obs. X]]="","-",Readings[[#This Row],[Obs. X]]-_xlfn.XLOOKUP(Readings[[#This Row],[Sensor ID]],Table_Baseline[Sensor ID],Table_Baseline[Easting '[m']],"-")),"-")</f>
        <v>0</v>
      </c>
      <c r="P663" s="93">
        <f>IFERROR(IF(Readings[[#This Row],[Obs. Y]]="","-",Readings[[#This Row],[Obs. Y]]-_xlfn.XLOOKUP(Readings[[#This Row],[Sensor ID]],Table_Baseline[Sensor ID],Table_Baseline[Northing '[m']],"-")),"-")</f>
        <v>3.0000000260770321E-3</v>
      </c>
      <c r="Q663" s="93">
        <f>IFERROR(IF(Readings[[#This Row],[Obs. Z]]="","-",Readings[[#This Row],[Obs. Z]]-_xlfn.XLOOKUP(Readings[[#This Row],[Sensor ID]],Table_Baseline[Sensor ID],Table_Baseline[Level '[m']],"-")),"-")</f>
        <v>-5.9999999999860165E-4</v>
      </c>
      <c r="R663" s="93">
        <f>IFERROR(IF(Readings[[#This Row],[Reference Angle]]="-","-",(Readings[[#This Row],[Diff E]]*COS(RADIANS(Readings[[#This Row],[Reference Angle]]))-Readings[[#This Row],[Diff N]]*SIN(RADIANS(Readings[[#This Row],[Reference Angle]])))),"-")</f>
        <v>0</v>
      </c>
      <c r="S663" s="93">
        <f>IFERROR(IF(Readings[[#This Row],[Reference Angle]]="-","-",(Readings[[#This Row],[Diff E]]*SIN(RADIANS(Readings[[#This Row],[Reference Angle]]))+Readings[[#This Row],[Diff N]]*COS(RADIANS(Readings[[#This Row],[Reference Angle]])))),"-")</f>
        <v>3.0000000260770321E-3</v>
      </c>
      <c r="T663" s="94">
        <f>IFERROR(VLOOKUP(Readings[[#This Row],[Sensor ID]],Table_Baseline[],COLUMNS(Table_Baseline[[#Headers],[Sensor ID]:[Reference Angle '[Deg']]]),FALSE),"-")</f>
        <v>0</v>
      </c>
      <c r="U663" s="95" t="str">
        <f>Readings[[#This Row],[Sensor ID]]&amp;"-"&amp;Readings[[#This Row],[Epoch]]</f>
        <v>250-RL-OP-11020-45807.2638888889</v>
      </c>
      <c r="V663" s="99">
        <f ca="1">IF(Readings[[#This Row],[Epoch]]=OFFSET(Readings[[#This Row],[Epoch]],-1,0),0,1)</f>
        <v>0</v>
      </c>
    </row>
    <row r="664" spans="4:22" x14ac:dyDescent="0.2">
      <c r="D664" s="32">
        <v>45807.263888888891</v>
      </c>
      <c r="E664" s="33" t="s">
        <v>192</v>
      </c>
      <c r="F664" s="34">
        <v>60063.75</v>
      </c>
      <c r="G664" s="34">
        <v>363837.92000000004</v>
      </c>
      <c r="H664" s="34">
        <v>18.808</v>
      </c>
      <c r="I664" s="33" t="s">
        <v>85</v>
      </c>
      <c r="J664" s="33" t="s">
        <v>90</v>
      </c>
      <c r="K664" s="33">
        <v>15.3</v>
      </c>
      <c r="L664" s="33">
        <v>1015.6</v>
      </c>
      <c r="M664" s="33">
        <v>51</v>
      </c>
      <c r="N664" s="33"/>
      <c r="O664" s="93">
        <f>IFERROR(IF(Readings[[#This Row],[Obs. X]]="","-",Readings[[#This Row],[Obs. X]]-_xlfn.XLOOKUP(Readings[[#This Row],[Sensor ID]],Table_Baseline[Sensor ID],Table_Baseline[Easting '[m']],"-")),"-")</f>
        <v>-9.9999999656574801E-4</v>
      </c>
      <c r="P664" s="93">
        <f>IFERROR(IF(Readings[[#This Row],[Obs. Y]]="","-",Readings[[#This Row],[Obs. Y]]-_xlfn.XLOOKUP(Readings[[#This Row],[Sensor ID]],Table_Baseline[Sensor ID],Table_Baseline[Northing '[m']],"-")),"-")</f>
        <v>2.0000000367872417E-3</v>
      </c>
      <c r="Q664" s="93">
        <f>IFERROR(IF(Readings[[#This Row],[Obs. Z]]="","-",Readings[[#This Row],[Obs. Z]]-_xlfn.XLOOKUP(Readings[[#This Row],[Sensor ID]],Table_Baseline[Sensor ID],Table_Baseline[Level '[m']],"-")),"-")</f>
        <v>-1.0000000000012221E-3</v>
      </c>
      <c r="R664" s="93">
        <f>IFERROR(IF(Readings[[#This Row],[Reference Angle]]="-","-",(Readings[[#This Row],[Diff E]]*COS(RADIANS(Readings[[#This Row],[Reference Angle]]))-Readings[[#This Row],[Diff N]]*SIN(RADIANS(Readings[[#This Row],[Reference Angle]])))),"-")</f>
        <v>-9.9999999656574801E-4</v>
      </c>
      <c r="S664" s="93">
        <f>IFERROR(IF(Readings[[#This Row],[Reference Angle]]="-","-",(Readings[[#This Row],[Diff E]]*SIN(RADIANS(Readings[[#This Row],[Reference Angle]]))+Readings[[#This Row],[Diff N]]*COS(RADIANS(Readings[[#This Row],[Reference Angle]])))),"-")</f>
        <v>2.0000000367872417E-3</v>
      </c>
      <c r="T664" s="94">
        <f>IFERROR(VLOOKUP(Readings[[#This Row],[Sensor ID]],Table_Baseline[],COLUMNS(Table_Baseline[[#Headers],[Sensor ID]:[Reference Angle '[Deg']]]),FALSE),"-")</f>
        <v>0</v>
      </c>
      <c r="U664" s="95" t="str">
        <f>Readings[[#This Row],[Sensor ID]]&amp;"-"&amp;Readings[[#This Row],[Epoch]]</f>
        <v>250-RL-OP-11021-45807.2638888889</v>
      </c>
      <c r="V664" s="99">
        <f ca="1">IF(Readings[[#This Row],[Epoch]]=OFFSET(Readings[[#This Row],[Epoch]],-1,0),0,1)</f>
        <v>0</v>
      </c>
    </row>
    <row r="665" spans="4:22" x14ac:dyDescent="0.2">
      <c r="D665" s="32">
        <v>45807.263888888891</v>
      </c>
      <c r="E665" s="33" t="s">
        <v>191</v>
      </c>
      <c r="F665" s="34">
        <v>60063.421000000002</v>
      </c>
      <c r="G665" s="34">
        <v>363836.63899999997</v>
      </c>
      <c r="H665" s="34">
        <v>18.794</v>
      </c>
      <c r="I665" s="33" t="s">
        <v>85</v>
      </c>
      <c r="J665" s="33" t="s">
        <v>90</v>
      </c>
      <c r="K665" s="33">
        <v>15.3</v>
      </c>
      <c r="L665" s="33">
        <v>1015.6</v>
      </c>
      <c r="M665" s="33">
        <v>51</v>
      </c>
      <c r="N665" s="33"/>
      <c r="O665" s="93">
        <f>IFERROR(IF(Readings[[#This Row],[Obs. X]]="","-",Readings[[#This Row],[Obs. X]]-_xlfn.XLOOKUP(Readings[[#This Row],[Sensor ID]],Table_Baseline[Sensor ID],Table_Baseline[Easting '[m']],"-")),"-")</f>
        <v>-9.9999999656574801E-4</v>
      </c>
      <c r="P665" s="93">
        <f>IFERROR(IF(Readings[[#This Row],[Obs. Y]]="","-",Readings[[#This Row],[Obs. Y]]-_xlfn.XLOOKUP(Readings[[#This Row],[Sensor ID]],Table_Baseline[Sensor ID],Table_Baseline[Northing '[m']],"-")),"-")</f>
        <v>2.9999999678693712E-3</v>
      </c>
      <c r="Q665" s="93">
        <f>IFERROR(IF(Readings[[#This Row],[Obs. Z]]="","-",Readings[[#This Row],[Obs. Z]]-_xlfn.XLOOKUP(Readings[[#This Row],[Sensor ID]],Table_Baseline[Sensor ID],Table_Baseline[Level '[m']],"-")),"-")</f>
        <v>-8.9999999999790248E-4</v>
      </c>
      <c r="R665" s="93">
        <f>IFERROR(IF(Readings[[#This Row],[Reference Angle]]="-","-",(Readings[[#This Row],[Diff E]]*COS(RADIANS(Readings[[#This Row],[Reference Angle]]))-Readings[[#This Row],[Diff N]]*SIN(RADIANS(Readings[[#This Row],[Reference Angle]])))),"-")</f>
        <v>-9.9999999656574801E-4</v>
      </c>
      <c r="S665" s="93">
        <f>IFERROR(IF(Readings[[#This Row],[Reference Angle]]="-","-",(Readings[[#This Row],[Diff E]]*SIN(RADIANS(Readings[[#This Row],[Reference Angle]]))+Readings[[#This Row],[Diff N]]*COS(RADIANS(Readings[[#This Row],[Reference Angle]])))),"-")</f>
        <v>2.9999999678693712E-3</v>
      </c>
      <c r="T665" s="94">
        <f>IFERROR(VLOOKUP(Readings[[#This Row],[Sensor ID]],Table_Baseline[],COLUMNS(Table_Baseline[[#Headers],[Sensor ID]:[Reference Angle '[Deg']]]),FALSE),"-")</f>
        <v>0</v>
      </c>
      <c r="U665" s="95" t="str">
        <f>Readings[[#This Row],[Sensor ID]]&amp;"-"&amp;Readings[[#This Row],[Epoch]]</f>
        <v>250-RL-OP-11022-45807.2638888889</v>
      </c>
      <c r="V665" s="99">
        <f ca="1">IF(Readings[[#This Row],[Epoch]]=OFFSET(Readings[[#This Row],[Epoch]],-1,0),0,1)</f>
        <v>0</v>
      </c>
    </row>
    <row r="666" spans="4:22" x14ac:dyDescent="0.2">
      <c r="D666" s="32">
        <v>45807.263888888891</v>
      </c>
      <c r="E666" s="33" t="s">
        <v>165</v>
      </c>
      <c r="F666" s="34">
        <v>60034.538999999997</v>
      </c>
      <c r="G666" s="34">
        <v>363843.38199999998</v>
      </c>
      <c r="H666" s="34">
        <v>19.332000000000001</v>
      </c>
      <c r="I666" s="33" t="s">
        <v>85</v>
      </c>
      <c r="J666" s="33" t="s">
        <v>90</v>
      </c>
      <c r="K666" s="33">
        <v>15.3</v>
      </c>
      <c r="L666" s="33">
        <v>1015.6</v>
      </c>
      <c r="M666" s="33">
        <v>51</v>
      </c>
      <c r="N666" s="33"/>
      <c r="O666" s="93" t="str">
        <f>IFERROR(IF(Readings[[#This Row],[Obs. X]]="","-",Readings[[#This Row],[Obs. X]]-_xlfn.XLOOKUP(Readings[[#This Row],[Sensor ID]],Table_Baseline[Sensor ID],Table_Baseline[Easting '[m']],"-")),"-")</f>
        <v>-</v>
      </c>
      <c r="P666" s="93" t="str">
        <f>IFERROR(IF(Readings[[#This Row],[Obs. Y]]="","-",Readings[[#This Row],[Obs. Y]]-_xlfn.XLOOKUP(Readings[[#This Row],[Sensor ID]],Table_Baseline[Sensor ID],Table_Baseline[Northing '[m']],"-")),"-")</f>
        <v>-</v>
      </c>
      <c r="Q666" s="93" t="str">
        <f>IFERROR(IF(Readings[[#This Row],[Obs. Z]]="","-",Readings[[#This Row],[Obs. Z]]-_xlfn.XLOOKUP(Readings[[#This Row],[Sensor ID]],Table_Baseline[Sensor ID],Table_Baseline[Level '[m']],"-")),"-")</f>
        <v>-</v>
      </c>
      <c r="R666" s="93" t="str">
        <f>IFERROR(IF(Readings[[#This Row],[Reference Angle]]="-","-",(Readings[[#This Row],[Diff E]]*COS(RADIANS(Readings[[#This Row],[Reference Angle]]))-Readings[[#This Row],[Diff N]]*SIN(RADIANS(Readings[[#This Row],[Reference Angle]])))),"-")</f>
        <v>-</v>
      </c>
      <c r="S666" s="93" t="str">
        <f>IFERROR(IF(Readings[[#This Row],[Reference Angle]]="-","-",(Readings[[#This Row],[Diff E]]*SIN(RADIANS(Readings[[#This Row],[Reference Angle]]))+Readings[[#This Row],[Diff N]]*COS(RADIANS(Readings[[#This Row],[Reference Angle]])))),"-")</f>
        <v>-</v>
      </c>
      <c r="T666" s="94" t="str">
        <f>IFERROR(VLOOKUP(Readings[[#This Row],[Sensor ID]],Table_Baseline[],COLUMNS(Table_Baseline[[#Headers],[Sensor ID]:[Reference Angle '[Deg']]]),FALSE),"-")</f>
        <v>-</v>
      </c>
      <c r="U666" s="95" t="str">
        <f>Readings[[#This Row],[Sensor ID]]&amp;"-"&amp;Readings[[#This Row],[Epoch]]</f>
        <v>250-ST-OP-500-45807.2638888889</v>
      </c>
      <c r="V666" s="99">
        <f ca="1">IF(Readings[[#This Row],[Epoch]]=OFFSET(Readings[[#This Row],[Epoch]],-1,0),0,1)</f>
        <v>0</v>
      </c>
    </row>
    <row r="667" spans="4:22" x14ac:dyDescent="0.2">
      <c r="D667" s="32">
        <v>45807.263888888891</v>
      </c>
      <c r="E667" s="33" t="s">
        <v>166</v>
      </c>
      <c r="F667" s="34">
        <v>60040.286999999997</v>
      </c>
      <c r="G667" s="34">
        <v>363841.73</v>
      </c>
      <c r="H667" s="34">
        <v>19.321999999999999</v>
      </c>
      <c r="I667" s="33" t="s">
        <v>85</v>
      </c>
      <c r="J667" s="33" t="s">
        <v>90</v>
      </c>
      <c r="K667" s="33">
        <v>15.3</v>
      </c>
      <c r="L667" s="33">
        <v>1015.6</v>
      </c>
      <c r="M667" s="33">
        <v>51</v>
      </c>
      <c r="N667" s="33"/>
      <c r="O667" s="93" t="str">
        <f>IFERROR(IF(Readings[[#This Row],[Obs. X]]="","-",Readings[[#This Row],[Obs. X]]-_xlfn.XLOOKUP(Readings[[#This Row],[Sensor ID]],Table_Baseline[Sensor ID],Table_Baseline[Easting '[m']],"-")),"-")</f>
        <v>-</v>
      </c>
      <c r="P667" s="93" t="str">
        <f>IFERROR(IF(Readings[[#This Row],[Obs. Y]]="","-",Readings[[#This Row],[Obs. Y]]-_xlfn.XLOOKUP(Readings[[#This Row],[Sensor ID]],Table_Baseline[Sensor ID],Table_Baseline[Northing '[m']],"-")),"-")</f>
        <v>-</v>
      </c>
      <c r="Q667" s="93" t="str">
        <f>IFERROR(IF(Readings[[#This Row],[Obs. Z]]="","-",Readings[[#This Row],[Obs. Z]]-_xlfn.XLOOKUP(Readings[[#This Row],[Sensor ID]],Table_Baseline[Sensor ID],Table_Baseline[Level '[m']],"-")),"-")</f>
        <v>-</v>
      </c>
      <c r="R667" s="93" t="str">
        <f>IFERROR(IF(Readings[[#This Row],[Reference Angle]]="-","-",(Readings[[#This Row],[Diff E]]*COS(RADIANS(Readings[[#This Row],[Reference Angle]]))-Readings[[#This Row],[Diff N]]*SIN(RADIANS(Readings[[#This Row],[Reference Angle]])))),"-")</f>
        <v>-</v>
      </c>
      <c r="S667" s="93" t="str">
        <f>IFERROR(IF(Readings[[#This Row],[Reference Angle]]="-","-",(Readings[[#This Row],[Diff E]]*SIN(RADIANS(Readings[[#This Row],[Reference Angle]]))+Readings[[#This Row],[Diff N]]*COS(RADIANS(Readings[[#This Row],[Reference Angle]])))),"-")</f>
        <v>-</v>
      </c>
      <c r="T667" s="94" t="str">
        <f>IFERROR(VLOOKUP(Readings[[#This Row],[Sensor ID]],Table_Baseline[],COLUMNS(Table_Baseline[[#Headers],[Sensor ID]:[Reference Angle '[Deg']]]),FALSE),"-")</f>
        <v>-</v>
      </c>
      <c r="U667" s="95" t="str">
        <f>Readings[[#This Row],[Sensor ID]]&amp;"-"&amp;Readings[[#This Row],[Epoch]]</f>
        <v>250-ST-OP-501-45807.2638888889</v>
      </c>
      <c r="V667" s="99">
        <f ca="1">IF(Readings[[#This Row],[Epoch]]=OFFSET(Readings[[#This Row],[Epoch]],-1,0),0,1)</f>
        <v>0</v>
      </c>
    </row>
    <row r="668" spans="4:22" x14ac:dyDescent="0.2">
      <c r="D668" s="32">
        <v>45807.263888888891</v>
      </c>
      <c r="E668" s="33" t="s">
        <v>167</v>
      </c>
      <c r="F668" s="34">
        <v>60045.921000000002</v>
      </c>
      <c r="G668" s="34">
        <v>363840.10100000002</v>
      </c>
      <c r="H668" s="34">
        <v>19.334</v>
      </c>
      <c r="I668" s="33" t="s">
        <v>85</v>
      </c>
      <c r="J668" s="33" t="s">
        <v>90</v>
      </c>
      <c r="K668" s="33">
        <v>15.3</v>
      </c>
      <c r="L668" s="33">
        <v>1015.6</v>
      </c>
      <c r="M668" s="33">
        <v>51</v>
      </c>
      <c r="N668" s="33"/>
      <c r="O668" s="93" t="str">
        <f>IFERROR(IF(Readings[[#This Row],[Obs. X]]="","-",Readings[[#This Row],[Obs. X]]-_xlfn.XLOOKUP(Readings[[#This Row],[Sensor ID]],Table_Baseline[Sensor ID],Table_Baseline[Easting '[m']],"-")),"-")</f>
        <v>-</v>
      </c>
      <c r="P668" s="93" t="str">
        <f>IFERROR(IF(Readings[[#This Row],[Obs. Y]]="","-",Readings[[#This Row],[Obs. Y]]-_xlfn.XLOOKUP(Readings[[#This Row],[Sensor ID]],Table_Baseline[Sensor ID],Table_Baseline[Northing '[m']],"-")),"-")</f>
        <v>-</v>
      </c>
      <c r="Q668" s="93" t="str">
        <f>IFERROR(IF(Readings[[#This Row],[Obs. Z]]="","-",Readings[[#This Row],[Obs. Z]]-_xlfn.XLOOKUP(Readings[[#This Row],[Sensor ID]],Table_Baseline[Sensor ID],Table_Baseline[Level '[m']],"-")),"-")</f>
        <v>-</v>
      </c>
      <c r="R668" s="93" t="str">
        <f>IFERROR(IF(Readings[[#This Row],[Reference Angle]]="-","-",(Readings[[#This Row],[Diff E]]*COS(RADIANS(Readings[[#This Row],[Reference Angle]]))-Readings[[#This Row],[Diff N]]*SIN(RADIANS(Readings[[#This Row],[Reference Angle]])))),"-")</f>
        <v>-</v>
      </c>
      <c r="S668" s="93" t="str">
        <f>IFERROR(IF(Readings[[#This Row],[Reference Angle]]="-","-",(Readings[[#This Row],[Diff E]]*SIN(RADIANS(Readings[[#This Row],[Reference Angle]]))+Readings[[#This Row],[Diff N]]*COS(RADIANS(Readings[[#This Row],[Reference Angle]])))),"-")</f>
        <v>-</v>
      </c>
      <c r="T668" s="94" t="str">
        <f>IFERROR(VLOOKUP(Readings[[#This Row],[Sensor ID]],Table_Baseline[],COLUMNS(Table_Baseline[[#Headers],[Sensor ID]:[Reference Angle '[Deg']]]),FALSE),"-")</f>
        <v>-</v>
      </c>
      <c r="U668" s="95" t="str">
        <f>Readings[[#This Row],[Sensor ID]]&amp;"-"&amp;Readings[[#This Row],[Epoch]]</f>
        <v>250-ST-OP-502-45807.2638888889</v>
      </c>
      <c r="V668" s="99">
        <f ca="1">IF(Readings[[#This Row],[Epoch]]=OFFSET(Readings[[#This Row],[Epoch]],-1,0),0,1)</f>
        <v>0</v>
      </c>
    </row>
    <row r="669" spans="4:22" x14ac:dyDescent="0.2">
      <c r="D669" s="32">
        <v>45807.263888888891</v>
      </c>
      <c r="E669" s="33" t="s">
        <v>168</v>
      </c>
      <c r="F669" s="34">
        <v>60049.767999999996</v>
      </c>
      <c r="G669" s="34">
        <v>363838.99400000001</v>
      </c>
      <c r="H669" s="34">
        <v>19.344999999999999</v>
      </c>
      <c r="I669" s="33" t="s">
        <v>85</v>
      </c>
      <c r="J669" s="33" t="s">
        <v>90</v>
      </c>
      <c r="K669" s="33">
        <v>15.3</v>
      </c>
      <c r="L669" s="33">
        <v>1015.6</v>
      </c>
      <c r="M669" s="33">
        <v>51</v>
      </c>
      <c r="N669" s="33"/>
      <c r="O669" s="93" t="str">
        <f>IFERROR(IF(Readings[[#This Row],[Obs. X]]="","-",Readings[[#This Row],[Obs. X]]-_xlfn.XLOOKUP(Readings[[#This Row],[Sensor ID]],Table_Baseline[Sensor ID],Table_Baseline[Easting '[m']],"-")),"-")</f>
        <v>-</v>
      </c>
      <c r="P669" s="93" t="str">
        <f>IFERROR(IF(Readings[[#This Row],[Obs. Y]]="","-",Readings[[#This Row],[Obs. Y]]-_xlfn.XLOOKUP(Readings[[#This Row],[Sensor ID]],Table_Baseline[Sensor ID],Table_Baseline[Northing '[m']],"-")),"-")</f>
        <v>-</v>
      </c>
      <c r="Q669" s="93" t="str">
        <f>IFERROR(IF(Readings[[#This Row],[Obs. Z]]="","-",Readings[[#This Row],[Obs. Z]]-_xlfn.XLOOKUP(Readings[[#This Row],[Sensor ID]],Table_Baseline[Sensor ID],Table_Baseline[Level '[m']],"-")),"-")</f>
        <v>-</v>
      </c>
      <c r="R669" s="93" t="str">
        <f>IFERROR(IF(Readings[[#This Row],[Reference Angle]]="-","-",(Readings[[#This Row],[Diff E]]*COS(RADIANS(Readings[[#This Row],[Reference Angle]]))-Readings[[#This Row],[Diff N]]*SIN(RADIANS(Readings[[#This Row],[Reference Angle]])))),"-")</f>
        <v>-</v>
      </c>
      <c r="S669" s="93" t="str">
        <f>IFERROR(IF(Readings[[#This Row],[Reference Angle]]="-","-",(Readings[[#This Row],[Diff E]]*SIN(RADIANS(Readings[[#This Row],[Reference Angle]]))+Readings[[#This Row],[Diff N]]*COS(RADIANS(Readings[[#This Row],[Reference Angle]])))),"-")</f>
        <v>-</v>
      </c>
      <c r="T669" s="94" t="str">
        <f>IFERROR(VLOOKUP(Readings[[#This Row],[Sensor ID]],Table_Baseline[],COLUMNS(Table_Baseline[[#Headers],[Sensor ID]:[Reference Angle '[Deg']]]),FALSE),"-")</f>
        <v>-</v>
      </c>
      <c r="U669" s="95" t="str">
        <f>Readings[[#This Row],[Sensor ID]]&amp;"-"&amp;Readings[[#This Row],[Epoch]]</f>
        <v>250-ST-OP-503-45807.2638888889</v>
      </c>
      <c r="V669" s="99">
        <f ca="1">IF(Readings[[#This Row],[Epoch]]=OFFSET(Readings[[#This Row],[Epoch]],-1,0),0,1)</f>
        <v>0</v>
      </c>
    </row>
    <row r="670" spans="4:22" x14ac:dyDescent="0.2">
      <c r="D670" s="32">
        <v>45807.263888888891</v>
      </c>
      <c r="E670" s="33" t="s">
        <v>169</v>
      </c>
      <c r="F670" s="34">
        <v>60053.608999999997</v>
      </c>
      <c r="G670" s="34">
        <v>363837.88300000003</v>
      </c>
      <c r="H670" s="34">
        <v>19.356999999999999</v>
      </c>
      <c r="I670" s="33" t="s">
        <v>85</v>
      </c>
      <c r="J670" s="33" t="s">
        <v>90</v>
      </c>
      <c r="K670" s="33">
        <v>15.3</v>
      </c>
      <c r="L670" s="33">
        <v>1015.6</v>
      </c>
      <c r="M670" s="33">
        <v>51</v>
      </c>
      <c r="N670" s="33"/>
      <c r="O670" s="93" t="str">
        <f>IFERROR(IF(Readings[[#This Row],[Obs. X]]="","-",Readings[[#This Row],[Obs. X]]-_xlfn.XLOOKUP(Readings[[#This Row],[Sensor ID]],Table_Baseline[Sensor ID],Table_Baseline[Easting '[m']],"-")),"-")</f>
        <v>-</v>
      </c>
      <c r="P670" s="93" t="str">
        <f>IFERROR(IF(Readings[[#This Row],[Obs. Y]]="","-",Readings[[#This Row],[Obs. Y]]-_xlfn.XLOOKUP(Readings[[#This Row],[Sensor ID]],Table_Baseline[Sensor ID],Table_Baseline[Northing '[m']],"-")),"-")</f>
        <v>-</v>
      </c>
      <c r="Q670" s="93" t="str">
        <f>IFERROR(IF(Readings[[#This Row],[Obs. Z]]="","-",Readings[[#This Row],[Obs. Z]]-_xlfn.XLOOKUP(Readings[[#This Row],[Sensor ID]],Table_Baseline[Sensor ID],Table_Baseline[Level '[m']],"-")),"-")</f>
        <v>-</v>
      </c>
      <c r="R670" s="93" t="str">
        <f>IFERROR(IF(Readings[[#This Row],[Reference Angle]]="-","-",(Readings[[#This Row],[Diff E]]*COS(RADIANS(Readings[[#This Row],[Reference Angle]]))-Readings[[#This Row],[Diff N]]*SIN(RADIANS(Readings[[#This Row],[Reference Angle]])))),"-")</f>
        <v>-</v>
      </c>
      <c r="S670" s="93" t="str">
        <f>IFERROR(IF(Readings[[#This Row],[Reference Angle]]="-","-",(Readings[[#This Row],[Diff E]]*SIN(RADIANS(Readings[[#This Row],[Reference Angle]]))+Readings[[#This Row],[Diff N]]*COS(RADIANS(Readings[[#This Row],[Reference Angle]])))),"-")</f>
        <v>-</v>
      </c>
      <c r="T670" s="94" t="str">
        <f>IFERROR(VLOOKUP(Readings[[#This Row],[Sensor ID]],Table_Baseline[],COLUMNS(Table_Baseline[[#Headers],[Sensor ID]:[Reference Angle '[Deg']]]),FALSE),"-")</f>
        <v>-</v>
      </c>
      <c r="U670" s="95" t="str">
        <f>Readings[[#This Row],[Sensor ID]]&amp;"-"&amp;Readings[[#This Row],[Epoch]]</f>
        <v>250-ST-OP-504-45807.2638888889</v>
      </c>
      <c r="V670" s="99">
        <f ca="1">IF(Readings[[#This Row],[Epoch]]=OFFSET(Readings[[#This Row],[Epoch]],-1,0),0,1)</f>
        <v>0</v>
      </c>
    </row>
    <row r="671" spans="4:22" x14ac:dyDescent="0.2">
      <c r="D671" s="204">
        <v>45807.263888888891</v>
      </c>
      <c r="E671" s="151" t="s">
        <v>170</v>
      </c>
      <c r="F671" s="152">
        <v>60060.065000000002</v>
      </c>
      <c r="G671" s="152">
        <v>363836.02399999998</v>
      </c>
      <c r="H671" s="152">
        <v>19.356999999999999</v>
      </c>
      <c r="I671" s="151" t="s">
        <v>85</v>
      </c>
      <c r="J671" s="151" t="s">
        <v>90</v>
      </c>
      <c r="K671" s="151">
        <v>15.3</v>
      </c>
      <c r="L671" s="151">
        <v>1015.6</v>
      </c>
      <c r="M671" s="151">
        <v>51</v>
      </c>
      <c r="N671" s="151"/>
      <c r="O671" s="96" t="str">
        <f>IFERROR(IF(Readings[[#This Row],[Obs. X]]="","-",Readings[[#This Row],[Obs. X]]-_xlfn.XLOOKUP(Readings[[#This Row],[Sensor ID]],Table_Baseline[Sensor ID],Table_Baseline[Easting '[m']],"-")),"-")</f>
        <v>-</v>
      </c>
      <c r="P671" s="96" t="str">
        <f>IFERROR(IF(Readings[[#This Row],[Obs. Y]]="","-",Readings[[#This Row],[Obs. Y]]-_xlfn.XLOOKUP(Readings[[#This Row],[Sensor ID]],Table_Baseline[Sensor ID],Table_Baseline[Northing '[m']],"-")),"-")</f>
        <v>-</v>
      </c>
      <c r="Q671" s="96" t="str">
        <f>IFERROR(IF(Readings[[#This Row],[Obs. Z]]="","-",Readings[[#This Row],[Obs. Z]]-_xlfn.XLOOKUP(Readings[[#This Row],[Sensor ID]],Table_Baseline[Sensor ID],Table_Baseline[Level '[m']],"-")),"-")</f>
        <v>-</v>
      </c>
      <c r="R671" s="96" t="str">
        <f>IFERROR(IF(Readings[[#This Row],[Reference Angle]]="-","-",(Readings[[#This Row],[Diff E]]*COS(RADIANS(Readings[[#This Row],[Reference Angle]]))-Readings[[#This Row],[Diff N]]*SIN(RADIANS(Readings[[#This Row],[Reference Angle]])))),"-")</f>
        <v>-</v>
      </c>
      <c r="S671" s="96" t="str">
        <f>IFERROR(IF(Readings[[#This Row],[Reference Angle]]="-","-",(Readings[[#This Row],[Diff E]]*SIN(RADIANS(Readings[[#This Row],[Reference Angle]]))+Readings[[#This Row],[Diff N]]*COS(RADIANS(Readings[[#This Row],[Reference Angle]])))),"-")</f>
        <v>-</v>
      </c>
      <c r="T671" s="97" t="str">
        <f>IFERROR(VLOOKUP(Readings[[#This Row],[Sensor ID]],Table_Baseline[],COLUMNS(Table_Baseline[[#Headers],[Sensor ID]:[Reference Angle '[Deg']]]),FALSE),"-")</f>
        <v>-</v>
      </c>
      <c r="U671" s="98" t="str">
        <f>Readings[[#This Row],[Sensor ID]]&amp;"-"&amp;Readings[[#This Row],[Epoch]]</f>
        <v>250-ST-OP-505-45807.2638888889</v>
      </c>
      <c r="V671" s="100">
        <f ca="1">IF(Readings[[#This Row],[Epoch]]=OFFSET(Readings[[#This Row],[Epoch]],-1,0),0,1)</f>
        <v>0</v>
      </c>
    </row>
    <row r="672" spans="4:22" x14ac:dyDescent="0.2">
      <c r="D672" s="32">
        <v>45810.270833333336</v>
      </c>
      <c r="E672" s="33" t="s">
        <v>172</v>
      </c>
      <c r="F672" s="34">
        <v>60035.339</v>
      </c>
      <c r="G672" s="34">
        <v>363845.739</v>
      </c>
      <c r="H672" s="34">
        <v>18.782</v>
      </c>
      <c r="I672" s="33" t="s">
        <v>85</v>
      </c>
      <c r="J672" s="33" t="s">
        <v>90</v>
      </c>
      <c r="K672" s="33">
        <v>15</v>
      </c>
      <c r="L672" s="33">
        <v>1020</v>
      </c>
      <c r="M672" s="33">
        <v>78</v>
      </c>
      <c r="N672" s="33"/>
      <c r="O672" s="93">
        <f>IFERROR(IF(Readings[[#This Row],[Obs. X]]="","-",Readings[[#This Row],[Obs. X]]-_xlfn.XLOOKUP(Readings[[#This Row],[Sensor ID]],Table_Baseline[Sensor ID],Table_Baseline[Easting '[m']],"-")),"-")</f>
        <v>-9.9999999656574801E-4</v>
      </c>
      <c r="P672" s="93">
        <f>IFERROR(IF(Readings[[#This Row],[Obs. Y]]="","-",Readings[[#This Row],[Obs. Y]]-_xlfn.XLOOKUP(Readings[[#This Row],[Sensor ID]],Table_Baseline[Sensor ID],Table_Baseline[Northing '[m']],"-")),"-")</f>
        <v>0</v>
      </c>
      <c r="Q672" s="93">
        <f>IFERROR(IF(Readings[[#This Row],[Obs. Z]]="","-",Readings[[#This Row],[Obs. Z]]-_xlfn.XLOOKUP(Readings[[#This Row],[Sensor ID]],Table_Baseline[Sensor ID],Table_Baseline[Level '[m']],"-")),"-")</f>
        <v>0</v>
      </c>
      <c r="R672" s="93">
        <f>IFERROR(IF(Readings[[#This Row],[Reference Angle]]="-","-",(Readings[[#This Row],[Diff E]]*COS(RADIANS(Readings[[#This Row],[Reference Angle]]))-Readings[[#This Row],[Diff N]]*SIN(RADIANS(Readings[[#This Row],[Reference Angle]])))),"-")</f>
        <v>-9.9999999656574801E-4</v>
      </c>
      <c r="S672" s="93">
        <f>IFERROR(IF(Readings[[#This Row],[Reference Angle]]="-","-",(Readings[[#This Row],[Diff E]]*SIN(RADIANS(Readings[[#This Row],[Reference Angle]]))+Readings[[#This Row],[Diff N]]*COS(RADIANS(Readings[[#This Row],[Reference Angle]])))),"-")</f>
        <v>0</v>
      </c>
      <c r="T672" s="94">
        <f>IFERROR(VLOOKUP(Readings[[#This Row],[Sensor ID]],Table_Baseline[],COLUMNS(Table_Baseline[[#Headers],[Sensor ID]:[Reference Angle '[Deg']]]),FALSE),"-")</f>
        <v>0</v>
      </c>
      <c r="U672" s="95" t="str">
        <f>Readings[[#This Row],[Sensor ID]]&amp;"-"&amp;Readings[[#This Row],[Epoch]]</f>
        <v>250-RL-OP-11001-45810.2708333333</v>
      </c>
      <c r="V672" s="99">
        <f ca="1">IF(Readings[[#This Row],[Epoch]]=OFFSET(Readings[[#This Row],[Epoch]],-1,0),0,1)</f>
        <v>1</v>
      </c>
    </row>
    <row r="673" spans="4:22" x14ac:dyDescent="0.2">
      <c r="D673" s="32">
        <v>45810.270833333336</v>
      </c>
      <c r="E673" s="33" t="s">
        <v>171</v>
      </c>
      <c r="F673" s="34">
        <v>60034.959000000003</v>
      </c>
      <c r="G673" s="34">
        <v>363844.47100000002</v>
      </c>
      <c r="H673" s="34">
        <v>18.777999999999999</v>
      </c>
      <c r="I673" s="33" t="s">
        <v>85</v>
      </c>
      <c r="J673" s="33" t="s">
        <v>90</v>
      </c>
      <c r="K673" s="33">
        <v>15</v>
      </c>
      <c r="L673" s="33">
        <v>1020</v>
      </c>
      <c r="M673" s="33">
        <v>78</v>
      </c>
      <c r="N673" s="33"/>
      <c r="O673" s="93">
        <f>IFERROR(IF(Readings[[#This Row],[Obs. X]]="","-",Readings[[#This Row],[Obs. X]]-_xlfn.XLOOKUP(Readings[[#This Row],[Sensor ID]],Table_Baseline[Sensor ID],Table_Baseline[Easting '[m']],"-")),"-")</f>
        <v>0</v>
      </c>
      <c r="P673" s="93">
        <f>IFERROR(IF(Readings[[#This Row],[Obs. Y]]="","-",Readings[[#This Row],[Obs. Y]]-_xlfn.XLOOKUP(Readings[[#This Row],[Sensor ID]],Table_Baseline[Sensor ID],Table_Baseline[Northing '[m']],"-")),"-")</f>
        <v>0</v>
      </c>
      <c r="Q673" s="93">
        <f>IFERROR(IF(Readings[[#This Row],[Obs. Z]]="","-",Readings[[#This Row],[Obs. Z]]-_xlfn.XLOOKUP(Readings[[#This Row],[Sensor ID]],Table_Baseline[Sensor ID],Table_Baseline[Level '[m']],"-")),"-")</f>
        <v>-9.9999999999766942E-5</v>
      </c>
      <c r="R673" s="93">
        <f>IFERROR(IF(Readings[[#This Row],[Reference Angle]]="-","-",(Readings[[#This Row],[Diff E]]*COS(RADIANS(Readings[[#This Row],[Reference Angle]]))-Readings[[#This Row],[Diff N]]*SIN(RADIANS(Readings[[#This Row],[Reference Angle]])))),"-")</f>
        <v>0</v>
      </c>
      <c r="S673" s="93">
        <f>IFERROR(IF(Readings[[#This Row],[Reference Angle]]="-","-",(Readings[[#This Row],[Diff E]]*SIN(RADIANS(Readings[[#This Row],[Reference Angle]]))+Readings[[#This Row],[Diff N]]*COS(RADIANS(Readings[[#This Row],[Reference Angle]])))),"-")</f>
        <v>0</v>
      </c>
      <c r="T673" s="94">
        <f>IFERROR(VLOOKUP(Readings[[#This Row],[Sensor ID]],Table_Baseline[],COLUMNS(Table_Baseline[[#Headers],[Sensor ID]:[Reference Angle '[Deg']]]),FALSE),"-")</f>
        <v>0</v>
      </c>
      <c r="U673" s="95" t="str">
        <f>Readings[[#This Row],[Sensor ID]]&amp;"-"&amp;Readings[[#This Row],[Epoch]]</f>
        <v>250-RL-OP-11002-45810.2708333333</v>
      </c>
      <c r="V673" s="99">
        <f ca="1">IF(Readings[[#This Row],[Epoch]]=OFFSET(Readings[[#This Row],[Epoch]],-1,0),0,1)</f>
        <v>0</v>
      </c>
    </row>
    <row r="674" spans="4:22" x14ac:dyDescent="0.2">
      <c r="D674" s="32">
        <v>45810.270833333336</v>
      </c>
      <c r="E674" s="33" t="s">
        <v>174</v>
      </c>
      <c r="F674" s="34">
        <v>60038.116999999998</v>
      </c>
      <c r="G674" s="34">
        <v>363844.94500000001</v>
      </c>
      <c r="H674" s="34">
        <v>18.779</v>
      </c>
      <c r="I674" s="33" t="s">
        <v>85</v>
      </c>
      <c r="J674" s="33" t="s">
        <v>90</v>
      </c>
      <c r="K674" s="33">
        <v>15</v>
      </c>
      <c r="L674" s="33">
        <v>1020</v>
      </c>
      <c r="M674" s="33">
        <v>78</v>
      </c>
      <c r="N674" s="33"/>
      <c r="O674" s="93">
        <f>IFERROR(IF(Readings[[#This Row],[Obs. X]]="","-",Readings[[#This Row],[Obs. X]]-_xlfn.XLOOKUP(Readings[[#This Row],[Sensor ID]],Table_Baseline[Sensor ID],Table_Baseline[Easting '[m']],"-")),"-")</f>
        <v>-1.0000000038417056E-3</v>
      </c>
      <c r="P674" s="93">
        <f>IFERROR(IF(Readings[[#This Row],[Obs. Y]]="","-",Readings[[#This Row],[Obs. Y]]-_xlfn.XLOOKUP(Readings[[#This Row],[Sensor ID]],Table_Baseline[Sensor ID],Table_Baseline[Northing '[m']],"-")),"-")</f>
        <v>0</v>
      </c>
      <c r="Q674" s="93">
        <f>IFERROR(IF(Readings[[#This Row],[Obs. Z]]="","-",Readings[[#This Row],[Obs. Z]]-_xlfn.XLOOKUP(Readings[[#This Row],[Sensor ID]],Table_Baseline[Sensor ID],Table_Baseline[Level '[m']],"-")),"-")</f>
        <v>1.9999999999953388E-4</v>
      </c>
      <c r="R674" s="93">
        <f>IFERROR(IF(Readings[[#This Row],[Reference Angle]]="-","-",(Readings[[#This Row],[Diff E]]*COS(RADIANS(Readings[[#This Row],[Reference Angle]]))-Readings[[#This Row],[Diff N]]*SIN(RADIANS(Readings[[#This Row],[Reference Angle]])))),"-")</f>
        <v>-1.0000000038417056E-3</v>
      </c>
      <c r="S674" s="93">
        <f>IFERROR(IF(Readings[[#This Row],[Reference Angle]]="-","-",(Readings[[#This Row],[Diff E]]*SIN(RADIANS(Readings[[#This Row],[Reference Angle]]))+Readings[[#This Row],[Diff N]]*COS(RADIANS(Readings[[#This Row],[Reference Angle]])))),"-")</f>
        <v>0</v>
      </c>
      <c r="T674" s="94">
        <f>IFERROR(VLOOKUP(Readings[[#This Row],[Sensor ID]],Table_Baseline[],COLUMNS(Table_Baseline[[#Headers],[Sensor ID]:[Reference Angle '[Deg']]]),FALSE),"-")</f>
        <v>0</v>
      </c>
      <c r="U674" s="95" t="str">
        <f>Readings[[#This Row],[Sensor ID]]&amp;"-"&amp;Readings[[#This Row],[Epoch]]</f>
        <v>250-RL-OP-11003-45810.2708333333</v>
      </c>
      <c r="V674" s="99">
        <f ca="1">IF(Readings[[#This Row],[Epoch]]=OFFSET(Readings[[#This Row],[Epoch]],-1,0),0,1)</f>
        <v>0</v>
      </c>
    </row>
    <row r="675" spans="4:22" x14ac:dyDescent="0.2">
      <c r="D675" s="32">
        <v>45810.270833333336</v>
      </c>
      <c r="E675" s="33" t="s">
        <v>173</v>
      </c>
      <c r="F675" s="34">
        <v>60037.803999999996</v>
      </c>
      <c r="G675" s="34">
        <v>363843.658</v>
      </c>
      <c r="H675" s="34">
        <v>18.779</v>
      </c>
      <c r="I675" s="33" t="s">
        <v>85</v>
      </c>
      <c r="J675" s="33" t="s">
        <v>90</v>
      </c>
      <c r="K675" s="33">
        <v>15</v>
      </c>
      <c r="L675" s="33">
        <v>1020</v>
      </c>
      <c r="M675" s="33">
        <v>78</v>
      </c>
      <c r="N675" s="33"/>
      <c r="O675" s="93">
        <f>IFERROR(IF(Readings[[#This Row],[Obs. X]]="","-",Readings[[#This Row],[Obs. X]]-_xlfn.XLOOKUP(Readings[[#This Row],[Sensor ID]],Table_Baseline[Sensor ID],Table_Baseline[Easting '[m']],"-")),"-")</f>
        <v>-1.0000000038417056E-3</v>
      </c>
      <c r="P675" s="93">
        <f>IFERROR(IF(Readings[[#This Row],[Obs. Y]]="","-",Readings[[#This Row],[Obs. Y]]-_xlfn.XLOOKUP(Readings[[#This Row],[Sensor ID]],Table_Baseline[Sensor ID],Table_Baseline[Northing '[m']],"-")),"-")</f>
        <v>9.9999998928979039E-4</v>
      </c>
      <c r="Q675" s="93">
        <f>IFERROR(IF(Readings[[#This Row],[Obs. Z]]="","-",Readings[[#This Row],[Obs. Z]]-_xlfn.XLOOKUP(Readings[[#This Row],[Sensor ID]],Table_Baseline[Sensor ID],Table_Baseline[Level '[m']],"-")),"-")</f>
        <v>4.9999999999883471E-4</v>
      </c>
      <c r="R675" s="93">
        <f>IFERROR(IF(Readings[[#This Row],[Reference Angle]]="-","-",(Readings[[#This Row],[Diff E]]*COS(RADIANS(Readings[[#This Row],[Reference Angle]]))-Readings[[#This Row],[Diff N]]*SIN(RADIANS(Readings[[#This Row],[Reference Angle]])))),"-")</f>
        <v>-1.0000000038417056E-3</v>
      </c>
      <c r="S675" s="93">
        <f>IFERROR(IF(Readings[[#This Row],[Reference Angle]]="-","-",(Readings[[#This Row],[Diff E]]*SIN(RADIANS(Readings[[#This Row],[Reference Angle]]))+Readings[[#This Row],[Diff N]]*COS(RADIANS(Readings[[#This Row],[Reference Angle]])))),"-")</f>
        <v>9.9999998928979039E-4</v>
      </c>
      <c r="T675" s="94">
        <f>IFERROR(VLOOKUP(Readings[[#This Row],[Sensor ID]],Table_Baseline[],COLUMNS(Table_Baseline[[#Headers],[Sensor ID]:[Reference Angle '[Deg']]]),FALSE),"-")</f>
        <v>0</v>
      </c>
      <c r="U675" s="95" t="str">
        <f>Readings[[#This Row],[Sensor ID]]&amp;"-"&amp;Readings[[#This Row],[Epoch]]</f>
        <v>250-RL-OP-11004-45810.2708333333</v>
      </c>
      <c r="V675" s="99">
        <f ca="1">IF(Readings[[#This Row],[Epoch]]=OFFSET(Readings[[#This Row],[Epoch]],-1,0),0,1)</f>
        <v>0</v>
      </c>
    </row>
    <row r="676" spans="4:22" x14ac:dyDescent="0.2">
      <c r="D676" s="32">
        <v>45810.270833333336</v>
      </c>
      <c r="E676" s="33" t="s">
        <v>176</v>
      </c>
      <c r="F676" s="34">
        <v>60040.968000000001</v>
      </c>
      <c r="G676" s="34">
        <v>363844.11800000002</v>
      </c>
      <c r="H676" s="34">
        <v>18.779</v>
      </c>
      <c r="I676" s="33" t="s">
        <v>85</v>
      </c>
      <c r="J676" s="33" t="s">
        <v>90</v>
      </c>
      <c r="K676" s="33">
        <v>15</v>
      </c>
      <c r="L676" s="33">
        <v>1020</v>
      </c>
      <c r="M676" s="33">
        <v>78</v>
      </c>
      <c r="N676" s="33"/>
      <c r="O676" s="93">
        <f>IFERROR(IF(Readings[[#This Row],[Obs. X]]="","-",Readings[[#This Row],[Obs. X]]-_xlfn.XLOOKUP(Readings[[#This Row],[Sensor ID]],Table_Baseline[Sensor ID],Table_Baseline[Easting '[m']],"-")),"-")</f>
        <v>-9.9999999656574801E-4</v>
      </c>
      <c r="P676" s="93">
        <f>IFERROR(IF(Readings[[#This Row],[Obs. Y]]="","-",Readings[[#This Row],[Obs. Y]]-_xlfn.XLOOKUP(Readings[[#This Row],[Sensor ID]],Table_Baseline[Sensor ID],Table_Baseline[Northing '[m']],"-")),"-")</f>
        <v>0</v>
      </c>
      <c r="Q676" s="93">
        <f>IFERROR(IF(Readings[[#This Row],[Obs. Z]]="","-",Readings[[#This Row],[Obs. Z]]-_xlfn.XLOOKUP(Readings[[#This Row],[Sensor ID]],Table_Baseline[Sensor ID],Table_Baseline[Level '[m']],"-")),"-")</f>
        <v>0</v>
      </c>
      <c r="R676" s="93">
        <f>IFERROR(IF(Readings[[#This Row],[Reference Angle]]="-","-",(Readings[[#This Row],[Diff E]]*COS(RADIANS(Readings[[#This Row],[Reference Angle]]))-Readings[[#This Row],[Diff N]]*SIN(RADIANS(Readings[[#This Row],[Reference Angle]])))),"-")</f>
        <v>-9.9999999656574801E-4</v>
      </c>
      <c r="S676" s="93">
        <f>IFERROR(IF(Readings[[#This Row],[Reference Angle]]="-","-",(Readings[[#This Row],[Diff E]]*SIN(RADIANS(Readings[[#This Row],[Reference Angle]]))+Readings[[#This Row],[Diff N]]*COS(RADIANS(Readings[[#This Row],[Reference Angle]])))),"-")</f>
        <v>0</v>
      </c>
      <c r="T676" s="94">
        <f>IFERROR(VLOOKUP(Readings[[#This Row],[Sensor ID]],Table_Baseline[],COLUMNS(Table_Baseline[[#Headers],[Sensor ID]:[Reference Angle '[Deg']]]),FALSE),"-")</f>
        <v>0</v>
      </c>
      <c r="U676" s="95" t="str">
        <f>Readings[[#This Row],[Sensor ID]]&amp;"-"&amp;Readings[[#This Row],[Epoch]]</f>
        <v>250-RL-OP-11005-45810.2708333333</v>
      </c>
      <c r="V676" s="99">
        <f ca="1">IF(Readings[[#This Row],[Epoch]]=OFFSET(Readings[[#This Row],[Epoch]],-1,0),0,1)</f>
        <v>0</v>
      </c>
    </row>
    <row r="677" spans="4:22" x14ac:dyDescent="0.2">
      <c r="D677" s="32">
        <v>45810.270833333336</v>
      </c>
      <c r="E677" s="33" t="s">
        <v>175</v>
      </c>
      <c r="F677" s="34">
        <v>60040.606</v>
      </c>
      <c r="G677" s="34">
        <v>363842.86199999996</v>
      </c>
      <c r="H677" s="34">
        <v>18.771999999999998</v>
      </c>
      <c r="I677" s="33" t="s">
        <v>85</v>
      </c>
      <c r="J677" s="33" t="s">
        <v>90</v>
      </c>
      <c r="K677" s="33">
        <v>15</v>
      </c>
      <c r="L677" s="33">
        <v>1020</v>
      </c>
      <c r="M677" s="33">
        <v>78</v>
      </c>
      <c r="N677" s="33"/>
      <c r="O677" s="93">
        <f>IFERROR(IF(Readings[[#This Row],[Obs. X]]="","-",Readings[[#This Row],[Obs. X]]-_xlfn.XLOOKUP(Readings[[#This Row],[Sensor ID]],Table_Baseline[Sensor ID],Table_Baseline[Easting '[m']],"-")),"-")</f>
        <v>-1.0000000038417056E-3</v>
      </c>
      <c r="P677" s="93">
        <f>IFERROR(IF(Readings[[#This Row],[Obs. Y]]="","-",Readings[[#This Row],[Obs. Y]]-_xlfn.XLOOKUP(Readings[[#This Row],[Sensor ID]],Table_Baseline[Sensor ID],Table_Baseline[Northing '[m']],"-")),"-")</f>
        <v>9.9999993108212948E-4</v>
      </c>
      <c r="Q677" s="93">
        <f>IFERROR(IF(Readings[[#This Row],[Obs. Z]]="","-",Readings[[#This Row],[Obs. Z]]-_xlfn.XLOOKUP(Readings[[#This Row],[Sensor ID]],Table_Baseline[Sensor ID],Table_Baseline[Level '[m']],"-")),"-")</f>
        <v>0</v>
      </c>
      <c r="R677" s="93">
        <f>IFERROR(IF(Readings[[#This Row],[Reference Angle]]="-","-",(Readings[[#This Row],[Diff E]]*COS(RADIANS(Readings[[#This Row],[Reference Angle]]))-Readings[[#This Row],[Diff N]]*SIN(RADIANS(Readings[[#This Row],[Reference Angle]])))),"-")</f>
        <v>-1.0000000038417056E-3</v>
      </c>
      <c r="S677" s="93">
        <f>IFERROR(IF(Readings[[#This Row],[Reference Angle]]="-","-",(Readings[[#This Row],[Diff E]]*SIN(RADIANS(Readings[[#This Row],[Reference Angle]]))+Readings[[#This Row],[Diff N]]*COS(RADIANS(Readings[[#This Row],[Reference Angle]])))),"-")</f>
        <v>9.9999993108212948E-4</v>
      </c>
      <c r="T677" s="94">
        <f>IFERROR(VLOOKUP(Readings[[#This Row],[Sensor ID]],Table_Baseline[],COLUMNS(Table_Baseline[[#Headers],[Sensor ID]:[Reference Angle '[Deg']]]),FALSE),"-")</f>
        <v>0</v>
      </c>
      <c r="U677" s="95" t="str">
        <f>Readings[[#This Row],[Sensor ID]]&amp;"-"&amp;Readings[[#This Row],[Epoch]]</f>
        <v>250-RL-OP-11006-45810.2708333333</v>
      </c>
      <c r="V677" s="99">
        <f ca="1">IF(Readings[[#This Row],[Epoch]]=OFFSET(Readings[[#This Row],[Epoch]],-1,0),0,1)</f>
        <v>0</v>
      </c>
    </row>
    <row r="678" spans="4:22" x14ac:dyDescent="0.2">
      <c r="D678" s="32">
        <v>45810.270833333336</v>
      </c>
      <c r="E678" s="33" t="s">
        <v>178</v>
      </c>
      <c r="F678" s="34">
        <v>60043.758000000002</v>
      </c>
      <c r="G678" s="34">
        <v>363843.31599999999</v>
      </c>
      <c r="H678" s="34">
        <v>18.774000000000001</v>
      </c>
      <c r="I678" s="33" t="s">
        <v>85</v>
      </c>
      <c r="J678" s="33" t="s">
        <v>90</v>
      </c>
      <c r="K678" s="33">
        <v>15</v>
      </c>
      <c r="L678" s="33">
        <v>1020</v>
      </c>
      <c r="M678" s="33">
        <v>78</v>
      </c>
      <c r="N678" s="33"/>
      <c r="O678" s="93">
        <f>IFERROR(IF(Readings[[#This Row],[Obs. X]]="","-",Readings[[#This Row],[Obs. X]]-_xlfn.XLOOKUP(Readings[[#This Row],[Sensor ID]],Table_Baseline[Sensor ID],Table_Baseline[Easting '[m']],"-")),"-")</f>
        <v>-9.9999999656574801E-4</v>
      </c>
      <c r="P678" s="93">
        <f>IFERROR(IF(Readings[[#This Row],[Obs. Y]]="","-",Readings[[#This Row],[Obs. Y]]-_xlfn.XLOOKUP(Readings[[#This Row],[Sensor ID]],Table_Baseline[Sensor ID],Table_Baseline[Northing '[m']],"-")),"-")</f>
        <v>1.9999999785795808E-3</v>
      </c>
      <c r="Q678" s="93">
        <f>IFERROR(IF(Readings[[#This Row],[Obs. Z]]="","-",Readings[[#This Row],[Obs. Z]]-_xlfn.XLOOKUP(Readings[[#This Row],[Sensor ID]],Table_Baseline[Sensor ID],Table_Baseline[Level '[m']],"-")),"-")</f>
        <v>-9.9999999999766942E-5</v>
      </c>
      <c r="R678" s="93">
        <f>IFERROR(IF(Readings[[#This Row],[Reference Angle]]="-","-",(Readings[[#This Row],[Diff E]]*COS(RADIANS(Readings[[#This Row],[Reference Angle]]))-Readings[[#This Row],[Diff N]]*SIN(RADIANS(Readings[[#This Row],[Reference Angle]])))),"-")</f>
        <v>-9.9999999656574801E-4</v>
      </c>
      <c r="S678" s="93">
        <f>IFERROR(IF(Readings[[#This Row],[Reference Angle]]="-","-",(Readings[[#This Row],[Diff E]]*SIN(RADIANS(Readings[[#This Row],[Reference Angle]]))+Readings[[#This Row],[Diff N]]*COS(RADIANS(Readings[[#This Row],[Reference Angle]])))),"-")</f>
        <v>1.9999999785795808E-3</v>
      </c>
      <c r="T678" s="94">
        <f>IFERROR(VLOOKUP(Readings[[#This Row],[Sensor ID]],Table_Baseline[],COLUMNS(Table_Baseline[[#Headers],[Sensor ID]:[Reference Angle '[Deg']]]),FALSE),"-")</f>
        <v>0</v>
      </c>
      <c r="U678" s="95" t="str">
        <f>Readings[[#This Row],[Sensor ID]]&amp;"-"&amp;Readings[[#This Row],[Epoch]]</f>
        <v>250-RL-OP-11007-45810.2708333333</v>
      </c>
      <c r="V678" s="99">
        <f ca="1">IF(Readings[[#This Row],[Epoch]]=OFFSET(Readings[[#This Row],[Epoch]],-1,0),0,1)</f>
        <v>0</v>
      </c>
    </row>
    <row r="679" spans="4:22" x14ac:dyDescent="0.2">
      <c r="D679" s="32">
        <v>45810.270833333336</v>
      </c>
      <c r="E679" s="33" t="s">
        <v>177</v>
      </c>
      <c r="F679" s="34">
        <v>60043.440999999999</v>
      </c>
      <c r="G679" s="34">
        <v>363842.04200000002</v>
      </c>
      <c r="H679" s="34">
        <v>18.768999999999998</v>
      </c>
      <c r="I679" s="33" t="s">
        <v>85</v>
      </c>
      <c r="J679" s="33" t="s">
        <v>90</v>
      </c>
      <c r="K679" s="33">
        <v>15</v>
      </c>
      <c r="L679" s="33">
        <v>1020</v>
      </c>
      <c r="M679" s="33">
        <v>78</v>
      </c>
      <c r="N679" s="33"/>
      <c r="O679" s="93">
        <f>IFERROR(IF(Readings[[#This Row],[Obs. X]]="","-",Readings[[#This Row],[Obs. X]]-_xlfn.XLOOKUP(Readings[[#This Row],[Sensor ID]],Table_Baseline[Sensor ID],Table_Baseline[Easting '[m']],"-")),"-")</f>
        <v>0</v>
      </c>
      <c r="P679" s="93">
        <f>IFERROR(IF(Readings[[#This Row],[Obs. Y]]="","-",Readings[[#This Row],[Obs. Y]]-_xlfn.XLOOKUP(Readings[[#This Row],[Sensor ID]],Table_Baseline[Sensor ID],Table_Baseline[Northing '[m']],"-")),"-")</f>
        <v>1.9999999785795808E-3</v>
      </c>
      <c r="Q679" s="93">
        <f>IFERROR(IF(Readings[[#This Row],[Obs. Z]]="","-",Readings[[#This Row],[Obs. Z]]-_xlfn.XLOOKUP(Readings[[#This Row],[Sensor ID]],Table_Baseline[Sensor ID],Table_Baseline[Level '[m']],"-")),"-")</f>
        <v>6.9999999999836859E-4</v>
      </c>
      <c r="R679" s="93">
        <f>IFERROR(IF(Readings[[#This Row],[Reference Angle]]="-","-",(Readings[[#This Row],[Diff E]]*COS(RADIANS(Readings[[#This Row],[Reference Angle]]))-Readings[[#This Row],[Diff N]]*SIN(RADIANS(Readings[[#This Row],[Reference Angle]])))),"-")</f>
        <v>0</v>
      </c>
      <c r="S679" s="93">
        <f>IFERROR(IF(Readings[[#This Row],[Reference Angle]]="-","-",(Readings[[#This Row],[Diff E]]*SIN(RADIANS(Readings[[#This Row],[Reference Angle]]))+Readings[[#This Row],[Diff N]]*COS(RADIANS(Readings[[#This Row],[Reference Angle]])))),"-")</f>
        <v>1.9999999785795808E-3</v>
      </c>
      <c r="T679" s="94">
        <f>IFERROR(VLOOKUP(Readings[[#This Row],[Sensor ID]],Table_Baseline[],COLUMNS(Table_Baseline[[#Headers],[Sensor ID]:[Reference Angle '[Deg']]]),FALSE),"-")</f>
        <v>0</v>
      </c>
      <c r="U679" s="95" t="str">
        <f>Readings[[#This Row],[Sensor ID]]&amp;"-"&amp;Readings[[#This Row],[Epoch]]</f>
        <v>250-RL-OP-11008-45810.2708333333</v>
      </c>
      <c r="V679" s="99">
        <f ca="1">IF(Readings[[#This Row],[Epoch]]=OFFSET(Readings[[#This Row],[Epoch]],-1,0),0,1)</f>
        <v>0</v>
      </c>
    </row>
    <row r="680" spans="4:22" x14ac:dyDescent="0.2">
      <c r="D680" s="32">
        <v>45810.270833333336</v>
      </c>
      <c r="E680" s="33" t="s">
        <v>180</v>
      </c>
      <c r="F680" s="34">
        <v>60046.633000000002</v>
      </c>
      <c r="G680" s="34">
        <v>363842.48600000003</v>
      </c>
      <c r="H680" s="34">
        <v>18.777999999999999</v>
      </c>
      <c r="I680" s="33" t="s">
        <v>85</v>
      </c>
      <c r="J680" s="33" t="s">
        <v>90</v>
      </c>
      <c r="K680" s="33">
        <v>15</v>
      </c>
      <c r="L680" s="33">
        <v>1020</v>
      </c>
      <c r="M680" s="33">
        <v>78</v>
      </c>
      <c r="N680" s="33"/>
      <c r="O680" s="93">
        <f>IFERROR(IF(Readings[[#This Row],[Obs. X]]="","-",Readings[[#This Row],[Obs. X]]-_xlfn.XLOOKUP(Readings[[#This Row],[Sensor ID]],Table_Baseline[Sensor ID],Table_Baseline[Easting '[m']],"-")),"-")</f>
        <v>0</v>
      </c>
      <c r="P680" s="93">
        <f>IFERROR(IF(Readings[[#This Row],[Obs. Y]]="","-",Readings[[#This Row],[Obs. Y]]-_xlfn.XLOOKUP(Readings[[#This Row],[Sensor ID]],Table_Baseline[Sensor ID],Table_Baseline[Northing '[m']],"-")),"-")</f>
        <v>1.0000000474974513E-3</v>
      </c>
      <c r="Q680" s="93">
        <f>IFERROR(IF(Readings[[#This Row],[Obs. Z]]="","-",Readings[[#This Row],[Obs. Z]]-_xlfn.XLOOKUP(Readings[[#This Row],[Sensor ID]],Table_Baseline[Sensor ID],Table_Baseline[Level '[m']],"-")),"-")</f>
        <v>3.9999999999906777E-4</v>
      </c>
      <c r="R680" s="93">
        <f>IFERROR(IF(Readings[[#This Row],[Reference Angle]]="-","-",(Readings[[#This Row],[Diff E]]*COS(RADIANS(Readings[[#This Row],[Reference Angle]]))-Readings[[#This Row],[Diff N]]*SIN(RADIANS(Readings[[#This Row],[Reference Angle]])))),"-")</f>
        <v>0</v>
      </c>
      <c r="S680" s="93">
        <f>IFERROR(IF(Readings[[#This Row],[Reference Angle]]="-","-",(Readings[[#This Row],[Diff E]]*SIN(RADIANS(Readings[[#This Row],[Reference Angle]]))+Readings[[#This Row],[Diff N]]*COS(RADIANS(Readings[[#This Row],[Reference Angle]])))),"-")</f>
        <v>1.0000000474974513E-3</v>
      </c>
      <c r="T680" s="94">
        <f>IFERROR(VLOOKUP(Readings[[#This Row],[Sensor ID]],Table_Baseline[],COLUMNS(Table_Baseline[[#Headers],[Sensor ID]:[Reference Angle '[Deg']]]),FALSE),"-")</f>
        <v>0</v>
      </c>
      <c r="U680" s="95" t="str">
        <f>Readings[[#This Row],[Sensor ID]]&amp;"-"&amp;Readings[[#This Row],[Epoch]]</f>
        <v>250-RL-OP-11009-45810.2708333333</v>
      </c>
      <c r="V680" s="99">
        <f ca="1">IF(Readings[[#This Row],[Epoch]]=OFFSET(Readings[[#This Row],[Epoch]],-1,0),0,1)</f>
        <v>0</v>
      </c>
    </row>
    <row r="681" spans="4:22" x14ac:dyDescent="0.2">
      <c r="D681" s="32">
        <v>45810.270833333336</v>
      </c>
      <c r="E681" s="33" t="s">
        <v>179</v>
      </c>
      <c r="F681" s="34">
        <v>60046.249000000003</v>
      </c>
      <c r="G681" s="34">
        <v>363841.228</v>
      </c>
      <c r="H681" s="34">
        <v>18.77</v>
      </c>
      <c r="I681" s="33" t="s">
        <v>85</v>
      </c>
      <c r="J681" s="33" t="s">
        <v>90</v>
      </c>
      <c r="K681" s="33">
        <v>15</v>
      </c>
      <c r="L681" s="33">
        <v>1020</v>
      </c>
      <c r="M681" s="33">
        <v>78</v>
      </c>
      <c r="N681" s="33"/>
      <c r="O681" s="93">
        <f>IFERROR(IF(Readings[[#This Row],[Obs. X]]="","-",Readings[[#This Row],[Obs. X]]-_xlfn.XLOOKUP(Readings[[#This Row],[Sensor ID]],Table_Baseline[Sensor ID],Table_Baseline[Easting '[m']],"-")),"-")</f>
        <v>-9.9999999656574801E-4</v>
      </c>
      <c r="P681" s="93">
        <f>IFERROR(IF(Readings[[#This Row],[Obs. Y]]="","-",Readings[[#This Row],[Obs. Y]]-_xlfn.XLOOKUP(Readings[[#This Row],[Sensor ID]],Table_Baseline[Sensor ID],Table_Baseline[Northing '[m']],"-")),"-")</f>
        <v>1.9999999785795808E-3</v>
      </c>
      <c r="Q681" s="93">
        <f>IFERROR(IF(Readings[[#This Row],[Obs. Z]]="","-",Readings[[#This Row],[Obs. Z]]-_xlfn.XLOOKUP(Readings[[#This Row],[Sensor ID]],Table_Baseline[Sensor ID],Table_Baseline[Level '[m']],"-")),"-")</f>
        <v>1.9999999999953388E-4</v>
      </c>
      <c r="R681" s="93">
        <f>IFERROR(IF(Readings[[#This Row],[Reference Angle]]="-","-",(Readings[[#This Row],[Diff E]]*COS(RADIANS(Readings[[#This Row],[Reference Angle]]))-Readings[[#This Row],[Diff N]]*SIN(RADIANS(Readings[[#This Row],[Reference Angle]])))),"-")</f>
        <v>-9.9999999656574801E-4</v>
      </c>
      <c r="S681" s="93">
        <f>IFERROR(IF(Readings[[#This Row],[Reference Angle]]="-","-",(Readings[[#This Row],[Diff E]]*SIN(RADIANS(Readings[[#This Row],[Reference Angle]]))+Readings[[#This Row],[Diff N]]*COS(RADIANS(Readings[[#This Row],[Reference Angle]])))),"-")</f>
        <v>1.9999999785795808E-3</v>
      </c>
      <c r="T681" s="94">
        <f>IFERROR(VLOOKUP(Readings[[#This Row],[Sensor ID]],Table_Baseline[],COLUMNS(Table_Baseline[[#Headers],[Sensor ID]:[Reference Angle '[Deg']]]),FALSE),"-")</f>
        <v>0</v>
      </c>
      <c r="U681" s="95" t="str">
        <f>Readings[[#This Row],[Sensor ID]]&amp;"-"&amp;Readings[[#This Row],[Epoch]]</f>
        <v>250-RL-OP-11010-45810.2708333333</v>
      </c>
      <c r="V681" s="99">
        <f ca="1">IF(Readings[[#This Row],[Epoch]]=OFFSET(Readings[[#This Row],[Epoch]],-1,0),0,1)</f>
        <v>0</v>
      </c>
    </row>
    <row r="682" spans="4:22" x14ac:dyDescent="0.2">
      <c r="D682" s="32">
        <v>45810.270833333336</v>
      </c>
      <c r="E682" s="33" t="s">
        <v>182</v>
      </c>
      <c r="F682" s="34">
        <v>60049.398000000001</v>
      </c>
      <c r="G682" s="34">
        <v>363841.7</v>
      </c>
      <c r="H682" s="34">
        <v>18.777999999999999</v>
      </c>
      <c r="I682" s="33" t="s">
        <v>85</v>
      </c>
      <c r="J682" s="33" t="s">
        <v>90</v>
      </c>
      <c r="K682" s="33">
        <v>15</v>
      </c>
      <c r="L682" s="33">
        <v>1020</v>
      </c>
      <c r="M682" s="33">
        <v>78</v>
      </c>
      <c r="N682" s="33"/>
      <c r="O682" s="93">
        <f>IFERROR(IF(Readings[[#This Row],[Obs. X]]="","-",Readings[[#This Row],[Obs. X]]-_xlfn.XLOOKUP(Readings[[#This Row],[Sensor ID]],Table_Baseline[Sensor ID],Table_Baseline[Easting '[m']],"-")),"-")</f>
        <v>-9.9999999656574801E-4</v>
      </c>
      <c r="P682" s="93">
        <f>IFERROR(IF(Readings[[#This Row],[Obs. Y]]="","-",Readings[[#This Row],[Obs. Y]]-_xlfn.XLOOKUP(Readings[[#This Row],[Sensor ID]],Table_Baseline[Sensor ID],Table_Baseline[Northing '[m']],"-")),"-")</f>
        <v>2.0000000367872417E-3</v>
      </c>
      <c r="Q682" s="93">
        <f>IFERROR(IF(Readings[[#This Row],[Obs. Z]]="","-",Readings[[#This Row],[Obs. Z]]-_xlfn.XLOOKUP(Readings[[#This Row],[Sensor ID]],Table_Baseline[Sensor ID],Table_Baseline[Level '[m']],"-")),"-")</f>
        <v>0</v>
      </c>
      <c r="R682" s="93">
        <f>IFERROR(IF(Readings[[#This Row],[Reference Angle]]="-","-",(Readings[[#This Row],[Diff E]]*COS(RADIANS(Readings[[#This Row],[Reference Angle]]))-Readings[[#This Row],[Diff N]]*SIN(RADIANS(Readings[[#This Row],[Reference Angle]])))),"-")</f>
        <v>-9.9999999656574801E-4</v>
      </c>
      <c r="S682" s="93">
        <f>IFERROR(IF(Readings[[#This Row],[Reference Angle]]="-","-",(Readings[[#This Row],[Diff E]]*SIN(RADIANS(Readings[[#This Row],[Reference Angle]]))+Readings[[#This Row],[Diff N]]*COS(RADIANS(Readings[[#This Row],[Reference Angle]])))),"-")</f>
        <v>2.0000000367872417E-3</v>
      </c>
      <c r="T682" s="94">
        <f>IFERROR(VLOOKUP(Readings[[#This Row],[Sensor ID]],Table_Baseline[],COLUMNS(Table_Baseline[[#Headers],[Sensor ID]:[Reference Angle '[Deg']]]),FALSE),"-")</f>
        <v>0</v>
      </c>
      <c r="U682" s="95" t="str">
        <f>Readings[[#This Row],[Sensor ID]]&amp;"-"&amp;Readings[[#This Row],[Epoch]]</f>
        <v>250-RL-OP-11011-45810.2708333333</v>
      </c>
      <c r="V682" s="99">
        <f ca="1">IF(Readings[[#This Row],[Epoch]]=OFFSET(Readings[[#This Row],[Epoch]],-1,0),0,1)</f>
        <v>0</v>
      </c>
    </row>
    <row r="683" spans="4:22" x14ac:dyDescent="0.2">
      <c r="D683" s="32">
        <v>45810.270833333336</v>
      </c>
      <c r="E683" s="33" t="s">
        <v>181</v>
      </c>
      <c r="F683" s="34">
        <v>60049.040999999997</v>
      </c>
      <c r="G683" s="34">
        <v>363840.43599999999</v>
      </c>
      <c r="H683" s="34">
        <v>18.771000000000001</v>
      </c>
      <c r="I683" s="33" t="s">
        <v>85</v>
      </c>
      <c r="J683" s="33" t="s">
        <v>90</v>
      </c>
      <c r="K683" s="33">
        <v>15</v>
      </c>
      <c r="L683" s="33">
        <v>1020</v>
      </c>
      <c r="M683" s="33">
        <v>78</v>
      </c>
      <c r="N683" s="33"/>
      <c r="O683" s="93">
        <f>IFERROR(IF(Readings[[#This Row],[Obs. X]]="","-",Readings[[#This Row],[Obs. X]]-_xlfn.XLOOKUP(Readings[[#This Row],[Sensor ID]],Table_Baseline[Sensor ID],Table_Baseline[Easting '[m']],"-")),"-")</f>
        <v>0</v>
      </c>
      <c r="P683" s="93">
        <f>IFERROR(IF(Readings[[#This Row],[Obs. Y]]="","-",Readings[[#This Row],[Obs. Y]]-_xlfn.XLOOKUP(Readings[[#This Row],[Sensor ID]],Table_Baseline[Sensor ID],Table_Baseline[Northing '[m']],"-")),"-")</f>
        <v>3.0000000260770321E-3</v>
      </c>
      <c r="Q683" s="93">
        <f>IFERROR(IF(Readings[[#This Row],[Obs. Z]]="","-",Readings[[#This Row],[Obs. Z]]-_xlfn.XLOOKUP(Readings[[#This Row],[Sensor ID]],Table_Baseline[Sensor ID],Table_Baseline[Level '[m']],"-")),"-")</f>
        <v>-9.9999999999766942E-5</v>
      </c>
      <c r="R683" s="93">
        <f>IFERROR(IF(Readings[[#This Row],[Reference Angle]]="-","-",(Readings[[#This Row],[Diff E]]*COS(RADIANS(Readings[[#This Row],[Reference Angle]]))-Readings[[#This Row],[Diff N]]*SIN(RADIANS(Readings[[#This Row],[Reference Angle]])))),"-")</f>
        <v>0</v>
      </c>
      <c r="S683" s="93">
        <f>IFERROR(IF(Readings[[#This Row],[Reference Angle]]="-","-",(Readings[[#This Row],[Diff E]]*SIN(RADIANS(Readings[[#This Row],[Reference Angle]]))+Readings[[#This Row],[Diff N]]*COS(RADIANS(Readings[[#This Row],[Reference Angle]])))),"-")</f>
        <v>3.0000000260770321E-3</v>
      </c>
      <c r="T683" s="94">
        <f>IFERROR(VLOOKUP(Readings[[#This Row],[Sensor ID]],Table_Baseline[],COLUMNS(Table_Baseline[[#Headers],[Sensor ID]:[Reference Angle '[Deg']]]),FALSE),"-")</f>
        <v>0</v>
      </c>
      <c r="U683" s="95" t="str">
        <f>Readings[[#This Row],[Sensor ID]]&amp;"-"&amp;Readings[[#This Row],[Epoch]]</f>
        <v>250-RL-OP-11012-45810.2708333333</v>
      </c>
      <c r="V683" s="99">
        <f ca="1">IF(Readings[[#This Row],[Epoch]]=OFFSET(Readings[[#This Row],[Epoch]],-1,0),0,1)</f>
        <v>0</v>
      </c>
    </row>
    <row r="684" spans="4:22" x14ac:dyDescent="0.2">
      <c r="D684" s="32">
        <v>45810.270833333336</v>
      </c>
      <c r="E684" s="33" t="s">
        <v>184</v>
      </c>
      <c r="F684" s="34">
        <v>60052.292999999998</v>
      </c>
      <c r="G684" s="34">
        <v>363840.88800000004</v>
      </c>
      <c r="H684" s="34">
        <v>18.779</v>
      </c>
      <c r="I684" s="33" t="s">
        <v>85</v>
      </c>
      <c r="J684" s="33" t="s">
        <v>90</v>
      </c>
      <c r="K684" s="33">
        <v>15</v>
      </c>
      <c r="L684" s="33">
        <v>1020</v>
      </c>
      <c r="M684" s="33">
        <v>78</v>
      </c>
      <c r="N684" s="33"/>
      <c r="O684" s="93">
        <f>IFERROR(IF(Readings[[#This Row],[Obs. X]]="","-",Readings[[#This Row],[Obs. X]]-_xlfn.XLOOKUP(Readings[[#This Row],[Sensor ID]],Table_Baseline[Sensor ID],Table_Baseline[Easting '[m']],"-")),"-")</f>
        <v>0</v>
      </c>
      <c r="P684" s="93">
        <f>IFERROR(IF(Readings[[#This Row],[Obs. Y]]="","-",Readings[[#This Row],[Obs. Y]]-_xlfn.XLOOKUP(Readings[[#This Row],[Sensor ID]],Table_Baseline[Sensor ID],Table_Baseline[Northing '[m']],"-")),"-")</f>
        <v>3.0000000260770321E-3</v>
      </c>
      <c r="Q684" s="93">
        <f>IFERROR(IF(Readings[[#This Row],[Obs. Z]]="","-",Readings[[#This Row],[Obs. Z]]-_xlfn.XLOOKUP(Readings[[#This Row],[Sensor ID]],Table_Baseline[Sensor ID],Table_Baseline[Level '[m']],"-")),"-")</f>
        <v>0</v>
      </c>
      <c r="R684" s="93">
        <f>IFERROR(IF(Readings[[#This Row],[Reference Angle]]="-","-",(Readings[[#This Row],[Diff E]]*COS(RADIANS(Readings[[#This Row],[Reference Angle]]))-Readings[[#This Row],[Diff N]]*SIN(RADIANS(Readings[[#This Row],[Reference Angle]])))),"-")</f>
        <v>0</v>
      </c>
      <c r="S684" s="93">
        <f>IFERROR(IF(Readings[[#This Row],[Reference Angle]]="-","-",(Readings[[#This Row],[Diff E]]*SIN(RADIANS(Readings[[#This Row],[Reference Angle]]))+Readings[[#This Row],[Diff N]]*COS(RADIANS(Readings[[#This Row],[Reference Angle]])))),"-")</f>
        <v>3.0000000260770321E-3</v>
      </c>
      <c r="T684" s="94">
        <f>IFERROR(VLOOKUP(Readings[[#This Row],[Sensor ID]],Table_Baseline[],COLUMNS(Table_Baseline[[#Headers],[Sensor ID]:[Reference Angle '[Deg']]]),FALSE),"-")</f>
        <v>0</v>
      </c>
      <c r="U684" s="95" t="str">
        <f>Readings[[#This Row],[Sensor ID]]&amp;"-"&amp;Readings[[#This Row],[Epoch]]</f>
        <v>250-RL-OP-11013-45810.2708333333</v>
      </c>
      <c r="V684" s="99">
        <f ca="1">IF(Readings[[#This Row],[Epoch]]=OFFSET(Readings[[#This Row],[Epoch]],-1,0),0,1)</f>
        <v>0</v>
      </c>
    </row>
    <row r="685" spans="4:22" x14ac:dyDescent="0.2">
      <c r="D685" s="32">
        <v>45810.270833333336</v>
      </c>
      <c r="E685" s="33" t="s">
        <v>183</v>
      </c>
      <c r="F685" s="34">
        <v>60051.989000000001</v>
      </c>
      <c r="G685" s="34">
        <v>363839.60600000003</v>
      </c>
      <c r="H685" s="34">
        <v>18.77</v>
      </c>
      <c r="I685" s="33" t="s">
        <v>85</v>
      </c>
      <c r="J685" s="33" t="s">
        <v>90</v>
      </c>
      <c r="K685" s="33">
        <v>15</v>
      </c>
      <c r="L685" s="33">
        <v>1020</v>
      </c>
      <c r="M685" s="33">
        <v>78</v>
      </c>
      <c r="N685" s="33"/>
      <c r="O685" s="93">
        <f>IFERROR(IF(Readings[[#This Row],[Obs. X]]="","-",Readings[[#This Row],[Obs. X]]-_xlfn.XLOOKUP(Readings[[#This Row],[Sensor ID]],Table_Baseline[Sensor ID],Table_Baseline[Easting '[m']],"-")),"-")</f>
        <v>0</v>
      </c>
      <c r="P685" s="93">
        <f>IFERROR(IF(Readings[[#This Row],[Obs. Y]]="","-",Readings[[#This Row],[Obs. Y]]-_xlfn.XLOOKUP(Readings[[#This Row],[Sensor ID]],Table_Baseline[Sensor ID],Table_Baseline[Northing '[m']],"-")),"-")</f>
        <v>3.0000000260770321E-3</v>
      </c>
      <c r="Q685" s="93">
        <f>IFERROR(IF(Readings[[#This Row],[Obs. Z]]="","-",Readings[[#This Row],[Obs. Z]]-_xlfn.XLOOKUP(Readings[[#This Row],[Sensor ID]],Table_Baseline[Sensor ID],Table_Baseline[Level '[m']],"-")),"-")</f>
        <v>-9.9999999999766942E-5</v>
      </c>
      <c r="R685" s="93">
        <f>IFERROR(IF(Readings[[#This Row],[Reference Angle]]="-","-",(Readings[[#This Row],[Diff E]]*COS(RADIANS(Readings[[#This Row],[Reference Angle]]))-Readings[[#This Row],[Diff N]]*SIN(RADIANS(Readings[[#This Row],[Reference Angle]])))),"-")</f>
        <v>0</v>
      </c>
      <c r="S685" s="93">
        <f>IFERROR(IF(Readings[[#This Row],[Reference Angle]]="-","-",(Readings[[#This Row],[Diff E]]*SIN(RADIANS(Readings[[#This Row],[Reference Angle]]))+Readings[[#This Row],[Diff N]]*COS(RADIANS(Readings[[#This Row],[Reference Angle]])))),"-")</f>
        <v>3.0000000260770321E-3</v>
      </c>
      <c r="T685" s="94">
        <f>IFERROR(VLOOKUP(Readings[[#This Row],[Sensor ID]],Table_Baseline[],COLUMNS(Table_Baseline[[#Headers],[Sensor ID]:[Reference Angle '[Deg']]]),FALSE),"-")</f>
        <v>0</v>
      </c>
      <c r="U685" s="95" t="str">
        <f>Readings[[#This Row],[Sensor ID]]&amp;"-"&amp;Readings[[#This Row],[Epoch]]</f>
        <v>250-RL-OP-11014-45810.2708333333</v>
      </c>
      <c r="V685" s="99">
        <f ca="1">IF(Readings[[#This Row],[Epoch]]=OFFSET(Readings[[#This Row],[Epoch]],-1,0),0,1)</f>
        <v>0</v>
      </c>
    </row>
    <row r="686" spans="4:22" x14ac:dyDescent="0.2">
      <c r="D686" s="32">
        <v>45810.270833333336</v>
      </c>
      <c r="E686" s="33" t="s">
        <v>186</v>
      </c>
      <c r="F686" s="34">
        <v>60055.196000000004</v>
      </c>
      <c r="G686" s="34">
        <v>363840.098</v>
      </c>
      <c r="H686" s="34">
        <v>18.78</v>
      </c>
      <c r="I686" s="33" t="s">
        <v>85</v>
      </c>
      <c r="J686" s="33" t="s">
        <v>90</v>
      </c>
      <c r="K686" s="33">
        <v>15</v>
      </c>
      <c r="L686" s="33">
        <v>1020</v>
      </c>
      <c r="M686" s="33">
        <v>78</v>
      </c>
      <c r="N686" s="33"/>
      <c r="O686" s="93">
        <f>IFERROR(IF(Readings[[#This Row],[Obs. X]]="","-",Readings[[#This Row],[Obs. X]]-_xlfn.XLOOKUP(Readings[[#This Row],[Sensor ID]],Table_Baseline[Sensor ID],Table_Baseline[Easting '[m']],"-")),"-")</f>
        <v>0</v>
      </c>
      <c r="P686" s="93">
        <f>IFERROR(IF(Readings[[#This Row],[Obs. Y]]="","-",Readings[[#This Row],[Obs. Y]]-_xlfn.XLOOKUP(Readings[[#This Row],[Sensor ID]],Table_Baseline[Sensor ID],Table_Baseline[Northing '[m']],"-")),"-")</f>
        <v>3.0000000260770321E-3</v>
      </c>
      <c r="Q686" s="93">
        <f>IFERROR(IF(Readings[[#This Row],[Obs. Z]]="","-",Readings[[#This Row],[Obs. Z]]-_xlfn.XLOOKUP(Readings[[#This Row],[Sensor ID]],Table_Baseline[Sensor ID],Table_Baseline[Level '[m']],"-")),"-")</f>
        <v>-8.9999999999790248E-4</v>
      </c>
      <c r="R686" s="93">
        <f>IFERROR(IF(Readings[[#This Row],[Reference Angle]]="-","-",(Readings[[#This Row],[Diff E]]*COS(RADIANS(Readings[[#This Row],[Reference Angle]]))-Readings[[#This Row],[Diff N]]*SIN(RADIANS(Readings[[#This Row],[Reference Angle]])))),"-")</f>
        <v>0</v>
      </c>
      <c r="S686" s="93">
        <f>IFERROR(IF(Readings[[#This Row],[Reference Angle]]="-","-",(Readings[[#This Row],[Diff E]]*SIN(RADIANS(Readings[[#This Row],[Reference Angle]]))+Readings[[#This Row],[Diff N]]*COS(RADIANS(Readings[[#This Row],[Reference Angle]])))),"-")</f>
        <v>3.0000000260770321E-3</v>
      </c>
      <c r="T686" s="94">
        <f>IFERROR(VLOOKUP(Readings[[#This Row],[Sensor ID]],Table_Baseline[],COLUMNS(Table_Baseline[[#Headers],[Sensor ID]:[Reference Angle '[Deg']]]),FALSE),"-")</f>
        <v>0</v>
      </c>
      <c r="U686" s="95" t="str">
        <f>Readings[[#This Row],[Sensor ID]]&amp;"-"&amp;Readings[[#This Row],[Epoch]]</f>
        <v>250-RL-OP-11015-45810.2708333333</v>
      </c>
      <c r="V686" s="99">
        <f ca="1">IF(Readings[[#This Row],[Epoch]]=OFFSET(Readings[[#This Row],[Epoch]],-1,0),0,1)</f>
        <v>0</v>
      </c>
    </row>
    <row r="687" spans="4:22" x14ac:dyDescent="0.2">
      <c r="D687" s="32">
        <v>45810.270833333336</v>
      </c>
      <c r="E687" s="33" t="s">
        <v>185</v>
      </c>
      <c r="F687" s="34">
        <v>60054.885000000002</v>
      </c>
      <c r="G687" s="34">
        <v>363838.80799999996</v>
      </c>
      <c r="H687" s="34">
        <v>18.773</v>
      </c>
      <c r="I687" s="33" t="s">
        <v>85</v>
      </c>
      <c r="J687" s="33" t="s">
        <v>90</v>
      </c>
      <c r="K687" s="33">
        <v>15</v>
      </c>
      <c r="L687" s="33">
        <v>1020</v>
      </c>
      <c r="M687" s="33">
        <v>78</v>
      </c>
      <c r="N687" s="33"/>
      <c r="O687" s="93">
        <f>IFERROR(IF(Readings[[#This Row],[Obs. X]]="","-",Readings[[#This Row],[Obs. X]]-_xlfn.XLOOKUP(Readings[[#This Row],[Sensor ID]],Table_Baseline[Sensor ID],Table_Baseline[Easting '[m']],"-")),"-")</f>
        <v>-9.9999999656574801E-4</v>
      </c>
      <c r="P687" s="93">
        <f>IFERROR(IF(Readings[[#This Row],[Obs. Y]]="","-",Readings[[#This Row],[Obs. Y]]-_xlfn.XLOOKUP(Readings[[#This Row],[Sensor ID]],Table_Baseline[Sensor ID],Table_Baseline[Northing '[m']],"-")),"-")</f>
        <v>2.9999999678693712E-3</v>
      </c>
      <c r="Q687" s="93">
        <f>IFERROR(IF(Readings[[#This Row],[Obs. Z]]="","-",Readings[[#This Row],[Obs. Z]]-_xlfn.XLOOKUP(Readings[[#This Row],[Sensor ID]],Table_Baseline[Sensor ID],Table_Baseline[Level '[m']],"-")),"-")</f>
        <v>-9.9999999999766942E-5</v>
      </c>
      <c r="R687" s="93">
        <f>IFERROR(IF(Readings[[#This Row],[Reference Angle]]="-","-",(Readings[[#This Row],[Diff E]]*COS(RADIANS(Readings[[#This Row],[Reference Angle]]))-Readings[[#This Row],[Diff N]]*SIN(RADIANS(Readings[[#This Row],[Reference Angle]])))),"-")</f>
        <v>-9.9999999656574801E-4</v>
      </c>
      <c r="S687" s="93">
        <f>IFERROR(IF(Readings[[#This Row],[Reference Angle]]="-","-",(Readings[[#This Row],[Diff E]]*SIN(RADIANS(Readings[[#This Row],[Reference Angle]]))+Readings[[#This Row],[Diff N]]*COS(RADIANS(Readings[[#This Row],[Reference Angle]])))),"-")</f>
        <v>2.9999999678693712E-3</v>
      </c>
      <c r="T687" s="94">
        <f>IFERROR(VLOOKUP(Readings[[#This Row],[Sensor ID]],Table_Baseline[],COLUMNS(Table_Baseline[[#Headers],[Sensor ID]:[Reference Angle '[Deg']]]),FALSE),"-")</f>
        <v>0</v>
      </c>
      <c r="U687" s="95" t="str">
        <f>Readings[[#This Row],[Sensor ID]]&amp;"-"&amp;Readings[[#This Row],[Epoch]]</f>
        <v>250-RL-OP-11016-45810.2708333333</v>
      </c>
      <c r="V687" s="99">
        <f ca="1">IF(Readings[[#This Row],[Epoch]]=OFFSET(Readings[[#This Row],[Epoch]],-1,0),0,1)</f>
        <v>0</v>
      </c>
    </row>
    <row r="688" spans="4:22" x14ac:dyDescent="0.2">
      <c r="D688" s="32">
        <v>45810.270833333336</v>
      </c>
      <c r="E688" s="33" t="s">
        <v>188</v>
      </c>
      <c r="F688" s="34">
        <v>60057.951999999997</v>
      </c>
      <c r="G688" s="34">
        <v>363839.36600000004</v>
      </c>
      <c r="H688" s="34">
        <v>18.786000000000001</v>
      </c>
      <c r="I688" s="33" t="s">
        <v>85</v>
      </c>
      <c r="J688" s="33" t="s">
        <v>90</v>
      </c>
      <c r="K688" s="33">
        <v>15</v>
      </c>
      <c r="L688" s="33">
        <v>1020</v>
      </c>
      <c r="M688" s="33">
        <v>78</v>
      </c>
      <c r="N688" s="33"/>
      <c r="O688" s="93">
        <f>IFERROR(IF(Readings[[#This Row],[Obs. X]]="","-",Readings[[#This Row],[Obs. X]]-_xlfn.XLOOKUP(Readings[[#This Row],[Sensor ID]],Table_Baseline[Sensor ID],Table_Baseline[Easting '[m']],"-")),"-")</f>
        <v>0</v>
      </c>
      <c r="P688" s="93">
        <f>IFERROR(IF(Readings[[#This Row],[Obs. Y]]="","-",Readings[[#This Row],[Obs. Y]]-_xlfn.XLOOKUP(Readings[[#This Row],[Sensor ID]],Table_Baseline[Sensor ID],Table_Baseline[Northing '[m']],"-")),"-")</f>
        <v>4.0000000735744834E-3</v>
      </c>
      <c r="Q688" s="93">
        <f>IFERROR(IF(Readings[[#This Row],[Obs. Z]]="","-",Readings[[#This Row],[Obs. Z]]-_xlfn.XLOOKUP(Readings[[#This Row],[Sensor ID]],Table_Baseline[Sensor ID],Table_Baseline[Level '[m']],"-")),"-")</f>
        <v>0</v>
      </c>
      <c r="R688" s="93">
        <f>IFERROR(IF(Readings[[#This Row],[Reference Angle]]="-","-",(Readings[[#This Row],[Diff E]]*COS(RADIANS(Readings[[#This Row],[Reference Angle]]))-Readings[[#This Row],[Diff N]]*SIN(RADIANS(Readings[[#This Row],[Reference Angle]])))),"-")</f>
        <v>0</v>
      </c>
      <c r="S688" s="93">
        <f>IFERROR(IF(Readings[[#This Row],[Reference Angle]]="-","-",(Readings[[#This Row],[Diff E]]*SIN(RADIANS(Readings[[#This Row],[Reference Angle]]))+Readings[[#This Row],[Diff N]]*COS(RADIANS(Readings[[#This Row],[Reference Angle]])))),"-")</f>
        <v>4.0000000735744834E-3</v>
      </c>
      <c r="T688" s="94">
        <f>IFERROR(VLOOKUP(Readings[[#This Row],[Sensor ID]],Table_Baseline[],COLUMNS(Table_Baseline[[#Headers],[Sensor ID]:[Reference Angle '[Deg']]]),FALSE),"-")</f>
        <v>0</v>
      </c>
      <c r="U688" s="95" t="str">
        <f>Readings[[#This Row],[Sensor ID]]&amp;"-"&amp;Readings[[#This Row],[Epoch]]</f>
        <v>250-RL-OP-11017-45810.2708333333</v>
      </c>
      <c r="V688" s="99">
        <f ca="1">IF(Readings[[#This Row],[Epoch]]=OFFSET(Readings[[#This Row],[Epoch]],-1,0),0,1)</f>
        <v>0</v>
      </c>
    </row>
    <row r="689" spans="4:22" x14ac:dyDescent="0.2">
      <c r="D689" s="32">
        <v>45810.270833333336</v>
      </c>
      <c r="E689" s="33" t="s">
        <v>187</v>
      </c>
      <c r="F689" s="34">
        <v>60057.578000000001</v>
      </c>
      <c r="G689" s="34">
        <v>363838.10100000002</v>
      </c>
      <c r="H689" s="34">
        <v>18.774999999999999</v>
      </c>
      <c r="I689" s="33" t="s">
        <v>85</v>
      </c>
      <c r="J689" s="33" t="s">
        <v>90</v>
      </c>
      <c r="K689" s="33">
        <v>15</v>
      </c>
      <c r="L689" s="33">
        <v>1020</v>
      </c>
      <c r="M689" s="33">
        <v>78</v>
      </c>
      <c r="N689" s="33"/>
      <c r="O689" s="93">
        <f>IFERROR(IF(Readings[[#This Row],[Obs. X]]="","-",Readings[[#This Row],[Obs. X]]-_xlfn.XLOOKUP(Readings[[#This Row],[Sensor ID]],Table_Baseline[Sensor ID],Table_Baseline[Easting '[m']],"-")),"-")</f>
        <v>-9.9999999656574801E-4</v>
      </c>
      <c r="P689" s="93">
        <f>IFERROR(IF(Readings[[#This Row],[Obs. Y]]="","-",Readings[[#This Row],[Obs. Y]]-_xlfn.XLOOKUP(Readings[[#This Row],[Sensor ID]],Table_Baseline[Sensor ID],Table_Baseline[Northing '[m']],"-")),"-")</f>
        <v>3.0000000260770321E-3</v>
      </c>
      <c r="Q689" s="93">
        <f>IFERROR(IF(Readings[[#This Row],[Obs. Z]]="","-",Readings[[#This Row],[Obs. Z]]-_xlfn.XLOOKUP(Readings[[#This Row],[Sensor ID]],Table_Baseline[Sensor ID],Table_Baseline[Level '[m']],"-")),"-")</f>
        <v>-1.0000000000012221E-3</v>
      </c>
      <c r="R689" s="93">
        <f>IFERROR(IF(Readings[[#This Row],[Reference Angle]]="-","-",(Readings[[#This Row],[Diff E]]*COS(RADIANS(Readings[[#This Row],[Reference Angle]]))-Readings[[#This Row],[Diff N]]*SIN(RADIANS(Readings[[#This Row],[Reference Angle]])))),"-")</f>
        <v>-9.9999999656574801E-4</v>
      </c>
      <c r="S689" s="93">
        <f>IFERROR(IF(Readings[[#This Row],[Reference Angle]]="-","-",(Readings[[#This Row],[Diff E]]*SIN(RADIANS(Readings[[#This Row],[Reference Angle]]))+Readings[[#This Row],[Diff N]]*COS(RADIANS(Readings[[#This Row],[Reference Angle]])))),"-")</f>
        <v>3.0000000260770321E-3</v>
      </c>
      <c r="T689" s="94">
        <f>IFERROR(VLOOKUP(Readings[[#This Row],[Sensor ID]],Table_Baseline[],COLUMNS(Table_Baseline[[#Headers],[Sensor ID]:[Reference Angle '[Deg']]]),FALSE),"-")</f>
        <v>0</v>
      </c>
      <c r="U689" s="95" t="str">
        <f>Readings[[#This Row],[Sensor ID]]&amp;"-"&amp;Readings[[#This Row],[Epoch]]</f>
        <v>250-RL-OP-11018-45810.2708333333</v>
      </c>
      <c r="V689" s="99">
        <f ca="1">IF(Readings[[#This Row],[Epoch]]=OFFSET(Readings[[#This Row],[Epoch]],-1,0),0,1)</f>
        <v>0</v>
      </c>
    </row>
    <row r="690" spans="4:22" x14ac:dyDescent="0.2">
      <c r="D690" s="32">
        <v>45810.270833333336</v>
      </c>
      <c r="E690" s="33" t="s">
        <v>190</v>
      </c>
      <c r="F690" s="34">
        <v>60060.962</v>
      </c>
      <c r="G690" s="34">
        <v>363838.60399999999</v>
      </c>
      <c r="H690" s="34">
        <v>18.794</v>
      </c>
      <c r="I690" s="33" t="s">
        <v>85</v>
      </c>
      <c r="J690" s="33" t="s">
        <v>90</v>
      </c>
      <c r="K690" s="33">
        <v>15</v>
      </c>
      <c r="L690" s="33">
        <v>1020</v>
      </c>
      <c r="M690" s="33">
        <v>78</v>
      </c>
      <c r="N690" s="33"/>
      <c r="O690" s="93">
        <f>IFERROR(IF(Readings[[#This Row],[Obs. X]]="","-",Readings[[#This Row],[Obs. X]]-_xlfn.XLOOKUP(Readings[[#This Row],[Sensor ID]],Table_Baseline[Sensor ID],Table_Baseline[Easting '[m']],"-")),"-")</f>
        <v>-1.0000000038417056E-3</v>
      </c>
      <c r="P690" s="93">
        <f>IFERROR(IF(Readings[[#This Row],[Obs. Y]]="","-",Readings[[#This Row],[Obs. Y]]-_xlfn.XLOOKUP(Readings[[#This Row],[Sensor ID]],Table_Baseline[Sensor ID],Table_Baseline[Northing '[m']],"-")),"-")</f>
        <v>2.9999999678693712E-3</v>
      </c>
      <c r="Q690" s="93">
        <f>IFERROR(IF(Readings[[#This Row],[Obs. Z]]="","-",Readings[[#This Row],[Obs. Z]]-_xlfn.XLOOKUP(Readings[[#This Row],[Sensor ID]],Table_Baseline[Sensor ID],Table_Baseline[Level '[m']],"-")),"-")</f>
        <v>-5.9999999999860165E-4</v>
      </c>
      <c r="R690" s="93">
        <f>IFERROR(IF(Readings[[#This Row],[Reference Angle]]="-","-",(Readings[[#This Row],[Diff E]]*COS(RADIANS(Readings[[#This Row],[Reference Angle]]))-Readings[[#This Row],[Diff N]]*SIN(RADIANS(Readings[[#This Row],[Reference Angle]])))),"-")</f>
        <v>-1.0000000038417056E-3</v>
      </c>
      <c r="S690" s="93">
        <f>IFERROR(IF(Readings[[#This Row],[Reference Angle]]="-","-",(Readings[[#This Row],[Diff E]]*SIN(RADIANS(Readings[[#This Row],[Reference Angle]]))+Readings[[#This Row],[Diff N]]*COS(RADIANS(Readings[[#This Row],[Reference Angle]])))),"-")</f>
        <v>2.9999999678693712E-3</v>
      </c>
      <c r="T690" s="94">
        <f>IFERROR(VLOOKUP(Readings[[#This Row],[Sensor ID]],Table_Baseline[],COLUMNS(Table_Baseline[[#Headers],[Sensor ID]:[Reference Angle '[Deg']]]),FALSE),"-")</f>
        <v>0</v>
      </c>
      <c r="U690" s="95" t="str">
        <f>Readings[[#This Row],[Sensor ID]]&amp;"-"&amp;Readings[[#This Row],[Epoch]]</f>
        <v>250-RL-OP-11019-45810.2708333333</v>
      </c>
      <c r="V690" s="99">
        <f ca="1">IF(Readings[[#This Row],[Epoch]]=OFFSET(Readings[[#This Row],[Epoch]],-1,0),0,1)</f>
        <v>0</v>
      </c>
    </row>
    <row r="691" spans="4:22" x14ac:dyDescent="0.2">
      <c r="D691" s="32">
        <v>45810.270833333336</v>
      </c>
      <c r="E691" s="33" t="s">
        <v>189</v>
      </c>
      <c r="F691" s="34">
        <v>60060.639999999999</v>
      </c>
      <c r="G691" s="34">
        <v>363837.326</v>
      </c>
      <c r="H691" s="34">
        <v>18.783000000000001</v>
      </c>
      <c r="I691" s="33" t="s">
        <v>85</v>
      </c>
      <c r="J691" s="33" t="s">
        <v>90</v>
      </c>
      <c r="K691" s="33">
        <v>15</v>
      </c>
      <c r="L691" s="33">
        <v>1020</v>
      </c>
      <c r="M691" s="33">
        <v>78</v>
      </c>
      <c r="N691" s="33"/>
      <c r="O691" s="93">
        <f>IFERROR(IF(Readings[[#This Row],[Obs. X]]="","-",Readings[[#This Row],[Obs. X]]-_xlfn.XLOOKUP(Readings[[#This Row],[Sensor ID]],Table_Baseline[Sensor ID],Table_Baseline[Easting '[m']],"-")),"-")</f>
        <v>0</v>
      </c>
      <c r="P691" s="93">
        <f>IFERROR(IF(Readings[[#This Row],[Obs. Y]]="","-",Readings[[#This Row],[Obs. Y]]-_xlfn.XLOOKUP(Readings[[#This Row],[Sensor ID]],Table_Baseline[Sensor ID],Table_Baseline[Northing '[m']],"-")),"-")</f>
        <v>4.0000000153668225E-3</v>
      </c>
      <c r="Q691" s="93">
        <f>IFERROR(IF(Readings[[#This Row],[Obs. Z]]="","-",Readings[[#This Row],[Obs. Z]]-_xlfn.XLOOKUP(Readings[[#This Row],[Sensor ID]],Table_Baseline[Sensor ID],Table_Baseline[Level '[m']],"-")),"-")</f>
        <v>-5.9999999999860165E-4</v>
      </c>
      <c r="R691" s="93">
        <f>IFERROR(IF(Readings[[#This Row],[Reference Angle]]="-","-",(Readings[[#This Row],[Diff E]]*COS(RADIANS(Readings[[#This Row],[Reference Angle]]))-Readings[[#This Row],[Diff N]]*SIN(RADIANS(Readings[[#This Row],[Reference Angle]])))),"-")</f>
        <v>0</v>
      </c>
      <c r="S691" s="93">
        <f>IFERROR(IF(Readings[[#This Row],[Reference Angle]]="-","-",(Readings[[#This Row],[Diff E]]*SIN(RADIANS(Readings[[#This Row],[Reference Angle]]))+Readings[[#This Row],[Diff N]]*COS(RADIANS(Readings[[#This Row],[Reference Angle]])))),"-")</f>
        <v>4.0000000153668225E-3</v>
      </c>
      <c r="T691" s="94">
        <f>IFERROR(VLOOKUP(Readings[[#This Row],[Sensor ID]],Table_Baseline[],COLUMNS(Table_Baseline[[#Headers],[Sensor ID]:[Reference Angle '[Deg']]]),FALSE),"-")</f>
        <v>0</v>
      </c>
      <c r="U691" s="95" t="str">
        <f>Readings[[#This Row],[Sensor ID]]&amp;"-"&amp;Readings[[#This Row],[Epoch]]</f>
        <v>250-RL-OP-11020-45810.2708333333</v>
      </c>
      <c r="V691" s="99">
        <f ca="1">IF(Readings[[#This Row],[Epoch]]=OFFSET(Readings[[#This Row],[Epoch]],-1,0),0,1)</f>
        <v>0</v>
      </c>
    </row>
    <row r="692" spans="4:22" x14ac:dyDescent="0.2">
      <c r="D692" s="32">
        <v>45810.270833333336</v>
      </c>
      <c r="E692" s="33" t="s">
        <v>192</v>
      </c>
      <c r="F692" s="34">
        <v>60063.75</v>
      </c>
      <c r="G692" s="34">
        <v>363837.92099999997</v>
      </c>
      <c r="H692" s="34">
        <v>18.808</v>
      </c>
      <c r="I692" s="33" t="s">
        <v>85</v>
      </c>
      <c r="J692" s="33" t="s">
        <v>90</v>
      </c>
      <c r="K692" s="33">
        <v>15</v>
      </c>
      <c r="L692" s="33">
        <v>1020</v>
      </c>
      <c r="M692" s="33">
        <v>78</v>
      </c>
      <c r="N692" s="33"/>
      <c r="O692" s="93">
        <f>IFERROR(IF(Readings[[#This Row],[Obs. X]]="","-",Readings[[#This Row],[Obs. X]]-_xlfn.XLOOKUP(Readings[[#This Row],[Sensor ID]],Table_Baseline[Sensor ID],Table_Baseline[Easting '[m']],"-")),"-")</f>
        <v>-9.9999999656574801E-4</v>
      </c>
      <c r="P692" s="93">
        <f>IFERROR(IF(Readings[[#This Row],[Obs. Y]]="","-",Readings[[#This Row],[Obs. Y]]-_xlfn.XLOOKUP(Readings[[#This Row],[Sensor ID]],Table_Baseline[Sensor ID],Table_Baseline[Northing '[m']],"-")),"-")</f>
        <v>2.9999999678693712E-3</v>
      </c>
      <c r="Q692" s="93">
        <f>IFERROR(IF(Readings[[#This Row],[Obs. Z]]="","-",Readings[[#This Row],[Obs. Z]]-_xlfn.XLOOKUP(Readings[[#This Row],[Sensor ID]],Table_Baseline[Sensor ID],Table_Baseline[Level '[m']],"-")),"-")</f>
        <v>-1.0000000000012221E-3</v>
      </c>
      <c r="R692" s="93">
        <f>IFERROR(IF(Readings[[#This Row],[Reference Angle]]="-","-",(Readings[[#This Row],[Diff E]]*COS(RADIANS(Readings[[#This Row],[Reference Angle]]))-Readings[[#This Row],[Diff N]]*SIN(RADIANS(Readings[[#This Row],[Reference Angle]])))),"-")</f>
        <v>-9.9999999656574801E-4</v>
      </c>
      <c r="S692" s="93">
        <f>IFERROR(IF(Readings[[#This Row],[Reference Angle]]="-","-",(Readings[[#This Row],[Diff E]]*SIN(RADIANS(Readings[[#This Row],[Reference Angle]]))+Readings[[#This Row],[Diff N]]*COS(RADIANS(Readings[[#This Row],[Reference Angle]])))),"-")</f>
        <v>2.9999999678693712E-3</v>
      </c>
      <c r="T692" s="94">
        <f>IFERROR(VLOOKUP(Readings[[#This Row],[Sensor ID]],Table_Baseline[],COLUMNS(Table_Baseline[[#Headers],[Sensor ID]:[Reference Angle '[Deg']]]),FALSE),"-")</f>
        <v>0</v>
      </c>
      <c r="U692" s="95" t="str">
        <f>Readings[[#This Row],[Sensor ID]]&amp;"-"&amp;Readings[[#This Row],[Epoch]]</f>
        <v>250-RL-OP-11021-45810.2708333333</v>
      </c>
      <c r="V692" s="99">
        <f ca="1">IF(Readings[[#This Row],[Epoch]]=OFFSET(Readings[[#This Row],[Epoch]],-1,0),0,1)</f>
        <v>0</v>
      </c>
    </row>
    <row r="693" spans="4:22" x14ac:dyDescent="0.2">
      <c r="D693" s="32">
        <v>45810.270833333336</v>
      </c>
      <c r="E693" s="33" t="s">
        <v>191</v>
      </c>
      <c r="F693" s="34">
        <v>60063.421000000002</v>
      </c>
      <c r="G693" s="34">
        <v>363836.63899999997</v>
      </c>
      <c r="H693" s="34">
        <v>18.794</v>
      </c>
      <c r="I693" s="33" t="s">
        <v>85</v>
      </c>
      <c r="J693" s="33" t="s">
        <v>90</v>
      </c>
      <c r="K693" s="33">
        <v>15</v>
      </c>
      <c r="L693" s="33">
        <v>1020</v>
      </c>
      <c r="M693" s="33">
        <v>78</v>
      </c>
      <c r="N693" s="33"/>
      <c r="O693" s="93">
        <f>IFERROR(IF(Readings[[#This Row],[Obs. X]]="","-",Readings[[#This Row],[Obs. X]]-_xlfn.XLOOKUP(Readings[[#This Row],[Sensor ID]],Table_Baseline[Sensor ID],Table_Baseline[Easting '[m']],"-")),"-")</f>
        <v>-9.9999999656574801E-4</v>
      </c>
      <c r="P693" s="93">
        <f>IFERROR(IF(Readings[[#This Row],[Obs. Y]]="","-",Readings[[#This Row],[Obs. Y]]-_xlfn.XLOOKUP(Readings[[#This Row],[Sensor ID]],Table_Baseline[Sensor ID],Table_Baseline[Northing '[m']],"-")),"-")</f>
        <v>2.9999999678693712E-3</v>
      </c>
      <c r="Q693" s="93">
        <f>IFERROR(IF(Readings[[#This Row],[Obs. Z]]="","-",Readings[[#This Row],[Obs. Z]]-_xlfn.XLOOKUP(Readings[[#This Row],[Sensor ID]],Table_Baseline[Sensor ID],Table_Baseline[Level '[m']],"-")),"-")</f>
        <v>-8.9999999999790248E-4</v>
      </c>
      <c r="R693" s="93">
        <f>IFERROR(IF(Readings[[#This Row],[Reference Angle]]="-","-",(Readings[[#This Row],[Diff E]]*COS(RADIANS(Readings[[#This Row],[Reference Angle]]))-Readings[[#This Row],[Diff N]]*SIN(RADIANS(Readings[[#This Row],[Reference Angle]])))),"-")</f>
        <v>-9.9999999656574801E-4</v>
      </c>
      <c r="S693" s="93">
        <f>IFERROR(IF(Readings[[#This Row],[Reference Angle]]="-","-",(Readings[[#This Row],[Diff E]]*SIN(RADIANS(Readings[[#This Row],[Reference Angle]]))+Readings[[#This Row],[Diff N]]*COS(RADIANS(Readings[[#This Row],[Reference Angle]])))),"-")</f>
        <v>2.9999999678693712E-3</v>
      </c>
      <c r="T693" s="94">
        <f>IFERROR(VLOOKUP(Readings[[#This Row],[Sensor ID]],Table_Baseline[],COLUMNS(Table_Baseline[[#Headers],[Sensor ID]:[Reference Angle '[Deg']]]),FALSE),"-")</f>
        <v>0</v>
      </c>
      <c r="U693" s="95" t="str">
        <f>Readings[[#This Row],[Sensor ID]]&amp;"-"&amp;Readings[[#This Row],[Epoch]]</f>
        <v>250-RL-OP-11022-45810.2708333333</v>
      </c>
      <c r="V693" s="99">
        <f ca="1">IF(Readings[[#This Row],[Epoch]]=OFFSET(Readings[[#This Row],[Epoch]],-1,0),0,1)</f>
        <v>0</v>
      </c>
    </row>
    <row r="694" spans="4:22" x14ac:dyDescent="0.2">
      <c r="D694" s="32">
        <v>45810.270833333336</v>
      </c>
      <c r="E694" s="33" t="s">
        <v>165</v>
      </c>
      <c r="F694" s="34">
        <v>60034.538999999997</v>
      </c>
      <c r="G694" s="34">
        <v>363843.38199999998</v>
      </c>
      <c r="H694" s="34">
        <v>19.332000000000001</v>
      </c>
      <c r="I694" s="33" t="s">
        <v>85</v>
      </c>
      <c r="J694" s="33" t="s">
        <v>90</v>
      </c>
      <c r="K694" s="33">
        <v>15</v>
      </c>
      <c r="L694" s="33">
        <v>1020</v>
      </c>
      <c r="M694" s="33">
        <v>78</v>
      </c>
      <c r="N694" s="33"/>
      <c r="O694" s="93" t="str">
        <f>IFERROR(IF(Readings[[#This Row],[Obs. X]]="","-",Readings[[#This Row],[Obs. X]]-_xlfn.XLOOKUP(Readings[[#This Row],[Sensor ID]],Table_Baseline[Sensor ID],Table_Baseline[Easting '[m']],"-")),"-")</f>
        <v>-</v>
      </c>
      <c r="P694" s="93" t="str">
        <f>IFERROR(IF(Readings[[#This Row],[Obs. Y]]="","-",Readings[[#This Row],[Obs. Y]]-_xlfn.XLOOKUP(Readings[[#This Row],[Sensor ID]],Table_Baseline[Sensor ID],Table_Baseline[Northing '[m']],"-")),"-")</f>
        <v>-</v>
      </c>
      <c r="Q694" s="93" t="str">
        <f>IFERROR(IF(Readings[[#This Row],[Obs. Z]]="","-",Readings[[#This Row],[Obs. Z]]-_xlfn.XLOOKUP(Readings[[#This Row],[Sensor ID]],Table_Baseline[Sensor ID],Table_Baseline[Level '[m']],"-")),"-")</f>
        <v>-</v>
      </c>
      <c r="R694" s="93" t="str">
        <f>IFERROR(IF(Readings[[#This Row],[Reference Angle]]="-","-",(Readings[[#This Row],[Diff E]]*COS(RADIANS(Readings[[#This Row],[Reference Angle]]))-Readings[[#This Row],[Diff N]]*SIN(RADIANS(Readings[[#This Row],[Reference Angle]])))),"-")</f>
        <v>-</v>
      </c>
      <c r="S694" s="93" t="str">
        <f>IFERROR(IF(Readings[[#This Row],[Reference Angle]]="-","-",(Readings[[#This Row],[Diff E]]*SIN(RADIANS(Readings[[#This Row],[Reference Angle]]))+Readings[[#This Row],[Diff N]]*COS(RADIANS(Readings[[#This Row],[Reference Angle]])))),"-")</f>
        <v>-</v>
      </c>
      <c r="T694" s="94" t="str">
        <f>IFERROR(VLOOKUP(Readings[[#This Row],[Sensor ID]],Table_Baseline[],COLUMNS(Table_Baseline[[#Headers],[Sensor ID]:[Reference Angle '[Deg']]]),FALSE),"-")</f>
        <v>-</v>
      </c>
      <c r="U694" s="95" t="str">
        <f>Readings[[#This Row],[Sensor ID]]&amp;"-"&amp;Readings[[#This Row],[Epoch]]</f>
        <v>250-ST-OP-500-45810.2708333333</v>
      </c>
      <c r="V694" s="99">
        <f ca="1">IF(Readings[[#This Row],[Epoch]]=OFFSET(Readings[[#This Row],[Epoch]],-1,0),0,1)</f>
        <v>0</v>
      </c>
    </row>
    <row r="695" spans="4:22" x14ac:dyDescent="0.2">
      <c r="D695" s="32">
        <v>45810.270833333336</v>
      </c>
      <c r="E695" s="33" t="s">
        <v>166</v>
      </c>
      <c r="F695" s="34">
        <v>60040.286</v>
      </c>
      <c r="G695" s="34">
        <v>363841.73</v>
      </c>
      <c r="H695" s="34">
        <v>19.321999999999999</v>
      </c>
      <c r="I695" s="33" t="s">
        <v>85</v>
      </c>
      <c r="J695" s="33" t="s">
        <v>90</v>
      </c>
      <c r="K695" s="33">
        <v>15</v>
      </c>
      <c r="L695" s="33">
        <v>1020</v>
      </c>
      <c r="M695" s="33">
        <v>78</v>
      </c>
      <c r="N695" s="33"/>
      <c r="O695" s="93" t="str">
        <f>IFERROR(IF(Readings[[#This Row],[Obs. X]]="","-",Readings[[#This Row],[Obs. X]]-_xlfn.XLOOKUP(Readings[[#This Row],[Sensor ID]],Table_Baseline[Sensor ID],Table_Baseline[Easting '[m']],"-")),"-")</f>
        <v>-</v>
      </c>
      <c r="P695" s="93" t="str">
        <f>IFERROR(IF(Readings[[#This Row],[Obs. Y]]="","-",Readings[[#This Row],[Obs. Y]]-_xlfn.XLOOKUP(Readings[[#This Row],[Sensor ID]],Table_Baseline[Sensor ID],Table_Baseline[Northing '[m']],"-")),"-")</f>
        <v>-</v>
      </c>
      <c r="Q695" s="93" t="str">
        <f>IFERROR(IF(Readings[[#This Row],[Obs. Z]]="","-",Readings[[#This Row],[Obs. Z]]-_xlfn.XLOOKUP(Readings[[#This Row],[Sensor ID]],Table_Baseline[Sensor ID],Table_Baseline[Level '[m']],"-")),"-")</f>
        <v>-</v>
      </c>
      <c r="R695" s="93" t="str">
        <f>IFERROR(IF(Readings[[#This Row],[Reference Angle]]="-","-",(Readings[[#This Row],[Diff E]]*COS(RADIANS(Readings[[#This Row],[Reference Angle]]))-Readings[[#This Row],[Diff N]]*SIN(RADIANS(Readings[[#This Row],[Reference Angle]])))),"-")</f>
        <v>-</v>
      </c>
      <c r="S695" s="93" t="str">
        <f>IFERROR(IF(Readings[[#This Row],[Reference Angle]]="-","-",(Readings[[#This Row],[Diff E]]*SIN(RADIANS(Readings[[#This Row],[Reference Angle]]))+Readings[[#This Row],[Diff N]]*COS(RADIANS(Readings[[#This Row],[Reference Angle]])))),"-")</f>
        <v>-</v>
      </c>
      <c r="T695" s="94" t="str">
        <f>IFERROR(VLOOKUP(Readings[[#This Row],[Sensor ID]],Table_Baseline[],COLUMNS(Table_Baseline[[#Headers],[Sensor ID]:[Reference Angle '[Deg']]]),FALSE),"-")</f>
        <v>-</v>
      </c>
      <c r="U695" s="95" t="str">
        <f>Readings[[#This Row],[Sensor ID]]&amp;"-"&amp;Readings[[#This Row],[Epoch]]</f>
        <v>250-ST-OP-501-45810.2708333333</v>
      </c>
      <c r="V695" s="99">
        <f ca="1">IF(Readings[[#This Row],[Epoch]]=OFFSET(Readings[[#This Row],[Epoch]],-1,0),0,1)</f>
        <v>0</v>
      </c>
    </row>
    <row r="696" spans="4:22" x14ac:dyDescent="0.2">
      <c r="D696" s="32">
        <v>45810.270833333336</v>
      </c>
      <c r="E696" s="33" t="s">
        <v>167</v>
      </c>
      <c r="F696" s="34">
        <v>60045.921999999999</v>
      </c>
      <c r="G696" s="34">
        <v>363840.10100000002</v>
      </c>
      <c r="H696" s="34">
        <v>19.334</v>
      </c>
      <c r="I696" s="33" t="s">
        <v>85</v>
      </c>
      <c r="J696" s="33" t="s">
        <v>90</v>
      </c>
      <c r="K696" s="33">
        <v>15</v>
      </c>
      <c r="L696" s="33">
        <v>1020</v>
      </c>
      <c r="M696" s="33">
        <v>78</v>
      </c>
      <c r="N696" s="33"/>
      <c r="O696" s="93" t="str">
        <f>IFERROR(IF(Readings[[#This Row],[Obs. X]]="","-",Readings[[#This Row],[Obs. X]]-_xlfn.XLOOKUP(Readings[[#This Row],[Sensor ID]],Table_Baseline[Sensor ID],Table_Baseline[Easting '[m']],"-")),"-")</f>
        <v>-</v>
      </c>
      <c r="P696" s="93" t="str">
        <f>IFERROR(IF(Readings[[#This Row],[Obs. Y]]="","-",Readings[[#This Row],[Obs. Y]]-_xlfn.XLOOKUP(Readings[[#This Row],[Sensor ID]],Table_Baseline[Sensor ID],Table_Baseline[Northing '[m']],"-")),"-")</f>
        <v>-</v>
      </c>
      <c r="Q696" s="93" t="str">
        <f>IFERROR(IF(Readings[[#This Row],[Obs. Z]]="","-",Readings[[#This Row],[Obs. Z]]-_xlfn.XLOOKUP(Readings[[#This Row],[Sensor ID]],Table_Baseline[Sensor ID],Table_Baseline[Level '[m']],"-")),"-")</f>
        <v>-</v>
      </c>
      <c r="R696" s="93" t="str">
        <f>IFERROR(IF(Readings[[#This Row],[Reference Angle]]="-","-",(Readings[[#This Row],[Diff E]]*COS(RADIANS(Readings[[#This Row],[Reference Angle]]))-Readings[[#This Row],[Diff N]]*SIN(RADIANS(Readings[[#This Row],[Reference Angle]])))),"-")</f>
        <v>-</v>
      </c>
      <c r="S696" s="93" t="str">
        <f>IFERROR(IF(Readings[[#This Row],[Reference Angle]]="-","-",(Readings[[#This Row],[Diff E]]*SIN(RADIANS(Readings[[#This Row],[Reference Angle]]))+Readings[[#This Row],[Diff N]]*COS(RADIANS(Readings[[#This Row],[Reference Angle]])))),"-")</f>
        <v>-</v>
      </c>
      <c r="T696" s="94" t="str">
        <f>IFERROR(VLOOKUP(Readings[[#This Row],[Sensor ID]],Table_Baseline[],COLUMNS(Table_Baseline[[#Headers],[Sensor ID]:[Reference Angle '[Deg']]]),FALSE),"-")</f>
        <v>-</v>
      </c>
      <c r="U696" s="95" t="str">
        <f>Readings[[#This Row],[Sensor ID]]&amp;"-"&amp;Readings[[#This Row],[Epoch]]</f>
        <v>250-ST-OP-502-45810.2708333333</v>
      </c>
      <c r="V696" s="99">
        <f ca="1">IF(Readings[[#This Row],[Epoch]]=OFFSET(Readings[[#This Row],[Epoch]],-1,0),0,1)</f>
        <v>0</v>
      </c>
    </row>
    <row r="697" spans="4:22" x14ac:dyDescent="0.2">
      <c r="D697" s="32">
        <v>45810.270833333336</v>
      </c>
      <c r="E697" s="33" t="s">
        <v>168</v>
      </c>
      <c r="F697" s="34">
        <v>60049.767999999996</v>
      </c>
      <c r="G697" s="34">
        <v>363838.995</v>
      </c>
      <c r="H697" s="34">
        <v>19.344999999999999</v>
      </c>
      <c r="I697" s="33" t="s">
        <v>85</v>
      </c>
      <c r="J697" s="33" t="s">
        <v>90</v>
      </c>
      <c r="K697" s="33">
        <v>15</v>
      </c>
      <c r="L697" s="33">
        <v>1020</v>
      </c>
      <c r="M697" s="33">
        <v>78</v>
      </c>
      <c r="N697" s="33"/>
      <c r="O697" s="93" t="str">
        <f>IFERROR(IF(Readings[[#This Row],[Obs. X]]="","-",Readings[[#This Row],[Obs. X]]-_xlfn.XLOOKUP(Readings[[#This Row],[Sensor ID]],Table_Baseline[Sensor ID],Table_Baseline[Easting '[m']],"-")),"-")</f>
        <v>-</v>
      </c>
      <c r="P697" s="93" t="str">
        <f>IFERROR(IF(Readings[[#This Row],[Obs. Y]]="","-",Readings[[#This Row],[Obs. Y]]-_xlfn.XLOOKUP(Readings[[#This Row],[Sensor ID]],Table_Baseline[Sensor ID],Table_Baseline[Northing '[m']],"-")),"-")</f>
        <v>-</v>
      </c>
      <c r="Q697" s="93" t="str">
        <f>IFERROR(IF(Readings[[#This Row],[Obs. Z]]="","-",Readings[[#This Row],[Obs. Z]]-_xlfn.XLOOKUP(Readings[[#This Row],[Sensor ID]],Table_Baseline[Sensor ID],Table_Baseline[Level '[m']],"-")),"-")</f>
        <v>-</v>
      </c>
      <c r="R697" s="93" t="str">
        <f>IFERROR(IF(Readings[[#This Row],[Reference Angle]]="-","-",(Readings[[#This Row],[Diff E]]*COS(RADIANS(Readings[[#This Row],[Reference Angle]]))-Readings[[#This Row],[Diff N]]*SIN(RADIANS(Readings[[#This Row],[Reference Angle]])))),"-")</f>
        <v>-</v>
      </c>
      <c r="S697" s="93" t="str">
        <f>IFERROR(IF(Readings[[#This Row],[Reference Angle]]="-","-",(Readings[[#This Row],[Diff E]]*SIN(RADIANS(Readings[[#This Row],[Reference Angle]]))+Readings[[#This Row],[Diff N]]*COS(RADIANS(Readings[[#This Row],[Reference Angle]])))),"-")</f>
        <v>-</v>
      </c>
      <c r="T697" s="94" t="str">
        <f>IFERROR(VLOOKUP(Readings[[#This Row],[Sensor ID]],Table_Baseline[],COLUMNS(Table_Baseline[[#Headers],[Sensor ID]:[Reference Angle '[Deg']]]),FALSE),"-")</f>
        <v>-</v>
      </c>
      <c r="U697" s="95" t="str">
        <f>Readings[[#This Row],[Sensor ID]]&amp;"-"&amp;Readings[[#This Row],[Epoch]]</f>
        <v>250-ST-OP-503-45810.2708333333</v>
      </c>
      <c r="V697" s="99">
        <f ca="1">IF(Readings[[#This Row],[Epoch]]=OFFSET(Readings[[#This Row],[Epoch]],-1,0),0,1)</f>
        <v>0</v>
      </c>
    </row>
    <row r="698" spans="4:22" x14ac:dyDescent="0.2">
      <c r="D698" s="32">
        <v>45810.270833333336</v>
      </c>
      <c r="E698" s="33" t="s">
        <v>169</v>
      </c>
      <c r="F698" s="34">
        <v>60053.608999999997</v>
      </c>
      <c r="G698" s="34">
        <v>363837.88300000003</v>
      </c>
      <c r="H698" s="34">
        <v>19.356999999999999</v>
      </c>
      <c r="I698" s="33" t="s">
        <v>85</v>
      </c>
      <c r="J698" s="33" t="s">
        <v>90</v>
      </c>
      <c r="K698" s="33">
        <v>15</v>
      </c>
      <c r="L698" s="33">
        <v>1020</v>
      </c>
      <c r="M698" s="33">
        <v>78</v>
      </c>
      <c r="N698" s="33"/>
      <c r="O698" s="93" t="str">
        <f>IFERROR(IF(Readings[[#This Row],[Obs. X]]="","-",Readings[[#This Row],[Obs. X]]-_xlfn.XLOOKUP(Readings[[#This Row],[Sensor ID]],Table_Baseline[Sensor ID],Table_Baseline[Easting '[m']],"-")),"-")</f>
        <v>-</v>
      </c>
      <c r="P698" s="93" t="str">
        <f>IFERROR(IF(Readings[[#This Row],[Obs. Y]]="","-",Readings[[#This Row],[Obs. Y]]-_xlfn.XLOOKUP(Readings[[#This Row],[Sensor ID]],Table_Baseline[Sensor ID],Table_Baseline[Northing '[m']],"-")),"-")</f>
        <v>-</v>
      </c>
      <c r="Q698" s="93" t="str">
        <f>IFERROR(IF(Readings[[#This Row],[Obs. Z]]="","-",Readings[[#This Row],[Obs. Z]]-_xlfn.XLOOKUP(Readings[[#This Row],[Sensor ID]],Table_Baseline[Sensor ID],Table_Baseline[Level '[m']],"-")),"-")</f>
        <v>-</v>
      </c>
      <c r="R698" s="93" t="str">
        <f>IFERROR(IF(Readings[[#This Row],[Reference Angle]]="-","-",(Readings[[#This Row],[Diff E]]*COS(RADIANS(Readings[[#This Row],[Reference Angle]]))-Readings[[#This Row],[Diff N]]*SIN(RADIANS(Readings[[#This Row],[Reference Angle]])))),"-")</f>
        <v>-</v>
      </c>
      <c r="S698" s="93" t="str">
        <f>IFERROR(IF(Readings[[#This Row],[Reference Angle]]="-","-",(Readings[[#This Row],[Diff E]]*SIN(RADIANS(Readings[[#This Row],[Reference Angle]]))+Readings[[#This Row],[Diff N]]*COS(RADIANS(Readings[[#This Row],[Reference Angle]])))),"-")</f>
        <v>-</v>
      </c>
      <c r="T698" s="94" t="str">
        <f>IFERROR(VLOOKUP(Readings[[#This Row],[Sensor ID]],Table_Baseline[],COLUMNS(Table_Baseline[[#Headers],[Sensor ID]:[Reference Angle '[Deg']]]),FALSE),"-")</f>
        <v>-</v>
      </c>
      <c r="U698" s="95" t="str">
        <f>Readings[[#This Row],[Sensor ID]]&amp;"-"&amp;Readings[[#This Row],[Epoch]]</f>
        <v>250-ST-OP-504-45810.2708333333</v>
      </c>
      <c r="V698" s="99">
        <f ca="1">IF(Readings[[#This Row],[Epoch]]=OFFSET(Readings[[#This Row],[Epoch]],-1,0),0,1)</f>
        <v>0</v>
      </c>
    </row>
    <row r="699" spans="4:22" x14ac:dyDescent="0.2">
      <c r="D699" s="204">
        <v>45810.270833333336</v>
      </c>
      <c r="E699" s="151" t="s">
        <v>170</v>
      </c>
      <c r="F699" s="152">
        <v>60060.065000000002</v>
      </c>
      <c r="G699" s="152">
        <v>363836.02500000002</v>
      </c>
      <c r="H699" s="152">
        <v>19.356999999999999</v>
      </c>
      <c r="I699" s="151" t="s">
        <v>85</v>
      </c>
      <c r="J699" s="151" t="s">
        <v>90</v>
      </c>
      <c r="K699" s="151">
        <v>15</v>
      </c>
      <c r="L699" s="151">
        <v>1020</v>
      </c>
      <c r="M699" s="151">
        <v>78</v>
      </c>
      <c r="N699" s="151"/>
      <c r="O699" s="96" t="str">
        <f>IFERROR(IF(Readings[[#This Row],[Obs. X]]="","-",Readings[[#This Row],[Obs. X]]-_xlfn.XLOOKUP(Readings[[#This Row],[Sensor ID]],Table_Baseline[Sensor ID],Table_Baseline[Easting '[m']],"-")),"-")</f>
        <v>-</v>
      </c>
      <c r="P699" s="96" t="str">
        <f>IFERROR(IF(Readings[[#This Row],[Obs. Y]]="","-",Readings[[#This Row],[Obs. Y]]-_xlfn.XLOOKUP(Readings[[#This Row],[Sensor ID]],Table_Baseline[Sensor ID],Table_Baseline[Northing '[m']],"-")),"-")</f>
        <v>-</v>
      </c>
      <c r="Q699" s="96" t="str">
        <f>IFERROR(IF(Readings[[#This Row],[Obs. Z]]="","-",Readings[[#This Row],[Obs. Z]]-_xlfn.XLOOKUP(Readings[[#This Row],[Sensor ID]],Table_Baseline[Sensor ID],Table_Baseline[Level '[m']],"-")),"-")</f>
        <v>-</v>
      </c>
      <c r="R699" s="96" t="str">
        <f>IFERROR(IF(Readings[[#This Row],[Reference Angle]]="-","-",(Readings[[#This Row],[Diff E]]*COS(RADIANS(Readings[[#This Row],[Reference Angle]]))-Readings[[#This Row],[Diff N]]*SIN(RADIANS(Readings[[#This Row],[Reference Angle]])))),"-")</f>
        <v>-</v>
      </c>
      <c r="S699" s="96" t="str">
        <f>IFERROR(IF(Readings[[#This Row],[Reference Angle]]="-","-",(Readings[[#This Row],[Diff E]]*SIN(RADIANS(Readings[[#This Row],[Reference Angle]]))+Readings[[#This Row],[Diff N]]*COS(RADIANS(Readings[[#This Row],[Reference Angle]])))),"-")</f>
        <v>-</v>
      </c>
      <c r="T699" s="97" t="str">
        <f>IFERROR(VLOOKUP(Readings[[#This Row],[Sensor ID]],Table_Baseline[],COLUMNS(Table_Baseline[[#Headers],[Sensor ID]:[Reference Angle '[Deg']]]),FALSE),"-")</f>
        <v>-</v>
      </c>
      <c r="U699" s="98" t="str">
        <f>Readings[[#This Row],[Sensor ID]]&amp;"-"&amp;Readings[[#This Row],[Epoch]]</f>
        <v>250-ST-OP-505-45810.2708333333</v>
      </c>
      <c r="V699" s="100">
        <f ca="1">IF(Readings[[#This Row],[Epoch]]=OFFSET(Readings[[#This Row],[Epoch]],-1,0),0,1)</f>
        <v>0</v>
      </c>
    </row>
    <row r="700" spans="4:22" x14ac:dyDescent="0.2">
      <c r="D700" s="32">
        <v>45811.284722222219</v>
      </c>
      <c r="E700" s="33" t="s">
        <v>172</v>
      </c>
      <c r="F700" s="34">
        <v>60035.339</v>
      </c>
      <c r="G700" s="34">
        <v>363845.73800000001</v>
      </c>
      <c r="H700" s="34">
        <v>18.783000000000001</v>
      </c>
      <c r="I700" s="33" t="s">
        <v>85</v>
      </c>
      <c r="J700" s="33" t="s">
        <v>90</v>
      </c>
      <c r="K700" s="33">
        <v>17</v>
      </c>
      <c r="L700" s="33">
        <v>1008.8</v>
      </c>
      <c r="M700" s="33">
        <v>88</v>
      </c>
      <c r="N700" s="33"/>
      <c r="O700" s="93">
        <f>IFERROR(IF(Readings[[#This Row],[Obs. X]]="","-",Readings[[#This Row],[Obs. X]]-_xlfn.XLOOKUP(Readings[[#This Row],[Sensor ID]],Table_Baseline[Sensor ID],Table_Baseline[Easting '[m']],"-")),"-")</f>
        <v>-9.9999999656574801E-4</v>
      </c>
      <c r="P700" s="93">
        <f>IFERROR(IF(Readings[[#This Row],[Obs. Y]]="","-",Readings[[#This Row],[Obs. Y]]-_xlfn.XLOOKUP(Readings[[#This Row],[Sensor ID]],Table_Baseline[Sensor ID],Table_Baseline[Northing '[m']],"-")),"-")</f>
        <v>-9.9999998928979039E-4</v>
      </c>
      <c r="Q700" s="93">
        <f>IFERROR(IF(Readings[[#This Row],[Obs. Z]]="","-",Readings[[#This Row],[Obs. Z]]-_xlfn.XLOOKUP(Readings[[#This Row],[Sensor ID]],Table_Baseline[Sensor ID],Table_Baseline[Level '[m']],"-")),"-")</f>
        <v>1.0000000000012221E-3</v>
      </c>
      <c r="R700" s="93">
        <f>IFERROR(IF(Readings[[#This Row],[Reference Angle]]="-","-",(Readings[[#This Row],[Diff E]]*COS(RADIANS(Readings[[#This Row],[Reference Angle]]))-Readings[[#This Row],[Diff N]]*SIN(RADIANS(Readings[[#This Row],[Reference Angle]])))),"-")</f>
        <v>-9.9999999656574801E-4</v>
      </c>
      <c r="S700" s="93">
        <f>IFERROR(IF(Readings[[#This Row],[Reference Angle]]="-","-",(Readings[[#This Row],[Diff E]]*SIN(RADIANS(Readings[[#This Row],[Reference Angle]]))+Readings[[#This Row],[Diff N]]*COS(RADIANS(Readings[[#This Row],[Reference Angle]])))),"-")</f>
        <v>-9.9999998928979039E-4</v>
      </c>
      <c r="T700" s="94">
        <f>IFERROR(VLOOKUP(Readings[[#This Row],[Sensor ID]],Table_Baseline[],COLUMNS(Table_Baseline[[#Headers],[Sensor ID]:[Reference Angle '[Deg']]]),FALSE),"-")</f>
        <v>0</v>
      </c>
      <c r="U700" s="95" t="str">
        <f>Readings[[#This Row],[Sensor ID]]&amp;"-"&amp;Readings[[#This Row],[Epoch]]</f>
        <v>250-RL-OP-11001-45811.2847222222</v>
      </c>
      <c r="V700" s="99">
        <f ca="1">IF(Readings[[#This Row],[Epoch]]=OFFSET(Readings[[#This Row],[Epoch]],-1,0),0,1)</f>
        <v>1</v>
      </c>
    </row>
    <row r="701" spans="4:22" x14ac:dyDescent="0.2">
      <c r="D701" s="32">
        <v>45811.284722222219</v>
      </c>
      <c r="E701" s="33" t="s">
        <v>171</v>
      </c>
      <c r="F701" s="34">
        <v>60034.959000000003</v>
      </c>
      <c r="G701" s="34">
        <v>363844.47100000002</v>
      </c>
      <c r="H701" s="34">
        <v>18.779</v>
      </c>
      <c r="I701" s="33" t="s">
        <v>85</v>
      </c>
      <c r="J701" s="33" t="s">
        <v>90</v>
      </c>
      <c r="K701" s="33">
        <v>17</v>
      </c>
      <c r="L701" s="33">
        <v>1008.8</v>
      </c>
      <c r="M701" s="33">
        <v>88</v>
      </c>
      <c r="N701" s="33"/>
      <c r="O701" s="93">
        <f>IFERROR(IF(Readings[[#This Row],[Obs. X]]="","-",Readings[[#This Row],[Obs. X]]-_xlfn.XLOOKUP(Readings[[#This Row],[Sensor ID]],Table_Baseline[Sensor ID],Table_Baseline[Easting '[m']],"-")),"-")</f>
        <v>0</v>
      </c>
      <c r="P701" s="93">
        <f>IFERROR(IF(Readings[[#This Row],[Obs. Y]]="","-",Readings[[#This Row],[Obs. Y]]-_xlfn.XLOOKUP(Readings[[#This Row],[Sensor ID]],Table_Baseline[Sensor ID],Table_Baseline[Northing '[m']],"-")),"-")</f>
        <v>0</v>
      </c>
      <c r="Q701" s="93">
        <f>IFERROR(IF(Readings[[#This Row],[Obs. Z]]="","-",Readings[[#This Row],[Obs. Z]]-_xlfn.XLOOKUP(Readings[[#This Row],[Sensor ID]],Table_Baseline[Sensor ID],Table_Baseline[Level '[m']],"-")),"-")</f>
        <v>9.0000000000145519E-4</v>
      </c>
      <c r="R701" s="93">
        <f>IFERROR(IF(Readings[[#This Row],[Reference Angle]]="-","-",(Readings[[#This Row],[Diff E]]*COS(RADIANS(Readings[[#This Row],[Reference Angle]]))-Readings[[#This Row],[Diff N]]*SIN(RADIANS(Readings[[#This Row],[Reference Angle]])))),"-")</f>
        <v>0</v>
      </c>
      <c r="S701" s="93">
        <f>IFERROR(IF(Readings[[#This Row],[Reference Angle]]="-","-",(Readings[[#This Row],[Diff E]]*SIN(RADIANS(Readings[[#This Row],[Reference Angle]]))+Readings[[#This Row],[Diff N]]*COS(RADIANS(Readings[[#This Row],[Reference Angle]])))),"-")</f>
        <v>0</v>
      </c>
      <c r="T701" s="94">
        <f>IFERROR(VLOOKUP(Readings[[#This Row],[Sensor ID]],Table_Baseline[],COLUMNS(Table_Baseline[[#Headers],[Sensor ID]:[Reference Angle '[Deg']]]),FALSE),"-")</f>
        <v>0</v>
      </c>
      <c r="U701" s="95" t="str">
        <f>Readings[[#This Row],[Sensor ID]]&amp;"-"&amp;Readings[[#This Row],[Epoch]]</f>
        <v>250-RL-OP-11002-45811.2847222222</v>
      </c>
      <c r="V701" s="99">
        <f ca="1">IF(Readings[[#This Row],[Epoch]]=OFFSET(Readings[[#This Row],[Epoch]],-1,0),0,1)</f>
        <v>0</v>
      </c>
    </row>
    <row r="702" spans="4:22" x14ac:dyDescent="0.2">
      <c r="D702" s="32">
        <v>45811.284722222219</v>
      </c>
      <c r="E702" s="33" t="s">
        <v>174</v>
      </c>
      <c r="F702" s="34">
        <v>60038.116999999998</v>
      </c>
      <c r="G702" s="34">
        <v>363844.94500000001</v>
      </c>
      <c r="H702" s="34">
        <v>18.779</v>
      </c>
      <c r="I702" s="33" t="s">
        <v>85</v>
      </c>
      <c r="J702" s="33" t="s">
        <v>90</v>
      </c>
      <c r="K702" s="33">
        <v>17</v>
      </c>
      <c r="L702" s="33">
        <v>1008.8</v>
      </c>
      <c r="M702" s="33">
        <v>88</v>
      </c>
      <c r="N702" s="33"/>
      <c r="O702" s="93">
        <f>IFERROR(IF(Readings[[#This Row],[Obs. X]]="","-",Readings[[#This Row],[Obs. X]]-_xlfn.XLOOKUP(Readings[[#This Row],[Sensor ID]],Table_Baseline[Sensor ID],Table_Baseline[Easting '[m']],"-")),"-")</f>
        <v>-1.0000000038417056E-3</v>
      </c>
      <c r="P702" s="93">
        <f>IFERROR(IF(Readings[[#This Row],[Obs. Y]]="","-",Readings[[#This Row],[Obs. Y]]-_xlfn.XLOOKUP(Readings[[#This Row],[Sensor ID]],Table_Baseline[Sensor ID],Table_Baseline[Northing '[m']],"-")),"-")</f>
        <v>0</v>
      </c>
      <c r="Q702" s="93">
        <f>IFERROR(IF(Readings[[#This Row],[Obs. Z]]="","-",Readings[[#This Row],[Obs. Z]]-_xlfn.XLOOKUP(Readings[[#This Row],[Sensor ID]],Table_Baseline[Sensor ID],Table_Baseline[Level '[m']],"-")),"-")</f>
        <v>1.9999999999953388E-4</v>
      </c>
      <c r="R702" s="93">
        <f>IFERROR(IF(Readings[[#This Row],[Reference Angle]]="-","-",(Readings[[#This Row],[Diff E]]*COS(RADIANS(Readings[[#This Row],[Reference Angle]]))-Readings[[#This Row],[Diff N]]*SIN(RADIANS(Readings[[#This Row],[Reference Angle]])))),"-")</f>
        <v>-1.0000000038417056E-3</v>
      </c>
      <c r="S702" s="93">
        <f>IFERROR(IF(Readings[[#This Row],[Reference Angle]]="-","-",(Readings[[#This Row],[Diff E]]*SIN(RADIANS(Readings[[#This Row],[Reference Angle]]))+Readings[[#This Row],[Diff N]]*COS(RADIANS(Readings[[#This Row],[Reference Angle]])))),"-")</f>
        <v>0</v>
      </c>
      <c r="T702" s="94">
        <f>IFERROR(VLOOKUP(Readings[[#This Row],[Sensor ID]],Table_Baseline[],COLUMNS(Table_Baseline[[#Headers],[Sensor ID]:[Reference Angle '[Deg']]]),FALSE),"-")</f>
        <v>0</v>
      </c>
      <c r="U702" s="95" t="str">
        <f>Readings[[#This Row],[Sensor ID]]&amp;"-"&amp;Readings[[#This Row],[Epoch]]</f>
        <v>250-RL-OP-11003-45811.2847222222</v>
      </c>
      <c r="V702" s="99">
        <f ca="1">IF(Readings[[#This Row],[Epoch]]=OFFSET(Readings[[#This Row],[Epoch]],-1,0),0,1)</f>
        <v>0</v>
      </c>
    </row>
    <row r="703" spans="4:22" x14ac:dyDescent="0.2">
      <c r="D703" s="32">
        <v>45811.284722222219</v>
      </c>
      <c r="E703" s="33" t="s">
        <v>173</v>
      </c>
      <c r="F703" s="34">
        <v>60037.803999999996</v>
      </c>
      <c r="G703" s="34">
        <v>363843.658</v>
      </c>
      <c r="H703" s="34">
        <v>18.779</v>
      </c>
      <c r="I703" s="33" t="s">
        <v>85</v>
      </c>
      <c r="J703" s="33" t="s">
        <v>90</v>
      </c>
      <c r="K703" s="33">
        <v>17</v>
      </c>
      <c r="L703" s="33">
        <v>1008.8</v>
      </c>
      <c r="M703" s="33">
        <v>88</v>
      </c>
      <c r="N703" s="33"/>
      <c r="O703" s="93">
        <f>IFERROR(IF(Readings[[#This Row],[Obs. X]]="","-",Readings[[#This Row],[Obs. X]]-_xlfn.XLOOKUP(Readings[[#This Row],[Sensor ID]],Table_Baseline[Sensor ID],Table_Baseline[Easting '[m']],"-")),"-")</f>
        <v>-1.0000000038417056E-3</v>
      </c>
      <c r="P703" s="93">
        <f>IFERROR(IF(Readings[[#This Row],[Obs. Y]]="","-",Readings[[#This Row],[Obs. Y]]-_xlfn.XLOOKUP(Readings[[#This Row],[Sensor ID]],Table_Baseline[Sensor ID],Table_Baseline[Northing '[m']],"-")),"-")</f>
        <v>9.9999998928979039E-4</v>
      </c>
      <c r="Q703" s="93">
        <f>IFERROR(IF(Readings[[#This Row],[Obs. Z]]="","-",Readings[[#This Row],[Obs. Z]]-_xlfn.XLOOKUP(Readings[[#This Row],[Sensor ID]],Table_Baseline[Sensor ID],Table_Baseline[Level '[m']],"-")),"-")</f>
        <v>4.9999999999883471E-4</v>
      </c>
      <c r="R703" s="93">
        <f>IFERROR(IF(Readings[[#This Row],[Reference Angle]]="-","-",(Readings[[#This Row],[Diff E]]*COS(RADIANS(Readings[[#This Row],[Reference Angle]]))-Readings[[#This Row],[Diff N]]*SIN(RADIANS(Readings[[#This Row],[Reference Angle]])))),"-")</f>
        <v>-1.0000000038417056E-3</v>
      </c>
      <c r="S703" s="93">
        <f>IFERROR(IF(Readings[[#This Row],[Reference Angle]]="-","-",(Readings[[#This Row],[Diff E]]*SIN(RADIANS(Readings[[#This Row],[Reference Angle]]))+Readings[[#This Row],[Diff N]]*COS(RADIANS(Readings[[#This Row],[Reference Angle]])))),"-")</f>
        <v>9.9999998928979039E-4</v>
      </c>
      <c r="T703" s="94">
        <f>IFERROR(VLOOKUP(Readings[[#This Row],[Sensor ID]],Table_Baseline[],COLUMNS(Table_Baseline[[#Headers],[Sensor ID]:[Reference Angle '[Deg']]]),FALSE),"-")</f>
        <v>0</v>
      </c>
      <c r="U703" s="95" t="str">
        <f>Readings[[#This Row],[Sensor ID]]&amp;"-"&amp;Readings[[#This Row],[Epoch]]</f>
        <v>250-RL-OP-11004-45811.2847222222</v>
      </c>
      <c r="V703" s="99">
        <f ca="1">IF(Readings[[#This Row],[Epoch]]=OFFSET(Readings[[#This Row],[Epoch]],-1,0),0,1)</f>
        <v>0</v>
      </c>
    </row>
    <row r="704" spans="4:22" x14ac:dyDescent="0.2">
      <c r="D704" s="32">
        <v>45811.284722222219</v>
      </c>
      <c r="E704" s="33" t="s">
        <v>176</v>
      </c>
      <c r="F704" s="34">
        <v>60040.968000000001</v>
      </c>
      <c r="G704" s="34">
        <v>363844.11800000002</v>
      </c>
      <c r="H704" s="34">
        <v>18.779</v>
      </c>
      <c r="I704" s="33" t="s">
        <v>85</v>
      </c>
      <c r="J704" s="33" t="s">
        <v>90</v>
      </c>
      <c r="K704" s="33">
        <v>17</v>
      </c>
      <c r="L704" s="33">
        <v>1008.8</v>
      </c>
      <c r="M704" s="33">
        <v>88</v>
      </c>
      <c r="N704" s="33"/>
      <c r="O704" s="93">
        <f>IFERROR(IF(Readings[[#This Row],[Obs. X]]="","-",Readings[[#This Row],[Obs. X]]-_xlfn.XLOOKUP(Readings[[#This Row],[Sensor ID]],Table_Baseline[Sensor ID],Table_Baseline[Easting '[m']],"-")),"-")</f>
        <v>-9.9999999656574801E-4</v>
      </c>
      <c r="P704" s="93">
        <f>IFERROR(IF(Readings[[#This Row],[Obs. Y]]="","-",Readings[[#This Row],[Obs. Y]]-_xlfn.XLOOKUP(Readings[[#This Row],[Sensor ID]],Table_Baseline[Sensor ID],Table_Baseline[Northing '[m']],"-")),"-")</f>
        <v>0</v>
      </c>
      <c r="Q704" s="93">
        <f>IFERROR(IF(Readings[[#This Row],[Obs. Z]]="","-",Readings[[#This Row],[Obs. Z]]-_xlfn.XLOOKUP(Readings[[#This Row],[Sensor ID]],Table_Baseline[Sensor ID],Table_Baseline[Level '[m']],"-")),"-")</f>
        <v>0</v>
      </c>
      <c r="R704" s="93">
        <f>IFERROR(IF(Readings[[#This Row],[Reference Angle]]="-","-",(Readings[[#This Row],[Diff E]]*COS(RADIANS(Readings[[#This Row],[Reference Angle]]))-Readings[[#This Row],[Diff N]]*SIN(RADIANS(Readings[[#This Row],[Reference Angle]])))),"-")</f>
        <v>-9.9999999656574801E-4</v>
      </c>
      <c r="S704" s="93">
        <f>IFERROR(IF(Readings[[#This Row],[Reference Angle]]="-","-",(Readings[[#This Row],[Diff E]]*SIN(RADIANS(Readings[[#This Row],[Reference Angle]]))+Readings[[#This Row],[Diff N]]*COS(RADIANS(Readings[[#This Row],[Reference Angle]])))),"-")</f>
        <v>0</v>
      </c>
      <c r="T704" s="94">
        <f>IFERROR(VLOOKUP(Readings[[#This Row],[Sensor ID]],Table_Baseline[],COLUMNS(Table_Baseline[[#Headers],[Sensor ID]:[Reference Angle '[Deg']]]),FALSE),"-")</f>
        <v>0</v>
      </c>
      <c r="U704" s="95" t="str">
        <f>Readings[[#This Row],[Sensor ID]]&amp;"-"&amp;Readings[[#This Row],[Epoch]]</f>
        <v>250-RL-OP-11005-45811.2847222222</v>
      </c>
      <c r="V704" s="99">
        <f ca="1">IF(Readings[[#This Row],[Epoch]]=OFFSET(Readings[[#This Row],[Epoch]],-1,0),0,1)</f>
        <v>0</v>
      </c>
    </row>
    <row r="705" spans="4:22" x14ac:dyDescent="0.2">
      <c r="D705" s="32">
        <v>45811.284722222219</v>
      </c>
      <c r="E705" s="33" t="s">
        <v>175</v>
      </c>
      <c r="F705" s="34">
        <v>60040.606</v>
      </c>
      <c r="G705" s="34">
        <v>363842.86199999996</v>
      </c>
      <c r="H705" s="34">
        <v>18.771999999999998</v>
      </c>
      <c r="I705" s="33" t="s">
        <v>85</v>
      </c>
      <c r="J705" s="33" t="s">
        <v>90</v>
      </c>
      <c r="K705" s="33">
        <v>17</v>
      </c>
      <c r="L705" s="33">
        <v>1008.8</v>
      </c>
      <c r="M705" s="33">
        <v>88</v>
      </c>
      <c r="N705" s="33"/>
      <c r="O705" s="93">
        <f>IFERROR(IF(Readings[[#This Row],[Obs. X]]="","-",Readings[[#This Row],[Obs. X]]-_xlfn.XLOOKUP(Readings[[#This Row],[Sensor ID]],Table_Baseline[Sensor ID],Table_Baseline[Easting '[m']],"-")),"-")</f>
        <v>-1.0000000038417056E-3</v>
      </c>
      <c r="P705" s="93">
        <f>IFERROR(IF(Readings[[#This Row],[Obs. Y]]="","-",Readings[[#This Row],[Obs. Y]]-_xlfn.XLOOKUP(Readings[[#This Row],[Sensor ID]],Table_Baseline[Sensor ID],Table_Baseline[Northing '[m']],"-")),"-")</f>
        <v>9.9999993108212948E-4</v>
      </c>
      <c r="Q705" s="93">
        <f>IFERROR(IF(Readings[[#This Row],[Obs. Z]]="","-",Readings[[#This Row],[Obs. Z]]-_xlfn.XLOOKUP(Readings[[#This Row],[Sensor ID]],Table_Baseline[Sensor ID],Table_Baseline[Level '[m']],"-")),"-")</f>
        <v>0</v>
      </c>
      <c r="R705" s="93">
        <f>IFERROR(IF(Readings[[#This Row],[Reference Angle]]="-","-",(Readings[[#This Row],[Diff E]]*COS(RADIANS(Readings[[#This Row],[Reference Angle]]))-Readings[[#This Row],[Diff N]]*SIN(RADIANS(Readings[[#This Row],[Reference Angle]])))),"-")</f>
        <v>-1.0000000038417056E-3</v>
      </c>
      <c r="S705" s="93">
        <f>IFERROR(IF(Readings[[#This Row],[Reference Angle]]="-","-",(Readings[[#This Row],[Diff E]]*SIN(RADIANS(Readings[[#This Row],[Reference Angle]]))+Readings[[#This Row],[Diff N]]*COS(RADIANS(Readings[[#This Row],[Reference Angle]])))),"-")</f>
        <v>9.9999993108212948E-4</v>
      </c>
      <c r="T705" s="94">
        <f>IFERROR(VLOOKUP(Readings[[#This Row],[Sensor ID]],Table_Baseline[],COLUMNS(Table_Baseline[[#Headers],[Sensor ID]:[Reference Angle '[Deg']]]),FALSE),"-")</f>
        <v>0</v>
      </c>
      <c r="U705" s="95" t="str">
        <f>Readings[[#This Row],[Sensor ID]]&amp;"-"&amp;Readings[[#This Row],[Epoch]]</f>
        <v>250-RL-OP-11006-45811.2847222222</v>
      </c>
      <c r="V705" s="99">
        <f ca="1">IF(Readings[[#This Row],[Epoch]]=OFFSET(Readings[[#This Row],[Epoch]],-1,0),0,1)</f>
        <v>0</v>
      </c>
    </row>
    <row r="706" spans="4:22" x14ac:dyDescent="0.2">
      <c r="D706" s="32">
        <v>45811.284722222219</v>
      </c>
      <c r="E706" s="33" t="s">
        <v>178</v>
      </c>
      <c r="F706" s="34">
        <v>60043.758000000002</v>
      </c>
      <c r="G706" s="34">
        <v>363843.315</v>
      </c>
      <c r="H706" s="34">
        <v>18.774000000000001</v>
      </c>
      <c r="I706" s="33" t="s">
        <v>85</v>
      </c>
      <c r="J706" s="33" t="s">
        <v>90</v>
      </c>
      <c r="K706" s="33">
        <v>17</v>
      </c>
      <c r="L706" s="33">
        <v>1008.8</v>
      </c>
      <c r="M706" s="33">
        <v>88</v>
      </c>
      <c r="N706" s="33"/>
      <c r="O706" s="93">
        <f>IFERROR(IF(Readings[[#This Row],[Obs. X]]="","-",Readings[[#This Row],[Obs. X]]-_xlfn.XLOOKUP(Readings[[#This Row],[Sensor ID]],Table_Baseline[Sensor ID],Table_Baseline[Easting '[m']],"-")),"-")</f>
        <v>-9.9999999656574801E-4</v>
      </c>
      <c r="P706" s="93">
        <f>IFERROR(IF(Readings[[#This Row],[Obs. Y]]="","-",Readings[[#This Row],[Obs. Y]]-_xlfn.XLOOKUP(Readings[[#This Row],[Sensor ID]],Table_Baseline[Sensor ID],Table_Baseline[Northing '[m']],"-")),"-")</f>
        <v>9.9999998928979039E-4</v>
      </c>
      <c r="Q706" s="93">
        <f>IFERROR(IF(Readings[[#This Row],[Obs. Z]]="","-",Readings[[#This Row],[Obs. Z]]-_xlfn.XLOOKUP(Readings[[#This Row],[Sensor ID]],Table_Baseline[Sensor ID],Table_Baseline[Level '[m']],"-")),"-")</f>
        <v>-9.9999999999766942E-5</v>
      </c>
      <c r="R706" s="93">
        <f>IFERROR(IF(Readings[[#This Row],[Reference Angle]]="-","-",(Readings[[#This Row],[Diff E]]*COS(RADIANS(Readings[[#This Row],[Reference Angle]]))-Readings[[#This Row],[Diff N]]*SIN(RADIANS(Readings[[#This Row],[Reference Angle]])))),"-")</f>
        <v>-9.9999999656574801E-4</v>
      </c>
      <c r="S706" s="93">
        <f>IFERROR(IF(Readings[[#This Row],[Reference Angle]]="-","-",(Readings[[#This Row],[Diff E]]*SIN(RADIANS(Readings[[#This Row],[Reference Angle]]))+Readings[[#This Row],[Diff N]]*COS(RADIANS(Readings[[#This Row],[Reference Angle]])))),"-")</f>
        <v>9.9999998928979039E-4</v>
      </c>
      <c r="T706" s="94">
        <f>IFERROR(VLOOKUP(Readings[[#This Row],[Sensor ID]],Table_Baseline[],COLUMNS(Table_Baseline[[#Headers],[Sensor ID]:[Reference Angle '[Deg']]]),FALSE),"-")</f>
        <v>0</v>
      </c>
      <c r="U706" s="95" t="str">
        <f>Readings[[#This Row],[Sensor ID]]&amp;"-"&amp;Readings[[#This Row],[Epoch]]</f>
        <v>250-RL-OP-11007-45811.2847222222</v>
      </c>
      <c r="V706" s="99">
        <f ca="1">IF(Readings[[#This Row],[Epoch]]=OFFSET(Readings[[#This Row],[Epoch]],-1,0),0,1)</f>
        <v>0</v>
      </c>
    </row>
    <row r="707" spans="4:22" x14ac:dyDescent="0.2">
      <c r="D707" s="32">
        <v>45811.284722222219</v>
      </c>
      <c r="E707" s="33" t="s">
        <v>177</v>
      </c>
      <c r="F707" s="34">
        <v>60043.440999999999</v>
      </c>
      <c r="G707" s="34">
        <v>363842.04099999997</v>
      </c>
      <c r="H707" s="34">
        <v>18.768999999999998</v>
      </c>
      <c r="I707" s="33" t="s">
        <v>85</v>
      </c>
      <c r="J707" s="33" t="s">
        <v>90</v>
      </c>
      <c r="K707" s="33">
        <v>17</v>
      </c>
      <c r="L707" s="33">
        <v>1008.8</v>
      </c>
      <c r="M707" s="33">
        <v>88</v>
      </c>
      <c r="N707" s="33"/>
      <c r="O707" s="93">
        <f>IFERROR(IF(Readings[[#This Row],[Obs. X]]="","-",Readings[[#This Row],[Obs. X]]-_xlfn.XLOOKUP(Readings[[#This Row],[Sensor ID]],Table_Baseline[Sensor ID],Table_Baseline[Easting '[m']],"-")),"-")</f>
        <v>0</v>
      </c>
      <c r="P707" s="93">
        <f>IFERROR(IF(Readings[[#This Row],[Obs. Y]]="","-",Readings[[#This Row],[Obs. Y]]-_xlfn.XLOOKUP(Readings[[#This Row],[Sensor ID]],Table_Baseline[Sensor ID],Table_Baseline[Northing '[m']],"-")),"-")</f>
        <v>9.9999993108212948E-4</v>
      </c>
      <c r="Q707" s="93">
        <f>IFERROR(IF(Readings[[#This Row],[Obs. Z]]="","-",Readings[[#This Row],[Obs. Z]]-_xlfn.XLOOKUP(Readings[[#This Row],[Sensor ID]],Table_Baseline[Sensor ID],Table_Baseline[Level '[m']],"-")),"-")</f>
        <v>6.9999999999836859E-4</v>
      </c>
      <c r="R707" s="93">
        <f>IFERROR(IF(Readings[[#This Row],[Reference Angle]]="-","-",(Readings[[#This Row],[Diff E]]*COS(RADIANS(Readings[[#This Row],[Reference Angle]]))-Readings[[#This Row],[Diff N]]*SIN(RADIANS(Readings[[#This Row],[Reference Angle]])))),"-")</f>
        <v>0</v>
      </c>
      <c r="S707" s="93">
        <f>IFERROR(IF(Readings[[#This Row],[Reference Angle]]="-","-",(Readings[[#This Row],[Diff E]]*SIN(RADIANS(Readings[[#This Row],[Reference Angle]]))+Readings[[#This Row],[Diff N]]*COS(RADIANS(Readings[[#This Row],[Reference Angle]])))),"-")</f>
        <v>9.9999993108212948E-4</v>
      </c>
      <c r="T707" s="94">
        <f>IFERROR(VLOOKUP(Readings[[#This Row],[Sensor ID]],Table_Baseline[],COLUMNS(Table_Baseline[[#Headers],[Sensor ID]:[Reference Angle '[Deg']]]),FALSE),"-")</f>
        <v>0</v>
      </c>
      <c r="U707" s="95" t="str">
        <f>Readings[[#This Row],[Sensor ID]]&amp;"-"&amp;Readings[[#This Row],[Epoch]]</f>
        <v>250-RL-OP-11008-45811.2847222222</v>
      </c>
      <c r="V707" s="99">
        <f ca="1">IF(Readings[[#This Row],[Epoch]]=OFFSET(Readings[[#This Row],[Epoch]],-1,0),0,1)</f>
        <v>0</v>
      </c>
    </row>
    <row r="708" spans="4:22" x14ac:dyDescent="0.2">
      <c r="D708" s="32">
        <v>45811.284722222219</v>
      </c>
      <c r="E708" s="33" t="s">
        <v>180</v>
      </c>
      <c r="F708" s="34">
        <v>60046.633000000002</v>
      </c>
      <c r="G708" s="34">
        <v>363842.48600000003</v>
      </c>
      <c r="H708" s="34">
        <v>18.777999999999999</v>
      </c>
      <c r="I708" s="33" t="s">
        <v>85</v>
      </c>
      <c r="J708" s="33" t="s">
        <v>90</v>
      </c>
      <c r="K708" s="33">
        <v>17</v>
      </c>
      <c r="L708" s="33">
        <v>1008.8</v>
      </c>
      <c r="M708" s="33">
        <v>88</v>
      </c>
      <c r="N708" s="33"/>
      <c r="O708" s="93">
        <f>IFERROR(IF(Readings[[#This Row],[Obs. X]]="","-",Readings[[#This Row],[Obs. X]]-_xlfn.XLOOKUP(Readings[[#This Row],[Sensor ID]],Table_Baseline[Sensor ID],Table_Baseline[Easting '[m']],"-")),"-")</f>
        <v>0</v>
      </c>
      <c r="P708" s="93">
        <f>IFERROR(IF(Readings[[#This Row],[Obs. Y]]="","-",Readings[[#This Row],[Obs. Y]]-_xlfn.XLOOKUP(Readings[[#This Row],[Sensor ID]],Table_Baseline[Sensor ID],Table_Baseline[Northing '[m']],"-")),"-")</f>
        <v>1.0000000474974513E-3</v>
      </c>
      <c r="Q708" s="93">
        <f>IFERROR(IF(Readings[[#This Row],[Obs. Z]]="","-",Readings[[#This Row],[Obs. Z]]-_xlfn.XLOOKUP(Readings[[#This Row],[Sensor ID]],Table_Baseline[Sensor ID],Table_Baseline[Level '[m']],"-")),"-")</f>
        <v>3.9999999999906777E-4</v>
      </c>
      <c r="R708" s="93">
        <f>IFERROR(IF(Readings[[#This Row],[Reference Angle]]="-","-",(Readings[[#This Row],[Diff E]]*COS(RADIANS(Readings[[#This Row],[Reference Angle]]))-Readings[[#This Row],[Diff N]]*SIN(RADIANS(Readings[[#This Row],[Reference Angle]])))),"-")</f>
        <v>0</v>
      </c>
      <c r="S708" s="93">
        <f>IFERROR(IF(Readings[[#This Row],[Reference Angle]]="-","-",(Readings[[#This Row],[Diff E]]*SIN(RADIANS(Readings[[#This Row],[Reference Angle]]))+Readings[[#This Row],[Diff N]]*COS(RADIANS(Readings[[#This Row],[Reference Angle]])))),"-")</f>
        <v>1.0000000474974513E-3</v>
      </c>
      <c r="T708" s="94">
        <f>IFERROR(VLOOKUP(Readings[[#This Row],[Sensor ID]],Table_Baseline[],COLUMNS(Table_Baseline[[#Headers],[Sensor ID]:[Reference Angle '[Deg']]]),FALSE),"-")</f>
        <v>0</v>
      </c>
      <c r="U708" s="95" t="str">
        <f>Readings[[#This Row],[Sensor ID]]&amp;"-"&amp;Readings[[#This Row],[Epoch]]</f>
        <v>250-RL-OP-11009-45811.2847222222</v>
      </c>
      <c r="V708" s="99">
        <f ca="1">IF(Readings[[#This Row],[Epoch]]=OFFSET(Readings[[#This Row],[Epoch]],-1,0),0,1)</f>
        <v>0</v>
      </c>
    </row>
    <row r="709" spans="4:22" x14ac:dyDescent="0.2">
      <c r="D709" s="32">
        <v>45811.284722222219</v>
      </c>
      <c r="E709" s="33" t="s">
        <v>179</v>
      </c>
      <c r="F709" s="34">
        <v>60046.249000000003</v>
      </c>
      <c r="G709" s="34">
        <v>363841.22700000001</v>
      </c>
      <c r="H709" s="34">
        <v>18.77</v>
      </c>
      <c r="I709" s="33" t="s">
        <v>85</v>
      </c>
      <c r="J709" s="33" t="s">
        <v>90</v>
      </c>
      <c r="K709" s="33">
        <v>17</v>
      </c>
      <c r="L709" s="33">
        <v>1008.8</v>
      </c>
      <c r="M709" s="33">
        <v>88</v>
      </c>
      <c r="N709" s="33"/>
      <c r="O709" s="93">
        <f>IFERROR(IF(Readings[[#This Row],[Obs. X]]="","-",Readings[[#This Row],[Obs. X]]-_xlfn.XLOOKUP(Readings[[#This Row],[Sensor ID]],Table_Baseline[Sensor ID],Table_Baseline[Easting '[m']],"-")),"-")</f>
        <v>-9.9999999656574801E-4</v>
      </c>
      <c r="P709" s="93">
        <f>IFERROR(IF(Readings[[#This Row],[Obs. Y]]="","-",Readings[[#This Row],[Obs. Y]]-_xlfn.XLOOKUP(Readings[[#This Row],[Sensor ID]],Table_Baseline[Sensor ID],Table_Baseline[Northing '[m']],"-")),"-")</f>
        <v>9.9999998928979039E-4</v>
      </c>
      <c r="Q709" s="93">
        <f>IFERROR(IF(Readings[[#This Row],[Obs. Z]]="","-",Readings[[#This Row],[Obs. Z]]-_xlfn.XLOOKUP(Readings[[#This Row],[Sensor ID]],Table_Baseline[Sensor ID],Table_Baseline[Level '[m']],"-")),"-")</f>
        <v>1.9999999999953388E-4</v>
      </c>
      <c r="R709" s="93">
        <f>IFERROR(IF(Readings[[#This Row],[Reference Angle]]="-","-",(Readings[[#This Row],[Diff E]]*COS(RADIANS(Readings[[#This Row],[Reference Angle]]))-Readings[[#This Row],[Diff N]]*SIN(RADIANS(Readings[[#This Row],[Reference Angle]])))),"-")</f>
        <v>-9.9999999656574801E-4</v>
      </c>
      <c r="S709" s="93">
        <f>IFERROR(IF(Readings[[#This Row],[Reference Angle]]="-","-",(Readings[[#This Row],[Diff E]]*SIN(RADIANS(Readings[[#This Row],[Reference Angle]]))+Readings[[#This Row],[Diff N]]*COS(RADIANS(Readings[[#This Row],[Reference Angle]])))),"-")</f>
        <v>9.9999998928979039E-4</v>
      </c>
      <c r="T709" s="94">
        <f>IFERROR(VLOOKUP(Readings[[#This Row],[Sensor ID]],Table_Baseline[],COLUMNS(Table_Baseline[[#Headers],[Sensor ID]:[Reference Angle '[Deg']]]),FALSE),"-")</f>
        <v>0</v>
      </c>
      <c r="U709" s="95" t="str">
        <f>Readings[[#This Row],[Sensor ID]]&amp;"-"&amp;Readings[[#This Row],[Epoch]]</f>
        <v>250-RL-OP-11010-45811.2847222222</v>
      </c>
      <c r="V709" s="99">
        <f ca="1">IF(Readings[[#This Row],[Epoch]]=OFFSET(Readings[[#This Row],[Epoch]],-1,0),0,1)</f>
        <v>0</v>
      </c>
    </row>
    <row r="710" spans="4:22" x14ac:dyDescent="0.2">
      <c r="D710" s="32">
        <v>45811.284722222219</v>
      </c>
      <c r="E710" s="33" t="s">
        <v>182</v>
      </c>
      <c r="F710" s="34">
        <v>60049.398000000001</v>
      </c>
      <c r="G710" s="34">
        <v>363841.69900000002</v>
      </c>
      <c r="H710" s="34">
        <v>18.777999999999999</v>
      </c>
      <c r="I710" s="33" t="s">
        <v>85</v>
      </c>
      <c r="J710" s="33" t="s">
        <v>90</v>
      </c>
      <c r="K710" s="33">
        <v>17</v>
      </c>
      <c r="L710" s="33">
        <v>1008.8</v>
      </c>
      <c r="M710" s="33">
        <v>88</v>
      </c>
      <c r="N710" s="33"/>
      <c r="O710" s="93">
        <f>IFERROR(IF(Readings[[#This Row],[Obs. X]]="","-",Readings[[#This Row],[Obs. X]]-_xlfn.XLOOKUP(Readings[[#This Row],[Sensor ID]],Table_Baseline[Sensor ID],Table_Baseline[Easting '[m']],"-")),"-")</f>
        <v>-9.9999999656574801E-4</v>
      </c>
      <c r="P710" s="93">
        <f>IFERROR(IF(Readings[[#This Row],[Obs. Y]]="","-",Readings[[#This Row],[Obs. Y]]-_xlfn.XLOOKUP(Readings[[#This Row],[Sensor ID]],Table_Baseline[Sensor ID],Table_Baseline[Northing '[m']],"-")),"-")</f>
        <v>1.0000000474974513E-3</v>
      </c>
      <c r="Q710" s="93">
        <f>IFERROR(IF(Readings[[#This Row],[Obs. Z]]="","-",Readings[[#This Row],[Obs. Z]]-_xlfn.XLOOKUP(Readings[[#This Row],[Sensor ID]],Table_Baseline[Sensor ID],Table_Baseline[Level '[m']],"-")),"-")</f>
        <v>0</v>
      </c>
      <c r="R710" s="93">
        <f>IFERROR(IF(Readings[[#This Row],[Reference Angle]]="-","-",(Readings[[#This Row],[Diff E]]*COS(RADIANS(Readings[[#This Row],[Reference Angle]]))-Readings[[#This Row],[Diff N]]*SIN(RADIANS(Readings[[#This Row],[Reference Angle]])))),"-")</f>
        <v>-9.9999999656574801E-4</v>
      </c>
      <c r="S710" s="93">
        <f>IFERROR(IF(Readings[[#This Row],[Reference Angle]]="-","-",(Readings[[#This Row],[Diff E]]*SIN(RADIANS(Readings[[#This Row],[Reference Angle]]))+Readings[[#This Row],[Diff N]]*COS(RADIANS(Readings[[#This Row],[Reference Angle]])))),"-")</f>
        <v>1.0000000474974513E-3</v>
      </c>
      <c r="T710" s="94">
        <f>IFERROR(VLOOKUP(Readings[[#This Row],[Sensor ID]],Table_Baseline[],COLUMNS(Table_Baseline[[#Headers],[Sensor ID]:[Reference Angle '[Deg']]]),FALSE),"-")</f>
        <v>0</v>
      </c>
      <c r="U710" s="95" t="str">
        <f>Readings[[#This Row],[Sensor ID]]&amp;"-"&amp;Readings[[#This Row],[Epoch]]</f>
        <v>250-RL-OP-11011-45811.2847222222</v>
      </c>
      <c r="V710" s="99">
        <f ca="1">IF(Readings[[#This Row],[Epoch]]=OFFSET(Readings[[#This Row],[Epoch]],-1,0),0,1)</f>
        <v>0</v>
      </c>
    </row>
    <row r="711" spans="4:22" x14ac:dyDescent="0.2">
      <c r="D711" s="32">
        <v>45811.284722222219</v>
      </c>
      <c r="E711" s="33" t="s">
        <v>181</v>
      </c>
      <c r="F711" s="34">
        <v>60049.04</v>
      </c>
      <c r="G711" s="34">
        <v>363840.43599999999</v>
      </c>
      <c r="H711" s="34">
        <v>18.771000000000001</v>
      </c>
      <c r="I711" s="33" t="s">
        <v>85</v>
      </c>
      <c r="J711" s="33" t="s">
        <v>90</v>
      </c>
      <c r="K711" s="33">
        <v>17</v>
      </c>
      <c r="L711" s="33">
        <v>1008.8</v>
      </c>
      <c r="M711" s="33">
        <v>88</v>
      </c>
      <c r="N711" s="33"/>
      <c r="O711" s="93">
        <f>IFERROR(IF(Readings[[#This Row],[Obs. X]]="","-",Readings[[#This Row],[Obs. X]]-_xlfn.XLOOKUP(Readings[[#This Row],[Sensor ID]],Table_Baseline[Sensor ID],Table_Baseline[Easting '[m']],"-")),"-")</f>
        <v>-9.9999999656574801E-4</v>
      </c>
      <c r="P711" s="93">
        <f>IFERROR(IF(Readings[[#This Row],[Obs. Y]]="","-",Readings[[#This Row],[Obs. Y]]-_xlfn.XLOOKUP(Readings[[#This Row],[Sensor ID]],Table_Baseline[Sensor ID],Table_Baseline[Northing '[m']],"-")),"-")</f>
        <v>3.0000000260770321E-3</v>
      </c>
      <c r="Q711" s="93">
        <f>IFERROR(IF(Readings[[#This Row],[Obs. Z]]="","-",Readings[[#This Row],[Obs. Z]]-_xlfn.XLOOKUP(Readings[[#This Row],[Sensor ID]],Table_Baseline[Sensor ID],Table_Baseline[Level '[m']],"-")),"-")</f>
        <v>-9.9999999999766942E-5</v>
      </c>
      <c r="R711" s="93">
        <f>IFERROR(IF(Readings[[#This Row],[Reference Angle]]="-","-",(Readings[[#This Row],[Diff E]]*COS(RADIANS(Readings[[#This Row],[Reference Angle]]))-Readings[[#This Row],[Diff N]]*SIN(RADIANS(Readings[[#This Row],[Reference Angle]])))),"-")</f>
        <v>-9.9999999656574801E-4</v>
      </c>
      <c r="S711" s="93">
        <f>IFERROR(IF(Readings[[#This Row],[Reference Angle]]="-","-",(Readings[[#This Row],[Diff E]]*SIN(RADIANS(Readings[[#This Row],[Reference Angle]]))+Readings[[#This Row],[Diff N]]*COS(RADIANS(Readings[[#This Row],[Reference Angle]])))),"-")</f>
        <v>3.0000000260770321E-3</v>
      </c>
      <c r="T711" s="94">
        <f>IFERROR(VLOOKUP(Readings[[#This Row],[Sensor ID]],Table_Baseline[],COLUMNS(Table_Baseline[[#Headers],[Sensor ID]:[Reference Angle '[Deg']]]),FALSE),"-")</f>
        <v>0</v>
      </c>
      <c r="U711" s="95" t="str">
        <f>Readings[[#This Row],[Sensor ID]]&amp;"-"&amp;Readings[[#This Row],[Epoch]]</f>
        <v>250-RL-OP-11012-45811.2847222222</v>
      </c>
      <c r="V711" s="99">
        <f ca="1">IF(Readings[[#This Row],[Epoch]]=OFFSET(Readings[[#This Row],[Epoch]],-1,0),0,1)</f>
        <v>0</v>
      </c>
    </row>
    <row r="712" spans="4:22" x14ac:dyDescent="0.2">
      <c r="D712" s="32">
        <v>45811.284722222219</v>
      </c>
      <c r="E712" s="33" t="s">
        <v>184</v>
      </c>
      <c r="F712" s="34">
        <v>60052.292000000001</v>
      </c>
      <c r="G712" s="34">
        <v>363840.88699999999</v>
      </c>
      <c r="H712" s="34">
        <v>18.779</v>
      </c>
      <c r="I712" s="33" t="s">
        <v>85</v>
      </c>
      <c r="J712" s="33" t="s">
        <v>90</v>
      </c>
      <c r="K712" s="33">
        <v>17</v>
      </c>
      <c r="L712" s="33">
        <v>1008.8</v>
      </c>
      <c r="M712" s="33">
        <v>88</v>
      </c>
      <c r="N712" s="33"/>
      <c r="O712" s="93">
        <f>IFERROR(IF(Readings[[#This Row],[Obs. X]]="","-",Readings[[#This Row],[Obs. X]]-_xlfn.XLOOKUP(Readings[[#This Row],[Sensor ID]],Table_Baseline[Sensor ID],Table_Baseline[Easting '[m']],"-")),"-")</f>
        <v>-9.9999999656574801E-4</v>
      </c>
      <c r="P712" s="93">
        <f>IFERROR(IF(Readings[[#This Row],[Obs. Y]]="","-",Readings[[#This Row],[Obs. Y]]-_xlfn.XLOOKUP(Readings[[#This Row],[Sensor ID]],Table_Baseline[Sensor ID],Table_Baseline[Northing '[m']],"-")),"-")</f>
        <v>1.9999999785795808E-3</v>
      </c>
      <c r="Q712" s="93">
        <f>IFERROR(IF(Readings[[#This Row],[Obs. Z]]="","-",Readings[[#This Row],[Obs. Z]]-_xlfn.XLOOKUP(Readings[[#This Row],[Sensor ID]],Table_Baseline[Sensor ID],Table_Baseline[Level '[m']],"-")),"-")</f>
        <v>0</v>
      </c>
      <c r="R712" s="93">
        <f>IFERROR(IF(Readings[[#This Row],[Reference Angle]]="-","-",(Readings[[#This Row],[Diff E]]*COS(RADIANS(Readings[[#This Row],[Reference Angle]]))-Readings[[#This Row],[Diff N]]*SIN(RADIANS(Readings[[#This Row],[Reference Angle]])))),"-")</f>
        <v>-9.9999999656574801E-4</v>
      </c>
      <c r="S712" s="93">
        <f>IFERROR(IF(Readings[[#This Row],[Reference Angle]]="-","-",(Readings[[#This Row],[Diff E]]*SIN(RADIANS(Readings[[#This Row],[Reference Angle]]))+Readings[[#This Row],[Diff N]]*COS(RADIANS(Readings[[#This Row],[Reference Angle]])))),"-")</f>
        <v>1.9999999785795808E-3</v>
      </c>
      <c r="T712" s="94">
        <f>IFERROR(VLOOKUP(Readings[[#This Row],[Sensor ID]],Table_Baseline[],COLUMNS(Table_Baseline[[#Headers],[Sensor ID]:[Reference Angle '[Deg']]]),FALSE),"-")</f>
        <v>0</v>
      </c>
      <c r="U712" s="95" t="str">
        <f>Readings[[#This Row],[Sensor ID]]&amp;"-"&amp;Readings[[#This Row],[Epoch]]</f>
        <v>250-RL-OP-11013-45811.2847222222</v>
      </c>
      <c r="V712" s="99">
        <f ca="1">IF(Readings[[#This Row],[Epoch]]=OFFSET(Readings[[#This Row],[Epoch]],-1,0),0,1)</f>
        <v>0</v>
      </c>
    </row>
    <row r="713" spans="4:22" x14ac:dyDescent="0.2">
      <c r="D713" s="32">
        <v>45811.284722222219</v>
      </c>
      <c r="E713" s="33" t="s">
        <v>183</v>
      </c>
      <c r="F713" s="34">
        <v>60051.989000000001</v>
      </c>
      <c r="G713" s="34">
        <v>363839.60600000003</v>
      </c>
      <c r="H713" s="34">
        <v>18.77</v>
      </c>
      <c r="I713" s="33" t="s">
        <v>85</v>
      </c>
      <c r="J713" s="33" t="s">
        <v>90</v>
      </c>
      <c r="K713" s="33">
        <v>17</v>
      </c>
      <c r="L713" s="33">
        <v>1008.8</v>
      </c>
      <c r="M713" s="33">
        <v>88</v>
      </c>
      <c r="N713" s="33"/>
      <c r="O713" s="93">
        <f>IFERROR(IF(Readings[[#This Row],[Obs. X]]="","-",Readings[[#This Row],[Obs. X]]-_xlfn.XLOOKUP(Readings[[#This Row],[Sensor ID]],Table_Baseline[Sensor ID],Table_Baseline[Easting '[m']],"-")),"-")</f>
        <v>0</v>
      </c>
      <c r="P713" s="93">
        <f>IFERROR(IF(Readings[[#This Row],[Obs. Y]]="","-",Readings[[#This Row],[Obs. Y]]-_xlfn.XLOOKUP(Readings[[#This Row],[Sensor ID]],Table_Baseline[Sensor ID],Table_Baseline[Northing '[m']],"-")),"-")</f>
        <v>3.0000000260770321E-3</v>
      </c>
      <c r="Q713" s="93">
        <f>IFERROR(IF(Readings[[#This Row],[Obs. Z]]="","-",Readings[[#This Row],[Obs. Z]]-_xlfn.XLOOKUP(Readings[[#This Row],[Sensor ID]],Table_Baseline[Sensor ID],Table_Baseline[Level '[m']],"-")),"-")</f>
        <v>-9.9999999999766942E-5</v>
      </c>
      <c r="R713" s="93">
        <f>IFERROR(IF(Readings[[#This Row],[Reference Angle]]="-","-",(Readings[[#This Row],[Diff E]]*COS(RADIANS(Readings[[#This Row],[Reference Angle]]))-Readings[[#This Row],[Diff N]]*SIN(RADIANS(Readings[[#This Row],[Reference Angle]])))),"-")</f>
        <v>0</v>
      </c>
      <c r="S713" s="93">
        <f>IFERROR(IF(Readings[[#This Row],[Reference Angle]]="-","-",(Readings[[#This Row],[Diff E]]*SIN(RADIANS(Readings[[#This Row],[Reference Angle]]))+Readings[[#This Row],[Diff N]]*COS(RADIANS(Readings[[#This Row],[Reference Angle]])))),"-")</f>
        <v>3.0000000260770321E-3</v>
      </c>
      <c r="T713" s="94">
        <f>IFERROR(VLOOKUP(Readings[[#This Row],[Sensor ID]],Table_Baseline[],COLUMNS(Table_Baseline[[#Headers],[Sensor ID]:[Reference Angle '[Deg']]]),FALSE),"-")</f>
        <v>0</v>
      </c>
      <c r="U713" s="95" t="str">
        <f>Readings[[#This Row],[Sensor ID]]&amp;"-"&amp;Readings[[#This Row],[Epoch]]</f>
        <v>250-RL-OP-11014-45811.2847222222</v>
      </c>
      <c r="V713" s="99">
        <f ca="1">IF(Readings[[#This Row],[Epoch]]=OFFSET(Readings[[#This Row],[Epoch]],-1,0),0,1)</f>
        <v>0</v>
      </c>
    </row>
    <row r="714" spans="4:22" x14ac:dyDescent="0.2">
      <c r="D714" s="32">
        <v>45811.284722222219</v>
      </c>
      <c r="E714" s="33" t="s">
        <v>186</v>
      </c>
      <c r="F714" s="34">
        <v>60055.196000000004</v>
      </c>
      <c r="G714" s="34">
        <v>363840.09700000001</v>
      </c>
      <c r="H714" s="34">
        <v>18.78</v>
      </c>
      <c r="I714" s="33" t="s">
        <v>85</v>
      </c>
      <c r="J714" s="33" t="s">
        <v>90</v>
      </c>
      <c r="K714" s="33">
        <v>17</v>
      </c>
      <c r="L714" s="33">
        <v>1008.8</v>
      </c>
      <c r="M714" s="33">
        <v>88</v>
      </c>
      <c r="N714" s="33"/>
      <c r="O714" s="93">
        <f>IFERROR(IF(Readings[[#This Row],[Obs. X]]="","-",Readings[[#This Row],[Obs. X]]-_xlfn.XLOOKUP(Readings[[#This Row],[Sensor ID]],Table_Baseline[Sensor ID],Table_Baseline[Easting '[m']],"-")),"-")</f>
        <v>0</v>
      </c>
      <c r="P714" s="93">
        <f>IFERROR(IF(Readings[[#This Row],[Obs. Y]]="","-",Readings[[#This Row],[Obs. Y]]-_xlfn.XLOOKUP(Readings[[#This Row],[Sensor ID]],Table_Baseline[Sensor ID],Table_Baseline[Northing '[m']],"-")),"-")</f>
        <v>2.0000000367872417E-3</v>
      </c>
      <c r="Q714" s="93">
        <f>IFERROR(IF(Readings[[#This Row],[Obs. Z]]="","-",Readings[[#This Row],[Obs. Z]]-_xlfn.XLOOKUP(Readings[[#This Row],[Sensor ID]],Table_Baseline[Sensor ID],Table_Baseline[Level '[m']],"-")),"-")</f>
        <v>-8.9999999999790248E-4</v>
      </c>
      <c r="R714" s="93">
        <f>IFERROR(IF(Readings[[#This Row],[Reference Angle]]="-","-",(Readings[[#This Row],[Diff E]]*COS(RADIANS(Readings[[#This Row],[Reference Angle]]))-Readings[[#This Row],[Diff N]]*SIN(RADIANS(Readings[[#This Row],[Reference Angle]])))),"-")</f>
        <v>0</v>
      </c>
      <c r="S714" s="93">
        <f>IFERROR(IF(Readings[[#This Row],[Reference Angle]]="-","-",(Readings[[#This Row],[Diff E]]*SIN(RADIANS(Readings[[#This Row],[Reference Angle]]))+Readings[[#This Row],[Diff N]]*COS(RADIANS(Readings[[#This Row],[Reference Angle]])))),"-")</f>
        <v>2.0000000367872417E-3</v>
      </c>
      <c r="T714" s="94">
        <f>IFERROR(VLOOKUP(Readings[[#This Row],[Sensor ID]],Table_Baseline[],COLUMNS(Table_Baseline[[#Headers],[Sensor ID]:[Reference Angle '[Deg']]]),FALSE),"-")</f>
        <v>0</v>
      </c>
      <c r="U714" s="95" t="str">
        <f>Readings[[#This Row],[Sensor ID]]&amp;"-"&amp;Readings[[#This Row],[Epoch]]</f>
        <v>250-RL-OP-11015-45811.2847222222</v>
      </c>
      <c r="V714" s="99">
        <f ca="1">IF(Readings[[#This Row],[Epoch]]=OFFSET(Readings[[#This Row],[Epoch]],-1,0),0,1)</f>
        <v>0</v>
      </c>
    </row>
    <row r="715" spans="4:22" x14ac:dyDescent="0.2">
      <c r="D715" s="32">
        <v>45811.284722222219</v>
      </c>
      <c r="E715" s="33" t="s">
        <v>185</v>
      </c>
      <c r="F715" s="34">
        <v>60054.885000000002</v>
      </c>
      <c r="G715" s="34">
        <v>363838.80700000003</v>
      </c>
      <c r="H715" s="34">
        <v>18.773</v>
      </c>
      <c r="I715" s="33" t="s">
        <v>85</v>
      </c>
      <c r="J715" s="33" t="s">
        <v>90</v>
      </c>
      <c r="K715" s="33">
        <v>17</v>
      </c>
      <c r="L715" s="33">
        <v>1008.8</v>
      </c>
      <c r="M715" s="33">
        <v>88</v>
      </c>
      <c r="N715" s="33"/>
      <c r="O715" s="93">
        <f>IFERROR(IF(Readings[[#This Row],[Obs. X]]="","-",Readings[[#This Row],[Obs. X]]-_xlfn.XLOOKUP(Readings[[#This Row],[Sensor ID]],Table_Baseline[Sensor ID],Table_Baseline[Easting '[m']],"-")),"-")</f>
        <v>-9.9999999656574801E-4</v>
      </c>
      <c r="P715" s="93">
        <f>IFERROR(IF(Readings[[#This Row],[Obs. Y]]="","-",Readings[[#This Row],[Obs. Y]]-_xlfn.XLOOKUP(Readings[[#This Row],[Sensor ID]],Table_Baseline[Sensor ID],Table_Baseline[Northing '[m']],"-")),"-")</f>
        <v>2.0000000367872417E-3</v>
      </c>
      <c r="Q715" s="93">
        <f>IFERROR(IF(Readings[[#This Row],[Obs. Z]]="","-",Readings[[#This Row],[Obs. Z]]-_xlfn.XLOOKUP(Readings[[#This Row],[Sensor ID]],Table_Baseline[Sensor ID],Table_Baseline[Level '[m']],"-")),"-")</f>
        <v>-9.9999999999766942E-5</v>
      </c>
      <c r="R715" s="93">
        <f>IFERROR(IF(Readings[[#This Row],[Reference Angle]]="-","-",(Readings[[#This Row],[Diff E]]*COS(RADIANS(Readings[[#This Row],[Reference Angle]]))-Readings[[#This Row],[Diff N]]*SIN(RADIANS(Readings[[#This Row],[Reference Angle]])))),"-")</f>
        <v>-9.9999999656574801E-4</v>
      </c>
      <c r="S715" s="93">
        <f>IFERROR(IF(Readings[[#This Row],[Reference Angle]]="-","-",(Readings[[#This Row],[Diff E]]*SIN(RADIANS(Readings[[#This Row],[Reference Angle]]))+Readings[[#This Row],[Diff N]]*COS(RADIANS(Readings[[#This Row],[Reference Angle]])))),"-")</f>
        <v>2.0000000367872417E-3</v>
      </c>
      <c r="T715" s="94">
        <f>IFERROR(VLOOKUP(Readings[[#This Row],[Sensor ID]],Table_Baseline[],COLUMNS(Table_Baseline[[#Headers],[Sensor ID]:[Reference Angle '[Deg']]]),FALSE),"-")</f>
        <v>0</v>
      </c>
      <c r="U715" s="95" t="str">
        <f>Readings[[#This Row],[Sensor ID]]&amp;"-"&amp;Readings[[#This Row],[Epoch]]</f>
        <v>250-RL-OP-11016-45811.2847222222</v>
      </c>
      <c r="V715" s="99">
        <f ca="1">IF(Readings[[#This Row],[Epoch]]=OFFSET(Readings[[#This Row],[Epoch]],-1,0),0,1)</f>
        <v>0</v>
      </c>
    </row>
    <row r="716" spans="4:22" x14ac:dyDescent="0.2">
      <c r="D716" s="32">
        <v>45811.284722222219</v>
      </c>
      <c r="E716" s="33" t="s">
        <v>188</v>
      </c>
      <c r="F716" s="34">
        <v>60057.951999999997</v>
      </c>
      <c r="G716" s="34">
        <v>363839.36499999999</v>
      </c>
      <c r="H716" s="34">
        <v>18.786000000000001</v>
      </c>
      <c r="I716" s="33" t="s">
        <v>85</v>
      </c>
      <c r="J716" s="33" t="s">
        <v>90</v>
      </c>
      <c r="K716" s="33">
        <v>17</v>
      </c>
      <c r="L716" s="33">
        <v>1008.8</v>
      </c>
      <c r="M716" s="33">
        <v>88</v>
      </c>
      <c r="N716" s="33"/>
      <c r="O716" s="93">
        <f>IFERROR(IF(Readings[[#This Row],[Obs. X]]="","-",Readings[[#This Row],[Obs. X]]-_xlfn.XLOOKUP(Readings[[#This Row],[Sensor ID]],Table_Baseline[Sensor ID],Table_Baseline[Easting '[m']],"-")),"-")</f>
        <v>0</v>
      </c>
      <c r="P716" s="93">
        <f>IFERROR(IF(Readings[[#This Row],[Obs. Y]]="","-",Readings[[#This Row],[Obs. Y]]-_xlfn.XLOOKUP(Readings[[#This Row],[Sensor ID]],Table_Baseline[Sensor ID],Table_Baseline[Northing '[m']],"-")),"-")</f>
        <v>3.0000000260770321E-3</v>
      </c>
      <c r="Q716" s="93">
        <f>IFERROR(IF(Readings[[#This Row],[Obs. Z]]="","-",Readings[[#This Row],[Obs. Z]]-_xlfn.XLOOKUP(Readings[[#This Row],[Sensor ID]],Table_Baseline[Sensor ID],Table_Baseline[Level '[m']],"-")),"-")</f>
        <v>0</v>
      </c>
      <c r="R716" s="93">
        <f>IFERROR(IF(Readings[[#This Row],[Reference Angle]]="-","-",(Readings[[#This Row],[Diff E]]*COS(RADIANS(Readings[[#This Row],[Reference Angle]]))-Readings[[#This Row],[Diff N]]*SIN(RADIANS(Readings[[#This Row],[Reference Angle]])))),"-")</f>
        <v>0</v>
      </c>
      <c r="S716" s="93">
        <f>IFERROR(IF(Readings[[#This Row],[Reference Angle]]="-","-",(Readings[[#This Row],[Diff E]]*SIN(RADIANS(Readings[[#This Row],[Reference Angle]]))+Readings[[#This Row],[Diff N]]*COS(RADIANS(Readings[[#This Row],[Reference Angle]])))),"-")</f>
        <v>3.0000000260770321E-3</v>
      </c>
      <c r="T716" s="94">
        <f>IFERROR(VLOOKUP(Readings[[#This Row],[Sensor ID]],Table_Baseline[],COLUMNS(Table_Baseline[[#Headers],[Sensor ID]:[Reference Angle '[Deg']]]),FALSE),"-")</f>
        <v>0</v>
      </c>
      <c r="U716" s="95" t="str">
        <f>Readings[[#This Row],[Sensor ID]]&amp;"-"&amp;Readings[[#This Row],[Epoch]]</f>
        <v>250-RL-OP-11017-45811.2847222222</v>
      </c>
      <c r="V716" s="99">
        <f ca="1">IF(Readings[[#This Row],[Epoch]]=OFFSET(Readings[[#This Row],[Epoch]],-1,0),0,1)</f>
        <v>0</v>
      </c>
    </row>
    <row r="717" spans="4:22" x14ac:dyDescent="0.2">
      <c r="D717" s="32">
        <v>45811.284722222219</v>
      </c>
      <c r="E717" s="33" t="s">
        <v>187</v>
      </c>
      <c r="F717" s="34">
        <v>60057.578000000001</v>
      </c>
      <c r="G717" s="34">
        <v>363838.10100000002</v>
      </c>
      <c r="H717" s="34">
        <v>18.774999999999999</v>
      </c>
      <c r="I717" s="33" t="s">
        <v>85</v>
      </c>
      <c r="J717" s="33" t="s">
        <v>90</v>
      </c>
      <c r="K717" s="33">
        <v>17</v>
      </c>
      <c r="L717" s="33">
        <v>1008.8</v>
      </c>
      <c r="M717" s="33">
        <v>88</v>
      </c>
      <c r="N717" s="33"/>
      <c r="O717" s="93">
        <f>IFERROR(IF(Readings[[#This Row],[Obs. X]]="","-",Readings[[#This Row],[Obs. X]]-_xlfn.XLOOKUP(Readings[[#This Row],[Sensor ID]],Table_Baseline[Sensor ID],Table_Baseline[Easting '[m']],"-")),"-")</f>
        <v>-9.9999999656574801E-4</v>
      </c>
      <c r="P717" s="93">
        <f>IFERROR(IF(Readings[[#This Row],[Obs. Y]]="","-",Readings[[#This Row],[Obs. Y]]-_xlfn.XLOOKUP(Readings[[#This Row],[Sensor ID]],Table_Baseline[Sensor ID],Table_Baseline[Northing '[m']],"-")),"-")</f>
        <v>3.0000000260770321E-3</v>
      </c>
      <c r="Q717" s="93">
        <f>IFERROR(IF(Readings[[#This Row],[Obs. Z]]="","-",Readings[[#This Row],[Obs. Z]]-_xlfn.XLOOKUP(Readings[[#This Row],[Sensor ID]],Table_Baseline[Sensor ID],Table_Baseline[Level '[m']],"-")),"-")</f>
        <v>-1.0000000000012221E-3</v>
      </c>
      <c r="R717" s="93">
        <f>IFERROR(IF(Readings[[#This Row],[Reference Angle]]="-","-",(Readings[[#This Row],[Diff E]]*COS(RADIANS(Readings[[#This Row],[Reference Angle]]))-Readings[[#This Row],[Diff N]]*SIN(RADIANS(Readings[[#This Row],[Reference Angle]])))),"-")</f>
        <v>-9.9999999656574801E-4</v>
      </c>
      <c r="S717" s="93">
        <f>IFERROR(IF(Readings[[#This Row],[Reference Angle]]="-","-",(Readings[[#This Row],[Diff E]]*SIN(RADIANS(Readings[[#This Row],[Reference Angle]]))+Readings[[#This Row],[Diff N]]*COS(RADIANS(Readings[[#This Row],[Reference Angle]])))),"-")</f>
        <v>3.0000000260770321E-3</v>
      </c>
      <c r="T717" s="94">
        <f>IFERROR(VLOOKUP(Readings[[#This Row],[Sensor ID]],Table_Baseline[],COLUMNS(Table_Baseline[[#Headers],[Sensor ID]:[Reference Angle '[Deg']]]),FALSE),"-")</f>
        <v>0</v>
      </c>
      <c r="U717" s="95" t="str">
        <f>Readings[[#This Row],[Sensor ID]]&amp;"-"&amp;Readings[[#This Row],[Epoch]]</f>
        <v>250-RL-OP-11018-45811.2847222222</v>
      </c>
      <c r="V717" s="99">
        <f ca="1">IF(Readings[[#This Row],[Epoch]]=OFFSET(Readings[[#This Row],[Epoch]],-1,0),0,1)</f>
        <v>0</v>
      </c>
    </row>
    <row r="718" spans="4:22" x14ac:dyDescent="0.2">
      <c r="D718" s="32">
        <v>45811.284722222219</v>
      </c>
      <c r="E718" s="33" t="s">
        <v>190</v>
      </c>
      <c r="F718" s="34">
        <v>60060.962</v>
      </c>
      <c r="G718" s="34">
        <v>363838.60399999999</v>
      </c>
      <c r="H718" s="34">
        <v>18.794</v>
      </c>
      <c r="I718" s="33" t="s">
        <v>85</v>
      </c>
      <c r="J718" s="33" t="s">
        <v>90</v>
      </c>
      <c r="K718" s="33">
        <v>17</v>
      </c>
      <c r="L718" s="33">
        <v>1008.8</v>
      </c>
      <c r="M718" s="33">
        <v>88</v>
      </c>
      <c r="N718" s="33"/>
      <c r="O718" s="93">
        <f>IFERROR(IF(Readings[[#This Row],[Obs. X]]="","-",Readings[[#This Row],[Obs. X]]-_xlfn.XLOOKUP(Readings[[#This Row],[Sensor ID]],Table_Baseline[Sensor ID],Table_Baseline[Easting '[m']],"-")),"-")</f>
        <v>-1.0000000038417056E-3</v>
      </c>
      <c r="P718" s="93">
        <f>IFERROR(IF(Readings[[#This Row],[Obs. Y]]="","-",Readings[[#This Row],[Obs. Y]]-_xlfn.XLOOKUP(Readings[[#This Row],[Sensor ID]],Table_Baseline[Sensor ID],Table_Baseline[Northing '[m']],"-")),"-")</f>
        <v>2.9999999678693712E-3</v>
      </c>
      <c r="Q718" s="93">
        <f>IFERROR(IF(Readings[[#This Row],[Obs. Z]]="","-",Readings[[#This Row],[Obs. Z]]-_xlfn.XLOOKUP(Readings[[#This Row],[Sensor ID]],Table_Baseline[Sensor ID],Table_Baseline[Level '[m']],"-")),"-")</f>
        <v>-5.9999999999860165E-4</v>
      </c>
      <c r="R718" s="93">
        <f>IFERROR(IF(Readings[[#This Row],[Reference Angle]]="-","-",(Readings[[#This Row],[Diff E]]*COS(RADIANS(Readings[[#This Row],[Reference Angle]]))-Readings[[#This Row],[Diff N]]*SIN(RADIANS(Readings[[#This Row],[Reference Angle]])))),"-")</f>
        <v>-1.0000000038417056E-3</v>
      </c>
      <c r="S718" s="93">
        <f>IFERROR(IF(Readings[[#This Row],[Reference Angle]]="-","-",(Readings[[#This Row],[Diff E]]*SIN(RADIANS(Readings[[#This Row],[Reference Angle]]))+Readings[[#This Row],[Diff N]]*COS(RADIANS(Readings[[#This Row],[Reference Angle]])))),"-")</f>
        <v>2.9999999678693712E-3</v>
      </c>
      <c r="T718" s="94">
        <f>IFERROR(VLOOKUP(Readings[[#This Row],[Sensor ID]],Table_Baseline[],COLUMNS(Table_Baseline[[#Headers],[Sensor ID]:[Reference Angle '[Deg']]]),FALSE),"-")</f>
        <v>0</v>
      </c>
      <c r="U718" s="95" t="str">
        <f>Readings[[#This Row],[Sensor ID]]&amp;"-"&amp;Readings[[#This Row],[Epoch]]</f>
        <v>250-RL-OP-11019-45811.2847222222</v>
      </c>
      <c r="V718" s="99">
        <f ca="1">IF(Readings[[#This Row],[Epoch]]=OFFSET(Readings[[#This Row],[Epoch]],-1,0),0,1)</f>
        <v>0</v>
      </c>
    </row>
    <row r="719" spans="4:22" x14ac:dyDescent="0.2">
      <c r="D719" s="32">
        <v>45811.284722222219</v>
      </c>
      <c r="E719" s="33" t="s">
        <v>189</v>
      </c>
      <c r="F719" s="34">
        <v>60060.639999999999</v>
      </c>
      <c r="G719" s="34">
        <v>363837.326</v>
      </c>
      <c r="H719" s="34">
        <v>18.783000000000001</v>
      </c>
      <c r="I719" s="33" t="s">
        <v>85</v>
      </c>
      <c r="J719" s="33" t="s">
        <v>90</v>
      </c>
      <c r="K719" s="33">
        <v>17</v>
      </c>
      <c r="L719" s="33">
        <v>1008.8</v>
      </c>
      <c r="M719" s="33">
        <v>88</v>
      </c>
      <c r="N719" s="33"/>
      <c r="O719" s="93">
        <f>IFERROR(IF(Readings[[#This Row],[Obs. X]]="","-",Readings[[#This Row],[Obs. X]]-_xlfn.XLOOKUP(Readings[[#This Row],[Sensor ID]],Table_Baseline[Sensor ID],Table_Baseline[Easting '[m']],"-")),"-")</f>
        <v>0</v>
      </c>
      <c r="P719" s="93">
        <f>IFERROR(IF(Readings[[#This Row],[Obs. Y]]="","-",Readings[[#This Row],[Obs. Y]]-_xlfn.XLOOKUP(Readings[[#This Row],[Sensor ID]],Table_Baseline[Sensor ID],Table_Baseline[Northing '[m']],"-")),"-")</f>
        <v>4.0000000153668225E-3</v>
      </c>
      <c r="Q719" s="93">
        <f>IFERROR(IF(Readings[[#This Row],[Obs. Z]]="","-",Readings[[#This Row],[Obs. Z]]-_xlfn.XLOOKUP(Readings[[#This Row],[Sensor ID]],Table_Baseline[Sensor ID],Table_Baseline[Level '[m']],"-")),"-")</f>
        <v>-5.9999999999860165E-4</v>
      </c>
      <c r="R719" s="93">
        <f>IFERROR(IF(Readings[[#This Row],[Reference Angle]]="-","-",(Readings[[#This Row],[Diff E]]*COS(RADIANS(Readings[[#This Row],[Reference Angle]]))-Readings[[#This Row],[Diff N]]*SIN(RADIANS(Readings[[#This Row],[Reference Angle]])))),"-")</f>
        <v>0</v>
      </c>
      <c r="S719" s="93">
        <f>IFERROR(IF(Readings[[#This Row],[Reference Angle]]="-","-",(Readings[[#This Row],[Diff E]]*SIN(RADIANS(Readings[[#This Row],[Reference Angle]]))+Readings[[#This Row],[Diff N]]*COS(RADIANS(Readings[[#This Row],[Reference Angle]])))),"-")</f>
        <v>4.0000000153668225E-3</v>
      </c>
      <c r="T719" s="94">
        <f>IFERROR(VLOOKUP(Readings[[#This Row],[Sensor ID]],Table_Baseline[],COLUMNS(Table_Baseline[[#Headers],[Sensor ID]:[Reference Angle '[Deg']]]),FALSE),"-")</f>
        <v>0</v>
      </c>
      <c r="U719" s="95" t="str">
        <f>Readings[[#This Row],[Sensor ID]]&amp;"-"&amp;Readings[[#This Row],[Epoch]]</f>
        <v>250-RL-OP-11020-45811.2847222222</v>
      </c>
      <c r="V719" s="99">
        <f ca="1">IF(Readings[[#This Row],[Epoch]]=OFFSET(Readings[[#This Row],[Epoch]],-1,0),0,1)</f>
        <v>0</v>
      </c>
    </row>
    <row r="720" spans="4:22" x14ac:dyDescent="0.2">
      <c r="D720" s="32">
        <v>45811.284722222219</v>
      </c>
      <c r="E720" s="33" t="s">
        <v>192</v>
      </c>
      <c r="F720" s="34">
        <v>60063.75</v>
      </c>
      <c r="G720" s="34">
        <v>363837.92099999997</v>
      </c>
      <c r="H720" s="34">
        <v>18.808</v>
      </c>
      <c r="I720" s="33" t="s">
        <v>85</v>
      </c>
      <c r="J720" s="33" t="s">
        <v>90</v>
      </c>
      <c r="K720" s="33">
        <v>17</v>
      </c>
      <c r="L720" s="33">
        <v>1008.8</v>
      </c>
      <c r="M720" s="33">
        <v>88</v>
      </c>
      <c r="N720" s="33"/>
      <c r="O720" s="93">
        <f>IFERROR(IF(Readings[[#This Row],[Obs. X]]="","-",Readings[[#This Row],[Obs. X]]-_xlfn.XLOOKUP(Readings[[#This Row],[Sensor ID]],Table_Baseline[Sensor ID],Table_Baseline[Easting '[m']],"-")),"-")</f>
        <v>-9.9999999656574801E-4</v>
      </c>
      <c r="P720" s="93">
        <f>IFERROR(IF(Readings[[#This Row],[Obs. Y]]="","-",Readings[[#This Row],[Obs. Y]]-_xlfn.XLOOKUP(Readings[[#This Row],[Sensor ID]],Table_Baseline[Sensor ID],Table_Baseline[Northing '[m']],"-")),"-")</f>
        <v>2.9999999678693712E-3</v>
      </c>
      <c r="Q720" s="93">
        <f>IFERROR(IF(Readings[[#This Row],[Obs. Z]]="","-",Readings[[#This Row],[Obs. Z]]-_xlfn.XLOOKUP(Readings[[#This Row],[Sensor ID]],Table_Baseline[Sensor ID],Table_Baseline[Level '[m']],"-")),"-")</f>
        <v>-1.0000000000012221E-3</v>
      </c>
      <c r="R720" s="93">
        <f>IFERROR(IF(Readings[[#This Row],[Reference Angle]]="-","-",(Readings[[#This Row],[Diff E]]*COS(RADIANS(Readings[[#This Row],[Reference Angle]]))-Readings[[#This Row],[Diff N]]*SIN(RADIANS(Readings[[#This Row],[Reference Angle]])))),"-")</f>
        <v>-9.9999999656574801E-4</v>
      </c>
      <c r="S720" s="93">
        <f>IFERROR(IF(Readings[[#This Row],[Reference Angle]]="-","-",(Readings[[#This Row],[Diff E]]*SIN(RADIANS(Readings[[#This Row],[Reference Angle]]))+Readings[[#This Row],[Diff N]]*COS(RADIANS(Readings[[#This Row],[Reference Angle]])))),"-")</f>
        <v>2.9999999678693712E-3</v>
      </c>
      <c r="T720" s="94">
        <f>IFERROR(VLOOKUP(Readings[[#This Row],[Sensor ID]],Table_Baseline[],COLUMNS(Table_Baseline[[#Headers],[Sensor ID]:[Reference Angle '[Deg']]]),FALSE),"-")</f>
        <v>0</v>
      </c>
      <c r="U720" s="95" t="str">
        <f>Readings[[#This Row],[Sensor ID]]&amp;"-"&amp;Readings[[#This Row],[Epoch]]</f>
        <v>250-RL-OP-11021-45811.2847222222</v>
      </c>
      <c r="V720" s="99">
        <f ca="1">IF(Readings[[#This Row],[Epoch]]=OFFSET(Readings[[#This Row],[Epoch]],-1,0),0,1)</f>
        <v>0</v>
      </c>
    </row>
    <row r="721" spans="4:22" x14ac:dyDescent="0.2">
      <c r="D721" s="32">
        <v>45811.284722222219</v>
      </c>
      <c r="E721" s="33" t="s">
        <v>191</v>
      </c>
      <c r="F721" s="34">
        <v>60063.421000000002</v>
      </c>
      <c r="G721" s="34">
        <v>363836.63899999997</v>
      </c>
      <c r="H721" s="34">
        <v>18.794</v>
      </c>
      <c r="I721" s="33" t="s">
        <v>85</v>
      </c>
      <c r="J721" s="33" t="s">
        <v>90</v>
      </c>
      <c r="K721" s="33">
        <v>17</v>
      </c>
      <c r="L721" s="33">
        <v>1008.8</v>
      </c>
      <c r="M721" s="33">
        <v>88</v>
      </c>
      <c r="N721" s="33"/>
      <c r="O721" s="93">
        <f>IFERROR(IF(Readings[[#This Row],[Obs. X]]="","-",Readings[[#This Row],[Obs. X]]-_xlfn.XLOOKUP(Readings[[#This Row],[Sensor ID]],Table_Baseline[Sensor ID],Table_Baseline[Easting '[m']],"-")),"-")</f>
        <v>-9.9999999656574801E-4</v>
      </c>
      <c r="P721" s="93">
        <f>IFERROR(IF(Readings[[#This Row],[Obs. Y]]="","-",Readings[[#This Row],[Obs. Y]]-_xlfn.XLOOKUP(Readings[[#This Row],[Sensor ID]],Table_Baseline[Sensor ID],Table_Baseline[Northing '[m']],"-")),"-")</f>
        <v>2.9999999678693712E-3</v>
      </c>
      <c r="Q721" s="93">
        <f>IFERROR(IF(Readings[[#This Row],[Obs. Z]]="","-",Readings[[#This Row],[Obs. Z]]-_xlfn.XLOOKUP(Readings[[#This Row],[Sensor ID]],Table_Baseline[Sensor ID],Table_Baseline[Level '[m']],"-")),"-")</f>
        <v>-8.9999999999790248E-4</v>
      </c>
      <c r="R721" s="93">
        <f>IFERROR(IF(Readings[[#This Row],[Reference Angle]]="-","-",(Readings[[#This Row],[Diff E]]*COS(RADIANS(Readings[[#This Row],[Reference Angle]]))-Readings[[#This Row],[Diff N]]*SIN(RADIANS(Readings[[#This Row],[Reference Angle]])))),"-")</f>
        <v>-9.9999999656574801E-4</v>
      </c>
      <c r="S721" s="93">
        <f>IFERROR(IF(Readings[[#This Row],[Reference Angle]]="-","-",(Readings[[#This Row],[Diff E]]*SIN(RADIANS(Readings[[#This Row],[Reference Angle]]))+Readings[[#This Row],[Diff N]]*COS(RADIANS(Readings[[#This Row],[Reference Angle]])))),"-")</f>
        <v>2.9999999678693712E-3</v>
      </c>
      <c r="T721" s="94">
        <f>IFERROR(VLOOKUP(Readings[[#This Row],[Sensor ID]],Table_Baseline[],COLUMNS(Table_Baseline[[#Headers],[Sensor ID]:[Reference Angle '[Deg']]]),FALSE),"-")</f>
        <v>0</v>
      </c>
      <c r="U721" s="95" t="str">
        <f>Readings[[#This Row],[Sensor ID]]&amp;"-"&amp;Readings[[#This Row],[Epoch]]</f>
        <v>250-RL-OP-11022-45811.2847222222</v>
      </c>
      <c r="V721" s="99">
        <f ca="1">IF(Readings[[#This Row],[Epoch]]=OFFSET(Readings[[#This Row],[Epoch]],-1,0),0,1)</f>
        <v>0</v>
      </c>
    </row>
    <row r="722" spans="4:22" x14ac:dyDescent="0.2">
      <c r="D722" s="32">
        <v>45811.284722222219</v>
      </c>
      <c r="E722" s="33" t="s">
        <v>165</v>
      </c>
      <c r="F722" s="34">
        <v>60034.538999999997</v>
      </c>
      <c r="G722" s="34">
        <v>363843.38199999998</v>
      </c>
      <c r="H722" s="34">
        <v>19.332000000000001</v>
      </c>
      <c r="I722" s="33" t="s">
        <v>85</v>
      </c>
      <c r="J722" s="33" t="s">
        <v>90</v>
      </c>
      <c r="K722" s="33">
        <v>17</v>
      </c>
      <c r="L722" s="33">
        <v>1008.8</v>
      </c>
      <c r="M722" s="33">
        <v>88</v>
      </c>
      <c r="N722" s="33"/>
      <c r="O722" s="93" t="str">
        <f>IFERROR(IF(Readings[[#This Row],[Obs. X]]="","-",Readings[[#This Row],[Obs. X]]-_xlfn.XLOOKUP(Readings[[#This Row],[Sensor ID]],Table_Baseline[Sensor ID],Table_Baseline[Easting '[m']],"-")),"-")</f>
        <v>-</v>
      </c>
      <c r="P722" s="93" t="str">
        <f>IFERROR(IF(Readings[[#This Row],[Obs. Y]]="","-",Readings[[#This Row],[Obs. Y]]-_xlfn.XLOOKUP(Readings[[#This Row],[Sensor ID]],Table_Baseline[Sensor ID],Table_Baseline[Northing '[m']],"-")),"-")</f>
        <v>-</v>
      </c>
      <c r="Q722" s="93" t="str">
        <f>IFERROR(IF(Readings[[#This Row],[Obs. Z]]="","-",Readings[[#This Row],[Obs. Z]]-_xlfn.XLOOKUP(Readings[[#This Row],[Sensor ID]],Table_Baseline[Sensor ID],Table_Baseline[Level '[m']],"-")),"-")</f>
        <v>-</v>
      </c>
      <c r="R722" s="93" t="str">
        <f>IFERROR(IF(Readings[[#This Row],[Reference Angle]]="-","-",(Readings[[#This Row],[Diff E]]*COS(RADIANS(Readings[[#This Row],[Reference Angle]]))-Readings[[#This Row],[Diff N]]*SIN(RADIANS(Readings[[#This Row],[Reference Angle]])))),"-")</f>
        <v>-</v>
      </c>
      <c r="S722" s="93" t="str">
        <f>IFERROR(IF(Readings[[#This Row],[Reference Angle]]="-","-",(Readings[[#This Row],[Diff E]]*SIN(RADIANS(Readings[[#This Row],[Reference Angle]]))+Readings[[#This Row],[Diff N]]*COS(RADIANS(Readings[[#This Row],[Reference Angle]])))),"-")</f>
        <v>-</v>
      </c>
      <c r="T722" s="94" t="str">
        <f>IFERROR(VLOOKUP(Readings[[#This Row],[Sensor ID]],Table_Baseline[],COLUMNS(Table_Baseline[[#Headers],[Sensor ID]:[Reference Angle '[Deg']]]),FALSE),"-")</f>
        <v>-</v>
      </c>
      <c r="U722" s="95" t="str">
        <f>Readings[[#This Row],[Sensor ID]]&amp;"-"&amp;Readings[[#This Row],[Epoch]]</f>
        <v>250-ST-OP-500-45811.2847222222</v>
      </c>
      <c r="V722" s="99">
        <f ca="1">IF(Readings[[#This Row],[Epoch]]=OFFSET(Readings[[#This Row],[Epoch]],-1,0),0,1)</f>
        <v>0</v>
      </c>
    </row>
    <row r="723" spans="4:22" x14ac:dyDescent="0.2">
      <c r="D723" s="32">
        <v>45811.284722222219</v>
      </c>
      <c r="E723" s="33" t="s">
        <v>166</v>
      </c>
      <c r="F723" s="34">
        <v>60040.286</v>
      </c>
      <c r="G723" s="34">
        <v>363841.73</v>
      </c>
      <c r="H723" s="34">
        <v>19.321999999999999</v>
      </c>
      <c r="I723" s="33" t="s">
        <v>85</v>
      </c>
      <c r="J723" s="33" t="s">
        <v>90</v>
      </c>
      <c r="K723" s="33">
        <v>17</v>
      </c>
      <c r="L723" s="33">
        <v>1008.8</v>
      </c>
      <c r="M723" s="33">
        <v>88</v>
      </c>
      <c r="N723" s="33"/>
      <c r="O723" s="93" t="str">
        <f>IFERROR(IF(Readings[[#This Row],[Obs. X]]="","-",Readings[[#This Row],[Obs. X]]-_xlfn.XLOOKUP(Readings[[#This Row],[Sensor ID]],Table_Baseline[Sensor ID],Table_Baseline[Easting '[m']],"-")),"-")</f>
        <v>-</v>
      </c>
      <c r="P723" s="93" t="str">
        <f>IFERROR(IF(Readings[[#This Row],[Obs. Y]]="","-",Readings[[#This Row],[Obs. Y]]-_xlfn.XLOOKUP(Readings[[#This Row],[Sensor ID]],Table_Baseline[Sensor ID],Table_Baseline[Northing '[m']],"-")),"-")</f>
        <v>-</v>
      </c>
      <c r="Q723" s="93" t="str">
        <f>IFERROR(IF(Readings[[#This Row],[Obs. Z]]="","-",Readings[[#This Row],[Obs. Z]]-_xlfn.XLOOKUP(Readings[[#This Row],[Sensor ID]],Table_Baseline[Sensor ID],Table_Baseline[Level '[m']],"-")),"-")</f>
        <v>-</v>
      </c>
      <c r="R723" s="93" t="str">
        <f>IFERROR(IF(Readings[[#This Row],[Reference Angle]]="-","-",(Readings[[#This Row],[Diff E]]*COS(RADIANS(Readings[[#This Row],[Reference Angle]]))-Readings[[#This Row],[Diff N]]*SIN(RADIANS(Readings[[#This Row],[Reference Angle]])))),"-")</f>
        <v>-</v>
      </c>
      <c r="S723" s="93" t="str">
        <f>IFERROR(IF(Readings[[#This Row],[Reference Angle]]="-","-",(Readings[[#This Row],[Diff E]]*SIN(RADIANS(Readings[[#This Row],[Reference Angle]]))+Readings[[#This Row],[Diff N]]*COS(RADIANS(Readings[[#This Row],[Reference Angle]])))),"-")</f>
        <v>-</v>
      </c>
      <c r="T723" s="94" t="str">
        <f>IFERROR(VLOOKUP(Readings[[#This Row],[Sensor ID]],Table_Baseline[],COLUMNS(Table_Baseline[[#Headers],[Sensor ID]:[Reference Angle '[Deg']]]),FALSE),"-")</f>
        <v>-</v>
      </c>
      <c r="U723" s="95" t="str">
        <f>Readings[[#This Row],[Sensor ID]]&amp;"-"&amp;Readings[[#This Row],[Epoch]]</f>
        <v>250-ST-OP-501-45811.2847222222</v>
      </c>
      <c r="V723" s="99">
        <f ca="1">IF(Readings[[#This Row],[Epoch]]=OFFSET(Readings[[#This Row],[Epoch]],-1,0),0,1)</f>
        <v>0</v>
      </c>
    </row>
    <row r="724" spans="4:22" x14ac:dyDescent="0.2">
      <c r="D724" s="32">
        <v>45811.284722222219</v>
      </c>
      <c r="E724" s="33" t="s">
        <v>167</v>
      </c>
      <c r="F724" s="34">
        <v>60045.921000000002</v>
      </c>
      <c r="G724" s="34">
        <v>363840.10100000002</v>
      </c>
      <c r="H724" s="34">
        <v>19.334</v>
      </c>
      <c r="I724" s="33" t="s">
        <v>85</v>
      </c>
      <c r="J724" s="33" t="s">
        <v>90</v>
      </c>
      <c r="K724" s="33">
        <v>17</v>
      </c>
      <c r="L724" s="33">
        <v>1008.8</v>
      </c>
      <c r="M724" s="33">
        <v>88</v>
      </c>
      <c r="N724" s="33"/>
      <c r="O724" s="93" t="str">
        <f>IFERROR(IF(Readings[[#This Row],[Obs. X]]="","-",Readings[[#This Row],[Obs. X]]-_xlfn.XLOOKUP(Readings[[#This Row],[Sensor ID]],Table_Baseline[Sensor ID],Table_Baseline[Easting '[m']],"-")),"-")</f>
        <v>-</v>
      </c>
      <c r="P724" s="93" t="str">
        <f>IFERROR(IF(Readings[[#This Row],[Obs. Y]]="","-",Readings[[#This Row],[Obs. Y]]-_xlfn.XLOOKUP(Readings[[#This Row],[Sensor ID]],Table_Baseline[Sensor ID],Table_Baseline[Northing '[m']],"-")),"-")</f>
        <v>-</v>
      </c>
      <c r="Q724" s="93" t="str">
        <f>IFERROR(IF(Readings[[#This Row],[Obs. Z]]="","-",Readings[[#This Row],[Obs. Z]]-_xlfn.XLOOKUP(Readings[[#This Row],[Sensor ID]],Table_Baseline[Sensor ID],Table_Baseline[Level '[m']],"-")),"-")</f>
        <v>-</v>
      </c>
      <c r="R724" s="93" t="str">
        <f>IFERROR(IF(Readings[[#This Row],[Reference Angle]]="-","-",(Readings[[#This Row],[Diff E]]*COS(RADIANS(Readings[[#This Row],[Reference Angle]]))-Readings[[#This Row],[Diff N]]*SIN(RADIANS(Readings[[#This Row],[Reference Angle]])))),"-")</f>
        <v>-</v>
      </c>
      <c r="S724" s="93" t="str">
        <f>IFERROR(IF(Readings[[#This Row],[Reference Angle]]="-","-",(Readings[[#This Row],[Diff E]]*SIN(RADIANS(Readings[[#This Row],[Reference Angle]]))+Readings[[#This Row],[Diff N]]*COS(RADIANS(Readings[[#This Row],[Reference Angle]])))),"-")</f>
        <v>-</v>
      </c>
      <c r="T724" s="94" t="str">
        <f>IFERROR(VLOOKUP(Readings[[#This Row],[Sensor ID]],Table_Baseline[],COLUMNS(Table_Baseline[[#Headers],[Sensor ID]:[Reference Angle '[Deg']]]),FALSE),"-")</f>
        <v>-</v>
      </c>
      <c r="U724" s="95" t="str">
        <f>Readings[[#This Row],[Sensor ID]]&amp;"-"&amp;Readings[[#This Row],[Epoch]]</f>
        <v>250-ST-OP-502-45811.2847222222</v>
      </c>
      <c r="V724" s="99">
        <f ca="1">IF(Readings[[#This Row],[Epoch]]=OFFSET(Readings[[#This Row],[Epoch]],-1,0),0,1)</f>
        <v>0</v>
      </c>
    </row>
    <row r="725" spans="4:22" x14ac:dyDescent="0.2">
      <c r="D725" s="32">
        <v>45811.284722222219</v>
      </c>
      <c r="E725" s="33" t="s">
        <v>168</v>
      </c>
      <c r="F725" s="34">
        <v>60049.767999999996</v>
      </c>
      <c r="G725" s="34">
        <v>363838.99400000001</v>
      </c>
      <c r="H725" s="34">
        <v>19.344999999999999</v>
      </c>
      <c r="I725" s="33" t="s">
        <v>85</v>
      </c>
      <c r="J725" s="33" t="s">
        <v>90</v>
      </c>
      <c r="K725" s="33">
        <v>17</v>
      </c>
      <c r="L725" s="33">
        <v>1008.8</v>
      </c>
      <c r="M725" s="33">
        <v>88</v>
      </c>
      <c r="N725" s="33"/>
      <c r="O725" s="93" t="str">
        <f>IFERROR(IF(Readings[[#This Row],[Obs. X]]="","-",Readings[[#This Row],[Obs. X]]-_xlfn.XLOOKUP(Readings[[#This Row],[Sensor ID]],Table_Baseline[Sensor ID],Table_Baseline[Easting '[m']],"-")),"-")</f>
        <v>-</v>
      </c>
      <c r="P725" s="93" t="str">
        <f>IFERROR(IF(Readings[[#This Row],[Obs. Y]]="","-",Readings[[#This Row],[Obs. Y]]-_xlfn.XLOOKUP(Readings[[#This Row],[Sensor ID]],Table_Baseline[Sensor ID],Table_Baseline[Northing '[m']],"-")),"-")</f>
        <v>-</v>
      </c>
      <c r="Q725" s="93" t="str">
        <f>IFERROR(IF(Readings[[#This Row],[Obs. Z]]="","-",Readings[[#This Row],[Obs. Z]]-_xlfn.XLOOKUP(Readings[[#This Row],[Sensor ID]],Table_Baseline[Sensor ID],Table_Baseline[Level '[m']],"-")),"-")</f>
        <v>-</v>
      </c>
      <c r="R725" s="93" t="str">
        <f>IFERROR(IF(Readings[[#This Row],[Reference Angle]]="-","-",(Readings[[#This Row],[Diff E]]*COS(RADIANS(Readings[[#This Row],[Reference Angle]]))-Readings[[#This Row],[Diff N]]*SIN(RADIANS(Readings[[#This Row],[Reference Angle]])))),"-")</f>
        <v>-</v>
      </c>
      <c r="S725" s="93" t="str">
        <f>IFERROR(IF(Readings[[#This Row],[Reference Angle]]="-","-",(Readings[[#This Row],[Diff E]]*SIN(RADIANS(Readings[[#This Row],[Reference Angle]]))+Readings[[#This Row],[Diff N]]*COS(RADIANS(Readings[[#This Row],[Reference Angle]])))),"-")</f>
        <v>-</v>
      </c>
      <c r="T725" s="94" t="str">
        <f>IFERROR(VLOOKUP(Readings[[#This Row],[Sensor ID]],Table_Baseline[],COLUMNS(Table_Baseline[[#Headers],[Sensor ID]:[Reference Angle '[Deg']]]),FALSE),"-")</f>
        <v>-</v>
      </c>
      <c r="U725" s="95" t="str">
        <f>Readings[[#This Row],[Sensor ID]]&amp;"-"&amp;Readings[[#This Row],[Epoch]]</f>
        <v>250-ST-OP-503-45811.2847222222</v>
      </c>
      <c r="V725" s="99">
        <f ca="1">IF(Readings[[#This Row],[Epoch]]=OFFSET(Readings[[#This Row],[Epoch]],-1,0),0,1)</f>
        <v>0</v>
      </c>
    </row>
    <row r="726" spans="4:22" x14ac:dyDescent="0.2">
      <c r="D726" s="32">
        <v>45811.284722222219</v>
      </c>
      <c r="E726" s="33" t="s">
        <v>169</v>
      </c>
      <c r="F726" s="34">
        <v>60053.608999999997</v>
      </c>
      <c r="G726" s="34">
        <v>363837.88300000003</v>
      </c>
      <c r="H726" s="34">
        <v>19.356999999999999</v>
      </c>
      <c r="I726" s="33" t="s">
        <v>85</v>
      </c>
      <c r="J726" s="33" t="s">
        <v>90</v>
      </c>
      <c r="K726" s="33">
        <v>17</v>
      </c>
      <c r="L726" s="33">
        <v>1008.8</v>
      </c>
      <c r="M726" s="33">
        <v>88</v>
      </c>
      <c r="N726" s="33"/>
      <c r="O726" s="93" t="str">
        <f>IFERROR(IF(Readings[[#This Row],[Obs. X]]="","-",Readings[[#This Row],[Obs. X]]-_xlfn.XLOOKUP(Readings[[#This Row],[Sensor ID]],Table_Baseline[Sensor ID],Table_Baseline[Easting '[m']],"-")),"-")</f>
        <v>-</v>
      </c>
      <c r="P726" s="93" t="str">
        <f>IFERROR(IF(Readings[[#This Row],[Obs. Y]]="","-",Readings[[#This Row],[Obs. Y]]-_xlfn.XLOOKUP(Readings[[#This Row],[Sensor ID]],Table_Baseline[Sensor ID],Table_Baseline[Northing '[m']],"-")),"-")</f>
        <v>-</v>
      </c>
      <c r="Q726" s="93" t="str">
        <f>IFERROR(IF(Readings[[#This Row],[Obs. Z]]="","-",Readings[[#This Row],[Obs. Z]]-_xlfn.XLOOKUP(Readings[[#This Row],[Sensor ID]],Table_Baseline[Sensor ID],Table_Baseline[Level '[m']],"-")),"-")</f>
        <v>-</v>
      </c>
      <c r="R726" s="93" t="str">
        <f>IFERROR(IF(Readings[[#This Row],[Reference Angle]]="-","-",(Readings[[#This Row],[Diff E]]*COS(RADIANS(Readings[[#This Row],[Reference Angle]]))-Readings[[#This Row],[Diff N]]*SIN(RADIANS(Readings[[#This Row],[Reference Angle]])))),"-")</f>
        <v>-</v>
      </c>
      <c r="S726" s="93" t="str">
        <f>IFERROR(IF(Readings[[#This Row],[Reference Angle]]="-","-",(Readings[[#This Row],[Diff E]]*SIN(RADIANS(Readings[[#This Row],[Reference Angle]]))+Readings[[#This Row],[Diff N]]*COS(RADIANS(Readings[[#This Row],[Reference Angle]])))),"-")</f>
        <v>-</v>
      </c>
      <c r="T726" s="94" t="str">
        <f>IFERROR(VLOOKUP(Readings[[#This Row],[Sensor ID]],Table_Baseline[],COLUMNS(Table_Baseline[[#Headers],[Sensor ID]:[Reference Angle '[Deg']]]),FALSE),"-")</f>
        <v>-</v>
      </c>
      <c r="U726" s="95" t="str">
        <f>Readings[[#This Row],[Sensor ID]]&amp;"-"&amp;Readings[[#This Row],[Epoch]]</f>
        <v>250-ST-OP-504-45811.2847222222</v>
      </c>
      <c r="V726" s="99">
        <f ca="1">IF(Readings[[#This Row],[Epoch]]=OFFSET(Readings[[#This Row],[Epoch]],-1,0),0,1)</f>
        <v>0</v>
      </c>
    </row>
    <row r="727" spans="4:22" x14ac:dyDescent="0.2">
      <c r="D727" s="204">
        <v>45811.284722222219</v>
      </c>
      <c r="E727" s="151" t="s">
        <v>170</v>
      </c>
      <c r="F727" s="152">
        <v>60060.065000000002</v>
      </c>
      <c r="G727" s="152">
        <v>363836.02500000002</v>
      </c>
      <c r="H727" s="152">
        <v>19.356999999999999</v>
      </c>
      <c r="I727" s="151" t="s">
        <v>85</v>
      </c>
      <c r="J727" s="151" t="s">
        <v>90</v>
      </c>
      <c r="K727" s="151">
        <v>17</v>
      </c>
      <c r="L727" s="151">
        <v>1008.8</v>
      </c>
      <c r="M727" s="151">
        <v>88</v>
      </c>
      <c r="N727" s="151"/>
      <c r="O727" s="96" t="str">
        <f>IFERROR(IF(Readings[[#This Row],[Obs. X]]="","-",Readings[[#This Row],[Obs. X]]-_xlfn.XLOOKUP(Readings[[#This Row],[Sensor ID]],Table_Baseline[Sensor ID],Table_Baseline[Easting '[m']],"-")),"-")</f>
        <v>-</v>
      </c>
      <c r="P727" s="96" t="str">
        <f>IFERROR(IF(Readings[[#This Row],[Obs. Y]]="","-",Readings[[#This Row],[Obs. Y]]-_xlfn.XLOOKUP(Readings[[#This Row],[Sensor ID]],Table_Baseline[Sensor ID],Table_Baseline[Northing '[m']],"-")),"-")</f>
        <v>-</v>
      </c>
      <c r="Q727" s="96" t="str">
        <f>IFERROR(IF(Readings[[#This Row],[Obs. Z]]="","-",Readings[[#This Row],[Obs. Z]]-_xlfn.XLOOKUP(Readings[[#This Row],[Sensor ID]],Table_Baseline[Sensor ID],Table_Baseline[Level '[m']],"-")),"-")</f>
        <v>-</v>
      </c>
      <c r="R727" s="96" t="str">
        <f>IFERROR(IF(Readings[[#This Row],[Reference Angle]]="-","-",(Readings[[#This Row],[Diff E]]*COS(RADIANS(Readings[[#This Row],[Reference Angle]]))-Readings[[#This Row],[Diff N]]*SIN(RADIANS(Readings[[#This Row],[Reference Angle]])))),"-")</f>
        <v>-</v>
      </c>
      <c r="S727" s="96" t="str">
        <f>IFERROR(IF(Readings[[#This Row],[Reference Angle]]="-","-",(Readings[[#This Row],[Diff E]]*SIN(RADIANS(Readings[[#This Row],[Reference Angle]]))+Readings[[#This Row],[Diff N]]*COS(RADIANS(Readings[[#This Row],[Reference Angle]])))),"-")</f>
        <v>-</v>
      </c>
      <c r="T727" s="97" t="str">
        <f>IFERROR(VLOOKUP(Readings[[#This Row],[Sensor ID]],Table_Baseline[],COLUMNS(Table_Baseline[[#Headers],[Sensor ID]:[Reference Angle '[Deg']]]),FALSE),"-")</f>
        <v>-</v>
      </c>
      <c r="U727" s="98" t="str">
        <f>Readings[[#This Row],[Sensor ID]]&amp;"-"&amp;Readings[[#This Row],[Epoch]]</f>
        <v>250-ST-OP-505-45811.2847222222</v>
      </c>
      <c r="V727" s="100">
        <f ca="1">IF(Readings[[#This Row],[Epoch]]=OFFSET(Readings[[#This Row],[Epoch]],-1,0),0,1)</f>
        <v>0</v>
      </c>
    </row>
    <row r="728" spans="4:22" x14ac:dyDescent="0.2">
      <c r="D728" s="32">
        <v>45813.284722222219</v>
      </c>
      <c r="E728" s="33" t="s">
        <v>172</v>
      </c>
      <c r="F728" s="34">
        <v>60035.339</v>
      </c>
      <c r="G728" s="34">
        <v>363845.73800000001</v>
      </c>
      <c r="H728" s="34">
        <v>18.783000000000001</v>
      </c>
      <c r="I728" s="33" t="s">
        <v>85</v>
      </c>
      <c r="J728" s="33" t="s">
        <v>90</v>
      </c>
      <c r="K728" s="33">
        <v>20.8</v>
      </c>
      <c r="L728" s="33">
        <v>1010.9</v>
      </c>
      <c r="M728" s="33">
        <v>71</v>
      </c>
      <c r="N728" s="33"/>
      <c r="O728" s="93">
        <f>IFERROR(IF(Readings[[#This Row],[Obs. X]]="","-",Readings[[#This Row],[Obs. X]]-_xlfn.XLOOKUP(Readings[[#This Row],[Sensor ID]],Table_Baseline[Sensor ID],Table_Baseline[Easting '[m']],"-")),"-")</f>
        <v>-9.9999999656574801E-4</v>
      </c>
      <c r="P728" s="93">
        <f>IFERROR(IF(Readings[[#This Row],[Obs. Y]]="","-",Readings[[#This Row],[Obs. Y]]-_xlfn.XLOOKUP(Readings[[#This Row],[Sensor ID]],Table_Baseline[Sensor ID],Table_Baseline[Northing '[m']],"-")),"-")</f>
        <v>-9.9999998928979039E-4</v>
      </c>
      <c r="Q728" s="93">
        <f>IFERROR(IF(Readings[[#This Row],[Obs. Z]]="","-",Readings[[#This Row],[Obs. Z]]-_xlfn.XLOOKUP(Readings[[#This Row],[Sensor ID]],Table_Baseline[Sensor ID],Table_Baseline[Level '[m']],"-")),"-")</f>
        <v>1.0000000000012221E-3</v>
      </c>
      <c r="R728" s="93">
        <f>IFERROR(IF(Readings[[#This Row],[Reference Angle]]="-","-",(Readings[[#This Row],[Diff E]]*COS(RADIANS(Readings[[#This Row],[Reference Angle]]))-Readings[[#This Row],[Diff N]]*SIN(RADIANS(Readings[[#This Row],[Reference Angle]])))),"-")</f>
        <v>-9.9999999656574801E-4</v>
      </c>
      <c r="S728" s="93">
        <f>IFERROR(IF(Readings[[#This Row],[Reference Angle]]="-","-",(Readings[[#This Row],[Diff E]]*SIN(RADIANS(Readings[[#This Row],[Reference Angle]]))+Readings[[#This Row],[Diff N]]*COS(RADIANS(Readings[[#This Row],[Reference Angle]])))),"-")</f>
        <v>-9.9999998928979039E-4</v>
      </c>
      <c r="T728" s="94">
        <f>IFERROR(VLOOKUP(Readings[[#This Row],[Sensor ID]],Table_Baseline[],COLUMNS(Table_Baseline[[#Headers],[Sensor ID]:[Reference Angle '[Deg']]]),FALSE),"-")</f>
        <v>0</v>
      </c>
      <c r="U728" s="95" t="str">
        <f>Readings[[#This Row],[Sensor ID]]&amp;"-"&amp;Readings[[#This Row],[Epoch]]</f>
        <v>250-RL-OP-11001-45813.2847222222</v>
      </c>
      <c r="V728" s="99">
        <f ca="1">IF(Readings[[#This Row],[Epoch]]=OFFSET(Readings[[#This Row],[Epoch]],-1,0),0,1)</f>
        <v>1</v>
      </c>
    </row>
    <row r="729" spans="4:22" x14ac:dyDescent="0.2">
      <c r="D729" s="32">
        <v>45813.284722222219</v>
      </c>
      <c r="E729" s="33" t="s">
        <v>171</v>
      </c>
      <c r="F729" s="34">
        <v>60034.959000000003</v>
      </c>
      <c r="G729" s="34">
        <v>363844.47100000002</v>
      </c>
      <c r="H729" s="34">
        <v>18.779</v>
      </c>
      <c r="I729" s="33" t="s">
        <v>85</v>
      </c>
      <c r="J729" s="33" t="s">
        <v>90</v>
      </c>
      <c r="K729" s="33">
        <v>20.8</v>
      </c>
      <c r="L729" s="33">
        <v>1010.9</v>
      </c>
      <c r="M729" s="33">
        <v>71</v>
      </c>
      <c r="N729" s="33"/>
      <c r="O729" s="93">
        <f>IFERROR(IF(Readings[[#This Row],[Obs. X]]="","-",Readings[[#This Row],[Obs. X]]-_xlfn.XLOOKUP(Readings[[#This Row],[Sensor ID]],Table_Baseline[Sensor ID],Table_Baseline[Easting '[m']],"-")),"-")</f>
        <v>0</v>
      </c>
      <c r="P729" s="93">
        <f>IFERROR(IF(Readings[[#This Row],[Obs. Y]]="","-",Readings[[#This Row],[Obs. Y]]-_xlfn.XLOOKUP(Readings[[#This Row],[Sensor ID]],Table_Baseline[Sensor ID],Table_Baseline[Northing '[m']],"-")),"-")</f>
        <v>0</v>
      </c>
      <c r="Q729" s="93">
        <f>IFERROR(IF(Readings[[#This Row],[Obs. Z]]="","-",Readings[[#This Row],[Obs. Z]]-_xlfn.XLOOKUP(Readings[[#This Row],[Sensor ID]],Table_Baseline[Sensor ID],Table_Baseline[Level '[m']],"-")),"-")</f>
        <v>9.0000000000145519E-4</v>
      </c>
      <c r="R729" s="93">
        <f>IFERROR(IF(Readings[[#This Row],[Reference Angle]]="-","-",(Readings[[#This Row],[Diff E]]*COS(RADIANS(Readings[[#This Row],[Reference Angle]]))-Readings[[#This Row],[Diff N]]*SIN(RADIANS(Readings[[#This Row],[Reference Angle]])))),"-")</f>
        <v>0</v>
      </c>
      <c r="S729" s="93">
        <f>IFERROR(IF(Readings[[#This Row],[Reference Angle]]="-","-",(Readings[[#This Row],[Diff E]]*SIN(RADIANS(Readings[[#This Row],[Reference Angle]]))+Readings[[#This Row],[Diff N]]*COS(RADIANS(Readings[[#This Row],[Reference Angle]])))),"-")</f>
        <v>0</v>
      </c>
      <c r="T729" s="94">
        <f>IFERROR(VLOOKUP(Readings[[#This Row],[Sensor ID]],Table_Baseline[],COLUMNS(Table_Baseline[[#Headers],[Sensor ID]:[Reference Angle '[Deg']]]),FALSE),"-")</f>
        <v>0</v>
      </c>
      <c r="U729" s="95" t="str">
        <f>Readings[[#This Row],[Sensor ID]]&amp;"-"&amp;Readings[[#This Row],[Epoch]]</f>
        <v>250-RL-OP-11002-45813.2847222222</v>
      </c>
      <c r="V729" s="99">
        <f ca="1">IF(Readings[[#This Row],[Epoch]]=OFFSET(Readings[[#This Row],[Epoch]],-1,0),0,1)</f>
        <v>0</v>
      </c>
    </row>
    <row r="730" spans="4:22" x14ac:dyDescent="0.2">
      <c r="D730" s="32">
        <v>45813.284722222219</v>
      </c>
      <c r="E730" s="33" t="s">
        <v>174</v>
      </c>
      <c r="F730" s="34">
        <v>60038.116999999998</v>
      </c>
      <c r="G730" s="34">
        <v>363844.94500000001</v>
      </c>
      <c r="H730" s="34">
        <v>18.779</v>
      </c>
      <c r="I730" s="33" t="s">
        <v>85</v>
      </c>
      <c r="J730" s="33" t="s">
        <v>90</v>
      </c>
      <c r="K730" s="33">
        <v>20.8</v>
      </c>
      <c r="L730" s="33">
        <v>1010.9</v>
      </c>
      <c r="M730" s="33">
        <v>71</v>
      </c>
      <c r="N730" s="33"/>
      <c r="O730" s="93">
        <f>IFERROR(IF(Readings[[#This Row],[Obs. X]]="","-",Readings[[#This Row],[Obs. X]]-_xlfn.XLOOKUP(Readings[[#This Row],[Sensor ID]],Table_Baseline[Sensor ID],Table_Baseline[Easting '[m']],"-")),"-")</f>
        <v>-1.0000000038417056E-3</v>
      </c>
      <c r="P730" s="93">
        <f>IFERROR(IF(Readings[[#This Row],[Obs. Y]]="","-",Readings[[#This Row],[Obs. Y]]-_xlfn.XLOOKUP(Readings[[#This Row],[Sensor ID]],Table_Baseline[Sensor ID],Table_Baseline[Northing '[m']],"-")),"-")</f>
        <v>0</v>
      </c>
      <c r="Q730" s="93">
        <f>IFERROR(IF(Readings[[#This Row],[Obs. Z]]="","-",Readings[[#This Row],[Obs. Z]]-_xlfn.XLOOKUP(Readings[[#This Row],[Sensor ID]],Table_Baseline[Sensor ID],Table_Baseline[Level '[m']],"-")),"-")</f>
        <v>1.9999999999953388E-4</v>
      </c>
      <c r="R730" s="93">
        <f>IFERROR(IF(Readings[[#This Row],[Reference Angle]]="-","-",(Readings[[#This Row],[Diff E]]*COS(RADIANS(Readings[[#This Row],[Reference Angle]]))-Readings[[#This Row],[Diff N]]*SIN(RADIANS(Readings[[#This Row],[Reference Angle]])))),"-")</f>
        <v>-1.0000000038417056E-3</v>
      </c>
      <c r="S730" s="93">
        <f>IFERROR(IF(Readings[[#This Row],[Reference Angle]]="-","-",(Readings[[#This Row],[Diff E]]*SIN(RADIANS(Readings[[#This Row],[Reference Angle]]))+Readings[[#This Row],[Diff N]]*COS(RADIANS(Readings[[#This Row],[Reference Angle]])))),"-")</f>
        <v>0</v>
      </c>
      <c r="T730" s="94">
        <f>IFERROR(VLOOKUP(Readings[[#This Row],[Sensor ID]],Table_Baseline[],COLUMNS(Table_Baseline[[#Headers],[Sensor ID]:[Reference Angle '[Deg']]]),FALSE),"-")</f>
        <v>0</v>
      </c>
      <c r="U730" s="95" t="str">
        <f>Readings[[#This Row],[Sensor ID]]&amp;"-"&amp;Readings[[#This Row],[Epoch]]</f>
        <v>250-RL-OP-11003-45813.2847222222</v>
      </c>
      <c r="V730" s="99">
        <f ca="1">IF(Readings[[#This Row],[Epoch]]=OFFSET(Readings[[#This Row],[Epoch]],-1,0),0,1)</f>
        <v>0</v>
      </c>
    </row>
    <row r="731" spans="4:22" x14ac:dyDescent="0.2">
      <c r="D731" s="32">
        <v>45813.284722222219</v>
      </c>
      <c r="E731" s="33" t="s">
        <v>173</v>
      </c>
      <c r="F731" s="34">
        <v>60037.805</v>
      </c>
      <c r="G731" s="34">
        <v>363843.65700000001</v>
      </c>
      <c r="H731" s="34">
        <v>18.779</v>
      </c>
      <c r="I731" s="33" t="s">
        <v>85</v>
      </c>
      <c r="J731" s="33" t="s">
        <v>90</v>
      </c>
      <c r="K731" s="33">
        <v>20.8</v>
      </c>
      <c r="L731" s="33">
        <v>1010.9</v>
      </c>
      <c r="M731" s="33">
        <v>71</v>
      </c>
      <c r="N731" s="33"/>
      <c r="O731" s="93">
        <f>IFERROR(IF(Readings[[#This Row],[Obs. X]]="","-",Readings[[#This Row],[Obs. X]]-_xlfn.XLOOKUP(Readings[[#This Row],[Sensor ID]],Table_Baseline[Sensor ID],Table_Baseline[Easting '[m']],"-")),"-")</f>
        <v>0</v>
      </c>
      <c r="P731" s="93">
        <f>IFERROR(IF(Readings[[#This Row],[Obs. Y]]="","-",Readings[[#This Row],[Obs. Y]]-_xlfn.XLOOKUP(Readings[[#This Row],[Sensor ID]],Table_Baseline[Sensor ID],Table_Baseline[Northing '[m']],"-")),"-")</f>
        <v>0</v>
      </c>
      <c r="Q731" s="93">
        <f>IFERROR(IF(Readings[[#This Row],[Obs. Z]]="","-",Readings[[#This Row],[Obs. Z]]-_xlfn.XLOOKUP(Readings[[#This Row],[Sensor ID]],Table_Baseline[Sensor ID],Table_Baseline[Level '[m']],"-")),"-")</f>
        <v>4.9999999999883471E-4</v>
      </c>
      <c r="R731" s="93">
        <f>IFERROR(IF(Readings[[#This Row],[Reference Angle]]="-","-",(Readings[[#This Row],[Diff E]]*COS(RADIANS(Readings[[#This Row],[Reference Angle]]))-Readings[[#This Row],[Diff N]]*SIN(RADIANS(Readings[[#This Row],[Reference Angle]])))),"-")</f>
        <v>0</v>
      </c>
      <c r="S731" s="93">
        <f>IFERROR(IF(Readings[[#This Row],[Reference Angle]]="-","-",(Readings[[#This Row],[Diff E]]*SIN(RADIANS(Readings[[#This Row],[Reference Angle]]))+Readings[[#This Row],[Diff N]]*COS(RADIANS(Readings[[#This Row],[Reference Angle]])))),"-")</f>
        <v>0</v>
      </c>
      <c r="T731" s="94">
        <f>IFERROR(VLOOKUP(Readings[[#This Row],[Sensor ID]],Table_Baseline[],COLUMNS(Table_Baseline[[#Headers],[Sensor ID]:[Reference Angle '[Deg']]]),FALSE),"-")</f>
        <v>0</v>
      </c>
      <c r="U731" s="95" t="str">
        <f>Readings[[#This Row],[Sensor ID]]&amp;"-"&amp;Readings[[#This Row],[Epoch]]</f>
        <v>250-RL-OP-11004-45813.2847222222</v>
      </c>
      <c r="V731" s="99">
        <f ca="1">IF(Readings[[#This Row],[Epoch]]=OFFSET(Readings[[#This Row],[Epoch]],-1,0),0,1)</f>
        <v>0</v>
      </c>
    </row>
    <row r="732" spans="4:22" x14ac:dyDescent="0.2">
      <c r="D732" s="32">
        <v>45813.284722222219</v>
      </c>
      <c r="E732" s="33" t="s">
        <v>176</v>
      </c>
      <c r="F732" s="34">
        <v>60040.968000000001</v>
      </c>
      <c r="G732" s="34">
        <v>363844.11800000002</v>
      </c>
      <c r="H732" s="34">
        <v>18.779</v>
      </c>
      <c r="I732" s="33" t="s">
        <v>85</v>
      </c>
      <c r="J732" s="33" t="s">
        <v>90</v>
      </c>
      <c r="K732" s="33">
        <v>20.8</v>
      </c>
      <c r="L732" s="33">
        <v>1010.9</v>
      </c>
      <c r="M732" s="33">
        <v>71</v>
      </c>
      <c r="N732" s="33"/>
      <c r="O732" s="93">
        <f>IFERROR(IF(Readings[[#This Row],[Obs. X]]="","-",Readings[[#This Row],[Obs. X]]-_xlfn.XLOOKUP(Readings[[#This Row],[Sensor ID]],Table_Baseline[Sensor ID],Table_Baseline[Easting '[m']],"-")),"-")</f>
        <v>-9.9999999656574801E-4</v>
      </c>
      <c r="P732" s="93">
        <f>IFERROR(IF(Readings[[#This Row],[Obs. Y]]="","-",Readings[[#This Row],[Obs. Y]]-_xlfn.XLOOKUP(Readings[[#This Row],[Sensor ID]],Table_Baseline[Sensor ID],Table_Baseline[Northing '[m']],"-")),"-")</f>
        <v>0</v>
      </c>
      <c r="Q732" s="93">
        <f>IFERROR(IF(Readings[[#This Row],[Obs. Z]]="","-",Readings[[#This Row],[Obs. Z]]-_xlfn.XLOOKUP(Readings[[#This Row],[Sensor ID]],Table_Baseline[Sensor ID],Table_Baseline[Level '[m']],"-")),"-")</f>
        <v>0</v>
      </c>
      <c r="R732" s="93">
        <f>IFERROR(IF(Readings[[#This Row],[Reference Angle]]="-","-",(Readings[[#This Row],[Diff E]]*COS(RADIANS(Readings[[#This Row],[Reference Angle]]))-Readings[[#This Row],[Diff N]]*SIN(RADIANS(Readings[[#This Row],[Reference Angle]])))),"-")</f>
        <v>-9.9999999656574801E-4</v>
      </c>
      <c r="S732" s="93">
        <f>IFERROR(IF(Readings[[#This Row],[Reference Angle]]="-","-",(Readings[[#This Row],[Diff E]]*SIN(RADIANS(Readings[[#This Row],[Reference Angle]]))+Readings[[#This Row],[Diff N]]*COS(RADIANS(Readings[[#This Row],[Reference Angle]])))),"-")</f>
        <v>0</v>
      </c>
      <c r="T732" s="94">
        <f>IFERROR(VLOOKUP(Readings[[#This Row],[Sensor ID]],Table_Baseline[],COLUMNS(Table_Baseline[[#Headers],[Sensor ID]:[Reference Angle '[Deg']]]),FALSE),"-")</f>
        <v>0</v>
      </c>
      <c r="U732" s="95" t="str">
        <f>Readings[[#This Row],[Sensor ID]]&amp;"-"&amp;Readings[[#This Row],[Epoch]]</f>
        <v>250-RL-OP-11005-45813.2847222222</v>
      </c>
      <c r="V732" s="99">
        <f ca="1">IF(Readings[[#This Row],[Epoch]]=OFFSET(Readings[[#This Row],[Epoch]],-1,0),0,1)</f>
        <v>0</v>
      </c>
    </row>
    <row r="733" spans="4:22" x14ac:dyDescent="0.2">
      <c r="D733" s="32">
        <v>45813.284722222219</v>
      </c>
      <c r="E733" s="33" t="s">
        <v>175</v>
      </c>
      <c r="F733" s="34">
        <v>60040.606</v>
      </c>
      <c r="G733" s="34">
        <v>363842.86199999996</v>
      </c>
      <c r="H733" s="34">
        <v>18.771999999999998</v>
      </c>
      <c r="I733" s="33" t="s">
        <v>85</v>
      </c>
      <c r="J733" s="33" t="s">
        <v>90</v>
      </c>
      <c r="K733" s="33">
        <v>20.8</v>
      </c>
      <c r="L733" s="33">
        <v>1010.9</v>
      </c>
      <c r="M733" s="33">
        <v>71</v>
      </c>
      <c r="N733" s="33"/>
      <c r="O733" s="93">
        <f>IFERROR(IF(Readings[[#This Row],[Obs. X]]="","-",Readings[[#This Row],[Obs. X]]-_xlfn.XLOOKUP(Readings[[#This Row],[Sensor ID]],Table_Baseline[Sensor ID],Table_Baseline[Easting '[m']],"-")),"-")</f>
        <v>-1.0000000038417056E-3</v>
      </c>
      <c r="P733" s="93">
        <f>IFERROR(IF(Readings[[#This Row],[Obs. Y]]="","-",Readings[[#This Row],[Obs. Y]]-_xlfn.XLOOKUP(Readings[[#This Row],[Sensor ID]],Table_Baseline[Sensor ID],Table_Baseline[Northing '[m']],"-")),"-")</f>
        <v>9.9999993108212948E-4</v>
      </c>
      <c r="Q733" s="93">
        <f>IFERROR(IF(Readings[[#This Row],[Obs. Z]]="","-",Readings[[#This Row],[Obs. Z]]-_xlfn.XLOOKUP(Readings[[#This Row],[Sensor ID]],Table_Baseline[Sensor ID],Table_Baseline[Level '[m']],"-")),"-")</f>
        <v>0</v>
      </c>
      <c r="R733" s="93">
        <f>IFERROR(IF(Readings[[#This Row],[Reference Angle]]="-","-",(Readings[[#This Row],[Diff E]]*COS(RADIANS(Readings[[#This Row],[Reference Angle]]))-Readings[[#This Row],[Diff N]]*SIN(RADIANS(Readings[[#This Row],[Reference Angle]])))),"-")</f>
        <v>-1.0000000038417056E-3</v>
      </c>
      <c r="S733" s="93">
        <f>IFERROR(IF(Readings[[#This Row],[Reference Angle]]="-","-",(Readings[[#This Row],[Diff E]]*SIN(RADIANS(Readings[[#This Row],[Reference Angle]]))+Readings[[#This Row],[Diff N]]*COS(RADIANS(Readings[[#This Row],[Reference Angle]])))),"-")</f>
        <v>9.9999993108212948E-4</v>
      </c>
      <c r="T733" s="94">
        <f>IFERROR(VLOOKUP(Readings[[#This Row],[Sensor ID]],Table_Baseline[],COLUMNS(Table_Baseline[[#Headers],[Sensor ID]:[Reference Angle '[Deg']]]),FALSE),"-")</f>
        <v>0</v>
      </c>
      <c r="U733" s="95" t="str">
        <f>Readings[[#This Row],[Sensor ID]]&amp;"-"&amp;Readings[[#This Row],[Epoch]]</f>
        <v>250-RL-OP-11006-45813.2847222222</v>
      </c>
      <c r="V733" s="99">
        <f ca="1">IF(Readings[[#This Row],[Epoch]]=OFFSET(Readings[[#This Row],[Epoch]],-1,0),0,1)</f>
        <v>0</v>
      </c>
    </row>
    <row r="734" spans="4:22" x14ac:dyDescent="0.2">
      <c r="D734" s="32">
        <v>45813.284722222219</v>
      </c>
      <c r="E734" s="33" t="s">
        <v>178</v>
      </c>
      <c r="F734" s="34">
        <v>60043.758000000002</v>
      </c>
      <c r="G734" s="34">
        <v>363843.315</v>
      </c>
      <c r="H734" s="34">
        <v>18.774000000000001</v>
      </c>
      <c r="I734" s="33" t="s">
        <v>85</v>
      </c>
      <c r="J734" s="33" t="s">
        <v>90</v>
      </c>
      <c r="K734" s="33">
        <v>20.8</v>
      </c>
      <c r="L734" s="33">
        <v>1010.9</v>
      </c>
      <c r="M734" s="33">
        <v>71</v>
      </c>
      <c r="N734" s="33"/>
      <c r="O734" s="93">
        <f>IFERROR(IF(Readings[[#This Row],[Obs. X]]="","-",Readings[[#This Row],[Obs. X]]-_xlfn.XLOOKUP(Readings[[#This Row],[Sensor ID]],Table_Baseline[Sensor ID],Table_Baseline[Easting '[m']],"-")),"-")</f>
        <v>-9.9999999656574801E-4</v>
      </c>
      <c r="P734" s="93">
        <f>IFERROR(IF(Readings[[#This Row],[Obs. Y]]="","-",Readings[[#This Row],[Obs. Y]]-_xlfn.XLOOKUP(Readings[[#This Row],[Sensor ID]],Table_Baseline[Sensor ID],Table_Baseline[Northing '[m']],"-")),"-")</f>
        <v>9.9999998928979039E-4</v>
      </c>
      <c r="Q734" s="93">
        <f>IFERROR(IF(Readings[[#This Row],[Obs. Z]]="","-",Readings[[#This Row],[Obs. Z]]-_xlfn.XLOOKUP(Readings[[#This Row],[Sensor ID]],Table_Baseline[Sensor ID],Table_Baseline[Level '[m']],"-")),"-")</f>
        <v>-9.9999999999766942E-5</v>
      </c>
      <c r="R734" s="93">
        <f>IFERROR(IF(Readings[[#This Row],[Reference Angle]]="-","-",(Readings[[#This Row],[Diff E]]*COS(RADIANS(Readings[[#This Row],[Reference Angle]]))-Readings[[#This Row],[Diff N]]*SIN(RADIANS(Readings[[#This Row],[Reference Angle]])))),"-")</f>
        <v>-9.9999999656574801E-4</v>
      </c>
      <c r="S734" s="93">
        <f>IFERROR(IF(Readings[[#This Row],[Reference Angle]]="-","-",(Readings[[#This Row],[Diff E]]*SIN(RADIANS(Readings[[#This Row],[Reference Angle]]))+Readings[[#This Row],[Diff N]]*COS(RADIANS(Readings[[#This Row],[Reference Angle]])))),"-")</f>
        <v>9.9999998928979039E-4</v>
      </c>
      <c r="T734" s="94">
        <f>IFERROR(VLOOKUP(Readings[[#This Row],[Sensor ID]],Table_Baseline[],COLUMNS(Table_Baseline[[#Headers],[Sensor ID]:[Reference Angle '[Deg']]]),FALSE),"-")</f>
        <v>0</v>
      </c>
      <c r="U734" s="95" t="str">
        <f>Readings[[#This Row],[Sensor ID]]&amp;"-"&amp;Readings[[#This Row],[Epoch]]</f>
        <v>250-RL-OP-11007-45813.2847222222</v>
      </c>
      <c r="V734" s="99">
        <f ca="1">IF(Readings[[#This Row],[Epoch]]=OFFSET(Readings[[#This Row],[Epoch]],-1,0),0,1)</f>
        <v>0</v>
      </c>
    </row>
    <row r="735" spans="4:22" x14ac:dyDescent="0.2">
      <c r="D735" s="32">
        <v>45813.284722222219</v>
      </c>
      <c r="E735" s="33" t="s">
        <v>177</v>
      </c>
      <c r="F735" s="34">
        <v>60043.440999999999</v>
      </c>
      <c r="G735" s="34">
        <v>363842.04099999997</v>
      </c>
      <c r="H735" s="34">
        <v>18.768999999999998</v>
      </c>
      <c r="I735" s="33" t="s">
        <v>85</v>
      </c>
      <c r="J735" s="33" t="s">
        <v>90</v>
      </c>
      <c r="K735" s="33">
        <v>20.8</v>
      </c>
      <c r="L735" s="33">
        <v>1010.9</v>
      </c>
      <c r="M735" s="33">
        <v>71</v>
      </c>
      <c r="N735" s="33"/>
      <c r="O735" s="93">
        <f>IFERROR(IF(Readings[[#This Row],[Obs. X]]="","-",Readings[[#This Row],[Obs. X]]-_xlfn.XLOOKUP(Readings[[#This Row],[Sensor ID]],Table_Baseline[Sensor ID],Table_Baseline[Easting '[m']],"-")),"-")</f>
        <v>0</v>
      </c>
      <c r="P735" s="93">
        <f>IFERROR(IF(Readings[[#This Row],[Obs. Y]]="","-",Readings[[#This Row],[Obs. Y]]-_xlfn.XLOOKUP(Readings[[#This Row],[Sensor ID]],Table_Baseline[Sensor ID],Table_Baseline[Northing '[m']],"-")),"-")</f>
        <v>9.9999993108212948E-4</v>
      </c>
      <c r="Q735" s="93">
        <f>IFERROR(IF(Readings[[#This Row],[Obs. Z]]="","-",Readings[[#This Row],[Obs. Z]]-_xlfn.XLOOKUP(Readings[[#This Row],[Sensor ID]],Table_Baseline[Sensor ID],Table_Baseline[Level '[m']],"-")),"-")</f>
        <v>6.9999999999836859E-4</v>
      </c>
      <c r="R735" s="93">
        <f>IFERROR(IF(Readings[[#This Row],[Reference Angle]]="-","-",(Readings[[#This Row],[Diff E]]*COS(RADIANS(Readings[[#This Row],[Reference Angle]]))-Readings[[#This Row],[Diff N]]*SIN(RADIANS(Readings[[#This Row],[Reference Angle]])))),"-")</f>
        <v>0</v>
      </c>
      <c r="S735" s="93">
        <f>IFERROR(IF(Readings[[#This Row],[Reference Angle]]="-","-",(Readings[[#This Row],[Diff E]]*SIN(RADIANS(Readings[[#This Row],[Reference Angle]]))+Readings[[#This Row],[Diff N]]*COS(RADIANS(Readings[[#This Row],[Reference Angle]])))),"-")</f>
        <v>9.9999993108212948E-4</v>
      </c>
      <c r="T735" s="94">
        <f>IFERROR(VLOOKUP(Readings[[#This Row],[Sensor ID]],Table_Baseline[],COLUMNS(Table_Baseline[[#Headers],[Sensor ID]:[Reference Angle '[Deg']]]),FALSE),"-")</f>
        <v>0</v>
      </c>
      <c r="U735" s="95" t="str">
        <f>Readings[[#This Row],[Sensor ID]]&amp;"-"&amp;Readings[[#This Row],[Epoch]]</f>
        <v>250-RL-OP-11008-45813.2847222222</v>
      </c>
      <c r="V735" s="99">
        <f ca="1">IF(Readings[[#This Row],[Epoch]]=OFFSET(Readings[[#This Row],[Epoch]],-1,0),0,1)</f>
        <v>0</v>
      </c>
    </row>
    <row r="736" spans="4:22" x14ac:dyDescent="0.2">
      <c r="D736" s="32">
        <v>45813.284722222219</v>
      </c>
      <c r="E736" s="33" t="s">
        <v>180</v>
      </c>
      <c r="F736" s="34">
        <v>60046.633000000002</v>
      </c>
      <c r="G736" s="34">
        <v>363842.48600000003</v>
      </c>
      <c r="H736" s="34">
        <v>18.777999999999999</v>
      </c>
      <c r="I736" s="33" t="s">
        <v>85</v>
      </c>
      <c r="J736" s="33" t="s">
        <v>90</v>
      </c>
      <c r="K736" s="33">
        <v>20.8</v>
      </c>
      <c r="L736" s="33">
        <v>1010.9</v>
      </c>
      <c r="M736" s="33">
        <v>71</v>
      </c>
      <c r="N736" s="33"/>
      <c r="O736" s="93">
        <f>IFERROR(IF(Readings[[#This Row],[Obs. X]]="","-",Readings[[#This Row],[Obs. X]]-_xlfn.XLOOKUP(Readings[[#This Row],[Sensor ID]],Table_Baseline[Sensor ID],Table_Baseline[Easting '[m']],"-")),"-")</f>
        <v>0</v>
      </c>
      <c r="P736" s="93">
        <f>IFERROR(IF(Readings[[#This Row],[Obs. Y]]="","-",Readings[[#This Row],[Obs. Y]]-_xlfn.XLOOKUP(Readings[[#This Row],[Sensor ID]],Table_Baseline[Sensor ID],Table_Baseline[Northing '[m']],"-")),"-")</f>
        <v>1.0000000474974513E-3</v>
      </c>
      <c r="Q736" s="93">
        <f>IFERROR(IF(Readings[[#This Row],[Obs. Z]]="","-",Readings[[#This Row],[Obs. Z]]-_xlfn.XLOOKUP(Readings[[#This Row],[Sensor ID]],Table_Baseline[Sensor ID],Table_Baseline[Level '[m']],"-")),"-")</f>
        <v>3.9999999999906777E-4</v>
      </c>
      <c r="R736" s="93">
        <f>IFERROR(IF(Readings[[#This Row],[Reference Angle]]="-","-",(Readings[[#This Row],[Diff E]]*COS(RADIANS(Readings[[#This Row],[Reference Angle]]))-Readings[[#This Row],[Diff N]]*SIN(RADIANS(Readings[[#This Row],[Reference Angle]])))),"-")</f>
        <v>0</v>
      </c>
      <c r="S736" s="93">
        <f>IFERROR(IF(Readings[[#This Row],[Reference Angle]]="-","-",(Readings[[#This Row],[Diff E]]*SIN(RADIANS(Readings[[#This Row],[Reference Angle]]))+Readings[[#This Row],[Diff N]]*COS(RADIANS(Readings[[#This Row],[Reference Angle]])))),"-")</f>
        <v>1.0000000474974513E-3</v>
      </c>
      <c r="T736" s="94">
        <f>IFERROR(VLOOKUP(Readings[[#This Row],[Sensor ID]],Table_Baseline[],COLUMNS(Table_Baseline[[#Headers],[Sensor ID]:[Reference Angle '[Deg']]]),FALSE),"-")</f>
        <v>0</v>
      </c>
      <c r="U736" s="95" t="str">
        <f>Readings[[#This Row],[Sensor ID]]&amp;"-"&amp;Readings[[#This Row],[Epoch]]</f>
        <v>250-RL-OP-11009-45813.2847222222</v>
      </c>
      <c r="V736" s="99">
        <f ca="1">IF(Readings[[#This Row],[Epoch]]=OFFSET(Readings[[#This Row],[Epoch]],-1,0),0,1)</f>
        <v>0</v>
      </c>
    </row>
    <row r="737" spans="4:22" x14ac:dyDescent="0.2">
      <c r="D737" s="32">
        <v>45813.284722222219</v>
      </c>
      <c r="E737" s="33" t="s">
        <v>179</v>
      </c>
      <c r="F737" s="34">
        <v>60046.25</v>
      </c>
      <c r="G737" s="34">
        <v>363841.22700000001</v>
      </c>
      <c r="H737" s="34">
        <v>18.77</v>
      </c>
      <c r="I737" s="33" t="s">
        <v>85</v>
      </c>
      <c r="J737" s="33" t="s">
        <v>90</v>
      </c>
      <c r="K737" s="33">
        <v>20.8</v>
      </c>
      <c r="L737" s="33">
        <v>1010.9</v>
      </c>
      <c r="M737" s="33">
        <v>71</v>
      </c>
      <c r="N737" s="33"/>
      <c r="O737" s="93">
        <f>IFERROR(IF(Readings[[#This Row],[Obs. X]]="","-",Readings[[#This Row],[Obs. X]]-_xlfn.XLOOKUP(Readings[[#This Row],[Sensor ID]],Table_Baseline[Sensor ID],Table_Baseline[Easting '[m']],"-")),"-")</f>
        <v>0</v>
      </c>
      <c r="P737" s="93">
        <f>IFERROR(IF(Readings[[#This Row],[Obs. Y]]="","-",Readings[[#This Row],[Obs. Y]]-_xlfn.XLOOKUP(Readings[[#This Row],[Sensor ID]],Table_Baseline[Sensor ID],Table_Baseline[Northing '[m']],"-")),"-")</f>
        <v>9.9999998928979039E-4</v>
      </c>
      <c r="Q737" s="93">
        <f>IFERROR(IF(Readings[[#This Row],[Obs. Z]]="","-",Readings[[#This Row],[Obs. Z]]-_xlfn.XLOOKUP(Readings[[#This Row],[Sensor ID]],Table_Baseline[Sensor ID],Table_Baseline[Level '[m']],"-")),"-")</f>
        <v>1.9999999999953388E-4</v>
      </c>
      <c r="R737" s="93">
        <f>IFERROR(IF(Readings[[#This Row],[Reference Angle]]="-","-",(Readings[[#This Row],[Diff E]]*COS(RADIANS(Readings[[#This Row],[Reference Angle]]))-Readings[[#This Row],[Diff N]]*SIN(RADIANS(Readings[[#This Row],[Reference Angle]])))),"-")</f>
        <v>0</v>
      </c>
      <c r="S737" s="93">
        <f>IFERROR(IF(Readings[[#This Row],[Reference Angle]]="-","-",(Readings[[#This Row],[Diff E]]*SIN(RADIANS(Readings[[#This Row],[Reference Angle]]))+Readings[[#This Row],[Diff N]]*COS(RADIANS(Readings[[#This Row],[Reference Angle]])))),"-")</f>
        <v>9.9999998928979039E-4</v>
      </c>
      <c r="T737" s="94">
        <f>IFERROR(VLOOKUP(Readings[[#This Row],[Sensor ID]],Table_Baseline[],COLUMNS(Table_Baseline[[#Headers],[Sensor ID]:[Reference Angle '[Deg']]]),FALSE),"-")</f>
        <v>0</v>
      </c>
      <c r="U737" s="95" t="str">
        <f>Readings[[#This Row],[Sensor ID]]&amp;"-"&amp;Readings[[#This Row],[Epoch]]</f>
        <v>250-RL-OP-11010-45813.2847222222</v>
      </c>
      <c r="V737" s="99">
        <f ca="1">IF(Readings[[#This Row],[Epoch]]=OFFSET(Readings[[#This Row],[Epoch]],-1,0),0,1)</f>
        <v>0</v>
      </c>
    </row>
    <row r="738" spans="4:22" x14ac:dyDescent="0.2">
      <c r="D738" s="32">
        <v>45813.284722222219</v>
      </c>
      <c r="E738" s="33" t="s">
        <v>182</v>
      </c>
      <c r="F738" s="34">
        <v>60049.398999999998</v>
      </c>
      <c r="G738" s="34">
        <v>363841.69900000002</v>
      </c>
      <c r="H738" s="34">
        <v>18.777999999999999</v>
      </c>
      <c r="I738" s="33" t="s">
        <v>85</v>
      </c>
      <c r="J738" s="33" t="s">
        <v>90</v>
      </c>
      <c r="K738" s="33">
        <v>20.8</v>
      </c>
      <c r="L738" s="33">
        <v>1010.9</v>
      </c>
      <c r="M738" s="33">
        <v>71</v>
      </c>
      <c r="N738" s="33"/>
      <c r="O738" s="93">
        <f>IFERROR(IF(Readings[[#This Row],[Obs. X]]="","-",Readings[[#This Row],[Obs. X]]-_xlfn.XLOOKUP(Readings[[#This Row],[Sensor ID]],Table_Baseline[Sensor ID],Table_Baseline[Easting '[m']],"-")),"-")</f>
        <v>0</v>
      </c>
      <c r="P738" s="93">
        <f>IFERROR(IF(Readings[[#This Row],[Obs. Y]]="","-",Readings[[#This Row],[Obs. Y]]-_xlfn.XLOOKUP(Readings[[#This Row],[Sensor ID]],Table_Baseline[Sensor ID],Table_Baseline[Northing '[m']],"-")),"-")</f>
        <v>1.0000000474974513E-3</v>
      </c>
      <c r="Q738" s="93">
        <f>IFERROR(IF(Readings[[#This Row],[Obs. Z]]="","-",Readings[[#This Row],[Obs. Z]]-_xlfn.XLOOKUP(Readings[[#This Row],[Sensor ID]],Table_Baseline[Sensor ID],Table_Baseline[Level '[m']],"-")),"-")</f>
        <v>0</v>
      </c>
      <c r="R738" s="93">
        <f>IFERROR(IF(Readings[[#This Row],[Reference Angle]]="-","-",(Readings[[#This Row],[Diff E]]*COS(RADIANS(Readings[[#This Row],[Reference Angle]]))-Readings[[#This Row],[Diff N]]*SIN(RADIANS(Readings[[#This Row],[Reference Angle]])))),"-")</f>
        <v>0</v>
      </c>
      <c r="S738" s="93">
        <f>IFERROR(IF(Readings[[#This Row],[Reference Angle]]="-","-",(Readings[[#This Row],[Diff E]]*SIN(RADIANS(Readings[[#This Row],[Reference Angle]]))+Readings[[#This Row],[Diff N]]*COS(RADIANS(Readings[[#This Row],[Reference Angle]])))),"-")</f>
        <v>1.0000000474974513E-3</v>
      </c>
      <c r="T738" s="94">
        <f>IFERROR(VLOOKUP(Readings[[#This Row],[Sensor ID]],Table_Baseline[],COLUMNS(Table_Baseline[[#Headers],[Sensor ID]:[Reference Angle '[Deg']]]),FALSE),"-")</f>
        <v>0</v>
      </c>
      <c r="U738" s="95" t="str">
        <f>Readings[[#This Row],[Sensor ID]]&amp;"-"&amp;Readings[[#This Row],[Epoch]]</f>
        <v>250-RL-OP-11011-45813.2847222222</v>
      </c>
      <c r="V738" s="99">
        <f ca="1">IF(Readings[[#This Row],[Epoch]]=OFFSET(Readings[[#This Row],[Epoch]],-1,0),0,1)</f>
        <v>0</v>
      </c>
    </row>
    <row r="739" spans="4:22" x14ac:dyDescent="0.2">
      <c r="D739" s="32">
        <v>45813.284722222219</v>
      </c>
      <c r="E739" s="33" t="s">
        <v>181</v>
      </c>
      <c r="F739" s="34">
        <v>60049.040999999997</v>
      </c>
      <c r="G739" s="34">
        <v>363840.435</v>
      </c>
      <c r="H739" s="34">
        <v>18.771000000000001</v>
      </c>
      <c r="I739" s="33" t="s">
        <v>85</v>
      </c>
      <c r="J739" s="33" t="s">
        <v>90</v>
      </c>
      <c r="K739" s="33">
        <v>20.8</v>
      </c>
      <c r="L739" s="33">
        <v>1010.9</v>
      </c>
      <c r="M739" s="33">
        <v>71</v>
      </c>
      <c r="N739" s="33"/>
      <c r="O739" s="93">
        <f>IFERROR(IF(Readings[[#This Row],[Obs. X]]="","-",Readings[[#This Row],[Obs. X]]-_xlfn.XLOOKUP(Readings[[#This Row],[Sensor ID]],Table_Baseline[Sensor ID],Table_Baseline[Easting '[m']],"-")),"-")</f>
        <v>0</v>
      </c>
      <c r="P739" s="93">
        <f>IFERROR(IF(Readings[[#This Row],[Obs. Y]]="","-",Readings[[#This Row],[Obs. Y]]-_xlfn.XLOOKUP(Readings[[#This Row],[Sensor ID]],Table_Baseline[Sensor ID],Table_Baseline[Northing '[m']],"-")),"-")</f>
        <v>2.0000000367872417E-3</v>
      </c>
      <c r="Q739" s="93">
        <f>IFERROR(IF(Readings[[#This Row],[Obs. Z]]="","-",Readings[[#This Row],[Obs. Z]]-_xlfn.XLOOKUP(Readings[[#This Row],[Sensor ID]],Table_Baseline[Sensor ID],Table_Baseline[Level '[m']],"-")),"-")</f>
        <v>-9.9999999999766942E-5</v>
      </c>
      <c r="R739" s="93">
        <f>IFERROR(IF(Readings[[#This Row],[Reference Angle]]="-","-",(Readings[[#This Row],[Diff E]]*COS(RADIANS(Readings[[#This Row],[Reference Angle]]))-Readings[[#This Row],[Diff N]]*SIN(RADIANS(Readings[[#This Row],[Reference Angle]])))),"-")</f>
        <v>0</v>
      </c>
      <c r="S739" s="93">
        <f>IFERROR(IF(Readings[[#This Row],[Reference Angle]]="-","-",(Readings[[#This Row],[Diff E]]*SIN(RADIANS(Readings[[#This Row],[Reference Angle]]))+Readings[[#This Row],[Diff N]]*COS(RADIANS(Readings[[#This Row],[Reference Angle]])))),"-")</f>
        <v>2.0000000367872417E-3</v>
      </c>
      <c r="T739" s="94">
        <f>IFERROR(VLOOKUP(Readings[[#This Row],[Sensor ID]],Table_Baseline[],COLUMNS(Table_Baseline[[#Headers],[Sensor ID]:[Reference Angle '[Deg']]]),FALSE),"-")</f>
        <v>0</v>
      </c>
      <c r="U739" s="95" t="str">
        <f>Readings[[#This Row],[Sensor ID]]&amp;"-"&amp;Readings[[#This Row],[Epoch]]</f>
        <v>250-RL-OP-11012-45813.2847222222</v>
      </c>
      <c r="V739" s="99">
        <f ca="1">IF(Readings[[#This Row],[Epoch]]=OFFSET(Readings[[#This Row],[Epoch]],-1,0),0,1)</f>
        <v>0</v>
      </c>
    </row>
    <row r="740" spans="4:22" x14ac:dyDescent="0.2">
      <c r="D740" s="32">
        <v>45813.284722222219</v>
      </c>
      <c r="E740" s="33" t="s">
        <v>184</v>
      </c>
      <c r="F740" s="34">
        <v>60052.292999999998</v>
      </c>
      <c r="G740" s="34">
        <v>363840.88699999999</v>
      </c>
      <c r="H740" s="34">
        <v>18.779</v>
      </c>
      <c r="I740" s="33" t="s">
        <v>85</v>
      </c>
      <c r="J740" s="33" t="s">
        <v>90</v>
      </c>
      <c r="K740" s="33">
        <v>20.8</v>
      </c>
      <c r="L740" s="33">
        <v>1010.9</v>
      </c>
      <c r="M740" s="33">
        <v>71</v>
      </c>
      <c r="N740" s="33"/>
      <c r="O740" s="93">
        <f>IFERROR(IF(Readings[[#This Row],[Obs. X]]="","-",Readings[[#This Row],[Obs. X]]-_xlfn.XLOOKUP(Readings[[#This Row],[Sensor ID]],Table_Baseline[Sensor ID],Table_Baseline[Easting '[m']],"-")),"-")</f>
        <v>0</v>
      </c>
      <c r="P740" s="93">
        <f>IFERROR(IF(Readings[[#This Row],[Obs. Y]]="","-",Readings[[#This Row],[Obs. Y]]-_xlfn.XLOOKUP(Readings[[#This Row],[Sensor ID]],Table_Baseline[Sensor ID],Table_Baseline[Northing '[m']],"-")),"-")</f>
        <v>1.9999999785795808E-3</v>
      </c>
      <c r="Q740" s="93">
        <f>IFERROR(IF(Readings[[#This Row],[Obs. Z]]="","-",Readings[[#This Row],[Obs. Z]]-_xlfn.XLOOKUP(Readings[[#This Row],[Sensor ID]],Table_Baseline[Sensor ID],Table_Baseline[Level '[m']],"-")),"-")</f>
        <v>0</v>
      </c>
      <c r="R740" s="93">
        <f>IFERROR(IF(Readings[[#This Row],[Reference Angle]]="-","-",(Readings[[#This Row],[Diff E]]*COS(RADIANS(Readings[[#This Row],[Reference Angle]]))-Readings[[#This Row],[Diff N]]*SIN(RADIANS(Readings[[#This Row],[Reference Angle]])))),"-")</f>
        <v>0</v>
      </c>
      <c r="S740" s="93">
        <f>IFERROR(IF(Readings[[#This Row],[Reference Angle]]="-","-",(Readings[[#This Row],[Diff E]]*SIN(RADIANS(Readings[[#This Row],[Reference Angle]]))+Readings[[#This Row],[Diff N]]*COS(RADIANS(Readings[[#This Row],[Reference Angle]])))),"-")</f>
        <v>1.9999999785795808E-3</v>
      </c>
      <c r="T740" s="94">
        <f>IFERROR(VLOOKUP(Readings[[#This Row],[Sensor ID]],Table_Baseline[],COLUMNS(Table_Baseline[[#Headers],[Sensor ID]:[Reference Angle '[Deg']]]),FALSE),"-")</f>
        <v>0</v>
      </c>
      <c r="U740" s="95" t="str">
        <f>Readings[[#This Row],[Sensor ID]]&amp;"-"&amp;Readings[[#This Row],[Epoch]]</f>
        <v>250-RL-OP-11013-45813.2847222222</v>
      </c>
      <c r="V740" s="99">
        <f ca="1">IF(Readings[[#This Row],[Epoch]]=OFFSET(Readings[[#This Row],[Epoch]],-1,0),0,1)</f>
        <v>0</v>
      </c>
    </row>
    <row r="741" spans="4:22" x14ac:dyDescent="0.2">
      <c r="D741" s="32">
        <v>45813.284722222219</v>
      </c>
      <c r="E741" s="33" t="s">
        <v>183</v>
      </c>
      <c r="F741" s="34">
        <v>60051.989000000001</v>
      </c>
      <c r="G741" s="34">
        <v>363839.60600000003</v>
      </c>
      <c r="H741" s="34">
        <v>18.77</v>
      </c>
      <c r="I741" s="33" t="s">
        <v>85</v>
      </c>
      <c r="J741" s="33" t="s">
        <v>90</v>
      </c>
      <c r="K741" s="33">
        <v>20.8</v>
      </c>
      <c r="L741" s="33">
        <v>1010.9</v>
      </c>
      <c r="M741" s="33">
        <v>71</v>
      </c>
      <c r="N741" s="33"/>
      <c r="O741" s="93">
        <f>IFERROR(IF(Readings[[#This Row],[Obs. X]]="","-",Readings[[#This Row],[Obs. X]]-_xlfn.XLOOKUP(Readings[[#This Row],[Sensor ID]],Table_Baseline[Sensor ID],Table_Baseline[Easting '[m']],"-")),"-")</f>
        <v>0</v>
      </c>
      <c r="P741" s="93">
        <f>IFERROR(IF(Readings[[#This Row],[Obs. Y]]="","-",Readings[[#This Row],[Obs. Y]]-_xlfn.XLOOKUP(Readings[[#This Row],[Sensor ID]],Table_Baseline[Sensor ID],Table_Baseline[Northing '[m']],"-")),"-")</f>
        <v>3.0000000260770321E-3</v>
      </c>
      <c r="Q741" s="93">
        <f>IFERROR(IF(Readings[[#This Row],[Obs. Z]]="","-",Readings[[#This Row],[Obs. Z]]-_xlfn.XLOOKUP(Readings[[#This Row],[Sensor ID]],Table_Baseline[Sensor ID],Table_Baseline[Level '[m']],"-")),"-")</f>
        <v>-9.9999999999766942E-5</v>
      </c>
      <c r="R741" s="93">
        <f>IFERROR(IF(Readings[[#This Row],[Reference Angle]]="-","-",(Readings[[#This Row],[Diff E]]*COS(RADIANS(Readings[[#This Row],[Reference Angle]]))-Readings[[#This Row],[Diff N]]*SIN(RADIANS(Readings[[#This Row],[Reference Angle]])))),"-")</f>
        <v>0</v>
      </c>
      <c r="S741" s="93">
        <f>IFERROR(IF(Readings[[#This Row],[Reference Angle]]="-","-",(Readings[[#This Row],[Diff E]]*SIN(RADIANS(Readings[[#This Row],[Reference Angle]]))+Readings[[#This Row],[Diff N]]*COS(RADIANS(Readings[[#This Row],[Reference Angle]])))),"-")</f>
        <v>3.0000000260770321E-3</v>
      </c>
      <c r="T741" s="94">
        <f>IFERROR(VLOOKUP(Readings[[#This Row],[Sensor ID]],Table_Baseline[],COLUMNS(Table_Baseline[[#Headers],[Sensor ID]:[Reference Angle '[Deg']]]),FALSE),"-")</f>
        <v>0</v>
      </c>
      <c r="U741" s="95" t="str">
        <f>Readings[[#This Row],[Sensor ID]]&amp;"-"&amp;Readings[[#This Row],[Epoch]]</f>
        <v>250-RL-OP-11014-45813.2847222222</v>
      </c>
      <c r="V741" s="99">
        <f ca="1">IF(Readings[[#This Row],[Epoch]]=OFFSET(Readings[[#This Row],[Epoch]],-1,0),0,1)</f>
        <v>0</v>
      </c>
    </row>
    <row r="742" spans="4:22" x14ac:dyDescent="0.2">
      <c r="D742" s="32">
        <v>45813.284722222219</v>
      </c>
      <c r="E742" s="33" t="s">
        <v>186</v>
      </c>
      <c r="F742" s="34">
        <v>60055.196000000004</v>
      </c>
      <c r="G742" s="34">
        <v>363840.09700000001</v>
      </c>
      <c r="H742" s="34">
        <v>18.780999999999999</v>
      </c>
      <c r="I742" s="33" t="s">
        <v>85</v>
      </c>
      <c r="J742" s="33" t="s">
        <v>90</v>
      </c>
      <c r="K742" s="33">
        <v>20.8</v>
      </c>
      <c r="L742" s="33">
        <v>1010.9</v>
      </c>
      <c r="M742" s="33">
        <v>71</v>
      </c>
      <c r="N742" s="33"/>
      <c r="O742" s="93">
        <f>IFERROR(IF(Readings[[#This Row],[Obs. X]]="","-",Readings[[#This Row],[Obs. X]]-_xlfn.XLOOKUP(Readings[[#This Row],[Sensor ID]],Table_Baseline[Sensor ID],Table_Baseline[Easting '[m']],"-")),"-")</f>
        <v>0</v>
      </c>
      <c r="P742" s="93">
        <f>IFERROR(IF(Readings[[#This Row],[Obs. Y]]="","-",Readings[[#This Row],[Obs. Y]]-_xlfn.XLOOKUP(Readings[[#This Row],[Sensor ID]],Table_Baseline[Sensor ID],Table_Baseline[Northing '[m']],"-")),"-")</f>
        <v>2.0000000367872417E-3</v>
      </c>
      <c r="Q742" s="93">
        <f>IFERROR(IF(Readings[[#This Row],[Obs. Z]]="","-",Readings[[#This Row],[Obs. Z]]-_xlfn.XLOOKUP(Readings[[#This Row],[Sensor ID]],Table_Baseline[Sensor ID],Table_Baseline[Level '[m']],"-")),"-")</f>
        <v>9.9999999999766942E-5</v>
      </c>
      <c r="R742" s="93">
        <f>IFERROR(IF(Readings[[#This Row],[Reference Angle]]="-","-",(Readings[[#This Row],[Diff E]]*COS(RADIANS(Readings[[#This Row],[Reference Angle]]))-Readings[[#This Row],[Diff N]]*SIN(RADIANS(Readings[[#This Row],[Reference Angle]])))),"-")</f>
        <v>0</v>
      </c>
      <c r="S742" s="93">
        <f>IFERROR(IF(Readings[[#This Row],[Reference Angle]]="-","-",(Readings[[#This Row],[Diff E]]*SIN(RADIANS(Readings[[#This Row],[Reference Angle]]))+Readings[[#This Row],[Diff N]]*COS(RADIANS(Readings[[#This Row],[Reference Angle]])))),"-")</f>
        <v>2.0000000367872417E-3</v>
      </c>
      <c r="T742" s="94">
        <f>IFERROR(VLOOKUP(Readings[[#This Row],[Sensor ID]],Table_Baseline[],COLUMNS(Table_Baseline[[#Headers],[Sensor ID]:[Reference Angle '[Deg']]]),FALSE),"-")</f>
        <v>0</v>
      </c>
      <c r="U742" s="95" t="str">
        <f>Readings[[#This Row],[Sensor ID]]&amp;"-"&amp;Readings[[#This Row],[Epoch]]</f>
        <v>250-RL-OP-11015-45813.2847222222</v>
      </c>
      <c r="V742" s="99">
        <f ca="1">IF(Readings[[#This Row],[Epoch]]=OFFSET(Readings[[#This Row],[Epoch]],-1,0),0,1)</f>
        <v>0</v>
      </c>
    </row>
    <row r="743" spans="4:22" x14ac:dyDescent="0.2">
      <c r="D743" s="32">
        <v>45813.284722222219</v>
      </c>
      <c r="E743" s="33" t="s">
        <v>185</v>
      </c>
      <c r="F743" s="34">
        <v>60054.885000000002</v>
      </c>
      <c r="G743" s="34">
        <v>363838.80700000003</v>
      </c>
      <c r="H743" s="34">
        <v>18.773</v>
      </c>
      <c r="I743" s="33" t="s">
        <v>85</v>
      </c>
      <c r="J743" s="33" t="s">
        <v>90</v>
      </c>
      <c r="K743" s="33">
        <v>20.8</v>
      </c>
      <c r="L743" s="33">
        <v>1010.9</v>
      </c>
      <c r="M743" s="33">
        <v>71</v>
      </c>
      <c r="N743" s="33"/>
      <c r="O743" s="93">
        <f>IFERROR(IF(Readings[[#This Row],[Obs. X]]="","-",Readings[[#This Row],[Obs. X]]-_xlfn.XLOOKUP(Readings[[#This Row],[Sensor ID]],Table_Baseline[Sensor ID],Table_Baseline[Easting '[m']],"-")),"-")</f>
        <v>-9.9999999656574801E-4</v>
      </c>
      <c r="P743" s="93">
        <f>IFERROR(IF(Readings[[#This Row],[Obs. Y]]="","-",Readings[[#This Row],[Obs. Y]]-_xlfn.XLOOKUP(Readings[[#This Row],[Sensor ID]],Table_Baseline[Sensor ID],Table_Baseline[Northing '[m']],"-")),"-")</f>
        <v>2.0000000367872417E-3</v>
      </c>
      <c r="Q743" s="93">
        <f>IFERROR(IF(Readings[[#This Row],[Obs. Z]]="","-",Readings[[#This Row],[Obs. Z]]-_xlfn.XLOOKUP(Readings[[#This Row],[Sensor ID]],Table_Baseline[Sensor ID],Table_Baseline[Level '[m']],"-")),"-")</f>
        <v>-9.9999999999766942E-5</v>
      </c>
      <c r="R743" s="93">
        <f>IFERROR(IF(Readings[[#This Row],[Reference Angle]]="-","-",(Readings[[#This Row],[Diff E]]*COS(RADIANS(Readings[[#This Row],[Reference Angle]]))-Readings[[#This Row],[Diff N]]*SIN(RADIANS(Readings[[#This Row],[Reference Angle]])))),"-")</f>
        <v>-9.9999999656574801E-4</v>
      </c>
      <c r="S743" s="93">
        <f>IFERROR(IF(Readings[[#This Row],[Reference Angle]]="-","-",(Readings[[#This Row],[Diff E]]*SIN(RADIANS(Readings[[#This Row],[Reference Angle]]))+Readings[[#This Row],[Diff N]]*COS(RADIANS(Readings[[#This Row],[Reference Angle]])))),"-")</f>
        <v>2.0000000367872417E-3</v>
      </c>
      <c r="T743" s="94">
        <f>IFERROR(VLOOKUP(Readings[[#This Row],[Sensor ID]],Table_Baseline[],COLUMNS(Table_Baseline[[#Headers],[Sensor ID]:[Reference Angle '[Deg']]]),FALSE),"-")</f>
        <v>0</v>
      </c>
      <c r="U743" s="95" t="str">
        <f>Readings[[#This Row],[Sensor ID]]&amp;"-"&amp;Readings[[#This Row],[Epoch]]</f>
        <v>250-RL-OP-11016-45813.2847222222</v>
      </c>
      <c r="V743" s="99">
        <f ca="1">IF(Readings[[#This Row],[Epoch]]=OFFSET(Readings[[#This Row],[Epoch]],-1,0),0,1)</f>
        <v>0</v>
      </c>
    </row>
    <row r="744" spans="4:22" x14ac:dyDescent="0.2">
      <c r="D744" s="32">
        <v>45813.284722222219</v>
      </c>
      <c r="E744" s="33" t="s">
        <v>188</v>
      </c>
      <c r="F744" s="34">
        <v>60057.951999999997</v>
      </c>
      <c r="G744" s="34">
        <v>363839.36499999999</v>
      </c>
      <c r="H744" s="34">
        <v>18.786000000000001</v>
      </c>
      <c r="I744" s="33" t="s">
        <v>85</v>
      </c>
      <c r="J744" s="33" t="s">
        <v>90</v>
      </c>
      <c r="K744" s="33">
        <v>20.8</v>
      </c>
      <c r="L744" s="33">
        <v>1010.9</v>
      </c>
      <c r="M744" s="33">
        <v>71</v>
      </c>
      <c r="N744" s="33"/>
      <c r="O744" s="93">
        <f>IFERROR(IF(Readings[[#This Row],[Obs. X]]="","-",Readings[[#This Row],[Obs. X]]-_xlfn.XLOOKUP(Readings[[#This Row],[Sensor ID]],Table_Baseline[Sensor ID],Table_Baseline[Easting '[m']],"-")),"-")</f>
        <v>0</v>
      </c>
      <c r="P744" s="93">
        <f>IFERROR(IF(Readings[[#This Row],[Obs. Y]]="","-",Readings[[#This Row],[Obs. Y]]-_xlfn.XLOOKUP(Readings[[#This Row],[Sensor ID]],Table_Baseline[Sensor ID],Table_Baseline[Northing '[m']],"-")),"-")</f>
        <v>3.0000000260770321E-3</v>
      </c>
      <c r="Q744" s="93">
        <f>IFERROR(IF(Readings[[#This Row],[Obs. Z]]="","-",Readings[[#This Row],[Obs. Z]]-_xlfn.XLOOKUP(Readings[[#This Row],[Sensor ID]],Table_Baseline[Sensor ID],Table_Baseline[Level '[m']],"-")),"-")</f>
        <v>0</v>
      </c>
      <c r="R744" s="93">
        <f>IFERROR(IF(Readings[[#This Row],[Reference Angle]]="-","-",(Readings[[#This Row],[Diff E]]*COS(RADIANS(Readings[[#This Row],[Reference Angle]]))-Readings[[#This Row],[Diff N]]*SIN(RADIANS(Readings[[#This Row],[Reference Angle]])))),"-")</f>
        <v>0</v>
      </c>
      <c r="S744" s="93">
        <f>IFERROR(IF(Readings[[#This Row],[Reference Angle]]="-","-",(Readings[[#This Row],[Diff E]]*SIN(RADIANS(Readings[[#This Row],[Reference Angle]]))+Readings[[#This Row],[Diff N]]*COS(RADIANS(Readings[[#This Row],[Reference Angle]])))),"-")</f>
        <v>3.0000000260770321E-3</v>
      </c>
      <c r="T744" s="94">
        <f>IFERROR(VLOOKUP(Readings[[#This Row],[Sensor ID]],Table_Baseline[],COLUMNS(Table_Baseline[[#Headers],[Sensor ID]:[Reference Angle '[Deg']]]),FALSE),"-")</f>
        <v>0</v>
      </c>
      <c r="U744" s="95" t="str">
        <f>Readings[[#This Row],[Sensor ID]]&amp;"-"&amp;Readings[[#This Row],[Epoch]]</f>
        <v>250-RL-OP-11017-45813.2847222222</v>
      </c>
      <c r="V744" s="99">
        <f ca="1">IF(Readings[[#This Row],[Epoch]]=OFFSET(Readings[[#This Row],[Epoch]],-1,0),0,1)</f>
        <v>0</v>
      </c>
    </row>
    <row r="745" spans="4:22" x14ac:dyDescent="0.2">
      <c r="D745" s="32">
        <v>45813.284722222219</v>
      </c>
      <c r="E745" s="33" t="s">
        <v>187</v>
      </c>
      <c r="F745" s="34">
        <v>60057.578999999998</v>
      </c>
      <c r="G745" s="34">
        <v>363838.10100000002</v>
      </c>
      <c r="H745" s="34">
        <v>18.776</v>
      </c>
      <c r="I745" s="33" t="s">
        <v>85</v>
      </c>
      <c r="J745" s="33" t="s">
        <v>90</v>
      </c>
      <c r="K745" s="33">
        <v>20.8</v>
      </c>
      <c r="L745" s="33">
        <v>1010.9</v>
      </c>
      <c r="M745" s="33">
        <v>71</v>
      </c>
      <c r="N745" s="33"/>
      <c r="O745" s="93">
        <f>IFERROR(IF(Readings[[#This Row],[Obs. X]]="","-",Readings[[#This Row],[Obs. X]]-_xlfn.XLOOKUP(Readings[[#This Row],[Sensor ID]],Table_Baseline[Sensor ID],Table_Baseline[Easting '[m']],"-")),"-")</f>
        <v>0</v>
      </c>
      <c r="P745" s="93">
        <f>IFERROR(IF(Readings[[#This Row],[Obs. Y]]="","-",Readings[[#This Row],[Obs. Y]]-_xlfn.XLOOKUP(Readings[[#This Row],[Sensor ID]],Table_Baseline[Sensor ID],Table_Baseline[Northing '[m']],"-")),"-")</f>
        <v>3.0000000260770321E-3</v>
      </c>
      <c r="Q745" s="93">
        <f>IFERROR(IF(Readings[[#This Row],[Obs. Z]]="","-",Readings[[#This Row],[Obs. Z]]-_xlfn.XLOOKUP(Readings[[#This Row],[Sensor ID]],Table_Baseline[Sensor ID],Table_Baseline[Level '[m']],"-")),"-")</f>
        <v>0</v>
      </c>
      <c r="R745" s="93">
        <f>IFERROR(IF(Readings[[#This Row],[Reference Angle]]="-","-",(Readings[[#This Row],[Diff E]]*COS(RADIANS(Readings[[#This Row],[Reference Angle]]))-Readings[[#This Row],[Diff N]]*SIN(RADIANS(Readings[[#This Row],[Reference Angle]])))),"-")</f>
        <v>0</v>
      </c>
      <c r="S745" s="93">
        <f>IFERROR(IF(Readings[[#This Row],[Reference Angle]]="-","-",(Readings[[#This Row],[Diff E]]*SIN(RADIANS(Readings[[#This Row],[Reference Angle]]))+Readings[[#This Row],[Diff N]]*COS(RADIANS(Readings[[#This Row],[Reference Angle]])))),"-")</f>
        <v>3.0000000260770321E-3</v>
      </c>
      <c r="T745" s="94">
        <f>IFERROR(VLOOKUP(Readings[[#This Row],[Sensor ID]],Table_Baseline[],COLUMNS(Table_Baseline[[#Headers],[Sensor ID]:[Reference Angle '[Deg']]]),FALSE),"-")</f>
        <v>0</v>
      </c>
      <c r="U745" s="95" t="str">
        <f>Readings[[#This Row],[Sensor ID]]&amp;"-"&amp;Readings[[#This Row],[Epoch]]</f>
        <v>250-RL-OP-11018-45813.2847222222</v>
      </c>
      <c r="V745" s="99">
        <f ca="1">IF(Readings[[#This Row],[Epoch]]=OFFSET(Readings[[#This Row],[Epoch]],-1,0),0,1)</f>
        <v>0</v>
      </c>
    </row>
    <row r="746" spans="4:22" x14ac:dyDescent="0.2">
      <c r="D746" s="32">
        <v>45813.284722222219</v>
      </c>
      <c r="E746" s="33" t="s">
        <v>190</v>
      </c>
      <c r="F746" s="34">
        <v>60060.963000000003</v>
      </c>
      <c r="G746" s="34">
        <v>363838.60399999999</v>
      </c>
      <c r="H746" s="34">
        <v>18.794</v>
      </c>
      <c r="I746" s="33" t="s">
        <v>85</v>
      </c>
      <c r="J746" s="33" t="s">
        <v>90</v>
      </c>
      <c r="K746" s="33">
        <v>20.8</v>
      </c>
      <c r="L746" s="33">
        <v>1010.9</v>
      </c>
      <c r="M746" s="33">
        <v>71</v>
      </c>
      <c r="N746" s="33"/>
      <c r="O746" s="93">
        <f>IFERROR(IF(Readings[[#This Row],[Obs. X]]="","-",Readings[[#This Row],[Obs. X]]-_xlfn.XLOOKUP(Readings[[#This Row],[Sensor ID]],Table_Baseline[Sensor ID],Table_Baseline[Easting '[m']],"-")),"-")</f>
        <v>0</v>
      </c>
      <c r="P746" s="93">
        <f>IFERROR(IF(Readings[[#This Row],[Obs. Y]]="","-",Readings[[#This Row],[Obs. Y]]-_xlfn.XLOOKUP(Readings[[#This Row],[Sensor ID]],Table_Baseline[Sensor ID],Table_Baseline[Northing '[m']],"-")),"-")</f>
        <v>2.9999999678693712E-3</v>
      </c>
      <c r="Q746" s="93">
        <f>IFERROR(IF(Readings[[#This Row],[Obs. Z]]="","-",Readings[[#This Row],[Obs. Z]]-_xlfn.XLOOKUP(Readings[[#This Row],[Sensor ID]],Table_Baseline[Sensor ID],Table_Baseline[Level '[m']],"-")),"-")</f>
        <v>-5.9999999999860165E-4</v>
      </c>
      <c r="R746" s="93">
        <f>IFERROR(IF(Readings[[#This Row],[Reference Angle]]="-","-",(Readings[[#This Row],[Diff E]]*COS(RADIANS(Readings[[#This Row],[Reference Angle]]))-Readings[[#This Row],[Diff N]]*SIN(RADIANS(Readings[[#This Row],[Reference Angle]])))),"-")</f>
        <v>0</v>
      </c>
      <c r="S746" s="93">
        <f>IFERROR(IF(Readings[[#This Row],[Reference Angle]]="-","-",(Readings[[#This Row],[Diff E]]*SIN(RADIANS(Readings[[#This Row],[Reference Angle]]))+Readings[[#This Row],[Diff N]]*COS(RADIANS(Readings[[#This Row],[Reference Angle]])))),"-")</f>
        <v>2.9999999678693712E-3</v>
      </c>
      <c r="T746" s="94">
        <f>IFERROR(VLOOKUP(Readings[[#This Row],[Sensor ID]],Table_Baseline[],COLUMNS(Table_Baseline[[#Headers],[Sensor ID]:[Reference Angle '[Deg']]]),FALSE),"-")</f>
        <v>0</v>
      </c>
      <c r="U746" s="95" t="str">
        <f>Readings[[#This Row],[Sensor ID]]&amp;"-"&amp;Readings[[#This Row],[Epoch]]</f>
        <v>250-RL-OP-11019-45813.2847222222</v>
      </c>
      <c r="V746" s="99">
        <f ca="1">IF(Readings[[#This Row],[Epoch]]=OFFSET(Readings[[#This Row],[Epoch]],-1,0),0,1)</f>
        <v>0</v>
      </c>
    </row>
    <row r="747" spans="4:22" x14ac:dyDescent="0.2">
      <c r="D747" s="32">
        <v>45813.284722222219</v>
      </c>
      <c r="E747" s="33" t="s">
        <v>189</v>
      </c>
      <c r="F747" s="34">
        <v>60060.639999999999</v>
      </c>
      <c r="G747" s="34">
        <v>363837.326</v>
      </c>
      <c r="H747" s="34">
        <v>18.783000000000001</v>
      </c>
      <c r="I747" s="33" t="s">
        <v>85</v>
      </c>
      <c r="J747" s="33" t="s">
        <v>90</v>
      </c>
      <c r="K747" s="33">
        <v>20.8</v>
      </c>
      <c r="L747" s="33">
        <v>1010.9</v>
      </c>
      <c r="M747" s="33">
        <v>71</v>
      </c>
      <c r="N747" s="33"/>
      <c r="O747" s="93">
        <f>IFERROR(IF(Readings[[#This Row],[Obs. X]]="","-",Readings[[#This Row],[Obs. X]]-_xlfn.XLOOKUP(Readings[[#This Row],[Sensor ID]],Table_Baseline[Sensor ID],Table_Baseline[Easting '[m']],"-")),"-")</f>
        <v>0</v>
      </c>
      <c r="P747" s="93">
        <f>IFERROR(IF(Readings[[#This Row],[Obs. Y]]="","-",Readings[[#This Row],[Obs. Y]]-_xlfn.XLOOKUP(Readings[[#This Row],[Sensor ID]],Table_Baseline[Sensor ID],Table_Baseline[Northing '[m']],"-")),"-")</f>
        <v>4.0000000153668225E-3</v>
      </c>
      <c r="Q747" s="93">
        <f>IFERROR(IF(Readings[[#This Row],[Obs. Z]]="","-",Readings[[#This Row],[Obs. Z]]-_xlfn.XLOOKUP(Readings[[#This Row],[Sensor ID]],Table_Baseline[Sensor ID],Table_Baseline[Level '[m']],"-")),"-")</f>
        <v>-5.9999999999860165E-4</v>
      </c>
      <c r="R747" s="93">
        <f>IFERROR(IF(Readings[[#This Row],[Reference Angle]]="-","-",(Readings[[#This Row],[Diff E]]*COS(RADIANS(Readings[[#This Row],[Reference Angle]]))-Readings[[#This Row],[Diff N]]*SIN(RADIANS(Readings[[#This Row],[Reference Angle]])))),"-")</f>
        <v>0</v>
      </c>
      <c r="S747" s="93">
        <f>IFERROR(IF(Readings[[#This Row],[Reference Angle]]="-","-",(Readings[[#This Row],[Diff E]]*SIN(RADIANS(Readings[[#This Row],[Reference Angle]]))+Readings[[#This Row],[Diff N]]*COS(RADIANS(Readings[[#This Row],[Reference Angle]])))),"-")</f>
        <v>4.0000000153668225E-3</v>
      </c>
      <c r="T747" s="94">
        <f>IFERROR(VLOOKUP(Readings[[#This Row],[Sensor ID]],Table_Baseline[],COLUMNS(Table_Baseline[[#Headers],[Sensor ID]:[Reference Angle '[Deg']]]),FALSE),"-")</f>
        <v>0</v>
      </c>
      <c r="U747" s="95" t="str">
        <f>Readings[[#This Row],[Sensor ID]]&amp;"-"&amp;Readings[[#This Row],[Epoch]]</f>
        <v>250-RL-OP-11020-45813.2847222222</v>
      </c>
      <c r="V747" s="99">
        <f ca="1">IF(Readings[[#This Row],[Epoch]]=OFFSET(Readings[[#This Row],[Epoch]],-1,0),0,1)</f>
        <v>0</v>
      </c>
    </row>
    <row r="748" spans="4:22" x14ac:dyDescent="0.2">
      <c r="D748" s="32">
        <v>45813.284722222219</v>
      </c>
      <c r="E748" s="33" t="s">
        <v>192</v>
      </c>
      <c r="F748" s="34">
        <v>60063.750999999997</v>
      </c>
      <c r="G748" s="34">
        <v>363837.92099999997</v>
      </c>
      <c r="H748" s="34">
        <v>18.808</v>
      </c>
      <c r="I748" s="33" t="s">
        <v>85</v>
      </c>
      <c r="J748" s="33" t="s">
        <v>90</v>
      </c>
      <c r="K748" s="33">
        <v>20.8</v>
      </c>
      <c r="L748" s="33">
        <v>1010.9</v>
      </c>
      <c r="M748" s="33">
        <v>71</v>
      </c>
      <c r="N748" s="33"/>
      <c r="O748" s="93">
        <f>IFERROR(IF(Readings[[#This Row],[Obs. X]]="","-",Readings[[#This Row],[Obs. X]]-_xlfn.XLOOKUP(Readings[[#This Row],[Sensor ID]],Table_Baseline[Sensor ID],Table_Baseline[Easting '[m']],"-")),"-")</f>
        <v>0</v>
      </c>
      <c r="P748" s="93">
        <f>IFERROR(IF(Readings[[#This Row],[Obs. Y]]="","-",Readings[[#This Row],[Obs. Y]]-_xlfn.XLOOKUP(Readings[[#This Row],[Sensor ID]],Table_Baseline[Sensor ID],Table_Baseline[Northing '[m']],"-")),"-")</f>
        <v>2.9999999678693712E-3</v>
      </c>
      <c r="Q748" s="93">
        <f>IFERROR(IF(Readings[[#This Row],[Obs. Z]]="","-",Readings[[#This Row],[Obs. Z]]-_xlfn.XLOOKUP(Readings[[#This Row],[Sensor ID]],Table_Baseline[Sensor ID],Table_Baseline[Level '[m']],"-")),"-")</f>
        <v>-1.0000000000012221E-3</v>
      </c>
      <c r="R748" s="93">
        <f>IFERROR(IF(Readings[[#This Row],[Reference Angle]]="-","-",(Readings[[#This Row],[Diff E]]*COS(RADIANS(Readings[[#This Row],[Reference Angle]]))-Readings[[#This Row],[Diff N]]*SIN(RADIANS(Readings[[#This Row],[Reference Angle]])))),"-")</f>
        <v>0</v>
      </c>
      <c r="S748" s="93">
        <f>IFERROR(IF(Readings[[#This Row],[Reference Angle]]="-","-",(Readings[[#This Row],[Diff E]]*SIN(RADIANS(Readings[[#This Row],[Reference Angle]]))+Readings[[#This Row],[Diff N]]*COS(RADIANS(Readings[[#This Row],[Reference Angle]])))),"-")</f>
        <v>2.9999999678693712E-3</v>
      </c>
      <c r="T748" s="94">
        <f>IFERROR(VLOOKUP(Readings[[#This Row],[Sensor ID]],Table_Baseline[],COLUMNS(Table_Baseline[[#Headers],[Sensor ID]:[Reference Angle '[Deg']]]),FALSE),"-")</f>
        <v>0</v>
      </c>
      <c r="U748" s="95" t="str">
        <f>Readings[[#This Row],[Sensor ID]]&amp;"-"&amp;Readings[[#This Row],[Epoch]]</f>
        <v>250-RL-OP-11021-45813.2847222222</v>
      </c>
      <c r="V748" s="99">
        <f ca="1">IF(Readings[[#This Row],[Epoch]]=OFFSET(Readings[[#This Row],[Epoch]],-1,0),0,1)</f>
        <v>0</v>
      </c>
    </row>
    <row r="749" spans="4:22" x14ac:dyDescent="0.2">
      <c r="D749" s="32">
        <v>45813.284722222219</v>
      </c>
      <c r="E749" s="33" t="s">
        <v>191</v>
      </c>
      <c r="F749" s="34">
        <v>60063.421000000002</v>
      </c>
      <c r="G749" s="34">
        <v>363836.64</v>
      </c>
      <c r="H749" s="34">
        <v>18.794</v>
      </c>
      <c r="I749" s="33" t="s">
        <v>85</v>
      </c>
      <c r="J749" s="33" t="s">
        <v>90</v>
      </c>
      <c r="K749" s="33">
        <v>20.8</v>
      </c>
      <c r="L749" s="33">
        <v>1010.9</v>
      </c>
      <c r="M749" s="33">
        <v>71</v>
      </c>
      <c r="N749" s="33"/>
      <c r="O749" s="93">
        <f>IFERROR(IF(Readings[[#This Row],[Obs. X]]="","-",Readings[[#This Row],[Obs. X]]-_xlfn.XLOOKUP(Readings[[#This Row],[Sensor ID]],Table_Baseline[Sensor ID],Table_Baseline[Easting '[m']],"-")),"-")</f>
        <v>-9.9999999656574801E-4</v>
      </c>
      <c r="P749" s="93">
        <f>IFERROR(IF(Readings[[#This Row],[Obs. Y]]="","-",Readings[[#This Row],[Obs. Y]]-_xlfn.XLOOKUP(Readings[[#This Row],[Sensor ID]],Table_Baseline[Sensor ID],Table_Baseline[Northing '[m']],"-")),"-")</f>
        <v>4.0000000153668225E-3</v>
      </c>
      <c r="Q749" s="93">
        <f>IFERROR(IF(Readings[[#This Row],[Obs. Z]]="","-",Readings[[#This Row],[Obs. Z]]-_xlfn.XLOOKUP(Readings[[#This Row],[Sensor ID]],Table_Baseline[Sensor ID],Table_Baseline[Level '[m']],"-")),"-")</f>
        <v>-8.9999999999790248E-4</v>
      </c>
      <c r="R749" s="93">
        <f>IFERROR(IF(Readings[[#This Row],[Reference Angle]]="-","-",(Readings[[#This Row],[Diff E]]*COS(RADIANS(Readings[[#This Row],[Reference Angle]]))-Readings[[#This Row],[Diff N]]*SIN(RADIANS(Readings[[#This Row],[Reference Angle]])))),"-")</f>
        <v>-9.9999999656574801E-4</v>
      </c>
      <c r="S749" s="93">
        <f>IFERROR(IF(Readings[[#This Row],[Reference Angle]]="-","-",(Readings[[#This Row],[Diff E]]*SIN(RADIANS(Readings[[#This Row],[Reference Angle]]))+Readings[[#This Row],[Diff N]]*COS(RADIANS(Readings[[#This Row],[Reference Angle]])))),"-")</f>
        <v>4.0000000153668225E-3</v>
      </c>
      <c r="T749" s="94">
        <f>IFERROR(VLOOKUP(Readings[[#This Row],[Sensor ID]],Table_Baseline[],COLUMNS(Table_Baseline[[#Headers],[Sensor ID]:[Reference Angle '[Deg']]]),FALSE),"-")</f>
        <v>0</v>
      </c>
      <c r="U749" s="95" t="str">
        <f>Readings[[#This Row],[Sensor ID]]&amp;"-"&amp;Readings[[#This Row],[Epoch]]</f>
        <v>250-RL-OP-11022-45813.2847222222</v>
      </c>
      <c r="V749" s="99">
        <f ca="1">IF(Readings[[#This Row],[Epoch]]=OFFSET(Readings[[#This Row],[Epoch]],-1,0),0,1)</f>
        <v>0</v>
      </c>
    </row>
    <row r="750" spans="4:22" x14ac:dyDescent="0.2">
      <c r="D750" s="32">
        <v>45813.284722222219</v>
      </c>
      <c r="E750" s="33" t="s">
        <v>165</v>
      </c>
      <c r="F750" s="34">
        <v>60034.538999999997</v>
      </c>
      <c r="G750" s="34">
        <v>363843.38099999999</v>
      </c>
      <c r="H750" s="34">
        <v>19.332000000000001</v>
      </c>
      <c r="I750" s="33" t="s">
        <v>85</v>
      </c>
      <c r="J750" s="33" t="s">
        <v>90</v>
      </c>
      <c r="K750" s="33">
        <v>20.8</v>
      </c>
      <c r="L750" s="33">
        <v>1010.9</v>
      </c>
      <c r="M750" s="33">
        <v>71</v>
      </c>
      <c r="N750" s="33"/>
      <c r="O750" s="93" t="str">
        <f>IFERROR(IF(Readings[[#This Row],[Obs. X]]="","-",Readings[[#This Row],[Obs. X]]-_xlfn.XLOOKUP(Readings[[#This Row],[Sensor ID]],Table_Baseline[Sensor ID],Table_Baseline[Easting '[m']],"-")),"-")</f>
        <v>-</v>
      </c>
      <c r="P750" s="93" t="str">
        <f>IFERROR(IF(Readings[[#This Row],[Obs. Y]]="","-",Readings[[#This Row],[Obs. Y]]-_xlfn.XLOOKUP(Readings[[#This Row],[Sensor ID]],Table_Baseline[Sensor ID],Table_Baseline[Northing '[m']],"-")),"-")</f>
        <v>-</v>
      </c>
      <c r="Q750" s="93" t="str">
        <f>IFERROR(IF(Readings[[#This Row],[Obs. Z]]="","-",Readings[[#This Row],[Obs. Z]]-_xlfn.XLOOKUP(Readings[[#This Row],[Sensor ID]],Table_Baseline[Sensor ID],Table_Baseline[Level '[m']],"-")),"-")</f>
        <v>-</v>
      </c>
      <c r="R750" s="93" t="str">
        <f>IFERROR(IF(Readings[[#This Row],[Reference Angle]]="-","-",(Readings[[#This Row],[Diff E]]*COS(RADIANS(Readings[[#This Row],[Reference Angle]]))-Readings[[#This Row],[Diff N]]*SIN(RADIANS(Readings[[#This Row],[Reference Angle]])))),"-")</f>
        <v>-</v>
      </c>
      <c r="S750" s="93" t="str">
        <f>IFERROR(IF(Readings[[#This Row],[Reference Angle]]="-","-",(Readings[[#This Row],[Diff E]]*SIN(RADIANS(Readings[[#This Row],[Reference Angle]]))+Readings[[#This Row],[Diff N]]*COS(RADIANS(Readings[[#This Row],[Reference Angle]])))),"-")</f>
        <v>-</v>
      </c>
      <c r="T750" s="94" t="str">
        <f>IFERROR(VLOOKUP(Readings[[#This Row],[Sensor ID]],Table_Baseline[],COLUMNS(Table_Baseline[[#Headers],[Sensor ID]:[Reference Angle '[Deg']]]),FALSE),"-")</f>
        <v>-</v>
      </c>
      <c r="U750" s="95" t="str">
        <f>Readings[[#This Row],[Sensor ID]]&amp;"-"&amp;Readings[[#This Row],[Epoch]]</f>
        <v>250-ST-OP-500-45813.2847222222</v>
      </c>
      <c r="V750" s="99">
        <f ca="1">IF(Readings[[#This Row],[Epoch]]=OFFSET(Readings[[#This Row],[Epoch]],-1,0),0,1)</f>
        <v>0</v>
      </c>
    </row>
    <row r="751" spans="4:22" x14ac:dyDescent="0.2">
      <c r="D751" s="32">
        <v>45813.284722222219</v>
      </c>
      <c r="E751" s="33" t="s">
        <v>166</v>
      </c>
      <c r="F751" s="34">
        <v>60040.286999999997</v>
      </c>
      <c r="G751" s="34">
        <v>363841.73</v>
      </c>
      <c r="H751" s="34">
        <v>19.321999999999999</v>
      </c>
      <c r="I751" s="33" t="s">
        <v>85</v>
      </c>
      <c r="J751" s="33" t="s">
        <v>90</v>
      </c>
      <c r="K751" s="33">
        <v>20.8</v>
      </c>
      <c r="L751" s="33">
        <v>1010.9</v>
      </c>
      <c r="M751" s="33">
        <v>71</v>
      </c>
      <c r="N751" s="33"/>
      <c r="O751" s="93" t="str">
        <f>IFERROR(IF(Readings[[#This Row],[Obs. X]]="","-",Readings[[#This Row],[Obs. X]]-_xlfn.XLOOKUP(Readings[[#This Row],[Sensor ID]],Table_Baseline[Sensor ID],Table_Baseline[Easting '[m']],"-")),"-")</f>
        <v>-</v>
      </c>
      <c r="P751" s="93" t="str">
        <f>IFERROR(IF(Readings[[#This Row],[Obs. Y]]="","-",Readings[[#This Row],[Obs. Y]]-_xlfn.XLOOKUP(Readings[[#This Row],[Sensor ID]],Table_Baseline[Sensor ID],Table_Baseline[Northing '[m']],"-")),"-")</f>
        <v>-</v>
      </c>
      <c r="Q751" s="93" t="str">
        <f>IFERROR(IF(Readings[[#This Row],[Obs. Z]]="","-",Readings[[#This Row],[Obs. Z]]-_xlfn.XLOOKUP(Readings[[#This Row],[Sensor ID]],Table_Baseline[Sensor ID],Table_Baseline[Level '[m']],"-")),"-")</f>
        <v>-</v>
      </c>
      <c r="R751" s="93" t="str">
        <f>IFERROR(IF(Readings[[#This Row],[Reference Angle]]="-","-",(Readings[[#This Row],[Diff E]]*COS(RADIANS(Readings[[#This Row],[Reference Angle]]))-Readings[[#This Row],[Diff N]]*SIN(RADIANS(Readings[[#This Row],[Reference Angle]])))),"-")</f>
        <v>-</v>
      </c>
      <c r="S751" s="93" t="str">
        <f>IFERROR(IF(Readings[[#This Row],[Reference Angle]]="-","-",(Readings[[#This Row],[Diff E]]*SIN(RADIANS(Readings[[#This Row],[Reference Angle]]))+Readings[[#This Row],[Diff N]]*COS(RADIANS(Readings[[#This Row],[Reference Angle]])))),"-")</f>
        <v>-</v>
      </c>
      <c r="T751" s="94" t="str">
        <f>IFERROR(VLOOKUP(Readings[[#This Row],[Sensor ID]],Table_Baseline[],COLUMNS(Table_Baseline[[#Headers],[Sensor ID]:[Reference Angle '[Deg']]]),FALSE),"-")</f>
        <v>-</v>
      </c>
      <c r="U751" s="95" t="str">
        <f>Readings[[#This Row],[Sensor ID]]&amp;"-"&amp;Readings[[#This Row],[Epoch]]</f>
        <v>250-ST-OP-501-45813.2847222222</v>
      </c>
      <c r="V751" s="99">
        <f ca="1">IF(Readings[[#This Row],[Epoch]]=OFFSET(Readings[[#This Row],[Epoch]],-1,0),0,1)</f>
        <v>0</v>
      </c>
    </row>
    <row r="752" spans="4:22" x14ac:dyDescent="0.2">
      <c r="D752" s="32">
        <v>45813.284722222219</v>
      </c>
      <c r="E752" s="33" t="s">
        <v>167</v>
      </c>
      <c r="F752" s="34">
        <v>60045.921999999999</v>
      </c>
      <c r="G752" s="34">
        <v>363840.10100000002</v>
      </c>
      <c r="H752" s="34">
        <v>19.335000000000001</v>
      </c>
      <c r="I752" s="33" t="s">
        <v>85</v>
      </c>
      <c r="J752" s="33" t="s">
        <v>90</v>
      </c>
      <c r="K752" s="33">
        <v>20.8</v>
      </c>
      <c r="L752" s="33">
        <v>1010.9</v>
      </c>
      <c r="M752" s="33">
        <v>71</v>
      </c>
      <c r="N752" s="33"/>
      <c r="O752" s="93" t="str">
        <f>IFERROR(IF(Readings[[#This Row],[Obs. X]]="","-",Readings[[#This Row],[Obs. X]]-_xlfn.XLOOKUP(Readings[[#This Row],[Sensor ID]],Table_Baseline[Sensor ID],Table_Baseline[Easting '[m']],"-")),"-")</f>
        <v>-</v>
      </c>
      <c r="P752" s="93" t="str">
        <f>IFERROR(IF(Readings[[#This Row],[Obs. Y]]="","-",Readings[[#This Row],[Obs. Y]]-_xlfn.XLOOKUP(Readings[[#This Row],[Sensor ID]],Table_Baseline[Sensor ID],Table_Baseline[Northing '[m']],"-")),"-")</f>
        <v>-</v>
      </c>
      <c r="Q752" s="93" t="str">
        <f>IFERROR(IF(Readings[[#This Row],[Obs. Z]]="","-",Readings[[#This Row],[Obs. Z]]-_xlfn.XLOOKUP(Readings[[#This Row],[Sensor ID]],Table_Baseline[Sensor ID],Table_Baseline[Level '[m']],"-")),"-")</f>
        <v>-</v>
      </c>
      <c r="R752" s="93" t="str">
        <f>IFERROR(IF(Readings[[#This Row],[Reference Angle]]="-","-",(Readings[[#This Row],[Diff E]]*COS(RADIANS(Readings[[#This Row],[Reference Angle]]))-Readings[[#This Row],[Diff N]]*SIN(RADIANS(Readings[[#This Row],[Reference Angle]])))),"-")</f>
        <v>-</v>
      </c>
      <c r="S752" s="93" t="str">
        <f>IFERROR(IF(Readings[[#This Row],[Reference Angle]]="-","-",(Readings[[#This Row],[Diff E]]*SIN(RADIANS(Readings[[#This Row],[Reference Angle]]))+Readings[[#This Row],[Diff N]]*COS(RADIANS(Readings[[#This Row],[Reference Angle]])))),"-")</f>
        <v>-</v>
      </c>
      <c r="T752" s="94" t="str">
        <f>IFERROR(VLOOKUP(Readings[[#This Row],[Sensor ID]],Table_Baseline[],COLUMNS(Table_Baseline[[#Headers],[Sensor ID]:[Reference Angle '[Deg']]]),FALSE),"-")</f>
        <v>-</v>
      </c>
      <c r="U752" s="95" t="str">
        <f>Readings[[#This Row],[Sensor ID]]&amp;"-"&amp;Readings[[#This Row],[Epoch]]</f>
        <v>250-ST-OP-502-45813.2847222222</v>
      </c>
      <c r="V752" s="99">
        <f ca="1">IF(Readings[[#This Row],[Epoch]]=OFFSET(Readings[[#This Row],[Epoch]],-1,0),0,1)</f>
        <v>0</v>
      </c>
    </row>
    <row r="753" spans="4:22" x14ac:dyDescent="0.2">
      <c r="D753" s="32">
        <v>45813.284722222219</v>
      </c>
      <c r="E753" s="33" t="s">
        <v>168</v>
      </c>
      <c r="F753" s="34">
        <v>60049.767999999996</v>
      </c>
      <c r="G753" s="34">
        <v>363838.99400000001</v>
      </c>
      <c r="H753" s="34">
        <v>19.344999999999999</v>
      </c>
      <c r="I753" s="33" t="s">
        <v>85</v>
      </c>
      <c r="J753" s="33" t="s">
        <v>90</v>
      </c>
      <c r="K753" s="33">
        <v>20.8</v>
      </c>
      <c r="L753" s="33">
        <v>1010.9</v>
      </c>
      <c r="M753" s="33">
        <v>71</v>
      </c>
      <c r="N753" s="33"/>
      <c r="O753" s="93" t="str">
        <f>IFERROR(IF(Readings[[#This Row],[Obs. X]]="","-",Readings[[#This Row],[Obs. X]]-_xlfn.XLOOKUP(Readings[[#This Row],[Sensor ID]],Table_Baseline[Sensor ID],Table_Baseline[Easting '[m']],"-")),"-")</f>
        <v>-</v>
      </c>
      <c r="P753" s="93" t="str">
        <f>IFERROR(IF(Readings[[#This Row],[Obs. Y]]="","-",Readings[[#This Row],[Obs. Y]]-_xlfn.XLOOKUP(Readings[[#This Row],[Sensor ID]],Table_Baseline[Sensor ID],Table_Baseline[Northing '[m']],"-")),"-")</f>
        <v>-</v>
      </c>
      <c r="Q753" s="93" t="str">
        <f>IFERROR(IF(Readings[[#This Row],[Obs. Z]]="","-",Readings[[#This Row],[Obs. Z]]-_xlfn.XLOOKUP(Readings[[#This Row],[Sensor ID]],Table_Baseline[Sensor ID],Table_Baseline[Level '[m']],"-")),"-")</f>
        <v>-</v>
      </c>
      <c r="R753" s="93" t="str">
        <f>IFERROR(IF(Readings[[#This Row],[Reference Angle]]="-","-",(Readings[[#This Row],[Diff E]]*COS(RADIANS(Readings[[#This Row],[Reference Angle]]))-Readings[[#This Row],[Diff N]]*SIN(RADIANS(Readings[[#This Row],[Reference Angle]])))),"-")</f>
        <v>-</v>
      </c>
      <c r="S753" s="93" t="str">
        <f>IFERROR(IF(Readings[[#This Row],[Reference Angle]]="-","-",(Readings[[#This Row],[Diff E]]*SIN(RADIANS(Readings[[#This Row],[Reference Angle]]))+Readings[[#This Row],[Diff N]]*COS(RADIANS(Readings[[#This Row],[Reference Angle]])))),"-")</f>
        <v>-</v>
      </c>
      <c r="T753" s="94" t="str">
        <f>IFERROR(VLOOKUP(Readings[[#This Row],[Sensor ID]],Table_Baseline[],COLUMNS(Table_Baseline[[#Headers],[Sensor ID]:[Reference Angle '[Deg']]]),FALSE),"-")</f>
        <v>-</v>
      </c>
      <c r="U753" s="95" t="str">
        <f>Readings[[#This Row],[Sensor ID]]&amp;"-"&amp;Readings[[#This Row],[Epoch]]</f>
        <v>250-ST-OP-503-45813.2847222222</v>
      </c>
      <c r="V753" s="99">
        <f ca="1">IF(Readings[[#This Row],[Epoch]]=OFFSET(Readings[[#This Row],[Epoch]],-1,0),0,1)</f>
        <v>0</v>
      </c>
    </row>
    <row r="754" spans="4:22" x14ac:dyDescent="0.2">
      <c r="D754" s="32">
        <v>45813.284722222219</v>
      </c>
      <c r="E754" s="33" t="s">
        <v>169</v>
      </c>
      <c r="F754" s="34">
        <v>60053.608999999997</v>
      </c>
      <c r="G754" s="34">
        <v>363837.88300000003</v>
      </c>
      <c r="H754" s="34">
        <v>19.356999999999999</v>
      </c>
      <c r="I754" s="33" t="s">
        <v>85</v>
      </c>
      <c r="J754" s="33" t="s">
        <v>90</v>
      </c>
      <c r="K754" s="33">
        <v>20.8</v>
      </c>
      <c r="L754" s="33">
        <v>1010.9</v>
      </c>
      <c r="M754" s="33">
        <v>71</v>
      </c>
      <c r="N754" s="33"/>
      <c r="O754" s="93" t="str">
        <f>IFERROR(IF(Readings[[#This Row],[Obs. X]]="","-",Readings[[#This Row],[Obs. X]]-_xlfn.XLOOKUP(Readings[[#This Row],[Sensor ID]],Table_Baseline[Sensor ID],Table_Baseline[Easting '[m']],"-")),"-")</f>
        <v>-</v>
      </c>
      <c r="P754" s="93" t="str">
        <f>IFERROR(IF(Readings[[#This Row],[Obs. Y]]="","-",Readings[[#This Row],[Obs. Y]]-_xlfn.XLOOKUP(Readings[[#This Row],[Sensor ID]],Table_Baseline[Sensor ID],Table_Baseline[Northing '[m']],"-")),"-")</f>
        <v>-</v>
      </c>
      <c r="Q754" s="93" t="str">
        <f>IFERROR(IF(Readings[[#This Row],[Obs. Z]]="","-",Readings[[#This Row],[Obs. Z]]-_xlfn.XLOOKUP(Readings[[#This Row],[Sensor ID]],Table_Baseline[Sensor ID],Table_Baseline[Level '[m']],"-")),"-")</f>
        <v>-</v>
      </c>
      <c r="R754" s="93" t="str">
        <f>IFERROR(IF(Readings[[#This Row],[Reference Angle]]="-","-",(Readings[[#This Row],[Diff E]]*COS(RADIANS(Readings[[#This Row],[Reference Angle]]))-Readings[[#This Row],[Diff N]]*SIN(RADIANS(Readings[[#This Row],[Reference Angle]])))),"-")</f>
        <v>-</v>
      </c>
      <c r="S754" s="93" t="str">
        <f>IFERROR(IF(Readings[[#This Row],[Reference Angle]]="-","-",(Readings[[#This Row],[Diff E]]*SIN(RADIANS(Readings[[#This Row],[Reference Angle]]))+Readings[[#This Row],[Diff N]]*COS(RADIANS(Readings[[#This Row],[Reference Angle]])))),"-")</f>
        <v>-</v>
      </c>
      <c r="T754" s="94" t="str">
        <f>IFERROR(VLOOKUP(Readings[[#This Row],[Sensor ID]],Table_Baseline[],COLUMNS(Table_Baseline[[#Headers],[Sensor ID]:[Reference Angle '[Deg']]]),FALSE),"-")</f>
        <v>-</v>
      </c>
      <c r="U754" s="95" t="str">
        <f>Readings[[#This Row],[Sensor ID]]&amp;"-"&amp;Readings[[#This Row],[Epoch]]</f>
        <v>250-ST-OP-504-45813.2847222222</v>
      </c>
      <c r="V754" s="99">
        <f ca="1">IF(Readings[[#This Row],[Epoch]]=OFFSET(Readings[[#This Row],[Epoch]],-1,0),0,1)</f>
        <v>0</v>
      </c>
    </row>
    <row r="755" spans="4:22" x14ac:dyDescent="0.2">
      <c r="D755" s="204">
        <v>45813.284722222219</v>
      </c>
      <c r="E755" s="151" t="s">
        <v>170</v>
      </c>
      <c r="F755" s="152">
        <v>60060.065000000002</v>
      </c>
      <c r="G755" s="152">
        <v>363836.02500000002</v>
      </c>
      <c r="H755" s="152">
        <v>19.356999999999999</v>
      </c>
      <c r="I755" s="151" t="s">
        <v>85</v>
      </c>
      <c r="J755" s="151" t="s">
        <v>90</v>
      </c>
      <c r="K755" s="151">
        <v>20.8</v>
      </c>
      <c r="L755" s="151">
        <v>1010.9</v>
      </c>
      <c r="M755" s="151">
        <v>71</v>
      </c>
      <c r="N755" s="151"/>
      <c r="O755" s="96" t="str">
        <f>IFERROR(IF(Readings[[#This Row],[Obs. X]]="","-",Readings[[#This Row],[Obs. X]]-_xlfn.XLOOKUP(Readings[[#This Row],[Sensor ID]],Table_Baseline[Sensor ID],Table_Baseline[Easting '[m']],"-")),"-")</f>
        <v>-</v>
      </c>
      <c r="P755" s="96" t="str">
        <f>IFERROR(IF(Readings[[#This Row],[Obs. Y]]="","-",Readings[[#This Row],[Obs. Y]]-_xlfn.XLOOKUP(Readings[[#This Row],[Sensor ID]],Table_Baseline[Sensor ID],Table_Baseline[Northing '[m']],"-")),"-")</f>
        <v>-</v>
      </c>
      <c r="Q755" s="96" t="str">
        <f>IFERROR(IF(Readings[[#This Row],[Obs. Z]]="","-",Readings[[#This Row],[Obs. Z]]-_xlfn.XLOOKUP(Readings[[#This Row],[Sensor ID]],Table_Baseline[Sensor ID],Table_Baseline[Level '[m']],"-")),"-")</f>
        <v>-</v>
      </c>
      <c r="R755" s="96" t="str">
        <f>IFERROR(IF(Readings[[#This Row],[Reference Angle]]="-","-",(Readings[[#This Row],[Diff E]]*COS(RADIANS(Readings[[#This Row],[Reference Angle]]))-Readings[[#This Row],[Diff N]]*SIN(RADIANS(Readings[[#This Row],[Reference Angle]])))),"-")</f>
        <v>-</v>
      </c>
      <c r="S755" s="96" t="str">
        <f>IFERROR(IF(Readings[[#This Row],[Reference Angle]]="-","-",(Readings[[#This Row],[Diff E]]*SIN(RADIANS(Readings[[#This Row],[Reference Angle]]))+Readings[[#This Row],[Diff N]]*COS(RADIANS(Readings[[#This Row],[Reference Angle]])))),"-")</f>
        <v>-</v>
      </c>
      <c r="T755" s="97" t="str">
        <f>IFERROR(VLOOKUP(Readings[[#This Row],[Sensor ID]],Table_Baseline[],COLUMNS(Table_Baseline[[#Headers],[Sensor ID]:[Reference Angle '[Deg']]]),FALSE),"-")</f>
        <v>-</v>
      </c>
      <c r="U755" s="98" t="str">
        <f>Readings[[#This Row],[Sensor ID]]&amp;"-"&amp;Readings[[#This Row],[Epoch]]</f>
        <v>250-ST-OP-505-45813.2847222222</v>
      </c>
      <c r="V755" s="100">
        <f ca="1">IF(Readings[[#This Row],[Epoch]]=OFFSET(Readings[[#This Row],[Epoch]],-1,0),0,1)</f>
        <v>0</v>
      </c>
    </row>
    <row r="756" spans="4:22" x14ac:dyDescent="0.2">
      <c r="D756" s="32">
        <v>45817.284722222219</v>
      </c>
      <c r="E756" s="33" t="s">
        <v>172</v>
      </c>
      <c r="F756" s="34">
        <v>60035.339</v>
      </c>
      <c r="G756" s="34">
        <v>363845.73800000001</v>
      </c>
      <c r="H756" s="34">
        <v>18.782</v>
      </c>
      <c r="I756" s="33" t="s">
        <v>85</v>
      </c>
      <c r="J756" s="33" t="s">
        <v>90</v>
      </c>
      <c r="K756" s="33">
        <v>11.7</v>
      </c>
      <c r="L756" s="33">
        <v>1018.2</v>
      </c>
      <c r="M756" s="33">
        <v>66</v>
      </c>
      <c r="N756" s="33"/>
      <c r="O756" s="93">
        <f>IFERROR(IF(Readings[[#This Row],[Obs. X]]="","-",Readings[[#This Row],[Obs. X]]-_xlfn.XLOOKUP(Readings[[#This Row],[Sensor ID]],Table_Baseline[Sensor ID],Table_Baseline[Easting '[m']],"-")),"-")</f>
        <v>-9.9999999656574801E-4</v>
      </c>
      <c r="P756" s="93">
        <f>IFERROR(IF(Readings[[#This Row],[Obs. Y]]="","-",Readings[[#This Row],[Obs. Y]]-_xlfn.XLOOKUP(Readings[[#This Row],[Sensor ID]],Table_Baseline[Sensor ID],Table_Baseline[Northing '[m']],"-")),"-")</f>
        <v>-9.9999998928979039E-4</v>
      </c>
      <c r="Q756" s="93">
        <f>IFERROR(IF(Readings[[#This Row],[Obs. Z]]="","-",Readings[[#This Row],[Obs. Z]]-_xlfn.XLOOKUP(Readings[[#This Row],[Sensor ID]],Table_Baseline[Sensor ID],Table_Baseline[Level '[m']],"-")),"-")</f>
        <v>0</v>
      </c>
      <c r="R756" s="93">
        <f>IFERROR(IF(Readings[[#This Row],[Reference Angle]]="-","-",(Readings[[#This Row],[Diff E]]*COS(RADIANS(Readings[[#This Row],[Reference Angle]]))-Readings[[#This Row],[Diff N]]*SIN(RADIANS(Readings[[#This Row],[Reference Angle]])))),"-")</f>
        <v>-9.9999999656574801E-4</v>
      </c>
      <c r="S756" s="93">
        <f>IFERROR(IF(Readings[[#This Row],[Reference Angle]]="-","-",(Readings[[#This Row],[Diff E]]*SIN(RADIANS(Readings[[#This Row],[Reference Angle]]))+Readings[[#This Row],[Diff N]]*COS(RADIANS(Readings[[#This Row],[Reference Angle]])))),"-")</f>
        <v>-9.9999998928979039E-4</v>
      </c>
      <c r="T756" s="94">
        <f>IFERROR(VLOOKUP(Readings[[#This Row],[Sensor ID]],Table_Baseline[],COLUMNS(Table_Baseline[[#Headers],[Sensor ID]:[Reference Angle '[Deg']]]),FALSE),"-")</f>
        <v>0</v>
      </c>
      <c r="U756" s="95" t="str">
        <f>Readings[[#This Row],[Sensor ID]]&amp;"-"&amp;Readings[[#This Row],[Epoch]]</f>
        <v>250-RL-OP-11001-45817.2847222222</v>
      </c>
      <c r="V756" s="99">
        <f ca="1">IF(Readings[[#This Row],[Epoch]]=OFFSET(Readings[[#This Row],[Epoch]],-1,0),0,1)</f>
        <v>1</v>
      </c>
    </row>
    <row r="757" spans="4:22" x14ac:dyDescent="0.2">
      <c r="D757" s="32">
        <v>45817.284722222219</v>
      </c>
      <c r="E757" s="33" t="s">
        <v>171</v>
      </c>
      <c r="F757" s="34">
        <v>60034.959000000003</v>
      </c>
      <c r="G757" s="34">
        <v>363844.47</v>
      </c>
      <c r="H757" s="34">
        <v>18.777999999999999</v>
      </c>
      <c r="I757" s="33" t="s">
        <v>85</v>
      </c>
      <c r="J757" s="33" t="s">
        <v>90</v>
      </c>
      <c r="K757" s="33">
        <v>11.7</v>
      </c>
      <c r="L757" s="33">
        <v>1018.2</v>
      </c>
      <c r="M757" s="33">
        <v>66</v>
      </c>
      <c r="N757" s="33"/>
      <c r="O757" s="93">
        <f>IFERROR(IF(Readings[[#This Row],[Obs. X]]="","-",Readings[[#This Row],[Obs. X]]-_xlfn.XLOOKUP(Readings[[#This Row],[Sensor ID]],Table_Baseline[Sensor ID],Table_Baseline[Easting '[m']],"-")),"-")</f>
        <v>0</v>
      </c>
      <c r="P757" s="93">
        <f>IFERROR(IF(Readings[[#This Row],[Obs. Y]]="","-",Readings[[#This Row],[Obs. Y]]-_xlfn.XLOOKUP(Readings[[#This Row],[Sensor ID]],Table_Baseline[Sensor ID],Table_Baseline[Northing '[m']],"-")),"-")</f>
        <v>-1.0000000474974513E-3</v>
      </c>
      <c r="Q757" s="93">
        <f>IFERROR(IF(Readings[[#This Row],[Obs. Z]]="","-",Readings[[#This Row],[Obs. Z]]-_xlfn.XLOOKUP(Readings[[#This Row],[Sensor ID]],Table_Baseline[Sensor ID],Table_Baseline[Level '[m']],"-")),"-")</f>
        <v>-9.9999999999766942E-5</v>
      </c>
      <c r="R757" s="93">
        <f>IFERROR(IF(Readings[[#This Row],[Reference Angle]]="-","-",(Readings[[#This Row],[Diff E]]*COS(RADIANS(Readings[[#This Row],[Reference Angle]]))-Readings[[#This Row],[Diff N]]*SIN(RADIANS(Readings[[#This Row],[Reference Angle]])))),"-")</f>
        <v>0</v>
      </c>
      <c r="S757" s="93">
        <f>IFERROR(IF(Readings[[#This Row],[Reference Angle]]="-","-",(Readings[[#This Row],[Diff E]]*SIN(RADIANS(Readings[[#This Row],[Reference Angle]]))+Readings[[#This Row],[Diff N]]*COS(RADIANS(Readings[[#This Row],[Reference Angle]])))),"-")</f>
        <v>-1.0000000474974513E-3</v>
      </c>
      <c r="T757" s="94">
        <f>IFERROR(VLOOKUP(Readings[[#This Row],[Sensor ID]],Table_Baseline[],COLUMNS(Table_Baseline[[#Headers],[Sensor ID]:[Reference Angle '[Deg']]]),FALSE),"-")</f>
        <v>0</v>
      </c>
      <c r="U757" s="95" t="str">
        <f>Readings[[#This Row],[Sensor ID]]&amp;"-"&amp;Readings[[#This Row],[Epoch]]</f>
        <v>250-RL-OP-11002-45817.2847222222</v>
      </c>
      <c r="V757" s="99">
        <f ca="1">IF(Readings[[#This Row],[Epoch]]=OFFSET(Readings[[#This Row],[Epoch]],-1,0),0,1)</f>
        <v>0</v>
      </c>
    </row>
    <row r="758" spans="4:22" x14ac:dyDescent="0.2">
      <c r="D758" s="32">
        <v>45817.284722222219</v>
      </c>
      <c r="E758" s="33" t="s">
        <v>174</v>
      </c>
      <c r="F758" s="34">
        <v>60038.116999999998</v>
      </c>
      <c r="G758" s="34">
        <v>363844.94500000001</v>
      </c>
      <c r="H758" s="34">
        <v>18.777999999999999</v>
      </c>
      <c r="I758" s="33" t="s">
        <v>85</v>
      </c>
      <c r="J758" s="33" t="s">
        <v>90</v>
      </c>
      <c r="K758" s="33">
        <v>11.7</v>
      </c>
      <c r="L758" s="33">
        <v>1018.2</v>
      </c>
      <c r="M758" s="33">
        <v>66</v>
      </c>
      <c r="N758" s="33"/>
      <c r="O758" s="93">
        <f>IFERROR(IF(Readings[[#This Row],[Obs. X]]="","-",Readings[[#This Row],[Obs. X]]-_xlfn.XLOOKUP(Readings[[#This Row],[Sensor ID]],Table_Baseline[Sensor ID],Table_Baseline[Easting '[m']],"-")),"-")</f>
        <v>-1.0000000038417056E-3</v>
      </c>
      <c r="P758" s="93">
        <f>IFERROR(IF(Readings[[#This Row],[Obs. Y]]="","-",Readings[[#This Row],[Obs. Y]]-_xlfn.XLOOKUP(Readings[[#This Row],[Sensor ID]],Table_Baseline[Sensor ID],Table_Baseline[Northing '[m']],"-")),"-")</f>
        <v>0</v>
      </c>
      <c r="Q758" s="93">
        <f>IFERROR(IF(Readings[[#This Row],[Obs. Z]]="","-",Readings[[#This Row],[Obs. Z]]-_xlfn.XLOOKUP(Readings[[#This Row],[Sensor ID]],Table_Baseline[Sensor ID],Table_Baseline[Level '[m']],"-")),"-")</f>
        <v>-8.0000000000168825E-4</v>
      </c>
      <c r="R758" s="93">
        <f>IFERROR(IF(Readings[[#This Row],[Reference Angle]]="-","-",(Readings[[#This Row],[Diff E]]*COS(RADIANS(Readings[[#This Row],[Reference Angle]]))-Readings[[#This Row],[Diff N]]*SIN(RADIANS(Readings[[#This Row],[Reference Angle]])))),"-")</f>
        <v>-1.0000000038417056E-3</v>
      </c>
      <c r="S758" s="93">
        <f>IFERROR(IF(Readings[[#This Row],[Reference Angle]]="-","-",(Readings[[#This Row],[Diff E]]*SIN(RADIANS(Readings[[#This Row],[Reference Angle]]))+Readings[[#This Row],[Diff N]]*COS(RADIANS(Readings[[#This Row],[Reference Angle]])))),"-")</f>
        <v>0</v>
      </c>
      <c r="T758" s="94">
        <f>IFERROR(VLOOKUP(Readings[[#This Row],[Sensor ID]],Table_Baseline[],COLUMNS(Table_Baseline[[#Headers],[Sensor ID]:[Reference Angle '[Deg']]]),FALSE),"-")</f>
        <v>0</v>
      </c>
      <c r="U758" s="95" t="str">
        <f>Readings[[#This Row],[Sensor ID]]&amp;"-"&amp;Readings[[#This Row],[Epoch]]</f>
        <v>250-RL-OP-11003-45817.2847222222</v>
      </c>
      <c r="V758" s="99">
        <f ca="1">IF(Readings[[#This Row],[Epoch]]=OFFSET(Readings[[#This Row],[Epoch]],-1,0),0,1)</f>
        <v>0</v>
      </c>
    </row>
    <row r="759" spans="4:22" x14ac:dyDescent="0.2">
      <c r="D759" s="32">
        <v>45817.284722222219</v>
      </c>
      <c r="E759" s="33" t="s">
        <v>173</v>
      </c>
      <c r="F759" s="34">
        <v>60037.803999999996</v>
      </c>
      <c r="G759" s="34">
        <v>363843.65700000001</v>
      </c>
      <c r="H759" s="34">
        <v>18.777999999999999</v>
      </c>
      <c r="I759" s="33" t="s">
        <v>85</v>
      </c>
      <c r="J759" s="33" t="s">
        <v>90</v>
      </c>
      <c r="K759" s="33">
        <v>11.7</v>
      </c>
      <c r="L759" s="33">
        <v>1018.2</v>
      </c>
      <c r="M759" s="33">
        <v>66</v>
      </c>
      <c r="N759" s="33"/>
      <c r="O759" s="93">
        <f>IFERROR(IF(Readings[[#This Row],[Obs. X]]="","-",Readings[[#This Row],[Obs. X]]-_xlfn.XLOOKUP(Readings[[#This Row],[Sensor ID]],Table_Baseline[Sensor ID],Table_Baseline[Easting '[m']],"-")),"-")</f>
        <v>-1.0000000038417056E-3</v>
      </c>
      <c r="P759" s="93">
        <f>IFERROR(IF(Readings[[#This Row],[Obs. Y]]="","-",Readings[[#This Row],[Obs. Y]]-_xlfn.XLOOKUP(Readings[[#This Row],[Sensor ID]],Table_Baseline[Sensor ID],Table_Baseline[Northing '[m']],"-")),"-")</f>
        <v>0</v>
      </c>
      <c r="Q759" s="93">
        <f>IFERROR(IF(Readings[[#This Row],[Obs. Z]]="","-",Readings[[#This Row],[Obs. Z]]-_xlfn.XLOOKUP(Readings[[#This Row],[Sensor ID]],Table_Baseline[Sensor ID],Table_Baseline[Level '[m']],"-")),"-")</f>
        <v>-5.0000000000238742E-4</v>
      </c>
      <c r="R759" s="93">
        <f>IFERROR(IF(Readings[[#This Row],[Reference Angle]]="-","-",(Readings[[#This Row],[Diff E]]*COS(RADIANS(Readings[[#This Row],[Reference Angle]]))-Readings[[#This Row],[Diff N]]*SIN(RADIANS(Readings[[#This Row],[Reference Angle]])))),"-")</f>
        <v>-1.0000000038417056E-3</v>
      </c>
      <c r="S759" s="93">
        <f>IFERROR(IF(Readings[[#This Row],[Reference Angle]]="-","-",(Readings[[#This Row],[Diff E]]*SIN(RADIANS(Readings[[#This Row],[Reference Angle]]))+Readings[[#This Row],[Diff N]]*COS(RADIANS(Readings[[#This Row],[Reference Angle]])))),"-")</f>
        <v>0</v>
      </c>
      <c r="T759" s="94">
        <f>IFERROR(VLOOKUP(Readings[[#This Row],[Sensor ID]],Table_Baseline[],COLUMNS(Table_Baseline[[#Headers],[Sensor ID]:[Reference Angle '[Deg']]]),FALSE),"-")</f>
        <v>0</v>
      </c>
      <c r="U759" s="95" t="str">
        <f>Readings[[#This Row],[Sensor ID]]&amp;"-"&amp;Readings[[#This Row],[Epoch]]</f>
        <v>250-RL-OP-11004-45817.2847222222</v>
      </c>
      <c r="V759" s="99">
        <f ca="1">IF(Readings[[#This Row],[Epoch]]=OFFSET(Readings[[#This Row],[Epoch]],-1,0),0,1)</f>
        <v>0</v>
      </c>
    </row>
    <row r="760" spans="4:22" x14ac:dyDescent="0.2">
      <c r="D760" s="32">
        <v>45817.284722222219</v>
      </c>
      <c r="E760" s="33" t="s">
        <v>176</v>
      </c>
      <c r="F760" s="34">
        <v>60040.968000000001</v>
      </c>
      <c r="G760" s="34">
        <v>363844.11699999997</v>
      </c>
      <c r="H760" s="34">
        <v>18.779</v>
      </c>
      <c r="I760" s="33" t="s">
        <v>85</v>
      </c>
      <c r="J760" s="33" t="s">
        <v>90</v>
      </c>
      <c r="K760" s="33">
        <v>11.7</v>
      </c>
      <c r="L760" s="33">
        <v>1018.2</v>
      </c>
      <c r="M760" s="33">
        <v>66</v>
      </c>
      <c r="N760" s="33"/>
      <c r="O760" s="93">
        <f>IFERROR(IF(Readings[[#This Row],[Obs. X]]="","-",Readings[[#This Row],[Obs. X]]-_xlfn.XLOOKUP(Readings[[#This Row],[Sensor ID]],Table_Baseline[Sensor ID],Table_Baseline[Easting '[m']],"-")),"-")</f>
        <v>-9.9999999656574801E-4</v>
      </c>
      <c r="P760" s="93">
        <f>IFERROR(IF(Readings[[#This Row],[Obs. Y]]="","-",Readings[[#This Row],[Obs. Y]]-_xlfn.XLOOKUP(Readings[[#This Row],[Sensor ID]],Table_Baseline[Sensor ID],Table_Baseline[Northing '[m']],"-")),"-")</f>
        <v>-1.0000000474974513E-3</v>
      </c>
      <c r="Q760" s="93">
        <f>IFERROR(IF(Readings[[#This Row],[Obs. Z]]="","-",Readings[[#This Row],[Obs. Z]]-_xlfn.XLOOKUP(Readings[[#This Row],[Sensor ID]],Table_Baseline[Sensor ID],Table_Baseline[Level '[m']],"-")),"-")</f>
        <v>0</v>
      </c>
      <c r="R760" s="93">
        <f>IFERROR(IF(Readings[[#This Row],[Reference Angle]]="-","-",(Readings[[#This Row],[Diff E]]*COS(RADIANS(Readings[[#This Row],[Reference Angle]]))-Readings[[#This Row],[Diff N]]*SIN(RADIANS(Readings[[#This Row],[Reference Angle]])))),"-")</f>
        <v>-9.9999999656574801E-4</v>
      </c>
      <c r="S760" s="93">
        <f>IFERROR(IF(Readings[[#This Row],[Reference Angle]]="-","-",(Readings[[#This Row],[Diff E]]*SIN(RADIANS(Readings[[#This Row],[Reference Angle]]))+Readings[[#This Row],[Diff N]]*COS(RADIANS(Readings[[#This Row],[Reference Angle]])))),"-")</f>
        <v>-1.0000000474974513E-3</v>
      </c>
      <c r="T760" s="94">
        <f>IFERROR(VLOOKUP(Readings[[#This Row],[Sensor ID]],Table_Baseline[],COLUMNS(Table_Baseline[[#Headers],[Sensor ID]:[Reference Angle '[Deg']]]),FALSE),"-")</f>
        <v>0</v>
      </c>
      <c r="U760" s="95" t="str">
        <f>Readings[[#This Row],[Sensor ID]]&amp;"-"&amp;Readings[[#This Row],[Epoch]]</f>
        <v>250-RL-OP-11005-45817.2847222222</v>
      </c>
      <c r="V760" s="99">
        <f ca="1">IF(Readings[[#This Row],[Epoch]]=OFFSET(Readings[[#This Row],[Epoch]],-1,0),0,1)</f>
        <v>0</v>
      </c>
    </row>
    <row r="761" spans="4:22" x14ac:dyDescent="0.2">
      <c r="D761" s="32">
        <v>45817.284722222219</v>
      </c>
      <c r="E761" s="33" t="s">
        <v>175</v>
      </c>
      <c r="F761" s="34">
        <v>60040.606</v>
      </c>
      <c r="G761" s="34">
        <v>363842.86100000003</v>
      </c>
      <c r="H761" s="34">
        <v>18.771999999999998</v>
      </c>
      <c r="I761" s="33" t="s">
        <v>85</v>
      </c>
      <c r="J761" s="33" t="s">
        <v>90</v>
      </c>
      <c r="K761" s="33">
        <v>11.7</v>
      </c>
      <c r="L761" s="33">
        <v>1018.2</v>
      </c>
      <c r="M761" s="33">
        <v>66</v>
      </c>
      <c r="N761" s="33"/>
      <c r="O761" s="93">
        <f>IFERROR(IF(Readings[[#This Row],[Obs. X]]="","-",Readings[[#This Row],[Obs. X]]-_xlfn.XLOOKUP(Readings[[#This Row],[Sensor ID]],Table_Baseline[Sensor ID],Table_Baseline[Easting '[m']],"-")),"-")</f>
        <v>-1.0000000038417056E-3</v>
      </c>
      <c r="P761" s="93">
        <f>IFERROR(IF(Readings[[#This Row],[Obs. Y]]="","-",Readings[[#This Row],[Obs. Y]]-_xlfn.XLOOKUP(Readings[[#This Row],[Sensor ID]],Table_Baseline[Sensor ID],Table_Baseline[Northing '[m']],"-")),"-")</f>
        <v>0</v>
      </c>
      <c r="Q761" s="93">
        <f>IFERROR(IF(Readings[[#This Row],[Obs. Z]]="","-",Readings[[#This Row],[Obs. Z]]-_xlfn.XLOOKUP(Readings[[#This Row],[Sensor ID]],Table_Baseline[Sensor ID],Table_Baseline[Level '[m']],"-")),"-")</f>
        <v>0</v>
      </c>
      <c r="R761" s="93">
        <f>IFERROR(IF(Readings[[#This Row],[Reference Angle]]="-","-",(Readings[[#This Row],[Diff E]]*COS(RADIANS(Readings[[#This Row],[Reference Angle]]))-Readings[[#This Row],[Diff N]]*SIN(RADIANS(Readings[[#This Row],[Reference Angle]])))),"-")</f>
        <v>-1.0000000038417056E-3</v>
      </c>
      <c r="S761" s="93">
        <f>IFERROR(IF(Readings[[#This Row],[Reference Angle]]="-","-",(Readings[[#This Row],[Diff E]]*SIN(RADIANS(Readings[[#This Row],[Reference Angle]]))+Readings[[#This Row],[Diff N]]*COS(RADIANS(Readings[[#This Row],[Reference Angle]])))),"-")</f>
        <v>0</v>
      </c>
      <c r="T761" s="94">
        <f>IFERROR(VLOOKUP(Readings[[#This Row],[Sensor ID]],Table_Baseline[],COLUMNS(Table_Baseline[[#Headers],[Sensor ID]:[Reference Angle '[Deg']]]),FALSE),"-")</f>
        <v>0</v>
      </c>
      <c r="U761" s="95" t="str">
        <f>Readings[[#This Row],[Sensor ID]]&amp;"-"&amp;Readings[[#This Row],[Epoch]]</f>
        <v>250-RL-OP-11006-45817.2847222222</v>
      </c>
      <c r="V761" s="99">
        <f ca="1">IF(Readings[[#This Row],[Epoch]]=OFFSET(Readings[[#This Row],[Epoch]],-1,0),0,1)</f>
        <v>0</v>
      </c>
    </row>
    <row r="762" spans="4:22" x14ac:dyDescent="0.2">
      <c r="D762" s="32">
        <v>45817.284722222219</v>
      </c>
      <c r="E762" s="33" t="s">
        <v>178</v>
      </c>
      <c r="F762" s="34">
        <v>60043.758000000002</v>
      </c>
      <c r="G762" s="34">
        <v>363843.315</v>
      </c>
      <c r="H762" s="34">
        <v>18.774000000000001</v>
      </c>
      <c r="I762" s="33" t="s">
        <v>85</v>
      </c>
      <c r="J762" s="33" t="s">
        <v>90</v>
      </c>
      <c r="K762" s="33">
        <v>11.7</v>
      </c>
      <c r="L762" s="33">
        <v>1018.2</v>
      </c>
      <c r="M762" s="33">
        <v>66</v>
      </c>
      <c r="N762" s="33"/>
      <c r="O762" s="93">
        <f>IFERROR(IF(Readings[[#This Row],[Obs. X]]="","-",Readings[[#This Row],[Obs. X]]-_xlfn.XLOOKUP(Readings[[#This Row],[Sensor ID]],Table_Baseline[Sensor ID],Table_Baseline[Easting '[m']],"-")),"-")</f>
        <v>-9.9999999656574801E-4</v>
      </c>
      <c r="P762" s="93">
        <f>IFERROR(IF(Readings[[#This Row],[Obs. Y]]="","-",Readings[[#This Row],[Obs. Y]]-_xlfn.XLOOKUP(Readings[[#This Row],[Sensor ID]],Table_Baseline[Sensor ID],Table_Baseline[Northing '[m']],"-")),"-")</f>
        <v>9.9999998928979039E-4</v>
      </c>
      <c r="Q762" s="93">
        <f>IFERROR(IF(Readings[[#This Row],[Obs. Z]]="","-",Readings[[#This Row],[Obs. Z]]-_xlfn.XLOOKUP(Readings[[#This Row],[Sensor ID]],Table_Baseline[Sensor ID],Table_Baseline[Level '[m']],"-")),"-")</f>
        <v>-9.9999999999766942E-5</v>
      </c>
      <c r="R762" s="93">
        <f>IFERROR(IF(Readings[[#This Row],[Reference Angle]]="-","-",(Readings[[#This Row],[Diff E]]*COS(RADIANS(Readings[[#This Row],[Reference Angle]]))-Readings[[#This Row],[Diff N]]*SIN(RADIANS(Readings[[#This Row],[Reference Angle]])))),"-")</f>
        <v>-9.9999999656574801E-4</v>
      </c>
      <c r="S762" s="93">
        <f>IFERROR(IF(Readings[[#This Row],[Reference Angle]]="-","-",(Readings[[#This Row],[Diff E]]*SIN(RADIANS(Readings[[#This Row],[Reference Angle]]))+Readings[[#This Row],[Diff N]]*COS(RADIANS(Readings[[#This Row],[Reference Angle]])))),"-")</f>
        <v>9.9999998928979039E-4</v>
      </c>
      <c r="T762" s="94">
        <f>IFERROR(VLOOKUP(Readings[[#This Row],[Sensor ID]],Table_Baseline[],COLUMNS(Table_Baseline[[#Headers],[Sensor ID]:[Reference Angle '[Deg']]]),FALSE),"-")</f>
        <v>0</v>
      </c>
      <c r="U762" s="95" t="str">
        <f>Readings[[#This Row],[Sensor ID]]&amp;"-"&amp;Readings[[#This Row],[Epoch]]</f>
        <v>250-RL-OP-11007-45817.2847222222</v>
      </c>
      <c r="V762" s="99">
        <f ca="1">IF(Readings[[#This Row],[Epoch]]=OFFSET(Readings[[#This Row],[Epoch]],-1,0),0,1)</f>
        <v>0</v>
      </c>
    </row>
    <row r="763" spans="4:22" x14ac:dyDescent="0.2">
      <c r="D763" s="32">
        <v>45817.284722222219</v>
      </c>
      <c r="E763" s="33" t="s">
        <v>177</v>
      </c>
      <c r="F763" s="34">
        <v>60043.440999999999</v>
      </c>
      <c r="G763" s="34">
        <v>363842.04099999997</v>
      </c>
      <c r="H763" s="34">
        <v>18.768999999999998</v>
      </c>
      <c r="I763" s="33" t="s">
        <v>85</v>
      </c>
      <c r="J763" s="33" t="s">
        <v>90</v>
      </c>
      <c r="K763" s="33">
        <v>11.7</v>
      </c>
      <c r="L763" s="33">
        <v>1018.2</v>
      </c>
      <c r="M763" s="33">
        <v>66</v>
      </c>
      <c r="N763" s="33"/>
      <c r="O763" s="93">
        <f>IFERROR(IF(Readings[[#This Row],[Obs. X]]="","-",Readings[[#This Row],[Obs. X]]-_xlfn.XLOOKUP(Readings[[#This Row],[Sensor ID]],Table_Baseline[Sensor ID],Table_Baseline[Easting '[m']],"-")),"-")</f>
        <v>0</v>
      </c>
      <c r="P763" s="93">
        <f>IFERROR(IF(Readings[[#This Row],[Obs. Y]]="","-",Readings[[#This Row],[Obs. Y]]-_xlfn.XLOOKUP(Readings[[#This Row],[Sensor ID]],Table_Baseline[Sensor ID],Table_Baseline[Northing '[m']],"-")),"-")</f>
        <v>9.9999993108212948E-4</v>
      </c>
      <c r="Q763" s="93">
        <f>IFERROR(IF(Readings[[#This Row],[Obs. Z]]="","-",Readings[[#This Row],[Obs. Z]]-_xlfn.XLOOKUP(Readings[[#This Row],[Sensor ID]],Table_Baseline[Sensor ID],Table_Baseline[Level '[m']],"-")),"-")</f>
        <v>6.9999999999836859E-4</v>
      </c>
      <c r="R763" s="93">
        <f>IFERROR(IF(Readings[[#This Row],[Reference Angle]]="-","-",(Readings[[#This Row],[Diff E]]*COS(RADIANS(Readings[[#This Row],[Reference Angle]]))-Readings[[#This Row],[Diff N]]*SIN(RADIANS(Readings[[#This Row],[Reference Angle]])))),"-")</f>
        <v>0</v>
      </c>
      <c r="S763" s="93">
        <f>IFERROR(IF(Readings[[#This Row],[Reference Angle]]="-","-",(Readings[[#This Row],[Diff E]]*SIN(RADIANS(Readings[[#This Row],[Reference Angle]]))+Readings[[#This Row],[Diff N]]*COS(RADIANS(Readings[[#This Row],[Reference Angle]])))),"-")</f>
        <v>9.9999993108212948E-4</v>
      </c>
      <c r="T763" s="94">
        <f>IFERROR(VLOOKUP(Readings[[#This Row],[Sensor ID]],Table_Baseline[],COLUMNS(Table_Baseline[[#Headers],[Sensor ID]:[Reference Angle '[Deg']]]),FALSE),"-")</f>
        <v>0</v>
      </c>
      <c r="U763" s="95" t="str">
        <f>Readings[[#This Row],[Sensor ID]]&amp;"-"&amp;Readings[[#This Row],[Epoch]]</f>
        <v>250-RL-OP-11008-45817.2847222222</v>
      </c>
      <c r="V763" s="99">
        <f ca="1">IF(Readings[[#This Row],[Epoch]]=OFFSET(Readings[[#This Row],[Epoch]],-1,0),0,1)</f>
        <v>0</v>
      </c>
    </row>
    <row r="764" spans="4:22" x14ac:dyDescent="0.2">
      <c r="D764" s="32">
        <v>45817.284722222219</v>
      </c>
      <c r="E764" s="33" t="s">
        <v>180</v>
      </c>
      <c r="F764" s="34">
        <v>60046.633000000002</v>
      </c>
      <c r="G764" s="34">
        <v>363842.48600000003</v>
      </c>
      <c r="H764" s="34">
        <v>18.777000000000001</v>
      </c>
      <c r="I764" s="33" t="s">
        <v>85</v>
      </c>
      <c r="J764" s="33" t="s">
        <v>90</v>
      </c>
      <c r="K764" s="33">
        <v>11.7</v>
      </c>
      <c r="L764" s="33">
        <v>1018.2</v>
      </c>
      <c r="M764" s="33">
        <v>66</v>
      </c>
      <c r="N764" s="33"/>
      <c r="O764" s="93">
        <f>IFERROR(IF(Readings[[#This Row],[Obs. X]]="","-",Readings[[#This Row],[Obs. X]]-_xlfn.XLOOKUP(Readings[[#This Row],[Sensor ID]],Table_Baseline[Sensor ID],Table_Baseline[Easting '[m']],"-")),"-")</f>
        <v>0</v>
      </c>
      <c r="P764" s="93">
        <f>IFERROR(IF(Readings[[#This Row],[Obs. Y]]="","-",Readings[[#This Row],[Obs. Y]]-_xlfn.XLOOKUP(Readings[[#This Row],[Sensor ID]],Table_Baseline[Sensor ID],Table_Baseline[Northing '[m']],"-")),"-")</f>
        <v>1.0000000474974513E-3</v>
      </c>
      <c r="Q764" s="93">
        <f>IFERROR(IF(Readings[[#This Row],[Obs. Z]]="","-",Readings[[#This Row],[Obs. Z]]-_xlfn.XLOOKUP(Readings[[#This Row],[Sensor ID]],Table_Baseline[Sensor ID],Table_Baseline[Level '[m']],"-")),"-")</f>
        <v>-5.9999999999860165E-4</v>
      </c>
      <c r="R764" s="93">
        <f>IFERROR(IF(Readings[[#This Row],[Reference Angle]]="-","-",(Readings[[#This Row],[Diff E]]*COS(RADIANS(Readings[[#This Row],[Reference Angle]]))-Readings[[#This Row],[Diff N]]*SIN(RADIANS(Readings[[#This Row],[Reference Angle]])))),"-")</f>
        <v>0</v>
      </c>
      <c r="S764" s="93">
        <f>IFERROR(IF(Readings[[#This Row],[Reference Angle]]="-","-",(Readings[[#This Row],[Diff E]]*SIN(RADIANS(Readings[[#This Row],[Reference Angle]]))+Readings[[#This Row],[Diff N]]*COS(RADIANS(Readings[[#This Row],[Reference Angle]])))),"-")</f>
        <v>1.0000000474974513E-3</v>
      </c>
      <c r="T764" s="94">
        <f>IFERROR(VLOOKUP(Readings[[#This Row],[Sensor ID]],Table_Baseline[],COLUMNS(Table_Baseline[[#Headers],[Sensor ID]:[Reference Angle '[Deg']]]),FALSE),"-")</f>
        <v>0</v>
      </c>
      <c r="U764" s="95" t="str">
        <f>Readings[[#This Row],[Sensor ID]]&amp;"-"&amp;Readings[[#This Row],[Epoch]]</f>
        <v>250-RL-OP-11009-45817.2847222222</v>
      </c>
      <c r="V764" s="99">
        <f ca="1">IF(Readings[[#This Row],[Epoch]]=OFFSET(Readings[[#This Row],[Epoch]],-1,0),0,1)</f>
        <v>0</v>
      </c>
    </row>
    <row r="765" spans="4:22" x14ac:dyDescent="0.2">
      <c r="D765" s="32">
        <v>45817.284722222219</v>
      </c>
      <c r="E765" s="33" t="s">
        <v>179</v>
      </c>
      <c r="F765" s="34">
        <v>60046.25</v>
      </c>
      <c r="G765" s="34">
        <v>363841.22700000001</v>
      </c>
      <c r="H765" s="34">
        <v>18.77</v>
      </c>
      <c r="I765" s="33" t="s">
        <v>85</v>
      </c>
      <c r="J765" s="33" t="s">
        <v>90</v>
      </c>
      <c r="K765" s="33">
        <v>11.7</v>
      </c>
      <c r="L765" s="33">
        <v>1018.2</v>
      </c>
      <c r="M765" s="33">
        <v>66</v>
      </c>
      <c r="N765" s="33"/>
      <c r="O765" s="93">
        <f>IFERROR(IF(Readings[[#This Row],[Obs. X]]="","-",Readings[[#This Row],[Obs. X]]-_xlfn.XLOOKUP(Readings[[#This Row],[Sensor ID]],Table_Baseline[Sensor ID],Table_Baseline[Easting '[m']],"-")),"-")</f>
        <v>0</v>
      </c>
      <c r="P765" s="93">
        <f>IFERROR(IF(Readings[[#This Row],[Obs. Y]]="","-",Readings[[#This Row],[Obs. Y]]-_xlfn.XLOOKUP(Readings[[#This Row],[Sensor ID]],Table_Baseline[Sensor ID],Table_Baseline[Northing '[m']],"-")),"-")</f>
        <v>9.9999998928979039E-4</v>
      </c>
      <c r="Q765" s="93">
        <f>IFERROR(IF(Readings[[#This Row],[Obs. Z]]="","-",Readings[[#This Row],[Obs. Z]]-_xlfn.XLOOKUP(Readings[[#This Row],[Sensor ID]],Table_Baseline[Sensor ID],Table_Baseline[Level '[m']],"-")),"-")</f>
        <v>1.9999999999953388E-4</v>
      </c>
      <c r="R765" s="93">
        <f>IFERROR(IF(Readings[[#This Row],[Reference Angle]]="-","-",(Readings[[#This Row],[Diff E]]*COS(RADIANS(Readings[[#This Row],[Reference Angle]]))-Readings[[#This Row],[Diff N]]*SIN(RADIANS(Readings[[#This Row],[Reference Angle]])))),"-")</f>
        <v>0</v>
      </c>
      <c r="S765" s="93">
        <f>IFERROR(IF(Readings[[#This Row],[Reference Angle]]="-","-",(Readings[[#This Row],[Diff E]]*SIN(RADIANS(Readings[[#This Row],[Reference Angle]]))+Readings[[#This Row],[Diff N]]*COS(RADIANS(Readings[[#This Row],[Reference Angle]])))),"-")</f>
        <v>9.9999998928979039E-4</v>
      </c>
      <c r="T765" s="94">
        <f>IFERROR(VLOOKUP(Readings[[#This Row],[Sensor ID]],Table_Baseline[],COLUMNS(Table_Baseline[[#Headers],[Sensor ID]:[Reference Angle '[Deg']]]),FALSE),"-")</f>
        <v>0</v>
      </c>
      <c r="U765" s="95" t="str">
        <f>Readings[[#This Row],[Sensor ID]]&amp;"-"&amp;Readings[[#This Row],[Epoch]]</f>
        <v>250-RL-OP-11010-45817.2847222222</v>
      </c>
      <c r="V765" s="99">
        <f ca="1">IF(Readings[[#This Row],[Epoch]]=OFFSET(Readings[[#This Row],[Epoch]],-1,0),0,1)</f>
        <v>0</v>
      </c>
    </row>
    <row r="766" spans="4:22" x14ac:dyDescent="0.2">
      <c r="D766" s="32">
        <v>45817.284722222219</v>
      </c>
      <c r="E766" s="33" t="s">
        <v>182</v>
      </c>
      <c r="F766" s="34">
        <v>60049.398999999998</v>
      </c>
      <c r="G766" s="34">
        <v>363841.69900000002</v>
      </c>
      <c r="H766" s="34">
        <v>18.777999999999999</v>
      </c>
      <c r="I766" s="33" t="s">
        <v>85</v>
      </c>
      <c r="J766" s="33" t="s">
        <v>90</v>
      </c>
      <c r="K766" s="33">
        <v>11.7</v>
      </c>
      <c r="L766" s="33">
        <v>1018.2</v>
      </c>
      <c r="M766" s="33">
        <v>66</v>
      </c>
      <c r="N766" s="33"/>
      <c r="O766" s="93">
        <f>IFERROR(IF(Readings[[#This Row],[Obs. X]]="","-",Readings[[#This Row],[Obs. X]]-_xlfn.XLOOKUP(Readings[[#This Row],[Sensor ID]],Table_Baseline[Sensor ID],Table_Baseline[Easting '[m']],"-")),"-")</f>
        <v>0</v>
      </c>
      <c r="P766" s="93">
        <f>IFERROR(IF(Readings[[#This Row],[Obs. Y]]="","-",Readings[[#This Row],[Obs. Y]]-_xlfn.XLOOKUP(Readings[[#This Row],[Sensor ID]],Table_Baseline[Sensor ID],Table_Baseline[Northing '[m']],"-")),"-")</f>
        <v>1.0000000474974513E-3</v>
      </c>
      <c r="Q766" s="93">
        <f>IFERROR(IF(Readings[[#This Row],[Obs. Z]]="","-",Readings[[#This Row],[Obs. Z]]-_xlfn.XLOOKUP(Readings[[#This Row],[Sensor ID]],Table_Baseline[Sensor ID],Table_Baseline[Level '[m']],"-")),"-")</f>
        <v>0</v>
      </c>
      <c r="R766" s="93">
        <f>IFERROR(IF(Readings[[#This Row],[Reference Angle]]="-","-",(Readings[[#This Row],[Diff E]]*COS(RADIANS(Readings[[#This Row],[Reference Angle]]))-Readings[[#This Row],[Diff N]]*SIN(RADIANS(Readings[[#This Row],[Reference Angle]])))),"-")</f>
        <v>0</v>
      </c>
      <c r="S766" s="93">
        <f>IFERROR(IF(Readings[[#This Row],[Reference Angle]]="-","-",(Readings[[#This Row],[Diff E]]*SIN(RADIANS(Readings[[#This Row],[Reference Angle]]))+Readings[[#This Row],[Diff N]]*COS(RADIANS(Readings[[#This Row],[Reference Angle]])))),"-")</f>
        <v>1.0000000474974513E-3</v>
      </c>
      <c r="T766" s="94">
        <f>IFERROR(VLOOKUP(Readings[[#This Row],[Sensor ID]],Table_Baseline[],COLUMNS(Table_Baseline[[#Headers],[Sensor ID]:[Reference Angle '[Deg']]]),FALSE),"-")</f>
        <v>0</v>
      </c>
      <c r="U766" s="95" t="str">
        <f>Readings[[#This Row],[Sensor ID]]&amp;"-"&amp;Readings[[#This Row],[Epoch]]</f>
        <v>250-RL-OP-11011-45817.2847222222</v>
      </c>
      <c r="V766" s="99">
        <f ca="1">IF(Readings[[#This Row],[Epoch]]=OFFSET(Readings[[#This Row],[Epoch]],-1,0),0,1)</f>
        <v>0</v>
      </c>
    </row>
    <row r="767" spans="4:22" x14ac:dyDescent="0.2">
      <c r="D767" s="32">
        <v>45817.284722222219</v>
      </c>
      <c r="E767" s="33" t="s">
        <v>181</v>
      </c>
      <c r="F767" s="34">
        <v>60049.040999999997</v>
      </c>
      <c r="G767" s="34">
        <v>363840.435</v>
      </c>
      <c r="H767" s="34">
        <v>18.771000000000001</v>
      </c>
      <c r="I767" s="33" t="s">
        <v>85</v>
      </c>
      <c r="J767" s="33" t="s">
        <v>90</v>
      </c>
      <c r="K767" s="33">
        <v>11.7</v>
      </c>
      <c r="L767" s="33">
        <v>1018.2</v>
      </c>
      <c r="M767" s="33">
        <v>66</v>
      </c>
      <c r="N767" s="33"/>
      <c r="O767" s="93">
        <f>IFERROR(IF(Readings[[#This Row],[Obs. X]]="","-",Readings[[#This Row],[Obs. X]]-_xlfn.XLOOKUP(Readings[[#This Row],[Sensor ID]],Table_Baseline[Sensor ID],Table_Baseline[Easting '[m']],"-")),"-")</f>
        <v>0</v>
      </c>
      <c r="P767" s="93">
        <f>IFERROR(IF(Readings[[#This Row],[Obs. Y]]="","-",Readings[[#This Row],[Obs. Y]]-_xlfn.XLOOKUP(Readings[[#This Row],[Sensor ID]],Table_Baseline[Sensor ID],Table_Baseline[Northing '[m']],"-")),"-")</f>
        <v>2.0000000367872417E-3</v>
      </c>
      <c r="Q767" s="93">
        <f>IFERROR(IF(Readings[[#This Row],[Obs. Z]]="","-",Readings[[#This Row],[Obs. Z]]-_xlfn.XLOOKUP(Readings[[#This Row],[Sensor ID]],Table_Baseline[Sensor ID],Table_Baseline[Level '[m']],"-")),"-")</f>
        <v>-9.9999999999766942E-5</v>
      </c>
      <c r="R767" s="93">
        <f>IFERROR(IF(Readings[[#This Row],[Reference Angle]]="-","-",(Readings[[#This Row],[Diff E]]*COS(RADIANS(Readings[[#This Row],[Reference Angle]]))-Readings[[#This Row],[Diff N]]*SIN(RADIANS(Readings[[#This Row],[Reference Angle]])))),"-")</f>
        <v>0</v>
      </c>
      <c r="S767" s="93">
        <f>IFERROR(IF(Readings[[#This Row],[Reference Angle]]="-","-",(Readings[[#This Row],[Diff E]]*SIN(RADIANS(Readings[[#This Row],[Reference Angle]]))+Readings[[#This Row],[Diff N]]*COS(RADIANS(Readings[[#This Row],[Reference Angle]])))),"-")</f>
        <v>2.0000000367872417E-3</v>
      </c>
      <c r="T767" s="94">
        <f>IFERROR(VLOOKUP(Readings[[#This Row],[Sensor ID]],Table_Baseline[],COLUMNS(Table_Baseline[[#Headers],[Sensor ID]:[Reference Angle '[Deg']]]),FALSE),"-")</f>
        <v>0</v>
      </c>
      <c r="U767" s="95" t="str">
        <f>Readings[[#This Row],[Sensor ID]]&amp;"-"&amp;Readings[[#This Row],[Epoch]]</f>
        <v>250-RL-OP-11012-45817.2847222222</v>
      </c>
      <c r="V767" s="99">
        <f ca="1">IF(Readings[[#This Row],[Epoch]]=OFFSET(Readings[[#This Row],[Epoch]],-1,0),0,1)</f>
        <v>0</v>
      </c>
    </row>
    <row r="768" spans="4:22" x14ac:dyDescent="0.2">
      <c r="D768" s="32">
        <v>45817.284722222219</v>
      </c>
      <c r="E768" s="33" t="s">
        <v>184</v>
      </c>
      <c r="F768" s="34">
        <v>60052.292999999998</v>
      </c>
      <c r="G768" s="34">
        <v>363840.88699999999</v>
      </c>
      <c r="H768" s="34">
        <v>18.779</v>
      </c>
      <c r="I768" s="33" t="s">
        <v>85</v>
      </c>
      <c r="J768" s="33" t="s">
        <v>90</v>
      </c>
      <c r="K768" s="33">
        <v>11.7</v>
      </c>
      <c r="L768" s="33">
        <v>1018.2</v>
      </c>
      <c r="M768" s="33">
        <v>66</v>
      </c>
      <c r="N768" s="33"/>
      <c r="O768" s="93">
        <f>IFERROR(IF(Readings[[#This Row],[Obs. X]]="","-",Readings[[#This Row],[Obs. X]]-_xlfn.XLOOKUP(Readings[[#This Row],[Sensor ID]],Table_Baseline[Sensor ID],Table_Baseline[Easting '[m']],"-")),"-")</f>
        <v>0</v>
      </c>
      <c r="P768" s="93">
        <f>IFERROR(IF(Readings[[#This Row],[Obs. Y]]="","-",Readings[[#This Row],[Obs. Y]]-_xlfn.XLOOKUP(Readings[[#This Row],[Sensor ID]],Table_Baseline[Sensor ID],Table_Baseline[Northing '[m']],"-")),"-")</f>
        <v>1.9999999785795808E-3</v>
      </c>
      <c r="Q768" s="93">
        <f>IFERROR(IF(Readings[[#This Row],[Obs. Z]]="","-",Readings[[#This Row],[Obs. Z]]-_xlfn.XLOOKUP(Readings[[#This Row],[Sensor ID]],Table_Baseline[Sensor ID],Table_Baseline[Level '[m']],"-")),"-")</f>
        <v>0</v>
      </c>
      <c r="R768" s="93">
        <f>IFERROR(IF(Readings[[#This Row],[Reference Angle]]="-","-",(Readings[[#This Row],[Diff E]]*COS(RADIANS(Readings[[#This Row],[Reference Angle]]))-Readings[[#This Row],[Diff N]]*SIN(RADIANS(Readings[[#This Row],[Reference Angle]])))),"-")</f>
        <v>0</v>
      </c>
      <c r="S768" s="93">
        <f>IFERROR(IF(Readings[[#This Row],[Reference Angle]]="-","-",(Readings[[#This Row],[Diff E]]*SIN(RADIANS(Readings[[#This Row],[Reference Angle]]))+Readings[[#This Row],[Diff N]]*COS(RADIANS(Readings[[#This Row],[Reference Angle]])))),"-")</f>
        <v>1.9999999785795808E-3</v>
      </c>
      <c r="T768" s="94">
        <f>IFERROR(VLOOKUP(Readings[[#This Row],[Sensor ID]],Table_Baseline[],COLUMNS(Table_Baseline[[#Headers],[Sensor ID]:[Reference Angle '[Deg']]]),FALSE),"-")</f>
        <v>0</v>
      </c>
      <c r="U768" s="95" t="str">
        <f>Readings[[#This Row],[Sensor ID]]&amp;"-"&amp;Readings[[#This Row],[Epoch]]</f>
        <v>250-RL-OP-11013-45817.2847222222</v>
      </c>
      <c r="V768" s="99">
        <f ca="1">IF(Readings[[#This Row],[Epoch]]=OFFSET(Readings[[#This Row],[Epoch]],-1,0),0,1)</f>
        <v>0</v>
      </c>
    </row>
    <row r="769" spans="4:22" x14ac:dyDescent="0.2">
      <c r="D769" s="32">
        <v>45817.284722222219</v>
      </c>
      <c r="E769" s="33" t="s">
        <v>183</v>
      </c>
      <c r="F769" s="34">
        <v>60051.989000000001</v>
      </c>
      <c r="G769" s="34">
        <v>363839.60600000003</v>
      </c>
      <c r="H769" s="34">
        <v>18.77</v>
      </c>
      <c r="I769" s="33" t="s">
        <v>85</v>
      </c>
      <c r="J769" s="33" t="s">
        <v>90</v>
      </c>
      <c r="K769" s="33">
        <v>11.7</v>
      </c>
      <c r="L769" s="33">
        <v>1018.2</v>
      </c>
      <c r="M769" s="33">
        <v>66</v>
      </c>
      <c r="N769" s="33"/>
      <c r="O769" s="93">
        <f>IFERROR(IF(Readings[[#This Row],[Obs. X]]="","-",Readings[[#This Row],[Obs. X]]-_xlfn.XLOOKUP(Readings[[#This Row],[Sensor ID]],Table_Baseline[Sensor ID],Table_Baseline[Easting '[m']],"-")),"-")</f>
        <v>0</v>
      </c>
      <c r="P769" s="93">
        <f>IFERROR(IF(Readings[[#This Row],[Obs. Y]]="","-",Readings[[#This Row],[Obs. Y]]-_xlfn.XLOOKUP(Readings[[#This Row],[Sensor ID]],Table_Baseline[Sensor ID],Table_Baseline[Northing '[m']],"-")),"-")</f>
        <v>3.0000000260770321E-3</v>
      </c>
      <c r="Q769" s="93">
        <f>IFERROR(IF(Readings[[#This Row],[Obs. Z]]="","-",Readings[[#This Row],[Obs. Z]]-_xlfn.XLOOKUP(Readings[[#This Row],[Sensor ID]],Table_Baseline[Sensor ID],Table_Baseline[Level '[m']],"-")),"-")</f>
        <v>-9.9999999999766942E-5</v>
      </c>
      <c r="R769" s="93">
        <f>IFERROR(IF(Readings[[#This Row],[Reference Angle]]="-","-",(Readings[[#This Row],[Diff E]]*COS(RADIANS(Readings[[#This Row],[Reference Angle]]))-Readings[[#This Row],[Diff N]]*SIN(RADIANS(Readings[[#This Row],[Reference Angle]])))),"-")</f>
        <v>0</v>
      </c>
      <c r="S769" s="93">
        <f>IFERROR(IF(Readings[[#This Row],[Reference Angle]]="-","-",(Readings[[#This Row],[Diff E]]*SIN(RADIANS(Readings[[#This Row],[Reference Angle]]))+Readings[[#This Row],[Diff N]]*COS(RADIANS(Readings[[#This Row],[Reference Angle]])))),"-")</f>
        <v>3.0000000260770321E-3</v>
      </c>
      <c r="T769" s="94">
        <f>IFERROR(VLOOKUP(Readings[[#This Row],[Sensor ID]],Table_Baseline[],COLUMNS(Table_Baseline[[#Headers],[Sensor ID]:[Reference Angle '[Deg']]]),FALSE),"-")</f>
        <v>0</v>
      </c>
      <c r="U769" s="95" t="str">
        <f>Readings[[#This Row],[Sensor ID]]&amp;"-"&amp;Readings[[#This Row],[Epoch]]</f>
        <v>250-RL-OP-11014-45817.2847222222</v>
      </c>
      <c r="V769" s="99">
        <f ca="1">IF(Readings[[#This Row],[Epoch]]=OFFSET(Readings[[#This Row],[Epoch]],-1,0),0,1)</f>
        <v>0</v>
      </c>
    </row>
    <row r="770" spans="4:22" x14ac:dyDescent="0.2">
      <c r="D770" s="32">
        <v>45817.284722222219</v>
      </c>
      <c r="E770" s="33" t="s">
        <v>186</v>
      </c>
      <c r="F770" s="34">
        <v>60055.196000000004</v>
      </c>
      <c r="G770" s="34">
        <v>363840.09700000001</v>
      </c>
      <c r="H770" s="34">
        <v>18.78</v>
      </c>
      <c r="I770" s="33" t="s">
        <v>85</v>
      </c>
      <c r="J770" s="33" t="s">
        <v>90</v>
      </c>
      <c r="K770" s="33">
        <v>11.7</v>
      </c>
      <c r="L770" s="33">
        <v>1018.2</v>
      </c>
      <c r="M770" s="33">
        <v>66</v>
      </c>
      <c r="N770" s="33"/>
      <c r="O770" s="93">
        <f>IFERROR(IF(Readings[[#This Row],[Obs. X]]="","-",Readings[[#This Row],[Obs. X]]-_xlfn.XLOOKUP(Readings[[#This Row],[Sensor ID]],Table_Baseline[Sensor ID],Table_Baseline[Easting '[m']],"-")),"-")</f>
        <v>0</v>
      </c>
      <c r="P770" s="93">
        <f>IFERROR(IF(Readings[[#This Row],[Obs. Y]]="","-",Readings[[#This Row],[Obs. Y]]-_xlfn.XLOOKUP(Readings[[#This Row],[Sensor ID]],Table_Baseline[Sensor ID],Table_Baseline[Northing '[m']],"-")),"-")</f>
        <v>2.0000000367872417E-3</v>
      </c>
      <c r="Q770" s="93">
        <f>IFERROR(IF(Readings[[#This Row],[Obs. Z]]="","-",Readings[[#This Row],[Obs. Z]]-_xlfn.XLOOKUP(Readings[[#This Row],[Sensor ID]],Table_Baseline[Sensor ID],Table_Baseline[Level '[m']],"-")),"-")</f>
        <v>-8.9999999999790248E-4</v>
      </c>
      <c r="R770" s="93">
        <f>IFERROR(IF(Readings[[#This Row],[Reference Angle]]="-","-",(Readings[[#This Row],[Diff E]]*COS(RADIANS(Readings[[#This Row],[Reference Angle]]))-Readings[[#This Row],[Diff N]]*SIN(RADIANS(Readings[[#This Row],[Reference Angle]])))),"-")</f>
        <v>0</v>
      </c>
      <c r="S770" s="93">
        <f>IFERROR(IF(Readings[[#This Row],[Reference Angle]]="-","-",(Readings[[#This Row],[Diff E]]*SIN(RADIANS(Readings[[#This Row],[Reference Angle]]))+Readings[[#This Row],[Diff N]]*COS(RADIANS(Readings[[#This Row],[Reference Angle]])))),"-")</f>
        <v>2.0000000367872417E-3</v>
      </c>
      <c r="T770" s="94">
        <f>IFERROR(VLOOKUP(Readings[[#This Row],[Sensor ID]],Table_Baseline[],COLUMNS(Table_Baseline[[#Headers],[Sensor ID]:[Reference Angle '[Deg']]]),FALSE),"-")</f>
        <v>0</v>
      </c>
      <c r="U770" s="95" t="str">
        <f>Readings[[#This Row],[Sensor ID]]&amp;"-"&amp;Readings[[#This Row],[Epoch]]</f>
        <v>250-RL-OP-11015-45817.2847222222</v>
      </c>
      <c r="V770" s="99">
        <f ca="1">IF(Readings[[#This Row],[Epoch]]=OFFSET(Readings[[#This Row],[Epoch]],-1,0),0,1)</f>
        <v>0</v>
      </c>
    </row>
    <row r="771" spans="4:22" x14ac:dyDescent="0.2">
      <c r="D771" s="32">
        <v>45817.284722222219</v>
      </c>
      <c r="E771" s="33" t="s">
        <v>185</v>
      </c>
      <c r="F771" s="34">
        <v>60054.885000000002</v>
      </c>
      <c r="G771" s="34">
        <v>363838.80700000003</v>
      </c>
      <c r="H771" s="34">
        <v>18.773</v>
      </c>
      <c r="I771" s="33" t="s">
        <v>85</v>
      </c>
      <c r="J771" s="33" t="s">
        <v>90</v>
      </c>
      <c r="K771" s="33">
        <v>11.7</v>
      </c>
      <c r="L771" s="33">
        <v>1018.2</v>
      </c>
      <c r="M771" s="33">
        <v>66</v>
      </c>
      <c r="N771" s="33"/>
      <c r="O771" s="93">
        <f>IFERROR(IF(Readings[[#This Row],[Obs. X]]="","-",Readings[[#This Row],[Obs. X]]-_xlfn.XLOOKUP(Readings[[#This Row],[Sensor ID]],Table_Baseline[Sensor ID],Table_Baseline[Easting '[m']],"-")),"-")</f>
        <v>-9.9999999656574801E-4</v>
      </c>
      <c r="P771" s="93">
        <f>IFERROR(IF(Readings[[#This Row],[Obs. Y]]="","-",Readings[[#This Row],[Obs. Y]]-_xlfn.XLOOKUP(Readings[[#This Row],[Sensor ID]],Table_Baseline[Sensor ID],Table_Baseline[Northing '[m']],"-")),"-")</f>
        <v>2.0000000367872417E-3</v>
      </c>
      <c r="Q771" s="93">
        <f>IFERROR(IF(Readings[[#This Row],[Obs. Z]]="","-",Readings[[#This Row],[Obs. Z]]-_xlfn.XLOOKUP(Readings[[#This Row],[Sensor ID]],Table_Baseline[Sensor ID],Table_Baseline[Level '[m']],"-")),"-")</f>
        <v>-9.9999999999766942E-5</v>
      </c>
      <c r="R771" s="93">
        <f>IFERROR(IF(Readings[[#This Row],[Reference Angle]]="-","-",(Readings[[#This Row],[Diff E]]*COS(RADIANS(Readings[[#This Row],[Reference Angle]]))-Readings[[#This Row],[Diff N]]*SIN(RADIANS(Readings[[#This Row],[Reference Angle]])))),"-")</f>
        <v>-9.9999999656574801E-4</v>
      </c>
      <c r="S771" s="93">
        <f>IFERROR(IF(Readings[[#This Row],[Reference Angle]]="-","-",(Readings[[#This Row],[Diff E]]*SIN(RADIANS(Readings[[#This Row],[Reference Angle]]))+Readings[[#This Row],[Diff N]]*COS(RADIANS(Readings[[#This Row],[Reference Angle]])))),"-")</f>
        <v>2.0000000367872417E-3</v>
      </c>
      <c r="T771" s="94">
        <f>IFERROR(VLOOKUP(Readings[[#This Row],[Sensor ID]],Table_Baseline[],COLUMNS(Table_Baseline[[#Headers],[Sensor ID]:[Reference Angle '[Deg']]]),FALSE),"-")</f>
        <v>0</v>
      </c>
      <c r="U771" s="95" t="str">
        <f>Readings[[#This Row],[Sensor ID]]&amp;"-"&amp;Readings[[#This Row],[Epoch]]</f>
        <v>250-RL-OP-11016-45817.2847222222</v>
      </c>
      <c r="V771" s="99">
        <f ca="1">IF(Readings[[#This Row],[Epoch]]=OFFSET(Readings[[#This Row],[Epoch]],-1,0),0,1)</f>
        <v>0</v>
      </c>
    </row>
    <row r="772" spans="4:22" x14ac:dyDescent="0.2">
      <c r="D772" s="32">
        <v>45817.284722222219</v>
      </c>
      <c r="E772" s="33" t="s">
        <v>188</v>
      </c>
      <c r="F772" s="34">
        <v>60057.951999999997</v>
      </c>
      <c r="G772" s="34">
        <v>363839.36499999999</v>
      </c>
      <c r="H772" s="34">
        <v>18.785</v>
      </c>
      <c r="I772" s="33" t="s">
        <v>85</v>
      </c>
      <c r="J772" s="33" t="s">
        <v>90</v>
      </c>
      <c r="K772" s="33">
        <v>11.7</v>
      </c>
      <c r="L772" s="33">
        <v>1018.2</v>
      </c>
      <c r="M772" s="33">
        <v>66</v>
      </c>
      <c r="N772" s="33"/>
      <c r="O772" s="93">
        <f>IFERROR(IF(Readings[[#This Row],[Obs. X]]="","-",Readings[[#This Row],[Obs. X]]-_xlfn.XLOOKUP(Readings[[#This Row],[Sensor ID]],Table_Baseline[Sensor ID],Table_Baseline[Easting '[m']],"-")),"-")</f>
        <v>0</v>
      </c>
      <c r="P772" s="93">
        <f>IFERROR(IF(Readings[[#This Row],[Obs. Y]]="","-",Readings[[#This Row],[Obs. Y]]-_xlfn.XLOOKUP(Readings[[#This Row],[Sensor ID]],Table_Baseline[Sensor ID],Table_Baseline[Northing '[m']],"-")),"-")</f>
        <v>3.0000000260770321E-3</v>
      </c>
      <c r="Q772" s="93">
        <f>IFERROR(IF(Readings[[#This Row],[Obs. Z]]="","-",Readings[[#This Row],[Obs. Z]]-_xlfn.XLOOKUP(Readings[[#This Row],[Sensor ID]],Table_Baseline[Sensor ID],Table_Baseline[Level '[m']],"-")),"-")</f>
        <v>-1.0000000000012221E-3</v>
      </c>
      <c r="R772" s="93">
        <f>IFERROR(IF(Readings[[#This Row],[Reference Angle]]="-","-",(Readings[[#This Row],[Diff E]]*COS(RADIANS(Readings[[#This Row],[Reference Angle]]))-Readings[[#This Row],[Diff N]]*SIN(RADIANS(Readings[[#This Row],[Reference Angle]])))),"-")</f>
        <v>0</v>
      </c>
      <c r="S772" s="93">
        <f>IFERROR(IF(Readings[[#This Row],[Reference Angle]]="-","-",(Readings[[#This Row],[Diff E]]*SIN(RADIANS(Readings[[#This Row],[Reference Angle]]))+Readings[[#This Row],[Diff N]]*COS(RADIANS(Readings[[#This Row],[Reference Angle]])))),"-")</f>
        <v>3.0000000260770321E-3</v>
      </c>
      <c r="T772" s="94">
        <f>IFERROR(VLOOKUP(Readings[[#This Row],[Sensor ID]],Table_Baseline[],COLUMNS(Table_Baseline[[#Headers],[Sensor ID]:[Reference Angle '[Deg']]]),FALSE),"-")</f>
        <v>0</v>
      </c>
      <c r="U772" s="95" t="str">
        <f>Readings[[#This Row],[Sensor ID]]&amp;"-"&amp;Readings[[#This Row],[Epoch]]</f>
        <v>250-RL-OP-11017-45817.2847222222</v>
      </c>
      <c r="V772" s="99">
        <f ca="1">IF(Readings[[#This Row],[Epoch]]=OFFSET(Readings[[#This Row],[Epoch]],-1,0),0,1)</f>
        <v>0</v>
      </c>
    </row>
    <row r="773" spans="4:22" x14ac:dyDescent="0.2">
      <c r="D773" s="32">
        <v>45817.284722222219</v>
      </c>
      <c r="E773" s="33" t="s">
        <v>187</v>
      </c>
      <c r="F773" s="34">
        <v>60057.578999999998</v>
      </c>
      <c r="G773" s="34">
        <v>363838.10100000002</v>
      </c>
      <c r="H773" s="34">
        <v>18.774999999999999</v>
      </c>
      <c r="I773" s="33" t="s">
        <v>85</v>
      </c>
      <c r="J773" s="33" t="s">
        <v>90</v>
      </c>
      <c r="K773" s="33">
        <v>11.7</v>
      </c>
      <c r="L773" s="33">
        <v>1018.2</v>
      </c>
      <c r="M773" s="33">
        <v>66</v>
      </c>
      <c r="N773" s="33"/>
      <c r="O773" s="93">
        <f>IFERROR(IF(Readings[[#This Row],[Obs. X]]="","-",Readings[[#This Row],[Obs. X]]-_xlfn.XLOOKUP(Readings[[#This Row],[Sensor ID]],Table_Baseline[Sensor ID],Table_Baseline[Easting '[m']],"-")),"-")</f>
        <v>0</v>
      </c>
      <c r="P773" s="93">
        <f>IFERROR(IF(Readings[[#This Row],[Obs. Y]]="","-",Readings[[#This Row],[Obs. Y]]-_xlfn.XLOOKUP(Readings[[#This Row],[Sensor ID]],Table_Baseline[Sensor ID],Table_Baseline[Northing '[m']],"-")),"-")</f>
        <v>3.0000000260770321E-3</v>
      </c>
      <c r="Q773" s="93">
        <f>IFERROR(IF(Readings[[#This Row],[Obs. Z]]="","-",Readings[[#This Row],[Obs. Z]]-_xlfn.XLOOKUP(Readings[[#This Row],[Sensor ID]],Table_Baseline[Sensor ID],Table_Baseline[Level '[m']],"-")),"-")</f>
        <v>-1.0000000000012221E-3</v>
      </c>
      <c r="R773" s="93">
        <f>IFERROR(IF(Readings[[#This Row],[Reference Angle]]="-","-",(Readings[[#This Row],[Diff E]]*COS(RADIANS(Readings[[#This Row],[Reference Angle]]))-Readings[[#This Row],[Diff N]]*SIN(RADIANS(Readings[[#This Row],[Reference Angle]])))),"-")</f>
        <v>0</v>
      </c>
      <c r="S773" s="93">
        <f>IFERROR(IF(Readings[[#This Row],[Reference Angle]]="-","-",(Readings[[#This Row],[Diff E]]*SIN(RADIANS(Readings[[#This Row],[Reference Angle]]))+Readings[[#This Row],[Diff N]]*COS(RADIANS(Readings[[#This Row],[Reference Angle]])))),"-")</f>
        <v>3.0000000260770321E-3</v>
      </c>
      <c r="T773" s="94">
        <f>IFERROR(VLOOKUP(Readings[[#This Row],[Sensor ID]],Table_Baseline[],COLUMNS(Table_Baseline[[#Headers],[Sensor ID]:[Reference Angle '[Deg']]]),FALSE),"-")</f>
        <v>0</v>
      </c>
      <c r="U773" s="95" t="str">
        <f>Readings[[#This Row],[Sensor ID]]&amp;"-"&amp;Readings[[#This Row],[Epoch]]</f>
        <v>250-RL-OP-11018-45817.2847222222</v>
      </c>
      <c r="V773" s="99">
        <f ca="1">IF(Readings[[#This Row],[Epoch]]=OFFSET(Readings[[#This Row],[Epoch]],-1,0),0,1)</f>
        <v>0</v>
      </c>
    </row>
    <row r="774" spans="4:22" x14ac:dyDescent="0.2">
      <c r="D774" s="32">
        <v>45817.284722222219</v>
      </c>
      <c r="E774" s="33" t="s">
        <v>190</v>
      </c>
      <c r="F774" s="34">
        <v>60060.963000000003</v>
      </c>
      <c r="G774" s="34">
        <v>363838.60399999999</v>
      </c>
      <c r="H774" s="34">
        <v>18.794</v>
      </c>
      <c r="I774" s="33" t="s">
        <v>85</v>
      </c>
      <c r="J774" s="33" t="s">
        <v>90</v>
      </c>
      <c r="K774" s="33">
        <v>11.7</v>
      </c>
      <c r="L774" s="33">
        <v>1018.2</v>
      </c>
      <c r="M774" s="33">
        <v>66</v>
      </c>
      <c r="N774" s="33"/>
      <c r="O774" s="93">
        <f>IFERROR(IF(Readings[[#This Row],[Obs. X]]="","-",Readings[[#This Row],[Obs. X]]-_xlfn.XLOOKUP(Readings[[#This Row],[Sensor ID]],Table_Baseline[Sensor ID],Table_Baseline[Easting '[m']],"-")),"-")</f>
        <v>0</v>
      </c>
      <c r="P774" s="93">
        <f>IFERROR(IF(Readings[[#This Row],[Obs. Y]]="","-",Readings[[#This Row],[Obs. Y]]-_xlfn.XLOOKUP(Readings[[#This Row],[Sensor ID]],Table_Baseline[Sensor ID],Table_Baseline[Northing '[m']],"-")),"-")</f>
        <v>2.9999999678693712E-3</v>
      </c>
      <c r="Q774" s="93">
        <f>IFERROR(IF(Readings[[#This Row],[Obs. Z]]="","-",Readings[[#This Row],[Obs. Z]]-_xlfn.XLOOKUP(Readings[[#This Row],[Sensor ID]],Table_Baseline[Sensor ID],Table_Baseline[Level '[m']],"-")),"-")</f>
        <v>-5.9999999999860165E-4</v>
      </c>
      <c r="R774" s="93">
        <f>IFERROR(IF(Readings[[#This Row],[Reference Angle]]="-","-",(Readings[[#This Row],[Diff E]]*COS(RADIANS(Readings[[#This Row],[Reference Angle]]))-Readings[[#This Row],[Diff N]]*SIN(RADIANS(Readings[[#This Row],[Reference Angle]])))),"-")</f>
        <v>0</v>
      </c>
      <c r="S774" s="93">
        <f>IFERROR(IF(Readings[[#This Row],[Reference Angle]]="-","-",(Readings[[#This Row],[Diff E]]*SIN(RADIANS(Readings[[#This Row],[Reference Angle]]))+Readings[[#This Row],[Diff N]]*COS(RADIANS(Readings[[#This Row],[Reference Angle]])))),"-")</f>
        <v>2.9999999678693712E-3</v>
      </c>
      <c r="T774" s="94">
        <f>IFERROR(VLOOKUP(Readings[[#This Row],[Sensor ID]],Table_Baseline[],COLUMNS(Table_Baseline[[#Headers],[Sensor ID]:[Reference Angle '[Deg']]]),FALSE),"-")</f>
        <v>0</v>
      </c>
      <c r="U774" s="95" t="str">
        <f>Readings[[#This Row],[Sensor ID]]&amp;"-"&amp;Readings[[#This Row],[Epoch]]</f>
        <v>250-RL-OP-11019-45817.2847222222</v>
      </c>
      <c r="V774" s="99">
        <f ca="1">IF(Readings[[#This Row],[Epoch]]=OFFSET(Readings[[#This Row],[Epoch]],-1,0),0,1)</f>
        <v>0</v>
      </c>
    </row>
    <row r="775" spans="4:22" x14ac:dyDescent="0.2">
      <c r="D775" s="32">
        <v>45817.284722222219</v>
      </c>
      <c r="E775" s="33" t="s">
        <v>189</v>
      </c>
      <c r="F775" s="34">
        <v>60060.639999999999</v>
      </c>
      <c r="G775" s="34">
        <v>363837.326</v>
      </c>
      <c r="H775" s="34">
        <v>18.782</v>
      </c>
      <c r="I775" s="33" t="s">
        <v>85</v>
      </c>
      <c r="J775" s="33" t="s">
        <v>90</v>
      </c>
      <c r="K775" s="33">
        <v>11.7</v>
      </c>
      <c r="L775" s="33">
        <v>1018.2</v>
      </c>
      <c r="M775" s="33">
        <v>66</v>
      </c>
      <c r="N775" s="33"/>
      <c r="O775" s="93">
        <f>IFERROR(IF(Readings[[#This Row],[Obs. X]]="","-",Readings[[#This Row],[Obs. X]]-_xlfn.XLOOKUP(Readings[[#This Row],[Sensor ID]],Table_Baseline[Sensor ID],Table_Baseline[Easting '[m']],"-")),"-")</f>
        <v>0</v>
      </c>
      <c r="P775" s="93">
        <f>IFERROR(IF(Readings[[#This Row],[Obs. Y]]="","-",Readings[[#This Row],[Obs. Y]]-_xlfn.XLOOKUP(Readings[[#This Row],[Sensor ID]],Table_Baseline[Sensor ID],Table_Baseline[Northing '[m']],"-")),"-")</f>
        <v>4.0000000153668225E-3</v>
      </c>
      <c r="Q775" s="93">
        <f>IFERROR(IF(Readings[[#This Row],[Obs. Z]]="","-",Readings[[#This Row],[Obs. Z]]-_xlfn.XLOOKUP(Readings[[#This Row],[Sensor ID]],Table_Baseline[Sensor ID],Table_Baseline[Level '[m']],"-")),"-")</f>
        <v>-1.5999999999998238E-3</v>
      </c>
      <c r="R775" s="93">
        <f>IFERROR(IF(Readings[[#This Row],[Reference Angle]]="-","-",(Readings[[#This Row],[Diff E]]*COS(RADIANS(Readings[[#This Row],[Reference Angle]]))-Readings[[#This Row],[Diff N]]*SIN(RADIANS(Readings[[#This Row],[Reference Angle]])))),"-")</f>
        <v>0</v>
      </c>
      <c r="S775" s="93">
        <f>IFERROR(IF(Readings[[#This Row],[Reference Angle]]="-","-",(Readings[[#This Row],[Diff E]]*SIN(RADIANS(Readings[[#This Row],[Reference Angle]]))+Readings[[#This Row],[Diff N]]*COS(RADIANS(Readings[[#This Row],[Reference Angle]])))),"-")</f>
        <v>4.0000000153668225E-3</v>
      </c>
      <c r="T775" s="94">
        <f>IFERROR(VLOOKUP(Readings[[#This Row],[Sensor ID]],Table_Baseline[],COLUMNS(Table_Baseline[[#Headers],[Sensor ID]:[Reference Angle '[Deg']]]),FALSE),"-")</f>
        <v>0</v>
      </c>
      <c r="U775" s="95" t="str">
        <f>Readings[[#This Row],[Sensor ID]]&amp;"-"&amp;Readings[[#This Row],[Epoch]]</f>
        <v>250-RL-OP-11020-45817.2847222222</v>
      </c>
      <c r="V775" s="99">
        <f ca="1">IF(Readings[[#This Row],[Epoch]]=OFFSET(Readings[[#This Row],[Epoch]],-1,0),0,1)</f>
        <v>0</v>
      </c>
    </row>
    <row r="776" spans="4:22" x14ac:dyDescent="0.2">
      <c r="D776" s="32">
        <v>45817.284722222219</v>
      </c>
      <c r="E776" s="33" t="s">
        <v>192</v>
      </c>
      <c r="F776" s="34">
        <v>60063.75</v>
      </c>
      <c r="G776" s="34">
        <v>363837.92099999997</v>
      </c>
      <c r="H776" s="34">
        <v>18.808</v>
      </c>
      <c r="I776" s="33" t="s">
        <v>85</v>
      </c>
      <c r="J776" s="33" t="s">
        <v>90</v>
      </c>
      <c r="K776" s="33">
        <v>11.7</v>
      </c>
      <c r="L776" s="33">
        <v>1018.2</v>
      </c>
      <c r="M776" s="33">
        <v>66</v>
      </c>
      <c r="N776" s="33"/>
      <c r="O776" s="93">
        <f>IFERROR(IF(Readings[[#This Row],[Obs. X]]="","-",Readings[[#This Row],[Obs. X]]-_xlfn.XLOOKUP(Readings[[#This Row],[Sensor ID]],Table_Baseline[Sensor ID],Table_Baseline[Easting '[m']],"-")),"-")</f>
        <v>-9.9999999656574801E-4</v>
      </c>
      <c r="P776" s="93">
        <f>IFERROR(IF(Readings[[#This Row],[Obs. Y]]="","-",Readings[[#This Row],[Obs. Y]]-_xlfn.XLOOKUP(Readings[[#This Row],[Sensor ID]],Table_Baseline[Sensor ID],Table_Baseline[Northing '[m']],"-")),"-")</f>
        <v>2.9999999678693712E-3</v>
      </c>
      <c r="Q776" s="93">
        <f>IFERROR(IF(Readings[[#This Row],[Obs. Z]]="","-",Readings[[#This Row],[Obs. Z]]-_xlfn.XLOOKUP(Readings[[#This Row],[Sensor ID]],Table_Baseline[Sensor ID],Table_Baseline[Level '[m']],"-")),"-")</f>
        <v>-1.0000000000012221E-3</v>
      </c>
      <c r="R776" s="93">
        <f>IFERROR(IF(Readings[[#This Row],[Reference Angle]]="-","-",(Readings[[#This Row],[Diff E]]*COS(RADIANS(Readings[[#This Row],[Reference Angle]]))-Readings[[#This Row],[Diff N]]*SIN(RADIANS(Readings[[#This Row],[Reference Angle]])))),"-")</f>
        <v>-9.9999999656574801E-4</v>
      </c>
      <c r="S776" s="93">
        <f>IFERROR(IF(Readings[[#This Row],[Reference Angle]]="-","-",(Readings[[#This Row],[Diff E]]*SIN(RADIANS(Readings[[#This Row],[Reference Angle]]))+Readings[[#This Row],[Diff N]]*COS(RADIANS(Readings[[#This Row],[Reference Angle]])))),"-")</f>
        <v>2.9999999678693712E-3</v>
      </c>
      <c r="T776" s="94">
        <f>IFERROR(VLOOKUP(Readings[[#This Row],[Sensor ID]],Table_Baseline[],COLUMNS(Table_Baseline[[#Headers],[Sensor ID]:[Reference Angle '[Deg']]]),FALSE),"-")</f>
        <v>0</v>
      </c>
      <c r="U776" s="95" t="str">
        <f>Readings[[#This Row],[Sensor ID]]&amp;"-"&amp;Readings[[#This Row],[Epoch]]</f>
        <v>250-RL-OP-11021-45817.2847222222</v>
      </c>
      <c r="V776" s="99">
        <f ca="1">IF(Readings[[#This Row],[Epoch]]=OFFSET(Readings[[#This Row],[Epoch]],-1,0),0,1)</f>
        <v>0</v>
      </c>
    </row>
    <row r="777" spans="4:22" x14ac:dyDescent="0.2">
      <c r="D777" s="32">
        <v>45817.284722222219</v>
      </c>
      <c r="E777" s="33" t="s">
        <v>191</v>
      </c>
      <c r="F777" s="34">
        <v>60063.421999999999</v>
      </c>
      <c r="G777" s="34">
        <v>363836.64</v>
      </c>
      <c r="H777" s="34">
        <v>18.794</v>
      </c>
      <c r="I777" s="33" t="s">
        <v>85</v>
      </c>
      <c r="J777" s="33" t="s">
        <v>90</v>
      </c>
      <c r="K777" s="33">
        <v>11.7</v>
      </c>
      <c r="L777" s="33">
        <v>1018.2</v>
      </c>
      <c r="M777" s="33">
        <v>66</v>
      </c>
      <c r="N777" s="33"/>
      <c r="O777" s="93">
        <f>IFERROR(IF(Readings[[#This Row],[Obs. X]]="","-",Readings[[#This Row],[Obs. X]]-_xlfn.XLOOKUP(Readings[[#This Row],[Sensor ID]],Table_Baseline[Sensor ID],Table_Baseline[Easting '[m']],"-")),"-")</f>
        <v>0</v>
      </c>
      <c r="P777" s="93">
        <f>IFERROR(IF(Readings[[#This Row],[Obs. Y]]="","-",Readings[[#This Row],[Obs. Y]]-_xlfn.XLOOKUP(Readings[[#This Row],[Sensor ID]],Table_Baseline[Sensor ID],Table_Baseline[Northing '[m']],"-")),"-")</f>
        <v>4.0000000153668225E-3</v>
      </c>
      <c r="Q777" s="93">
        <f>IFERROR(IF(Readings[[#This Row],[Obs. Z]]="","-",Readings[[#This Row],[Obs. Z]]-_xlfn.XLOOKUP(Readings[[#This Row],[Sensor ID]],Table_Baseline[Sensor ID],Table_Baseline[Level '[m']],"-")),"-")</f>
        <v>-8.9999999999790248E-4</v>
      </c>
      <c r="R777" s="93">
        <f>IFERROR(IF(Readings[[#This Row],[Reference Angle]]="-","-",(Readings[[#This Row],[Diff E]]*COS(RADIANS(Readings[[#This Row],[Reference Angle]]))-Readings[[#This Row],[Diff N]]*SIN(RADIANS(Readings[[#This Row],[Reference Angle]])))),"-")</f>
        <v>0</v>
      </c>
      <c r="S777" s="93">
        <f>IFERROR(IF(Readings[[#This Row],[Reference Angle]]="-","-",(Readings[[#This Row],[Diff E]]*SIN(RADIANS(Readings[[#This Row],[Reference Angle]]))+Readings[[#This Row],[Diff N]]*COS(RADIANS(Readings[[#This Row],[Reference Angle]])))),"-")</f>
        <v>4.0000000153668225E-3</v>
      </c>
      <c r="T777" s="94">
        <f>IFERROR(VLOOKUP(Readings[[#This Row],[Sensor ID]],Table_Baseline[],COLUMNS(Table_Baseline[[#Headers],[Sensor ID]:[Reference Angle '[Deg']]]),FALSE),"-")</f>
        <v>0</v>
      </c>
      <c r="U777" s="95" t="str">
        <f>Readings[[#This Row],[Sensor ID]]&amp;"-"&amp;Readings[[#This Row],[Epoch]]</f>
        <v>250-RL-OP-11022-45817.2847222222</v>
      </c>
      <c r="V777" s="99">
        <f ca="1">IF(Readings[[#This Row],[Epoch]]=OFFSET(Readings[[#This Row],[Epoch]],-1,0),0,1)</f>
        <v>0</v>
      </c>
    </row>
    <row r="778" spans="4:22" x14ac:dyDescent="0.2">
      <c r="D778" s="32">
        <v>45817.284722222219</v>
      </c>
      <c r="E778" s="33" t="s">
        <v>165</v>
      </c>
      <c r="F778" s="34">
        <v>60034.538999999997</v>
      </c>
      <c r="G778" s="34">
        <v>363843.38099999999</v>
      </c>
      <c r="H778" s="34">
        <v>19.331</v>
      </c>
      <c r="I778" s="33" t="s">
        <v>85</v>
      </c>
      <c r="J778" s="33" t="s">
        <v>90</v>
      </c>
      <c r="K778" s="33">
        <v>11.7</v>
      </c>
      <c r="L778" s="33">
        <v>1018.2</v>
      </c>
      <c r="M778" s="33">
        <v>66</v>
      </c>
      <c r="N778" s="33"/>
      <c r="O778" s="93" t="str">
        <f>IFERROR(IF(Readings[[#This Row],[Obs. X]]="","-",Readings[[#This Row],[Obs. X]]-_xlfn.XLOOKUP(Readings[[#This Row],[Sensor ID]],Table_Baseline[Sensor ID],Table_Baseline[Easting '[m']],"-")),"-")</f>
        <v>-</v>
      </c>
      <c r="P778" s="93" t="str">
        <f>IFERROR(IF(Readings[[#This Row],[Obs. Y]]="","-",Readings[[#This Row],[Obs. Y]]-_xlfn.XLOOKUP(Readings[[#This Row],[Sensor ID]],Table_Baseline[Sensor ID],Table_Baseline[Northing '[m']],"-")),"-")</f>
        <v>-</v>
      </c>
      <c r="Q778" s="93" t="str">
        <f>IFERROR(IF(Readings[[#This Row],[Obs. Z]]="","-",Readings[[#This Row],[Obs. Z]]-_xlfn.XLOOKUP(Readings[[#This Row],[Sensor ID]],Table_Baseline[Sensor ID],Table_Baseline[Level '[m']],"-")),"-")</f>
        <v>-</v>
      </c>
      <c r="R778" s="93" t="str">
        <f>IFERROR(IF(Readings[[#This Row],[Reference Angle]]="-","-",(Readings[[#This Row],[Diff E]]*COS(RADIANS(Readings[[#This Row],[Reference Angle]]))-Readings[[#This Row],[Diff N]]*SIN(RADIANS(Readings[[#This Row],[Reference Angle]])))),"-")</f>
        <v>-</v>
      </c>
      <c r="S778" s="93" t="str">
        <f>IFERROR(IF(Readings[[#This Row],[Reference Angle]]="-","-",(Readings[[#This Row],[Diff E]]*SIN(RADIANS(Readings[[#This Row],[Reference Angle]]))+Readings[[#This Row],[Diff N]]*COS(RADIANS(Readings[[#This Row],[Reference Angle]])))),"-")</f>
        <v>-</v>
      </c>
      <c r="T778" s="94" t="str">
        <f>IFERROR(VLOOKUP(Readings[[#This Row],[Sensor ID]],Table_Baseline[],COLUMNS(Table_Baseline[[#Headers],[Sensor ID]:[Reference Angle '[Deg']]]),FALSE),"-")</f>
        <v>-</v>
      </c>
      <c r="U778" s="95" t="str">
        <f>Readings[[#This Row],[Sensor ID]]&amp;"-"&amp;Readings[[#This Row],[Epoch]]</f>
        <v>250-ST-OP-500-45817.2847222222</v>
      </c>
      <c r="V778" s="99">
        <f ca="1">IF(Readings[[#This Row],[Epoch]]=OFFSET(Readings[[#This Row],[Epoch]],-1,0),0,1)</f>
        <v>0</v>
      </c>
    </row>
    <row r="779" spans="4:22" x14ac:dyDescent="0.2">
      <c r="D779" s="32">
        <v>45817.284722222219</v>
      </c>
      <c r="E779" s="33" t="s">
        <v>166</v>
      </c>
      <c r="F779" s="34">
        <v>60040.286999999997</v>
      </c>
      <c r="G779" s="34">
        <v>363841.73</v>
      </c>
      <c r="H779" s="34">
        <v>19.321000000000002</v>
      </c>
      <c r="I779" s="33" t="s">
        <v>85</v>
      </c>
      <c r="J779" s="33" t="s">
        <v>90</v>
      </c>
      <c r="K779" s="33">
        <v>11.7</v>
      </c>
      <c r="L779" s="33">
        <v>1018.2</v>
      </c>
      <c r="M779" s="33">
        <v>66</v>
      </c>
      <c r="N779" s="33"/>
      <c r="O779" s="93" t="str">
        <f>IFERROR(IF(Readings[[#This Row],[Obs. X]]="","-",Readings[[#This Row],[Obs. X]]-_xlfn.XLOOKUP(Readings[[#This Row],[Sensor ID]],Table_Baseline[Sensor ID],Table_Baseline[Easting '[m']],"-")),"-")</f>
        <v>-</v>
      </c>
      <c r="P779" s="93" t="str">
        <f>IFERROR(IF(Readings[[#This Row],[Obs. Y]]="","-",Readings[[#This Row],[Obs. Y]]-_xlfn.XLOOKUP(Readings[[#This Row],[Sensor ID]],Table_Baseline[Sensor ID],Table_Baseline[Northing '[m']],"-")),"-")</f>
        <v>-</v>
      </c>
      <c r="Q779" s="93" t="str">
        <f>IFERROR(IF(Readings[[#This Row],[Obs. Z]]="","-",Readings[[#This Row],[Obs. Z]]-_xlfn.XLOOKUP(Readings[[#This Row],[Sensor ID]],Table_Baseline[Sensor ID],Table_Baseline[Level '[m']],"-")),"-")</f>
        <v>-</v>
      </c>
      <c r="R779" s="93" t="str">
        <f>IFERROR(IF(Readings[[#This Row],[Reference Angle]]="-","-",(Readings[[#This Row],[Diff E]]*COS(RADIANS(Readings[[#This Row],[Reference Angle]]))-Readings[[#This Row],[Diff N]]*SIN(RADIANS(Readings[[#This Row],[Reference Angle]])))),"-")</f>
        <v>-</v>
      </c>
      <c r="S779" s="93" t="str">
        <f>IFERROR(IF(Readings[[#This Row],[Reference Angle]]="-","-",(Readings[[#This Row],[Diff E]]*SIN(RADIANS(Readings[[#This Row],[Reference Angle]]))+Readings[[#This Row],[Diff N]]*COS(RADIANS(Readings[[#This Row],[Reference Angle]])))),"-")</f>
        <v>-</v>
      </c>
      <c r="T779" s="94" t="str">
        <f>IFERROR(VLOOKUP(Readings[[#This Row],[Sensor ID]],Table_Baseline[],COLUMNS(Table_Baseline[[#Headers],[Sensor ID]:[Reference Angle '[Deg']]]),FALSE),"-")</f>
        <v>-</v>
      </c>
      <c r="U779" s="95" t="str">
        <f>Readings[[#This Row],[Sensor ID]]&amp;"-"&amp;Readings[[#This Row],[Epoch]]</f>
        <v>250-ST-OP-501-45817.2847222222</v>
      </c>
      <c r="V779" s="99">
        <f ca="1">IF(Readings[[#This Row],[Epoch]]=OFFSET(Readings[[#This Row],[Epoch]],-1,0),0,1)</f>
        <v>0</v>
      </c>
    </row>
    <row r="780" spans="4:22" x14ac:dyDescent="0.2">
      <c r="D780" s="32">
        <v>45817.284722222219</v>
      </c>
      <c r="E780" s="33" t="s">
        <v>167</v>
      </c>
      <c r="F780" s="34">
        <v>60045.921999999999</v>
      </c>
      <c r="G780" s="34">
        <v>363840.10100000002</v>
      </c>
      <c r="H780" s="34">
        <v>19.334</v>
      </c>
      <c r="I780" s="33" t="s">
        <v>85</v>
      </c>
      <c r="J780" s="33" t="s">
        <v>90</v>
      </c>
      <c r="K780" s="33">
        <v>11.7</v>
      </c>
      <c r="L780" s="33">
        <v>1018.2</v>
      </c>
      <c r="M780" s="33">
        <v>66</v>
      </c>
      <c r="N780" s="33"/>
      <c r="O780" s="93" t="str">
        <f>IFERROR(IF(Readings[[#This Row],[Obs. X]]="","-",Readings[[#This Row],[Obs. X]]-_xlfn.XLOOKUP(Readings[[#This Row],[Sensor ID]],Table_Baseline[Sensor ID],Table_Baseline[Easting '[m']],"-")),"-")</f>
        <v>-</v>
      </c>
      <c r="P780" s="93" t="str">
        <f>IFERROR(IF(Readings[[#This Row],[Obs. Y]]="","-",Readings[[#This Row],[Obs. Y]]-_xlfn.XLOOKUP(Readings[[#This Row],[Sensor ID]],Table_Baseline[Sensor ID],Table_Baseline[Northing '[m']],"-")),"-")</f>
        <v>-</v>
      </c>
      <c r="Q780" s="93" t="str">
        <f>IFERROR(IF(Readings[[#This Row],[Obs. Z]]="","-",Readings[[#This Row],[Obs. Z]]-_xlfn.XLOOKUP(Readings[[#This Row],[Sensor ID]],Table_Baseline[Sensor ID],Table_Baseline[Level '[m']],"-")),"-")</f>
        <v>-</v>
      </c>
      <c r="R780" s="93" t="str">
        <f>IFERROR(IF(Readings[[#This Row],[Reference Angle]]="-","-",(Readings[[#This Row],[Diff E]]*COS(RADIANS(Readings[[#This Row],[Reference Angle]]))-Readings[[#This Row],[Diff N]]*SIN(RADIANS(Readings[[#This Row],[Reference Angle]])))),"-")</f>
        <v>-</v>
      </c>
      <c r="S780" s="93" t="str">
        <f>IFERROR(IF(Readings[[#This Row],[Reference Angle]]="-","-",(Readings[[#This Row],[Diff E]]*SIN(RADIANS(Readings[[#This Row],[Reference Angle]]))+Readings[[#This Row],[Diff N]]*COS(RADIANS(Readings[[#This Row],[Reference Angle]])))),"-")</f>
        <v>-</v>
      </c>
      <c r="T780" s="94" t="str">
        <f>IFERROR(VLOOKUP(Readings[[#This Row],[Sensor ID]],Table_Baseline[],COLUMNS(Table_Baseline[[#Headers],[Sensor ID]:[Reference Angle '[Deg']]]),FALSE),"-")</f>
        <v>-</v>
      </c>
      <c r="U780" s="95" t="str">
        <f>Readings[[#This Row],[Sensor ID]]&amp;"-"&amp;Readings[[#This Row],[Epoch]]</f>
        <v>250-ST-OP-502-45817.2847222222</v>
      </c>
      <c r="V780" s="99">
        <f ca="1">IF(Readings[[#This Row],[Epoch]]=OFFSET(Readings[[#This Row],[Epoch]],-1,0),0,1)</f>
        <v>0</v>
      </c>
    </row>
    <row r="781" spans="4:22" x14ac:dyDescent="0.2">
      <c r="D781" s="32">
        <v>45817.284722222219</v>
      </c>
      <c r="E781" s="33" t="s">
        <v>168</v>
      </c>
      <c r="F781" s="34">
        <v>60049.767999999996</v>
      </c>
      <c r="G781" s="34">
        <v>363838.99400000001</v>
      </c>
      <c r="H781" s="34">
        <v>19.344999999999999</v>
      </c>
      <c r="I781" s="33" t="s">
        <v>85</v>
      </c>
      <c r="J781" s="33" t="s">
        <v>90</v>
      </c>
      <c r="K781" s="33">
        <v>11.7</v>
      </c>
      <c r="L781" s="33">
        <v>1018.2</v>
      </c>
      <c r="M781" s="33">
        <v>66</v>
      </c>
      <c r="N781" s="33"/>
      <c r="O781" s="93" t="str">
        <f>IFERROR(IF(Readings[[#This Row],[Obs. X]]="","-",Readings[[#This Row],[Obs. X]]-_xlfn.XLOOKUP(Readings[[#This Row],[Sensor ID]],Table_Baseline[Sensor ID],Table_Baseline[Easting '[m']],"-")),"-")</f>
        <v>-</v>
      </c>
      <c r="P781" s="93" t="str">
        <f>IFERROR(IF(Readings[[#This Row],[Obs. Y]]="","-",Readings[[#This Row],[Obs. Y]]-_xlfn.XLOOKUP(Readings[[#This Row],[Sensor ID]],Table_Baseline[Sensor ID],Table_Baseline[Northing '[m']],"-")),"-")</f>
        <v>-</v>
      </c>
      <c r="Q781" s="93" t="str">
        <f>IFERROR(IF(Readings[[#This Row],[Obs. Z]]="","-",Readings[[#This Row],[Obs. Z]]-_xlfn.XLOOKUP(Readings[[#This Row],[Sensor ID]],Table_Baseline[Sensor ID],Table_Baseline[Level '[m']],"-")),"-")</f>
        <v>-</v>
      </c>
      <c r="R781" s="93" t="str">
        <f>IFERROR(IF(Readings[[#This Row],[Reference Angle]]="-","-",(Readings[[#This Row],[Diff E]]*COS(RADIANS(Readings[[#This Row],[Reference Angle]]))-Readings[[#This Row],[Diff N]]*SIN(RADIANS(Readings[[#This Row],[Reference Angle]])))),"-")</f>
        <v>-</v>
      </c>
      <c r="S781" s="93" t="str">
        <f>IFERROR(IF(Readings[[#This Row],[Reference Angle]]="-","-",(Readings[[#This Row],[Diff E]]*SIN(RADIANS(Readings[[#This Row],[Reference Angle]]))+Readings[[#This Row],[Diff N]]*COS(RADIANS(Readings[[#This Row],[Reference Angle]])))),"-")</f>
        <v>-</v>
      </c>
      <c r="T781" s="94" t="str">
        <f>IFERROR(VLOOKUP(Readings[[#This Row],[Sensor ID]],Table_Baseline[],COLUMNS(Table_Baseline[[#Headers],[Sensor ID]:[Reference Angle '[Deg']]]),FALSE),"-")</f>
        <v>-</v>
      </c>
      <c r="U781" s="95" t="str">
        <f>Readings[[#This Row],[Sensor ID]]&amp;"-"&amp;Readings[[#This Row],[Epoch]]</f>
        <v>250-ST-OP-503-45817.2847222222</v>
      </c>
      <c r="V781" s="99">
        <f ca="1">IF(Readings[[#This Row],[Epoch]]=OFFSET(Readings[[#This Row],[Epoch]],-1,0),0,1)</f>
        <v>0</v>
      </c>
    </row>
    <row r="782" spans="4:22" x14ac:dyDescent="0.2">
      <c r="D782" s="32">
        <v>45817.284722222219</v>
      </c>
      <c r="E782" s="33" t="s">
        <v>169</v>
      </c>
      <c r="F782" s="34">
        <v>60053.608999999997</v>
      </c>
      <c r="G782" s="34">
        <v>363837.88300000003</v>
      </c>
      <c r="H782" s="34">
        <v>19.356000000000002</v>
      </c>
      <c r="I782" s="33" t="s">
        <v>85</v>
      </c>
      <c r="J782" s="33" t="s">
        <v>90</v>
      </c>
      <c r="K782" s="33">
        <v>11.7</v>
      </c>
      <c r="L782" s="33">
        <v>1018.2</v>
      </c>
      <c r="M782" s="33">
        <v>66</v>
      </c>
      <c r="N782" s="33"/>
      <c r="O782" s="93" t="str">
        <f>IFERROR(IF(Readings[[#This Row],[Obs. X]]="","-",Readings[[#This Row],[Obs. X]]-_xlfn.XLOOKUP(Readings[[#This Row],[Sensor ID]],Table_Baseline[Sensor ID],Table_Baseline[Easting '[m']],"-")),"-")</f>
        <v>-</v>
      </c>
      <c r="P782" s="93" t="str">
        <f>IFERROR(IF(Readings[[#This Row],[Obs. Y]]="","-",Readings[[#This Row],[Obs. Y]]-_xlfn.XLOOKUP(Readings[[#This Row],[Sensor ID]],Table_Baseline[Sensor ID],Table_Baseline[Northing '[m']],"-")),"-")</f>
        <v>-</v>
      </c>
      <c r="Q782" s="93" t="str">
        <f>IFERROR(IF(Readings[[#This Row],[Obs. Z]]="","-",Readings[[#This Row],[Obs. Z]]-_xlfn.XLOOKUP(Readings[[#This Row],[Sensor ID]],Table_Baseline[Sensor ID],Table_Baseline[Level '[m']],"-")),"-")</f>
        <v>-</v>
      </c>
      <c r="R782" s="93" t="str">
        <f>IFERROR(IF(Readings[[#This Row],[Reference Angle]]="-","-",(Readings[[#This Row],[Diff E]]*COS(RADIANS(Readings[[#This Row],[Reference Angle]]))-Readings[[#This Row],[Diff N]]*SIN(RADIANS(Readings[[#This Row],[Reference Angle]])))),"-")</f>
        <v>-</v>
      </c>
      <c r="S782" s="93" t="str">
        <f>IFERROR(IF(Readings[[#This Row],[Reference Angle]]="-","-",(Readings[[#This Row],[Diff E]]*SIN(RADIANS(Readings[[#This Row],[Reference Angle]]))+Readings[[#This Row],[Diff N]]*COS(RADIANS(Readings[[#This Row],[Reference Angle]])))),"-")</f>
        <v>-</v>
      </c>
      <c r="T782" s="94" t="str">
        <f>IFERROR(VLOOKUP(Readings[[#This Row],[Sensor ID]],Table_Baseline[],COLUMNS(Table_Baseline[[#Headers],[Sensor ID]:[Reference Angle '[Deg']]]),FALSE),"-")</f>
        <v>-</v>
      </c>
      <c r="U782" s="95" t="str">
        <f>Readings[[#This Row],[Sensor ID]]&amp;"-"&amp;Readings[[#This Row],[Epoch]]</f>
        <v>250-ST-OP-504-45817.2847222222</v>
      </c>
      <c r="V782" s="99">
        <f ca="1">IF(Readings[[#This Row],[Epoch]]=OFFSET(Readings[[#This Row],[Epoch]],-1,0),0,1)</f>
        <v>0</v>
      </c>
    </row>
    <row r="783" spans="4:22" x14ac:dyDescent="0.2">
      <c r="D783" s="204">
        <v>45817.284722222219</v>
      </c>
      <c r="E783" s="151" t="s">
        <v>170</v>
      </c>
      <c r="F783" s="152">
        <v>60060.065000000002</v>
      </c>
      <c r="G783" s="152">
        <v>363836.02500000002</v>
      </c>
      <c r="H783" s="152">
        <v>19.356000000000002</v>
      </c>
      <c r="I783" s="151" t="s">
        <v>85</v>
      </c>
      <c r="J783" s="151" t="s">
        <v>90</v>
      </c>
      <c r="K783" s="151">
        <v>11.7</v>
      </c>
      <c r="L783" s="151">
        <v>1018.2</v>
      </c>
      <c r="M783" s="151">
        <v>66</v>
      </c>
      <c r="N783" s="151"/>
      <c r="O783" s="96" t="str">
        <f>IFERROR(IF(Readings[[#This Row],[Obs. X]]="","-",Readings[[#This Row],[Obs. X]]-_xlfn.XLOOKUP(Readings[[#This Row],[Sensor ID]],Table_Baseline[Sensor ID],Table_Baseline[Easting '[m']],"-")),"-")</f>
        <v>-</v>
      </c>
      <c r="P783" s="96" t="str">
        <f>IFERROR(IF(Readings[[#This Row],[Obs. Y]]="","-",Readings[[#This Row],[Obs. Y]]-_xlfn.XLOOKUP(Readings[[#This Row],[Sensor ID]],Table_Baseline[Sensor ID],Table_Baseline[Northing '[m']],"-")),"-")</f>
        <v>-</v>
      </c>
      <c r="Q783" s="96" t="str">
        <f>IFERROR(IF(Readings[[#This Row],[Obs. Z]]="","-",Readings[[#This Row],[Obs. Z]]-_xlfn.XLOOKUP(Readings[[#This Row],[Sensor ID]],Table_Baseline[Sensor ID],Table_Baseline[Level '[m']],"-")),"-")</f>
        <v>-</v>
      </c>
      <c r="R783" s="96" t="str">
        <f>IFERROR(IF(Readings[[#This Row],[Reference Angle]]="-","-",(Readings[[#This Row],[Diff E]]*COS(RADIANS(Readings[[#This Row],[Reference Angle]]))-Readings[[#This Row],[Diff N]]*SIN(RADIANS(Readings[[#This Row],[Reference Angle]])))),"-")</f>
        <v>-</v>
      </c>
      <c r="S783" s="96" t="str">
        <f>IFERROR(IF(Readings[[#This Row],[Reference Angle]]="-","-",(Readings[[#This Row],[Diff E]]*SIN(RADIANS(Readings[[#This Row],[Reference Angle]]))+Readings[[#This Row],[Diff N]]*COS(RADIANS(Readings[[#This Row],[Reference Angle]])))),"-")</f>
        <v>-</v>
      </c>
      <c r="T783" s="97" t="str">
        <f>IFERROR(VLOOKUP(Readings[[#This Row],[Sensor ID]],Table_Baseline[],COLUMNS(Table_Baseline[[#Headers],[Sensor ID]:[Reference Angle '[Deg']]]),FALSE),"-")</f>
        <v>-</v>
      </c>
      <c r="U783" s="98" t="str">
        <f>Readings[[#This Row],[Sensor ID]]&amp;"-"&amp;Readings[[#This Row],[Epoch]]</f>
        <v>250-ST-OP-505-45817.2847222222</v>
      </c>
      <c r="V783" s="100">
        <f ca="1">IF(Readings[[#This Row],[Epoch]]=OFFSET(Readings[[#This Row],[Epoch]],-1,0),0,1)</f>
        <v>0</v>
      </c>
    </row>
    <row r="784" spans="4:22" x14ac:dyDescent="0.2">
      <c r="D784" s="32">
        <v>45821.291666666664</v>
      </c>
      <c r="E784" s="33" t="s">
        <v>165</v>
      </c>
      <c r="F784" s="34">
        <v>60034.54</v>
      </c>
      <c r="G784" s="34">
        <v>363843.38099999999</v>
      </c>
      <c r="H784" s="34">
        <v>19.331</v>
      </c>
      <c r="I784" s="33" t="s">
        <v>85</v>
      </c>
      <c r="J784" s="151" t="s">
        <v>90</v>
      </c>
      <c r="K784" s="33">
        <v>6.4</v>
      </c>
      <c r="L784" s="33">
        <v>1020</v>
      </c>
      <c r="M784" s="33">
        <v>73</v>
      </c>
      <c r="N784" s="33"/>
      <c r="O784" s="93" t="str">
        <f>IFERROR(IF(Readings[[#This Row],[Obs. X]]="","-",Readings[[#This Row],[Obs. X]]-_xlfn.XLOOKUP(Readings[[#This Row],[Sensor ID]],Table_Baseline[Sensor ID],Table_Baseline[Easting '[m']],"-")),"-")</f>
        <v>-</v>
      </c>
      <c r="P784" s="93" t="str">
        <f>IFERROR(IF(Readings[[#This Row],[Obs. Y]]="","-",Readings[[#This Row],[Obs. Y]]-_xlfn.XLOOKUP(Readings[[#This Row],[Sensor ID]],Table_Baseline[Sensor ID],Table_Baseline[Northing '[m']],"-")),"-")</f>
        <v>-</v>
      </c>
      <c r="Q784" s="93" t="str">
        <f>IFERROR(IF(Readings[[#This Row],[Obs. Z]]="","-",Readings[[#This Row],[Obs. Z]]-_xlfn.XLOOKUP(Readings[[#This Row],[Sensor ID]],Table_Baseline[Sensor ID],Table_Baseline[Level '[m']],"-")),"-")</f>
        <v>-</v>
      </c>
      <c r="R784" s="93" t="str">
        <f>IFERROR(IF(Readings[[#This Row],[Reference Angle]]="-","-",(Readings[[#This Row],[Diff E]]*COS(RADIANS(Readings[[#This Row],[Reference Angle]]))-Readings[[#This Row],[Diff N]]*SIN(RADIANS(Readings[[#This Row],[Reference Angle]])))),"-")</f>
        <v>-</v>
      </c>
      <c r="S784" s="93" t="str">
        <f>IFERROR(IF(Readings[[#This Row],[Reference Angle]]="-","-",(Readings[[#This Row],[Diff E]]*SIN(RADIANS(Readings[[#This Row],[Reference Angle]]))+Readings[[#This Row],[Diff N]]*COS(RADIANS(Readings[[#This Row],[Reference Angle]])))),"-")</f>
        <v>-</v>
      </c>
      <c r="T784" s="94" t="str">
        <f>IFERROR(VLOOKUP(Readings[[#This Row],[Sensor ID]],Table_Baseline[],COLUMNS(Table_Baseline[[#Headers],[Sensor ID]:[Reference Angle '[Deg']]]),FALSE),"-")</f>
        <v>-</v>
      </c>
      <c r="U784" s="95" t="str">
        <f>Readings[[#This Row],[Sensor ID]]&amp;"-"&amp;Readings[[#This Row],[Epoch]]</f>
        <v>250-ST-OP-500-45821.2916666667</v>
      </c>
      <c r="V784" s="99">
        <f ca="1">IF(Readings[[#This Row],[Epoch]]=OFFSET(Readings[[#This Row],[Epoch]],-1,0),0,1)</f>
        <v>1</v>
      </c>
    </row>
    <row r="785" spans="4:22" x14ac:dyDescent="0.2">
      <c r="D785" s="32">
        <v>45821.291666666664</v>
      </c>
      <c r="E785" s="33" t="s">
        <v>166</v>
      </c>
      <c r="F785" s="34">
        <v>60040.286999999997</v>
      </c>
      <c r="G785" s="34">
        <v>363841.73</v>
      </c>
      <c r="H785" s="34">
        <v>19.321999999999999</v>
      </c>
      <c r="I785" s="33" t="s">
        <v>85</v>
      </c>
      <c r="J785" s="151" t="s">
        <v>90</v>
      </c>
      <c r="K785" s="33">
        <v>6.4</v>
      </c>
      <c r="L785" s="33">
        <v>1020</v>
      </c>
      <c r="M785" s="33">
        <v>73</v>
      </c>
      <c r="N785" s="33"/>
      <c r="O785" s="93" t="str">
        <f>IFERROR(IF(Readings[[#This Row],[Obs. X]]="","-",Readings[[#This Row],[Obs. X]]-_xlfn.XLOOKUP(Readings[[#This Row],[Sensor ID]],Table_Baseline[Sensor ID],Table_Baseline[Easting '[m']],"-")),"-")</f>
        <v>-</v>
      </c>
      <c r="P785" s="93" t="str">
        <f>IFERROR(IF(Readings[[#This Row],[Obs. Y]]="","-",Readings[[#This Row],[Obs. Y]]-_xlfn.XLOOKUP(Readings[[#This Row],[Sensor ID]],Table_Baseline[Sensor ID],Table_Baseline[Northing '[m']],"-")),"-")</f>
        <v>-</v>
      </c>
      <c r="Q785" s="93" t="str">
        <f>IFERROR(IF(Readings[[#This Row],[Obs. Z]]="","-",Readings[[#This Row],[Obs. Z]]-_xlfn.XLOOKUP(Readings[[#This Row],[Sensor ID]],Table_Baseline[Sensor ID],Table_Baseline[Level '[m']],"-")),"-")</f>
        <v>-</v>
      </c>
      <c r="R785" s="93" t="str">
        <f>IFERROR(IF(Readings[[#This Row],[Reference Angle]]="-","-",(Readings[[#This Row],[Diff E]]*COS(RADIANS(Readings[[#This Row],[Reference Angle]]))-Readings[[#This Row],[Diff N]]*SIN(RADIANS(Readings[[#This Row],[Reference Angle]])))),"-")</f>
        <v>-</v>
      </c>
      <c r="S785" s="93" t="str">
        <f>IFERROR(IF(Readings[[#This Row],[Reference Angle]]="-","-",(Readings[[#This Row],[Diff E]]*SIN(RADIANS(Readings[[#This Row],[Reference Angle]]))+Readings[[#This Row],[Diff N]]*COS(RADIANS(Readings[[#This Row],[Reference Angle]])))),"-")</f>
        <v>-</v>
      </c>
      <c r="T785" s="94" t="str">
        <f>IFERROR(VLOOKUP(Readings[[#This Row],[Sensor ID]],Table_Baseline[],COLUMNS(Table_Baseline[[#Headers],[Sensor ID]:[Reference Angle '[Deg']]]),FALSE),"-")</f>
        <v>-</v>
      </c>
      <c r="U785" s="95" t="str">
        <f>Readings[[#This Row],[Sensor ID]]&amp;"-"&amp;Readings[[#This Row],[Epoch]]</f>
        <v>250-ST-OP-501-45821.2916666667</v>
      </c>
      <c r="V785" s="99">
        <f ca="1">IF(Readings[[#This Row],[Epoch]]=OFFSET(Readings[[#This Row],[Epoch]],-1,0),0,1)</f>
        <v>0</v>
      </c>
    </row>
    <row r="786" spans="4:22" x14ac:dyDescent="0.2">
      <c r="D786" s="32">
        <v>45821.291666666664</v>
      </c>
      <c r="E786" s="33" t="s">
        <v>167</v>
      </c>
      <c r="F786" s="34">
        <v>60045.921999999999</v>
      </c>
      <c r="G786" s="34">
        <v>363840.10200000001</v>
      </c>
      <c r="H786" s="34">
        <v>19.334</v>
      </c>
      <c r="I786" s="33" t="s">
        <v>85</v>
      </c>
      <c r="J786" s="151" t="s">
        <v>90</v>
      </c>
      <c r="K786" s="33">
        <v>6.4</v>
      </c>
      <c r="L786" s="33">
        <v>1020</v>
      </c>
      <c r="M786" s="33">
        <v>73</v>
      </c>
      <c r="N786" s="33"/>
      <c r="O786" s="93" t="str">
        <f>IFERROR(IF(Readings[[#This Row],[Obs. X]]="","-",Readings[[#This Row],[Obs. X]]-_xlfn.XLOOKUP(Readings[[#This Row],[Sensor ID]],Table_Baseline[Sensor ID],Table_Baseline[Easting '[m']],"-")),"-")</f>
        <v>-</v>
      </c>
      <c r="P786" s="93" t="str">
        <f>IFERROR(IF(Readings[[#This Row],[Obs. Y]]="","-",Readings[[#This Row],[Obs. Y]]-_xlfn.XLOOKUP(Readings[[#This Row],[Sensor ID]],Table_Baseline[Sensor ID],Table_Baseline[Northing '[m']],"-")),"-")</f>
        <v>-</v>
      </c>
      <c r="Q786" s="93" t="str">
        <f>IFERROR(IF(Readings[[#This Row],[Obs. Z]]="","-",Readings[[#This Row],[Obs. Z]]-_xlfn.XLOOKUP(Readings[[#This Row],[Sensor ID]],Table_Baseline[Sensor ID],Table_Baseline[Level '[m']],"-")),"-")</f>
        <v>-</v>
      </c>
      <c r="R786" s="93" t="str">
        <f>IFERROR(IF(Readings[[#This Row],[Reference Angle]]="-","-",(Readings[[#This Row],[Diff E]]*COS(RADIANS(Readings[[#This Row],[Reference Angle]]))-Readings[[#This Row],[Diff N]]*SIN(RADIANS(Readings[[#This Row],[Reference Angle]])))),"-")</f>
        <v>-</v>
      </c>
      <c r="S786" s="93" t="str">
        <f>IFERROR(IF(Readings[[#This Row],[Reference Angle]]="-","-",(Readings[[#This Row],[Diff E]]*SIN(RADIANS(Readings[[#This Row],[Reference Angle]]))+Readings[[#This Row],[Diff N]]*COS(RADIANS(Readings[[#This Row],[Reference Angle]])))),"-")</f>
        <v>-</v>
      </c>
      <c r="T786" s="94" t="str">
        <f>IFERROR(VLOOKUP(Readings[[#This Row],[Sensor ID]],Table_Baseline[],COLUMNS(Table_Baseline[[#Headers],[Sensor ID]:[Reference Angle '[Deg']]]),FALSE),"-")</f>
        <v>-</v>
      </c>
      <c r="U786" s="95" t="str">
        <f>Readings[[#This Row],[Sensor ID]]&amp;"-"&amp;Readings[[#This Row],[Epoch]]</f>
        <v>250-ST-OP-502-45821.2916666667</v>
      </c>
      <c r="V786" s="99">
        <f ca="1">IF(Readings[[#This Row],[Epoch]]=OFFSET(Readings[[#This Row],[Epoch]],-1,0),0,1)</f>
        <v>0</v>
      </c>
    </row>
    <row r="787" spans="4:22" x14ac:dyDescent="0.2">
      <c r="D787" s="32">
        <v>45821.291666666664</v>
      </c>
      <c r="E787" s="33" t="s">
        <v>168</v>
      </c>
      <c r="F787" s="34">
        <v>60049.767999999996</v>
      </c>
      <c r="G787" s="34">
        <v>363838.995</v>
      </c>
      <c r="H787" s="34">
        <v>19.344999999999999</v>
      </c>
      <c r="I787" s="33" t="s">
        <v>85</v>
      </c>
      <c r="J787" s="151" t="s">
        <v>90</v>
      </c>
      <c r="K787" s="33">
        <v>6.4</v>
      </c>
      <c r="L787" s="33">
        <v>1020</v>
      </c>
      <c r="M787" s="33">
        <v>73</v>
      </c>
      <c r="N787" s="33"/>
      <c r="O787" s="93" t="str">
        <f>IFERROR(IF(Readings[[#This Row],[Obs. X]]="","-",Readings[[#This Row],[Obs. X]]-_xlfn.XLOOKUP(Readings[[#This Row],[Sensor ID]],Table_Baseline[Sensor ID],Table_Baseline[Easting '[m']],"-")),"-")</f>
        <v>-</v>
      </c>
      <c r="P787" s="93" t="str">
        <f>IFERROR(IF(Readings[[#This Row],[Obs. Y]]="","-",Readings[[#This Row],[Obs. Y]]-_xlfn.XLOOKUP(Readings[[#This Row],[Sensor ID]],Table_Baseline[Sensor ID],Table_Baseline[Northing '[m']],"-")),"-")</f>
        <v>-</v>
      </c>
      <c r="Q787" s="93" t="str">
        <f>IFERROR(IF(Readings[[#This Row],[Obs. Z]]="","-",Readings[[#This Row],[Obs. Z]]-_xlfn.XLOOKUP(Readings[[#This Row],[Sensor ID]],Table_Baseline[Sensor ID],Table_Baseline[Level '[m']],"-")),"-")</f>
        <v>-</v>
      </c>
      <c r="R787" s="93" t="str">
        <f>IFERROR(IF(Readings[[#This Row],[Reference Angle]]="-","-",(Readings[[#This Row],[Diff E]]*COS(RADIANS(Readings[[#This Row],[Reference Angle]]))-Readings[[#This Row],[Diff N]]*SIN(RADIANS(Readings[[#This Row],[Reference Angle]])))),"-")</f>
        <v>-</v>
      </c>
      <c r="S787" s="93" t="str">
        <f>IFERROR(IF(Readings[[#This Row],[Reference Angle]]="-","-",(Readings[[#This Row],[Diff E]]*SIN(RADIANS(Readings[[#This Row],[Reference Angle]]))+Readings[[#This Row],[Diff N]]*COS(RADIANS(Readings[[#This Row],[Reference Angle]])))),"-")</f>
        <v>-</v>
      </c>
      <c r="T787" s="94" t="str">
        <f>IFERROR(VLOOKUP(Readings[[#This Row],[Sensor ID]],Table_Baseline[],COLUMNS(Table_Baseline[[#Headers],[Sensor ID]:[Reference Angle '[Deg']]]),FALSE),"-")</f>
        <v>-</v>
      </c>
      <c r="U787" s="95" t="str">
        <f>Readings[[#This Row],[Sensor ID]]&amp;"-"&amp;Readings[[#This Row],[Epoch]]</f>
        <v>250-ST-OP-503-45821.2916666667</v>
      </c>
      <c r="V787" s="99">
        <f ca="1">IF(Readings[[#This Row],[Epoch]]=OFFSET(Readings[[#This Row],[Epoch]],-1,0),0,1)</f>
        <v>0</v>
      </c>
    </row>
    <row r="788" spans="4:22" x14ac:dyDescent="0.2">
      <c r="D788" s="32">
        <v>45821.291666666664</v>
      </c>
      <c r="E788" s="33" t="s">
        <v>169</v>
      </c>
      <c r="F788" s="34">
        <v>60053.608999999997</v>
      </c>
      <c r="G788" s="34">
        <v>363837.88399999996</v>
      </c>
      <c r="H788" s="34">
        <v>19.356000000000002</v>
      </c>
      <c r="I788" s="33" t="s">
        <v>85</v>
      </c>
      <c r="J788" s="151" t="s">
        <v>90</v>
      </c>
      <c r="K788" s="33">
        <v>6.4</v>
      </c>
      <c r="L788" s="33">
        <v>1020</v>
      </c>
      <c r="M788" s="33">
        <v>73</v>
      </c>
      <c r="N788" s="33"/>
      <c r="O788" s="93" t="str">
        <f>IFERROR(IF(Readings[[#This Row],[Obs. X]]="","-",Readings[[#This Row],[Obs. X]]-_xlfn.XLOOKUP(Readings[[#This Row],[Sensor ID]],Table_Baseline[Sensor ID],Table_Baseline[Easting '[m']],"-")),"-")</f>
        <v>-</v>
      </c>
      <c r="P788" s="93" t="str">
        <f>IFERROR(IF(Readings[[#This Row],[Obs. Y]]="","-",Readings[[#This Row],[Obs. Y]]-_xlfn.XLOOKUP(Readings[[#This Row],[Sensor ID]],Table_Baseline[Sensor ID],Table_Baseline[Northing '[m']],"-")),"-")</f>
        <v>-</v>
      </c>
      <c r="Q788" s="93" t="str">
        <f>IFERROR(IF(Readings[[#This Row],[Obs. Z]]="","-",Readings[[#This Row],[Obs. Z]]-_xlfn.XLOOKUP(Readings[[#This Row],[Sensor ID]],Table_Baseline[Sensor ID],Table_Baseline[Level '[m']],"-")),"-")</f>
        <v>-</v>
      </c>
      <c r="R788" s="93" t="str">
        <f>IFERROR(IF(Readings[[#This Row],[Reference Angle]]="-","-",(Readings[[#This Row],[Diff E]]*COS(RADIANS(Readings[[#This Row],[Reference Angle]]))-Readings[[#This Row],[Diff N]]*SIN(RADIANS(Readings[[#This Row],[Reference Angle]])))),"-")</f>
        <v>-</v>
      </c>
      <c r="S788" s="93" t="str">
        <f>IFERROR(IF(Readings[[#This Row],[Reference Angle]]="-","-",(Readings[[#This Row],[Diff E]]*SIN(RADIANS(Readings[[#This Row],[Reference Angle]]))+Readings[[#This Row],[Diff N]]*COS(RADIANS(Readings[[#This Row],[Reference Angle]])))),"-")</f>
        <v>-</v>
      </c>
      <c r="T788" s="94" t="str">
        <f>IFERROR(VLOOKUP(Readings[[#This Row],[Sensor ID]],Table_Baseline[],COLUMNS(Table_Baseline[[#Headers],[Sensor ID]:[Reference Angle '[Deg']]]),FALSE),"-")</f>
        <v>-</v>
      </c>
      <c r="U788" s="95" t="str">
        <f>Readings[[#This Row],[Sensor ID]]&amp;"-"&amp;Readings[[#This Row],[Epoch]]</f>
        <v>250-ST-OP-504-45821.2916666667</v>
      </c>
      <c r="V788" s="99">
        <f ca="1">IF(Readings[[#This Row],[Epoch]]=OFFSET(Readings[[#This Row],[Epoch]],-1,0),0,1)</f>
        <v>0</v>
      </c>
    </row>
    <row r="789" spans="4:22" x14ac:dyDescent="0.2">
      <c r="D789" s="32">
        <v>45821.291666666664</v>
      </c>
      <c r="E789" s="33" t="s">
        <v>170</v>
      </c>
      <c r="F789" s="34">
        <v>60060.065999999999</v>
      </c>
      <c r="G789" s="34">
        <v>363836.02500000002</v>
      </c>
      <c r="H789" s="34">
        <v>19.356000000000002</v>
      </c>
      <c r="I789" s="33" t="s">
        <v>85</v>
      </c>
      <c r="J789" s="151" t="s">
        <v>90</v>
      </c>
      <c r="K789" s="33">
        <v>6.4</v>
      </c>
      <c r="L789" s="33">
        <v>1020</v>
      </c>
      <c r="M789" s="33">
        <v>73</v>
      </c>
      <c r="N789" s="33"/>
      <c r="O789" s="93" t="str">
        <f>IFERROR(IF(Readings[[#This Row],[Obs. X]]="","-",Readings[[#This Row],[Obs. X]]-_xlfn.XLOOKUP(Readings[[#This Row],[Sensor ID]],Table_Baseline[Sensor ID],Table_Baseline[Easting '[m']],"-")),"-")</f>
        <v>-</v>
      </c>
      <c r="P789" s="93" t="str">
        <f>IFERROR(IF(Readings[[#This Row],[Obs. Y]]="","-",Readings[[#This Row],[Obs. Y]]-_xlfn.XLOOKUP(Readings[[#This Row],[Sensor ID]],Table_Baseline[Sensor ID],Table_Baseline[Northing '[m']],"-")),"-")</f>
        <v>-</v>
      </c>
      <c r="Q789" s="93" t="str">
        <f>IFERROR(IF(Readings[[#This Row],[Obs. Z]]="","-",Readings[[#This Row],[Obs. Z]]-_xlfn.XLOOKUP(Readings[[#This Row],[Sensor ID]],Table_Baseline[Sensor ID],Table_Baseline[Level '[m']],"-")),"-")</f>
        <v>-</v>
      </c>
      <c r="R789" s="93" t="str">
        <f>IFERROR(IF(Readings[[#This Row],[Reference Angle]]="-","-",(Readings[[#This Row],[Diff E]]*COS(RADIANS(Readings[[#This Row],[Reference Angle]]))-Readings[[#This Row],[Diff N]]*SIN(RADIANS(Readings[[#This Row],[Reference Angle]])))),"-")</f>
        <v>-</v>
      </c>
      <c r="S789" s="93" t="str">
        <f>IFERROR(IF(Readings[[#This Row],[Reference Angle]]="-","-",(Readings[[#This Row],[Diff E]]*SIN(RADIANS(Readings[[#This Row],[Reference Angle]]))+Readings[[#This Row],[Diff N]]*COS(RADIANS(Readings[[#This Row],[Reference Angle]])))),"-")</f>
        <v>-</v>
      </c>
      <c r="T789" s="94" t="str">
        <f>IFERROR(VLOOKUP(Readings[[#This Row],[Sensor ID]],Table_Baseline[],COLUMNS(Table_Baseline[[#Headers],[Sensor ID]:[Reference Angle '[Deg']]]),FALSE),"-")</f>
        <v>-</v>
      </c>
      <c r="U789" s="95" t="str">
        <f>Readings[[#This Row],[Sensor ID]]&amp;"-"&amp;Readings[[#This Row],[Epoch]]</f>
        <v>250-ST-OP-505-45821.2916666667</v>
      </c>
      <c r="V789" s="99">
        <f ca="1">IF(Readings[[#This Row],[Epoch]]=OFFSET(Readings[[#This Row],[Epoch]],-1,0),0,1)</f>
        <v>0</v>
      </c>
    </row>
    <row r="790" spans="4:22" x14ac:dyDescent="0.2">
      <c r="D790" s="32">
        <v>45821.291666666664</v>
      </c>
      <c r="E790" s="33" t="s">
        <v>172</v>
      </c>
      <c r="F790" s="34">
        <v>60035.339</v>
      </c>
      <c r="G790" s="34">
        <v>363845.73800000001</v>
      </c>
      <c r="H790" s="34">
        <v>18.782</v>
      </c>
      <c r="I790" s="33" t="s">
        <v>85</v>
      </c>
      <c r="J790" s="151" t="s">
        <v>90</v>
      </c>
      <c r="K790" s="33">
        <v>6.4</v>
      </c>
      <c r="L790" s="33">
        <v>1020</v>
      </c>
      <c r="M790" s="33">
        <v>73</v>
      </c>
      <c r="N790" s="33"/>
      <c r="O790" s="93">
        <f>IFERROR(IF(Readings[[#This Row],[Obs. X]]="","-",Readings[[#This Row],[Obs. X]]-_xlfn.XLOOKUP(Readings[[#This Row],[Sensor ID]],Table_Baseline[Sensor ID],Table_Baseline[Easting '[m']],"-")),"-")</f>
        <v>-9.9999999656574801E-4</v>
      </c>
      <c r="P790" s="93">
        <f>IFERROR(IF(Readings[[#This Row],[Obs. Y]]="","-",Readings[[#This Row],[Obs. Y]]-_xlfn.XLOOKUP(Readings[[#This Row],[Sensor ID]],Table_Baseline[Sensor ID],Table_Baseline[Northing '[m']],"-")),"-")</f>
        <v>-9.9999998928979039E-4</v>
      </c>
      <c r="Q790" s="93">
        <f>IFERROR(IF(Readings[[#This Row],[Obs. Z]]="","-",Readings[[#This Row],[Obs. Z]]-_xlfn.XLOOKUP(Readings[[#This Row],[Sensor ID]],Table_Baseline[Sensor ID],Table_Baseline[Level '[m']],"-")),"-")</f>
        <v>0</v>
      </c>
      <c r="R790" s="93">
        <f>IFERROR(IF(Readings[[#This Row],[Reference Angle]]="-","-",(Readings[[#This Row],[Diff E]]*COS(RADIANS(Readings[[#This Row],[Reference Angle]]))-Readings[[#This Row],[Diff N]]*SIN(RADIANS(Readings[[#This Row],[Reference Angle]])))),"-")</f>
        <v>-9.9999999656574801E-4</v>
      </c>
      <c r="S790" s="93">
        <f>IFERROR(IF(Readings[[#This Row],[Reference Angle]]="-","-",(Readings[[#This Row],[Diff E]]*SIN(RADIANS(Readings[[#This Row],[Reference Angle]]))+Readings[[#This Row],[Diff N]]*COS(RADIANS(Readings[[#This Row],[Reference Angle]])))),"-")</f>
        <v>-9.9999998928979039E-4</v>
      </c>
      <c r="T790" s="94">
        <f>IFERROR(VLOOKUP(Readings[[#This Row],[Sensor ID]],Table_Baseline[],COLUMNS(Table_Baseline[[#Headers],[Sensor ID]:[Reference Angle '[Deg']]]),FALSE),"-")</f>
        <v>0</v>
      </c>
      <c r="U790" s="95" t="str">
        <f>Readings[[#This Row],[Sensor ID]]&amp;"-"&amp;Readings[[#This Row],[Epoch]]</f>
        <v>250-RL-OP-11001-45821.2916666667</v>
      </c>
      <c r="V790" s="99">
        <f ca="1">IF(Readings[[#This Row],[Epoch]]=OFFSET(Readings[[#This Row],[Epoch]],-1,0),0,1)</f>
        <v>0</v>
      </c>
    </row>
    <row r="791" spans="4:22" x14ac:dyDescent="0.2">
      <c r="D791" s="32">
        <v>45821.291666666664</v>
      </c>
      <c r="E791" s="33" t="s">
        <v>171</v>
      </c>
      <c r="F791" s="34">
        <v>60034.959000000003</v>
      </c>
      <c r="G791" s="34">
        <v>363844.47100000002</v>
      </c>
      <c r="H791" s="34">
        <v>18.777999999999999</v>
      </c>
      <c r="I791" s="33" t="s">
        <v>85</v>
      </c>
      <c r="J791" s="151" t="s">
        <v>90</v>
      </c>
      <c r="K791" s="33">
        <v>6.4</v>
      </c>
      <c r="L791" s="33">
        <v>1020</v>
      </c>
      <c r="M791" s="33">
        <v>73</v>
      </c>
      <c r="N791" s="33"/>
      <c r="O791" s="93">
        <f>IFERROR(IF(Readings[[#This Row],[Obs. X]]="","-",Readings[[#This Row],[Obs. X]]-_xlfn.XLOOKUP(Readings[[#This Row],[Sensor ID]],Table_Baseline[Sensor ID],Table_Baseline[Easting '[m']],"-")),"-")</f>
        <v>0</v>
      </c>
      <c r="P791" s="93">
        <f>IFERROR(IF(Readings[[#This Row],[Obs. Y]]="","-",Readings[[#This Row],[Obs. Y]]-_xlfn.XLOOKUP(Readings[[#This Row],[Sensor ID]],Table_Baseline[Sensor ID],Table_Baseline[Northing '[m']],"-")),"-")</f>
        <v>0</v>
      </c>
      <c r="Q791" s="93">
        <f>IFERROR(IF(Readings[[#This Row],[Obs. Z]]="","-",Readings[[#This Row],[Obs. Z]]-_xlfn.XLOOKUP(Readings[[#This Row],[Sensor ID]],Table_Baseline[Sensor ID],Table_Baseline[Level '[m']],"-")),"-")</f>
        <v>-9.9999999999766942E-5</v>
      </c>
      <c r="R791" s="93">
        <f>IFERROR(IF(Readings[[#This Row],[Reference Angle]]="-","-",(Readings[[#This Row],[Diff E]]*COS(RADIANS(Readings[[#This Row],[Reference Angle]]))-Readings[[#This Row],[Diff N]]*SIN(RADIANS(Readings[[#This Row],[Reference Angle]])))),"-")</f>
        <v>0</v>
      </c>
      <c r="S791" s="93">
        <f>IFERROR(IF(Readings[[#This Row],[Reference Angle]]="-","-",(Readings[[#This Row],[Diff E]]*SIN(RADIANS(Readings[[#This Row],[Reference Angle]]))+Readings[[#This Row],[Diff N]]*COS(RADIANS(Readings[[#This Row],[Reference Angle]])))),"-")</f>
        <v>0</v>
      </c>
      <c r="T791" s="94">
        <f>IFERROR(VLOOKUP(Readings[[#This Row],[Sensor ID]],Table_Baseline[],COLUMNS(Table_Baseline[[#Headers],[Sensor ID]:[Reference Angle '[Deg']]]),FALSE),"-")</f>
        <v>0</v>
      </c>
      <c r="U791" s="95" t="str">
        <f>Readings[[#This Row],[Sensor ID]]&amp;"-"&amp;Readings[[#This Row],[Epoch]]</f>
        <v>250-RL-OP-11002-45821.2916666667</v>
      </c>
      <c r="V791" s="99">
        <f ca="1">IF(Readings[[#This Row],[Epoch]]=OFFSET(Readings[[#This Row],[Epoch]],-1,0),0,1)</f>
        <v>0</v>
      </c>
    </row>
    <row r="792" spans="4:22" x14ac:dyDescent="0.2">
      <c r="D792" s="32">
        <v>45821.291666666664</v>
      </c>
      <c r="E792" s="33" t="s">
        <v>174</v>
      </c>
      <c r="F792" s="34">
        <v>60038.116999999998</v>
      </c>
      <c r="G792" s="34">
        <v>363844.94500000001</v>
      </c>
      <c r="H792" s="34">
        <v>18.779</v>
      </c>
      <c r="I792" s="33" t="s">
        <v>85</v>
      </c>
      <c r="J792" s="151" t="s">
        <v>90</v>
      </c>
      <c r="K792" s="33">
        <v>6.4</v>
      </c>
      <c r="L792" s="33">
        <v>1020</v>
      </c>
      <c r="M792" s="33">
        <v>73</v>
      </c>
      <c r="N792" s="33"/>
      <c r="O792" s="93">
        <f>IFERROR(IF(Readings[[#This Row],[Obs. X]]="","-",Readings[[#This Row],[Obs. X]]-_xlfn.XLOOKUP(Readings[[#This Row],[Sensor ID]],Table_Baseline[Sensor ID],Table_Baseline[Easting '[m']],"-")),"-")</f>
        <v>-1.0000000038417056E-3</v>
      </c>
      <c r="P792" s="93">
        <f>IFERROR(IF(Readings[[#This Row],[Obs. Y]]="","-",Readings[[#This Row],[Obs. Y]]-_xlfn.XLOOKUP(Readings[[#This Row],[Sensor ID]],Table_Baseline[Sensor ID],Table_Baseline[Northing '[m']],"-")),"-")</f>
        <v>0</v>
      </c>
      <c r="Q792" s="93">
        <f>IFERROR(IF(Readings[[#This Row],[Obs. Z]]="","-",Readings[[#This Row],[Obs. Z]]-_xlfn.XLOOKUP(Readings[[#This Row],[Sensor ID]],Table_Baseline[Sensor ID],Table_Baseline[Level '[m']],"-")),"-")</f>
        <v>1.9999999999953388E-4</v>
      </c>
      <c r="R792" s="93">
        <f>IFERROR(IF(Readings[[#This Row],[Reference Angle]]="-","-",(Readings[[#This Row],[Diff E]]*COS(RADIANS(Readings[[#This Row],[Reference Angle]]))-Readings[[#This Row],[Diff N]]*SIN(RADIANS(Readings[[#This Row],[Reference Angle]])))),"-")</f>
        <v>-1.0000000038417056E-3</v>
      </c>
      <c r="S792" s="93">
        <f>IFERROR(IF(Readings[[#This Row],[Reference Angle]]="-","-",(Readings[[#This Row],[Diff E]]*SIN(RADIANS(Readings[[#This Row],[Reference Angle]]))+Readings[[#This Row],[Diff N]]*COS(RADIANS(Readings[[#This Row],[Reference Angle]])))),"-")</f>
        <v>0</v>
      </c>
      <c r="T792" s="94">
        <f>IFERROR(VLOOKUP(Readings[[#This Row],[Sensor ID]],Table_Baseline[],COLUMNS(Table_Baseline[[#Headers],[Sensor ID]:[Reference Angle '[Deg']]]),FALSE),"-")</f>
        <v>0</v>
      </c>
      <c r="U792" s="95" t="str">
        <f>Readings[[#This Row],[Sensor ID]]&amp;"-"&amp;Readings[[#This Row],[Epoch]]</f>
        <v>250-RL-OP-11003-45821.2916666667</v>
      </c>
      <c r="V792" s="99">
        <f ca="1">IF(Readings[[#This Row],[Epoch]]=OFFSET(Readings[[#This Row],[Epoch]],-1,0),0,1)</f>
        <v>0</v>
      </c>
    </row>
    <row r="793" spans="4:22" x14ac:dyDescent="0.2">
      <c r="D793" s="32">
        <v>45821.291666666664</v>
      </c>
      <c r="E793" s="33" t="s">
        <v>173</v>
      </c>
      <c r="F793" s="34">
        <v>60037.805</v>
      </c>
      <c r="G793" s="34">
        <v>363843.658</v>
      </c>
      <c r="H793" s="34">
        <v>18.779</v>
      </c>
      <c r="I793" s="33" t="s">
        <v>85</v>
      </c>
      <c r="J793" s="151" t="s">
        <v>90</v>
      </c>
      <c r="K793" s="33">
        <v>6.4</v>
      </c>
      <c r="L793" s="33">
        <v>1020</v>
      </c>
      <c r="M793" s="33">
        <v>73</v>
      </c>
      <c r="N793" s="33"/>
      <c r="O793" s="93">
        <f>IFERROR(IF(Readings[[#This Row],[Obs. X]]="","-",Readings[[#This Row],[Obs. X]]-_xlfn.XLOOKUP(Readings[[#This Row],[Sensor ID]],Table_Baseline[Sensor ID],Table_Baseline[Easting '[m']],"-")),"-")</f>
        <v>0</v>
      </c>
      <c r="P793" s="93">
        <f>IFERROR(IF(Readings[[#This Row],[Obs. Y]]="","-",Readings[[#This Row],[Obs. Y]]-_xlfn.XLOOKUP(Readings[[#This Row],[Sensor ID]],Table_Baseline[Sensor ID],Table_Baseline[Northing '[m']],"-")),"-")</f>
        <v>9.9999998928979039E-4</v>
      </c>
      <c r="Q793" s="93">
        <f>IFERROR(IF(Readings[[#This Row],[Obs. Z]]="","-",Readings[[#This Row],[Obs. Z]]-_xlfn.XLOOKUP(Readings[[#This Row],[Sensor ID]],Table_Baseline[Sensor ID],Table_Baseline[Level '[m']],"-")),"-")</f>
        <v>4.9999999999883471E-4</v>
      </c>
      <c r="R793" s="93">
        <f>IFERROR(IF(Readings[[#This Row],[Reference Angle]]="-","-",(Readings[[#This Row],[Diff E]]*COS(RADIANS(Readings[[#This Row],[Reference Angle]]))-Readings[[#This Row],[Diff N]]*SIN(RADIANS(Readings[[#This Row],[Reference Angle]])))),"-")</f>
        <v>0</v>
      </c>
      <c r="S793" s="93">
        <f>IFERROR(IF(Readings[[#This Row],[Reference Angle]]="-","-",(Readings[[#This Row],[Diff E]]*SIN(RADIANS(Readings[[#This Row],[Reference Angle]]))+Readings[[#This Row],[Diff N]]*COS(RADIANS(Readings[[#This Row],[Reference Angle]])))),"-")</f>
        <v>9.9999998928979039E-4</v>
      </c>
      <c r="T793" s="94">
        <f>IFERROR(VLOOKUP(Readings[[#This Row],[Sensor ID]],Table_Baseline[],COLUMNS(Table_Baseline[[#Headers],[Sensor ID]:[Reference Angle '[Deg']]]),FALSE),"-")</f>
        <v>0</v>
      </c>
      <c r="U793" s="95" t="str">
        <f>Readings[[#This Row],[Sensor ID]]&amp;"-"&amp;Readings[[#This Row],[Epoch]]</f>
        <v>250-RL-OP-11004-45821.2916666667</v>
      </c>
      <c r="V793" s="99">
        <f ca="1">IF(Readings[[#This Row],[Epoch]]=OFFSET(Readings[[#This Row],[Epoch]],-1,0),0,1)</f>
        <v>0</v>
      </c>
    </row>
    <row r="794" spans="4:22" x14ac:dyDescent="0.2">
      <c r="D794" s="32">
        <v>45821.291666666664</v>
      </c>
      <c r="E794" s="33" t="s">
        <v>176</v>
      </c>
      <c r="F794" s="34">
        <v>60040.968000000001</v>
      </c>
      <c r="G794" s="34">
        <v>363844.11800000002</v>
      </c>
      <c r="H794" s="34">
        <v>18.779</v>
      </c>
      <c r="I794" s="33" t="s">
        <v>85</v>
      </c>
      <c r="J794" s="151" t="s">
        <v>90</v>
      </c>
      <c r="K794" s="33">
        <v>6.4</v>
      </c>
      <c r="L794" s="33">
        <v>1020</v>
      </c>
      <c r="M794" s="33">
        <v>73</v>
      </c>
      <c r="N794" s="33"/>
      <c r="O794" s="93">
        <f>IFERROR(IF(Readings[[#This Row],[Obs. X]]="","-",Readings[[#This Row],[Obs. X]]-_xlfn.XLOOKUP(Readings[[#This Row],[Sensor ID]],Table_Baseline[Sensor ID],Table_Baseline[Easting '[m']],"-")),"-")</f>
        <v>-9.9999999656574801E-4</v>
      </c>
      <c r="P794" s="93">
        <f>IFERROR(IF(Readings[[#This Row],[Obs. Y]]="","-",Readings[[#This Row],[Obs. Y]]-_xlfn.XLOOKUP(Readings[[#This Row],[Sensor ID]],Table_Baseline[Sensor ID],Table_Baseline[Northing '[m']],"-")),"-")</f>
        <v>0</v>
      </c>
      <c r="Q794" s="93">
        <f>IFERROR(IF(Readings[[#This Row],[Obs. Z]]="","-",Readings[[#This Row],[Obs. Z]]-_xlfn.XLOOKUP(Readings[[#This Row],[Sensor ID]],Table_Baseline[Sensor ID],Table_Baseline[Level '[m']],"-")),"-")</f>
        <v>0</v>
      </c>
      <c r="R794" s="93">
        <f>IFERROR(IF(Readings[[#This Row],[Reference Angle]]="-","-",(Readings[[#This Row],[Diff E]]*COS(RADIANS(Readings[[#This Row],[Reference Angle]]))-Readings[[#This Row],[Diff N]]*SIN(RADIANS(Readings[[#This Row],[Reference Angle]])))),"-")</f>
        <v>-9.9999999656574801E-4</v>
      </c>
      <c r="S794" s="93">
        <f>IFERROR(IF(Readings[[#This Row],[Reference Angle]]="-","-",(Readings[[#This Row],[Diff E]]*SIN(RADIANS(Readings[[#This Row],[Reference Angle]]))+Readings[[#This Row],[Diff N]]*COS(RADIANS(Readings[[#This Row],[Reference Angle]])))),"-")</f>
        <v>0</v>
      </c>
      <c r="T794" s="94">
        <f>IFERROR(VLOOKUP(Readings[[#This Row],[Sensor ID]],Table_Baseline[],COLUMNS(Table_Baseline[[#Headers],[Sensor ID]:[Reference Angle '[Deg']]]),FALSE),"-")</f>
        <v>0</v>
      </c>
      <c r="U794" s="95" t="str">
        <f>Readings[[#This Row],[Sensor ID]]&amp;"-"&amp;Readings[[#This Row],[Epoch]]</f>
        <v>250-RL-OP-11005-45821.2916666667</v>
      </c>
      <c r="V794" s="99">
        <f ca="1">IF(Readings[[#This Row],[Epoch]]=OFFSET(Readings[[#This Row],[Epoch]],-1,0),0,1)</f>
        <v>0</v>
      </c>
    </row>
    <row r="795" spans="4:22" x14ac:dyDescent="0.2">
      <c r="D795" s="32">
        <v>45821.291666666664</v>
      </c>
      <c r="E795" s="33" t="s">
        <v>175</v>
      </c>
      <c r="F795" s="34">
        <v>60040.606</v>
      </c>
      <c r="G795" s="34">
        <v>363842.86199999996</v>
      </c>
      <c r="H795" s="34">
        <v>18.771999999999998</v>
      </c>
      <c r="I795" s="33" t="s">
        <v>85</v>
      </c>
      <c r="J795" s="151" t="s">
        <v>90</v>
      </c>
      <c r="K795" s="33">
        <v>6.4</v>
      </c>
      <c r="L795" s="33">
        <v>1020</v>
      </c>
      <c r="M795" s="33">
        <v>73</v>
      </c>
      <c r="N795" s="33"/>
      <c r="O795" s="93">
        <f>IFERROR(IF(Readings[[#This Row],[Obs. X]]="","-",Readings[[#This Row],[Obs. X]]-_xlfn.XLOOKUP(Readings[[#This Row],[Sensor ID]],Table_Baseline[Sensor ID],Table_Baseline[Easting '[m']],"-")),"-")</f>
        <v>-1.0000000038417056E-3</v>
      </c>
      <c r="P795" s="93">
        <f>IFERROR(IF(Readings[[#This Row],[Obs. Y]]="","-",Readings[[#This Row],[Obs. Y]]-_xlfn.XLOOKUP(Readings[[#This Row],[Sensor ID]],Table_Baseline[Sensor ID],Table_Baseline[Northing '[m']],"-")),"-")</f>
        <v>9.9999993108212948E-4</v>
      </c>
      <c r="Q795" s="93">
        <f>IFERROR(IF(Readings[[#This Row],[Obs. Z]]="","-",Readings[[#This Row],[Obs. Z]]-_xlfn.XLOOKUP(Readings[[#This Row],[Sensor ID]],Table_Baseline[Sensor ID],Table_Baseline[Level '[m']],"-")),"-")</f>
        <v>0</v>
      </c>
      <c r="R795" s="93">
        <f>IFERROR(IF(Readings[[#This Row],[Reference Angle]]="-","-",(Readings[[#This Row],[Diff E]]*COS(RADIANS(Readings[[#This Row],[Reference Angle]]))-Readings[[#This Row],[Diff N]]*SIN(RADIANS(Readings[[#This Row],[Reference Angle]])))),"-")</f>
        <v>-1.0000000038417056E-3</v>
      </c>
      <c r="S795" s="93">
        <f>IFERROR(IF(Readings[[#This Row],[Reference Angle]]="-","-",(Readings[[#This Row],[Diff E]]*SIN(RADIANS(Readings[[#This Row],[Reference Angle]]))+Readings[[#This Row],[Diff N]]*COS(RADIANS(Readings[[#This Row],[Reference Angle]])))),"-")</f>
        <v>9.9999993108212948E-4</v>
      </c>
      <c r="T795" s="94">
        <f>IFERROR(VLOOKUP(Readings[[#This Row],[Sensor ID]],Table_Baseline[],COLUMNS(Table_Baseline[[#Headers],[Sensor ID]:[Reference Angle '[Deg']]]),FALSE),"-")</f>
        <v>0</v>
      </c>
      <c r="U795" s="95" t="str">
        <f>Readings[[#This Row],[Sensor ID]]&amp;"-"&amp;Readings[[#This Row],[Epoch]]</f>
        <v>250-RL-OP-11006-45821.2916666667</v>
      </c>
      <c r="V795" s="99">
        <f ca="1">IF(Readings[[#This Row],[Epoch]]=OFFSET(Readings[[#This Row],[Epoch]],-1,0),0,1)</f>
        <v>0</v>
      </c>
    </row>
    <row r="796" spans="4:22" x14ac:dyDescent="0.2">
      <c r="D796" s="32">
        <v>45821.291666666664</v>
      </c>
      <c r="E796" s="33" t="s">
        <v>178</v>
      </c>
      <c r="F796" s="34">
        <v>60043.758000000002</v>
      </c>
      <c r="G796" s="34">
        <v>363843.31599999999</v>
      </c>
      <c r="H796" s="34">
        <v>18.774000000000001</v>
      </c>
      <c r="I796" s="33" t="s">
        <v>85</v>
      </c>
      <c r="J796" s="151" t="s">
        <v>90</v>
      </c>
      <c r="K796" s="33">
        <v>6.4</v>
      </c>
      <c r="L796" s="33">
        <v>1020</v>
      </c>
      <c r="M796" s="33">
        <v>73</v>
      </c>
      <c r="N796" s="33"/>
      <c r="O796" s="93">
        <f>IFERROR(IF(Readings[[#This Row],[Obs. X]]="","-",Readings[[#This Row],[Obs. X]]-_xlfn.XLOOKUP(Readings[[#This Row],[Sensor ID]],Table_Baseline[Sensor ID],Table_Baseline[Easting '[m']],"-")),"-")</f>
        <v>-9.9999999656574801E-4</v>
      </c>
      <c r="P796" s="93">
        <f>IFERROR(IF(Readings[[#This Row],[Obs. Y]]="","-",Readings[[#This Row],[Obs. Y]]-_xlfn.XLOOKUP(Readings[[#This Row],[Sensor ID]],Table_Baseline[Sensor ID],Table_Baseline[Northing '[m']],"-")),"-")</f>
        <v>1.9999999785795808E-3</v>
      </c>
      <c r="Q796" s="93">
        <f>IFERROR(IF(Readings[[#This Row],[Obs. Z]]="","-",Readings[[#This Row],[Obs. Z]]-_xlfn.XLOOKUP(Readings[[#This Row],[Sensor ID]],Table_Baseline[Sensor ID],Table_Baseline[Level '[m']],"-")),"-")</f>
        <v>-9.9999999999766942E-5</v>
      </c>
      <c r="R796" s="93">
        <f>IFERROR(IF(Readings[[#This Row],[Reference Angle]]="-","-",(Readings[[#This Row],[Diff E]]*COS(RADIANS(Readings[[#This Row],[Reference Angle]]))-Readings[[#This Row],[Diff N]]*SIN(RADIANS(Readings[[#This Row],[Reference Angle]])))),"-")</f>
        <v>-9.9999999656574801E-4</v>
      </c>
      <c r="S796" s="93">
        <f>IFERROR(IF(Readings[[#This Row],[Reference Angle]]="-","-",(Readings[[#This Row],[Diff E]]*SIN(RADIANS(Readings[[#This Row],[Reference Angle]]))+Readings[[#This Row],[Diff N]]*COS(RADIANS(Readings[[#This Row],[Reference Angle]])))),"-")</f>
        <v>1.9999999785795808E-3</v>
      </c>
      <c r="T796" s="94">
        <f>IFERROR(VLOOKUP(Readings[[#This Row],[Sensor ID]],Table_Baseline[],COLUMNS(Table_Baseline[[#Headers],[Sensor ID]:[Reference Angle '[Deg']]]),FALSE),"-")</f>
        <v>0</v>
      </c>
      <c r="U796" s="95" t="str">
        <f>Readings[[#This Row],[Sensor ID]]&amp;"-"&amp;Readings[[#This Row],[Epoch]]</f>
        <v>250-RL-OP-11007-45821.2916666667</v>
      </c>
      <c r="V796" s="99">
        <f ca="1">IF(Readings[[#This Row],[Epoch]]=OFFSET(Readings[[#This Row],[Epoch]],-1,0),0,1)</f>
        <v>0</v>
      </c>
    </row>
    <row r="797" spans="4:22" x14ac:dyDescent="0.2">
      <c r="D797" s="32">
        <v>45821.291666666664</v>
      </c>
      <c r="E797" s="33" t="s">
        <v>177</v>
      </c>
      <c r="F797" s="34">
        <v>60043.440999999999</v>
      </c>
      <c r="G797" s="34">
        <v>363842.04200000002</v>
      </c>
      <c r="H797" s="34">
        <v>18.768999999999998</v>
      </c>
      <c r="I797" s="33" t="s">
        <v>85</v>
      </c>
      <c r="J797" s="151" t="s">
        <v>90</v>
      </c>
      <c r="K797" s="33">
        <v>6.4</v>
      </c>
      <c r="L797" s="33">
        <v>1020</v>
      </c>
      <c r="M797" s="33">
        <v>73</v>
      </c>
      <c r="N797" s="33"/>
      <c r="O797" s="93">
        <f>IFERROR(IF(Readings[[#This Row],[Obs. X]]="","-",Readings[[#This Row],[Obs. X]]-_xlfn.XLOOKUP(Readings[[#This Row],[Sensor ID]],Table_Baseline[Sensor ID],Table_Baseline[Easting '[m']],"-")),"-")</f>
        <v>0</v>
      </c>
      <c r="P797" s="93">
        <f>IFERROR(IF(Readings[[#This Row],[Obs. Y]]="","-",Readings[[#This Row],[Obs. Y]]-_xlfn.XLOOKUP(Readings[[#This Row],[Sensor ID]],Table_Baseline[Sensor ID],Table_Baseline[Northing '[m']],"-")),"-")</f>
        <v>1.9999999785795808E-3</v>
      </c>
      <c r="Q797" s="93">
        <f>IFERROR(IF(Readings[[#This Row],[Obs. Z]]="","-",Readings[[#This Row],[Obs. Z]]-_xlfn.XLOOKUP(Readings[[#This Row],[Sensor ID]],Table_Baseline[Sensor ID],Table_Baseline[Level '[m']],"-")),"-")</f>
        <v>6.9999999999836859E-4</v>
      </c>
      <c r="R797" s="93">
        <f>IFERROR(IF(Readings[[#This Row],[Reference Angle]]="-","-",(Readings[[#This Row],[Diff E]]*COS(RADIANS(Readings[[#This Row],[Reference Angle]]))-Readings[[#This Row],[Diff N]]*SIN(RADIANS(Readings[[#This Row],[Reference Angle]])))),"-")</f>
        <v>0</v>
      </c>
      <c r="S797" s="93">
        <f>IFERROR(IF(Readings[[#This Row],[Reference Angle]]="-","-",(Readings[[#This Row],[Diff E]]*SIN(RADIANS(Readings[[#This Row],[Reference Angle]]))+Readings[[#This Row],[Diff N]]*COS(RADIANS(Readings[[#This Row],[Reference Angle]])))),"-")</f>
        <v>1.9999999785795808E-3</v>
      </c>
      <c r="T797" s="94">
        <f>IFERROR(VLOOKUP(Readings[[#This Row],[Sensor ID]],Table_Baseline[],COLUMNS(Table_Baseline[[#Headers],[Sensor ID]:[Reference Angle '[Deg']]]),FALSE),"-")</f>
        <v>0</v>
      </c>
      <c r="U797" s="95" t="str">
        <f>Readings[[#This Row],[Sensor ID]]&amp;"-"&amp;Readings[[#This Row],[Epoch]]</f>
        <v>250-RL-OP-11008-45821.2916666667</v>
      </c>
      <c r="V797" s="99">
        <f ca="1">IF(Readings[[#This Row],[Epoch]]=OFFSET(Readings[[#This Row],[Epoch]],-1,0),0,1)</f>
        <v>0</v>
      </c>
    </row>
    <row r="798" spans="4:22" x14ac:dyDescent="0.2">
      <c r="D798" s="32">
        <v>45821.291666666664</v>
      </c>
      <c r="E798" s="33" t="s">
        <v>180</v>
      </c>
      <c r="F798" s="34">
        <v>60046.633000000002</v>
      </c>
      <c r="G798" s="34">
        <v>363842.48699999996</v>
      </c>
      <c r="H798" s="34">
        <v>18.777000000000001</v>
      </c>
      <c r="I798" s="33" t="s">
        <v>85</v>
      </c>
      <c r="J798" s="151" t="s">
        <v>90</v>
      </c>
      <c r="K798" s="33">
        <v>6.4</v>
      </c>
      <c r="L798" s="33">
        <v>1020</v>
      </c>
      <c r="M798" s="33">
        <v>73</v>
      </c>
      <c r="N798" s="33"/>
      <c r="O798" s="93">
        <f>IFERROR(IF(Readings[[#This Row],[Obs. X]]="","-",Readings[[#This Row],[Obs. X]]-_xlfn.XLOOKUP(Readings[[#This Row],[Sensor ID]],Table_Baseline[Sensor ID],Table_Baseline[Easting '[m']],"-")),"-")</f>
        <v>0</v>
      </c>
      <c r="P798" s="93">
        <f>IFERROR(IF(Readings[[#This Row],[Obs. Y]]="","-",Readings[[#This Row],[Obs. Y]]-_xlfn.XLOOKUP(Readings[[#This Row],[Sensor ID]],Table_Baseline[Sensor ID],Table_Baseline[Northing '[m']],"-")),"-")</f>
        <v>1.9999999785795808E-3</v>
      </c>
      <c r="Q798" s="93">
        <f>IFERROR(IF(Readings[[#This Row],[Obs. Z]]="","-",Readings[[#This Row],[Obs. Z]]-_xlfn.XLOOKUP(Readings[[#This Row],[Sensor ID]],Table_Baseline[Sensor ID],Table_Baseline[Level '[m']],"-")),"-")</f>
        <v>-5.9999999999860165E-4</v>
      </c>
      <c r="R798" s="93">
        <f>IFERROR(IF(Readings[[#This Row],[Reference Angle]]="-","-",(Readings[[#This Row],[Diff E]]*COS(RADIANS(Readings[[#This Row],[Reference Angle]]))-Readings[[#This Row],[Diff N]]*SIN(RADIANS(Readings[[#This Row],[Reference Angle]])))),"-")</f>
        <v>0</v>
      </c>
      <c r="S798" s="93">
        <f>IFERROR(IF(Readings[[#This Row],[Reference Angle]]="-","-",(Readings[[#This Row],[Diff E]]*SIN(RADIANS(Readings[[#This Row],[Reference Angle]]))+Readings[[#This Row],[Diff N]]*COS(RADIANS(Readings[[#This Row],[Reference Angle]])))),"-")</f>
        <v>1.9999999785795808E-3</v>
      </c>
      <c r="T798" s="94">
        <f>IFERROR(VLOOKUP(Readings[[#This Row],[Sensor ID]],Table_Baseline[],COLUMNS(Table_Baseline[[#Headers],[Sensor ID]:[Reference Angle '[Deg']]]),FALSE),"-")</f>
        <v>0</v>
      </c>
      <c r="U798" s="95" t="str">
        <f>Readings[[#This Row],[Sensor ID]]&amp;"-"&amp;Readings[[#This Row],[Epoch]]</f>
        <v>250-RL-OP-11009-45821.2916666667</v>
      </c>
      <c r="V798" s="99">
        <f ca="1">IF(Readings[[#This Row],[Epoch]]=OFFSET(Readings[[#This Row],[Epoch]],-1,0),0,1)</f>
        <v>0</v>
      </c>
    </row>
    <row r="799" spans="4:22" x14ac:dyDescent="0.2">
      <c r="D799" s="32">
        <v>45821.291666666664</v>
      </c>
      <c r="E799" s="33" t="s">
        <v>179</v>
      </c>
      <c r="F799" s="34">
        <v>60046.25</v>
      </c>
      <c r="G799" s="34">
        <v>363841.228</v>
      </c>
      <c r="H799" s="34">
        <v>18.77</v>
      </c>
      <c r="I799" s="33" t="s">
        <v>85</v>
      </c>
      <c r="J799" s="151" t="s">
        <v>90</v>
      </c>
      <c r="K799" s="33">
        <v>6.4</v>
      </c>
      <c r="L799" s="33">
        <v>1020</v>
      </c>
      <c r="M799" s="33">
        <v>73</v>
      </c>
      <c r="N799" s="33"/>
      <c r="O799" s="93">
        <f>IFERROR(IF(Readings[[#This Row],[Obs. X]]="","-",Readings[[#This Row],[Obs. X]]-_xlfn.XLOOKUP(Readings[[#This Row],[Sensor ID]],Table_Baseline[Sensor ID],Table_Baseline[Easting '[m']],"-")),"-")</f>
        <v>0</v>
      </c>
      <c r="P799" s="93">
        <f>IFERROR(IF(Readings[[#This Row],[Obs. Y]]="","-",Readings[[#This Row],[Obs. Y]]-_xlfn.XLOOKUP(Readings[[#This Row],[Sensor ID]],Table_Baseline[Sensor ID],Table_Baseline[Northing '[m']],"-")),"-")</f>
        <v>1.9999999785795808E-3</v>
      </c>
      <c r="Q799" s="93">
        <f>IFERROR(IF(Readings[[#This Row],[Obs. Z]]="","-",Readings[[#This Row],[Obs. Z]]-_xlfn.XLOOKUP(Readings[[#This Row],[Sensor ID]],Table_Baseline[Sensor ID],Table_Baseline[Level '[m']],"-")),"-")</f>
        <v>1.9999999999953388E-4</v>
      </c>
      <c r="R799" s="93">
        <f>IFERROR(IF(Readings[[#This Row],[Reference Angle]]="-","-",(Readings[[#This Row],[Diff E]]*COS(RADIANS(Readings[[#This Row],[Reference Angle]]))-Readings[[#This Row],[Diff N]]*SIN(RADIANS(Readings[[#This Row],[Reference Angle]])))),"-")</f>
        <v>0</v>
      </c>
      <c r="S799" s="93">
        <f>IFERROR(IF(Readings[[#This Row],[Reference Angle]]="-","-",(Readings[[#This Row],[Diff E]]*SIN(RADIANS(Readings[[#This Row],[Reference Angle]]))+Readings[[#This Row],[Diff N]]*COS(RADIANS(Readings[[#This Row],[Reference Angle]])))),"-")</f>
        <v>1.9999999785795808E-3</v>
      </c>
      <c r="T799" s="94">
        <f>IFERROR(VLOOKUP(Readings[[#This Row],[Sensor ID]],Table_Baseline[],COLUMNS(Table_Baseline[[#Headers],[Sensor ID]:[Reference Angle '[Deg']]]),FALSE),"-")</f>
        <v>0</v>
      </c>
      <c r="U799" s="95" t="str">
        <f>Readings[[#This Row],[Sensor ID]]&amp;"-"&amp;Readings[[#This Row],[Epoch]]</f>
        <v>250-RL-OP-11010-45821.2916666667</v>
      </c>
      <c r="V799" s="99">
        <f ca="1">IF(Readings[[#This Row],[Epoch]]=OFFSET(Readings[[#This Row],[Epoch]],-1,0),0,1)</f>
        <v>0</v>
      </c>
    </row>
    <row r="800" spans="4:22" x14ac:dyDescent="0.2">
      <c r="D800" s="32">
        <v>45821.291666666664</v>
      </c>
      <c r="E800" s="33" t="s">
        <v>182</v>
      </c>
      <c r="F800" s="34">
        <v>60049.398999999998</v>
      </c>
      <c r="G800" s="34">
        <v>363841.7</v>
      </c>
      <c r="H800" s="34">
        <v>18.777999999999999</v>
      </c>
      <c r="I800" s="33" t="s">
        <v>85</v>
      </c>
      <c r="J800" s="151" t="s">
        <v>90</v>
      </c>
      <c r="K800" s="33">
        <v>6.4</v>
      </c>
      <c r="L800" s="33">
        <v>1020</v>
      </c>
      <c r="M800" s="33">
        <v>73</v>
      </c>
      <c r="N800" s="33"/>
      <c r="O800" s="93">
        <f>IFERROR(IF(Readings[[#This Row],[Obs. X]]="","-",Readings[[#This Row],[Obs. X]]-_xlfn.XLOOKUP(Readings[[#This Row],[Sensor ID]],Table_Baseline[Sensor ID],Table_Baseline[Easting '[m']],"-")),"-")</f>
        <v>0</v>
      </c>
      <c r="P800" s="93">
        <f>IFERROR(IF(Readings[[#This Row],[Obs. Y]]="","-",Readings[[#This Row],[Obs. Y]]-_xlfn.XLOOKUP(Readings[[#This Row],[Sensor ID]],Table_Baseline[Sensor ID],Table_Baseline[Northing '[m']],"-")),"-")</f>
        <v>2.0000000367872417E-3</v>
      </c>
      <c r="Q800" s="93">
        <f>IFERROR(IF(Readings[[#This Row],[Obs. Z]]="","-",Readings[[#This Row],[Obs. Z]]-_xlfn.XLOOKUP(Readings[[#This Row],[Sensor ID]],Table_Baseline[Sensor ID],Table_Baseline[Level '[m']],"-")),"-")</f>
        <v>0</v>
      </c>
      <c r="R800" s="93">
        <f>IFERROR(IF(Readings[[#This Row],[Reference Angle]]="-","-",(Readings[[#This Row],[Diff E]]*COS(RADIANS(Readings[[#This Row],[Reference Angle]]))-Readings[[#This Row],[Diff N]]*SIN(RADIANS(Readings[[#This Row],[Reference Angle]])))),"-")</f>
        <v>0</v>
      </c>
      <c r="S800" s="93">
        <f>IFERROR(IF(Readings[[#This Row],[Reference Angle]]="-","-",(Readings[[#This Row],[Diff E]]*SIN(RADIANS(Readings[[#This Row],[Reference Angle]]))+Readings[[#This Row],[Diff N]]*COS(RADIANS(Readings[[#This Row],[Reference Angle]])))),"-")</f>
        <v>2.0000000367872417E-3</v>
      </c>
      <c r="T800" s="94">
        <f>IFERROR(VLOOKUP(Readings[[#This Row],[Sensor ID]],Table_Baseline[],COLUMNS(Table_Baseline[[#Headers],[Sensor ID]:[Reference Angle '[Deg']]]),FALSE),"-")</f>
        <v>0</v>
      </c>
      <c r="U800" s="95" t="str">
        <f>Readings[[#This Row],[Sensor ID]]&amp;"-"&amp;Readings[[#This Row],[Epoch]]</f>
        <v>250-RL-OP-11011-45821.2916666667</v>
      </c>
      <c r="V800" s="99">
        <f ca="1">IF(Readings[[#This Row],[Epoch]]=OFFSET(Readings[[#This Row],[Epoch]],-1,0),0,1)</f>
        <v>0</v>
      </c>
    </row>
    <row r="801" spans="4:22" x14ac:dyDescent="0.2">
      <c r="D801" s="32">
        <v>45821.291666666664</v>
      </c>
      <c r="E801" s="33" t="s">
        <v>181</v>
      </c>
      <c r="F801" s="34">
        <v>60049.040999999997</v>
      </c>
      <c r="G801" s="34">
        <v>363840.43599999999</v>
      </c>
      <c r="H801" s="34">
        <v>18.771000000000001</v>
      </c>
      <c r="I801" s="33" t="s">
        <v>85</v>
      </c>
      <c r="J801" s="151" t="s">
        <v>90</v>
      </c>
      <c r="K801" s="33">
        <v>6.4</v>
      </c>
      <c r="L801" s="33">
        <v>1020</v>
      </c>
      <c r="M801" s="33">
        <v>73</v>
      </c>
      <c r="N801" s="33"/>
      <c r="O801" s="93">
        <f>IFERROR(IF(Readings[[#This Row],[Obs. X]]="","-",Readings[[#This Row],[Obs. X]]-_xlfn.XLOOKUP(Readings[[#This Row],[Sensor ID]],Table_Baseline[Sensor ID],Table_Baseline[Easting '[m']],"-")),"-")</f>
        <v>0</v>
      </c>
      <c r="P801" s="93">
        <f>IFERROR(IF(Readings[[#This Row],[Obs. Y]]="","-",Readings[[#This Row],[Obs. Y]]-_xlfn.XLOOKUP(Readings[[#This Row],[Sensor ID]],Table_Baseline[Sensor ID],Table_Baseline[Northing '[m']],"-")),"-")</f>
        <v>3.0000000260770321E-3</v>
      </c>
      <c r="Q801" s="93">
        <f>IFERROR(IF(Readings[[#This Row],[Obs. Z]]="","-",Readings[[#This Row],[Obs. Z]]-_xlfn.XLOOKUP(Readings[[#This Row],[Sensor ID]],Table_Baseline[Sensor ID],Table_Baseline[Level '[m']],"-")),"-")</f>
        <v>-9.9999999999766942E-5</v>
      </c>
      <c r="R801" s="93">
        <f>IFERROR(IF(Readings[[#This Row],[Reference Angle]]="-","-",(Readings[[#This Row],[Diff E]]*COS(RADIANS(Readings[[#This Row],[Reference Angle]]))-Readings[[#This Row],[Diff N]]*SIN(RADIANS(Readings[[#This Row],[Reference Angle]])))),"-")</f>
        <v>0</v>
      </c>
      <c r="S801" s="93">
        <f>IFERROR(IF(Readings[[#This Row],[Reference Angle]]="-","-",(Readings[[#This Row],[Diff E]]*SIN(RADIANS(Readings[[#This Row],[Reference Angle]]))+Readings[[#This Row],[Diff N]]*COS(RADIANS(Readings[[#This Row],[Reference Angle]])))),"-")</f>
        <v>3.0000000260770321E-3</v>
      </c>
      <c r="T801" s="94">
        <f>IFERROR(VLOOKUP(Readings[[#This Row],[Sensor ID]],Table_Baseline[],COLUMNS(Table_Baseline[[#Headers],[Sensor ID]:[Reference Angle '[Deg']]]),FALSE),"-")</f>
        <v>0</v>
      </c>
      <c r="U801" s="95" t="str">
        <f>Readings[[#This Row],[Sensor ID]]&amp;"-"&amp;Readings[[#This Row],[Epoch]]</f>
        <v>250-RL-OP-11012-45821.2916666667</v>
      </c>
      <c r="V801" s="99">
        <f ca="1">IF(Readings[[#This Row],[Epoch]]=OFFSET(Readings[[#This Row],[Epoch]],-1,0),0,1)</f>
        <v>0</v>
      </c>
    </row>
    <row r="802" spans="4:22" x14ac:dyDescent="0.2">
      <c r="D802" s="32">
        <v>45821.291666666664</v>
      </c>
      <c r="E802" s="33" t="s">
        <v>184</v>
      </c>
      <c r="F802" s="34">
        <v>60052.292999999998</v>
      </c>
      <c r="G802" s="34">
        <v>363840.88800000004</v>
      </c>
      <c r="H802" s="34">
        <v>18.779</v>
      </c>
      <c r="I802" s="33" t="s">
        <v>85</v>
      </c>
      <c r="J802" s="151" t="s">
        <v>90</v>
      </c>
      <c r="K802" s="33">
        <v>6.4</v>
      </c>
      <c r="L802" s="33">
        <v>1020</v>
      </c>
      <c r="M802" s="33">
        <v>73</v>
      </c>
      <c r="N802" s="33"/>
      <c r="O802" s="93">
        <f>IFERROR(IF(Readings[[#This Row],[Obs. X]]="","-",Readings[[#This Row],[Obs. X]]-_xlfn.XLOOKUP(Readings[[#This Row],[Sensor ID]],Table_Baseline[Sensor ID],Table_Baseline[Easting '[m']],"-")),"-")</f>
        <v>0</v>
      </c>
      <c r="P802" s="93">
        <f>IFERROR(IF(Readings[[#This Row],[Obs. Y]]="","-",Readings[[#This Row],[Obs. Y]]-_xlfn.XLOOKUP(Readings[[#This Row],[Sensor ID]],Table_Baseline[Sensor ID],Table_Baseline[Northing '[m']],"-")),"-")</f>
        <v>3.0000000260770321E-3</v>
      </c>
      <c r="Q802" s="93">
        <f>IFERROR(IF(Readings[[#This Row],[Obs. Z]]="","-",Readings[[#This Row],[Obs. Z]]-_xlfn.XLOOKUP(Readings[[#This Row],[Sensor ID]],Table_Baseline[Sensor ID],Table_Baseline[Level '[m']],"-")),"-")</f>
        <v>0</v>
      </c>
      <c r="R802" s="93">
        <f>IFERROR(IF(Readings[[#This Row],[Reference Angle]]="-","-",(Readings[[#This Row],[Diff E]]*COS(RADIANS(Readings[[#This Row],[Reference Angle]]))-Readings[[#This Row],[Diff N]]*SIN(RADIANS(Readings[[#This Row],[Reference Angle]])))),"-")</f>
        <v>0</v>
      </c>
      <c r="S802" s="93">
        <f>IFERROR(IF(Readings[[#This Row],[Reference Angle]]="-","-",(Readings[[#This Row],[Diff E]]*SIN(RADIANS(Readings[[#This Row],[Reference Angle]]))+Readings[[#This Row],[Diff N]]*COS(RADIANS(Readings[[#This Row],[Reference Angle]])))),"-")</f>
        <v>3.0000000260770321E-3</v>
      </c>
      <c r="T802" s="94">
        <f>IFERROR(VLOOKUP(Readings[[#This Row],[Sensor ID]],Table_Baseline[],COLUMNS(Table_Baseline[[#Headers],[Sensor ID]:[Reference Angle '[Deg']]]),FALSE),"-")</f>
        <v>0</v>
      </c>
      <c r="U802" s="95" t="str">
        <f>Readings[[#This Row],[Sensor ID]]&amp;"-"&amp;Readings[[#This Row],[Epoch]]</f>
        <v>250-RL-OP-11013-45821.2916666667</v>
      </c>
      <c r="V802" s="99">
        <f ca="1">IF(Readings[[#This Row],[Epoch]]=OFFSET(Readings[[#This Row],[Epoch]],-1,0),0,1)</f>
        <v>0</v>
      </c>
    </row>
    <row r="803" spans="4:22" x14ac:dyDescent="0.2">
      <c r="D803" s="32">
        <v>45821.291666666664</v>
      </c>
      <c r="E803" s="33" t="s">
        <v>183</v>
      </c>
      <c r="F803" s="34">
        <v>60051.989000000001</v>
      </c>
      <c r="G803" s="34">
        <v>363839.60699999996</v>
      </c>
      <c r="H803" s="34">
        <v>18.77</v>
      </c>
      <c r="I803" s="33" t="s">
        <v>85</v>
      </c>
      <c r="J803" s="151" t="s">
        <v>90</v>
      </c>
      <c r="K803" s="33">
        <v>6.4</v>
      </c>
      <c r="L803" s="33">
        <v>1020</v>
      </c>
      <c r="M803" s="33">
        <v>73</v>
      </c>
      <c r="N803" s="33"/>
      <c r="O803" s="93">
        <f>IFERROR(IF(Readings[[#This Row],[Obs. X]]="","-",Readings[[#This Row],[Obs. X]]-_xlfn.XLOOKUP(Readings[[#This Row],[Sensor ID]],Table_Baseline[Sensor ID],Table_Baseline[Easting '[m']],"-")),"-")</f>
        <v>0</v>
      </c>
      <c r="P803" s="93">
        <f>IFERROR(IF(Readings[[#This Row],[Obs. Y]]="","-",Readings[[#This Row],[Obs. Y]]-_xlfn.XLOOKUP(Readings[[#This Row],[Sensor ID]],Table_Baseline[Sensor ID],Table_Baseline[Northing '[m']],"-")),"-")</f>
        <v>3.9999999571591616E-3</v>
      </c>
      <c r="Q803" s="93">
        <f>IFERROR(IF(Readings[[#This Row],[Obs. Z]]="","-",Readings[[#This Row],[Obs. Z]]-_xlfn.XLOOKUP(Readings[[#This Row],[Sensor ID]],Table_Baseline[Sensor ID],Table_Baseline[Level '[m']],"-")),"-")</f>
        <v>-9.9999999999766942E-5</v>
      </c>
      <c r="R803" s="93">
        <f>IFERROR(IF(Readings[[#This Row],[Reference Angle]]="-","-",(Readings[[#This Row],[Diff E]]*COS(RADIANS(Readings[[#This Row],[Reference Angle]]))-Readings[[#This Row],[Diff N]]*SIN(RADIANS(Readings[[#This Row],[Reference Angle]])))),"-")</f>
        <v>0</v>
      </c>
      <c r="S803" s="93">
        <f>IFERROR(IF(Readings[[#This Row],[Reference Angle]]="-","-",(Readings[[#This Row],[Diff E]]*SIN(RADIANS(Readings[[#This Row],[Reference Angle]]))+Readings[[#This Row],[Diff N]]*COS(RADIANS(Readings[[#This Row],[Reference Angle]])))),"-")</f>
        <v>3.9999999571591616E-3</v>
      </c>
      <c r="T803" s="94">
        <f>IFERROR(VLOOKUP(Readings[[#This Row],[Sensor ID]],Table_Baseline[],COLUMNS(Table_Baseline[[#Headers],[Sensor ID]:[Reference Angle '[Deg']]]),FALSE),"-")</f>
        <v>0</v>
      </c>
      <c r="U803" s="95" t="str">
        <f>Readings[[#This Row],[Sensor ID]]&amp;"-"&amp;Readings[[#This Row],[Epoch]]</f>
        <v>250-RL-OP-11014-45821.2916666667</v>
      </c>
      <c r="V803" s="99">
        <f ca="1">IF(Readings[[#This Row],[Epoch]]=OFFSET(Readings[[#This Row],[Epoch]],-1,0),0,1)</f>
        <v>0</v>
      </c>
    </row>
    <row r="804" spans="4:22" x14ac:dyDescent="0.2">
      <c r="D804" s="32">
        <v>45821.291666666664</v>
      </c>
      <c r="E804" s="33" t="s">
        <v>186</v>
      </c>
      <c r="F804" s="34">
        <v>60055.196000000004</v>
      </c>
      <c r="G804" s="34">
        <v>363840.098</v>
      </c>
      <c r="H804" s="34">
        <v>18.78</v>
      </c>
      <c r="I804" s="33" t="s">
        <v>85</v>
      </c>
      <c r="J804" s="151" t="s">
        <v>90</v>
      </c>
      <c r="K804" s="33">
        <v>6.4</v>
      </c>
      <c r="L804" s="33">
        <v>1020</v>
      </c>
      <c r="M804" s="33">
        <v>73</v>
      </c>
      <c r="N804" s="33"/>
      <c r="O804" s="93">
        <f>IFERROR(IF(Readings[[#This Row],[Obs. X]]="","-",Readings[[#This Row],[Obs. X]]-_xlfn.XLOOKUP(Readings[[#This Row],[Sensor ID]],Table_Baseline[Sensor ID],Table_Baseline[Easting '[m']],"-")),"-")</f>
        <v>0</v>
      </c>
      <c r="P804" s="93">
        <f>IFERROR(IF(Readings[[#This Row],[Obs. Y]]="","-",Readings[[#This Row],[Obs. Y]]-_xlfn.XLOOKUP(Readings[[#This Row],[Sensor ID]],Table_Baseline[Sensor ID],Table_Baseline[Northing '[m']],"-")),"-")</f>
        <v>3.0000000260770321E-3</v>
      </c>
      <c r="Q804" s="93">
        <f>IFERROR(IF(Readings[[#This Row],[Obs. Z]]="","-",Readings[[#This Row],[Obs. Z]]-_xlfn.XLOOKUP(Readings[[#This Row],[Sensor ID]],Table_Baseline[Sensor ID],Table_Baseline[Level '[m']],"-")),"-")</f>
        <v>-8.9999999999790248E-4</v>
      </c>
      <c r="R804" s="93">
        <f>IFERROR(IF(Readings[[#This Row],[Reference Angle]]="-","-",(Readings[[#This Row],[Diff E]]*COS(RADIANS(Readings[[#This Row],[Reference Angle]]))-Readings[[#This Row],[Diff N]]*SIN(RADIANS(Readings[[#This Row],[Reference Angle]])))),"-")</f>
        <v>0</v>
      </c>
      <c r="S804" s="93">
        <f>IFERROR(IF(Readings[[#This Row],[Reference Angle]]="-","-",(Readings[[#This Row],[Diff E]]*SIN(RADIANS(Readings[[#This Row],[Reference Angle]]))+Readings[[#This Row],[Diff N]]*COS(RADIANS(Readings[[#This Row],[Reference Angle]])))),"-")</f>
        <v>3.0000000260770321E-3</v>
      </c>
      <c r="T804" s="94">
        <f>IFERROR(VLOOKUP(Readings[[#This Row],[Sensor ID]],Table_Baseline[],COLUMNS(Table_Baseline[[#Headers],[Sensor ID]:[Reference Angle '[Deg']]]),FALSE),"-")</f>
        <v>0</v>
      </c>
      <c r="U804" s="95" t="str">
        <f>Readings[[#This Row],[Sensor ID]]&amp;"-"&amp;Readings[[#This Row],[Epoch]]</f>
        <v>250-RL-OP-11015-45821.2916666667</v>
      </c>
      <c r="V804" s="99">
        <f ca="1">IF(Readings[[#This Row],[Epoch]]=OFFSET(Readings[[#This Row],[Epoch]],-1,0),0,1)</f>
        <v>0</v>
      </c>
    </row>
    <row r="805" spans="4:22" x14ac:dyDescent="0.2">
      <c r="D805" s="32">
        <v>45821.291666666664</v>
      </c>
      <c r="E805" s="33" t="s">
        <v>185</v>
      </c>
      <c r="F805" s="34">
        <v>60054.885000000002</v>
      </c>
      <c r="G805" s="34">
        <v>363838.80900000001</v>
      </c>
      <c r="H805" s="34">
        <v>18.773</v>
      </c>
      <c r="I805" s="33" t="s">
        <v>85</v>
      </c>
      <c r="J805" s="151" t="s">
        <v>90</v>
      </c>
      <c r="K805" s="33">
        <v>6.4</v>
      </c>
      <c r="L805" s="33">
        <v>1020</v>
      </c>
      <c r="M805" s="33">
        <v>73</v>
      </c>
      <c r="N805" s="33"/>
      <c r="O805" s="93">
        <f>IFERROR(IF(Readings[[#This Row],[Obs. X]]="","-",Readings[[#This Row],[Obs. X]]-_xlfn.XLOOKUP(Readings[[#This Row],[Sensor ID]],Table_Baseline[Sensor ID],Table_Baseline[Easting '[m']],"-")),"-")</f>
        <v>-9.9999999656574801E-4</v>
      </c>
      <c r="P805" s="93">
        <f>IFERROR(IF(Readings[[#This Row],[Obs. Y]]="","-",Readings[[#This Row],[Obs. Y]]-_xlfn.XLOOKUP(Readings[[#This Row],[Sensor ID]],Table_Baseline[Sensor ID],Table_Baseline[Northing '[m']],"-")),"-")</f>
        <v>4.0000000153668225E-3</v>
      </c>
      <c r="Q805" s="93">
        <f>IFERROR(IF(Readings[[#This Row],[Obs. Z]]="","-",Readings[[#This Row],[Obs. Z]]-_xlfn.XLOOKUP(Readings[[#This Row],[Sensor ID]],Table_Baseline[Sensor ID],Table_Baseline[Level '[m']],"-")),"-")</f>
        <v>-9.9999999999766942E-5</v>
      </c>
      <c r="R805" s="93">
        <f>IFERROR(IF(Readings[[#This Row],[Reference Angle]]="-","-",(Readings[[#This Row],[Diff E]]*COS(RADIANS(Readings[[#This Row],[Reference Angle]]))-Readings[[#This Row],[Diff N]]*SIN(RADIANS(Readings[[#This Row],[Reference Angle]])))),"-")</f>
        <v>-9.9999999656574801E-4</v>
      </c>
      <c r="S805" s="93">
        <f>IFERROR(IF(Readings[[#This Row],[Reference Angle]]="-","-",(Readings[[#This Row],[Diff E]]*SIN(RADIANS(Readings[[#This Row],[Reference Angle]]))+Readings[[#This Row],[Diff N]]*COS(RADIANS(Readings[[#This Row],[Reference Angle]])))),"-")</f>
        <v>4.0000000153668225E-3</v>
      </c>
      <c r="T805" s="94">
        <f>IFERROR(VLOOKUP(Readings[[#This Row],[Sensor ID]],Table_Baseline[],COLUMNS(Table_Baseline[[#Headers],[Sensor ID]:[Reference Angle '[Deg']]]),FALSE),"-")</f>
        <v>0</v>
      </c>
      <c r="U805" s="95" t="str">
        <f>Readings[[#This Row],[Sensor ID]]&amp;"-"&amp;Readings[[#This Row],[Epoch]]</f>
        <v>250-RL-OP-11016-45821.2916666667</v>
      </c>
      <c r="V805" s="99">
        <f ca="1">IF(Readings[[#This Row],[Epoch]]=OFFSET(Readings[[#This Row],[Epoch]],-1,0),0,1)</f>
        <v>0</v>
      </c>
    </row>
    <row r="806" spans="4:22" x14ac:dyDescent="0.2">
      <c r="D806" s="32">
        <v>45821.291666666664</v>
      </c>
      <c r="E806" s="33" t="s">
        <v>188</v>
      </c>
      <c r="F806" s="34">
        <v>60057.951999999997</v>
      </c>
      <c r="G806" s="34">
        <v>363839.36699999997</v>
      </c>
      <c r="H806" s="34">
        <v>18.785</v>
      </c>
      <c r="I806" s="33" t="s">
        <v>85</v>
      </c>
      <c r="J806" s="151" t="s">
        <v>90</v>
      </c>
      <c r="K806" s="33">
        <v>6.4</v>
      </c>
      <c r="L806" s="33">
        <v>1020</v>
      </c>
      <c r="M806" s="33">
        <v>73</v>
      </c>
      <c r="N806" s="33"/>
      <c r="O806" s="93">
        <f>IFERROR(IF(Readings[[#This Row],[Obs. X]]="","-",Readings[[#This Row],[Obs. X]]-_xlfn.XLOOKUP(Readings[[#This Row],[Sensor ID]],Table_Baseline[Sensor ID],Table_Baseline[Easting '[m']],"-")),"-")</f>
        <v>0</v>
      </c>
      <c r="P806" s="93">
        <f>IFERROR(IF(Readings[[#This Row],[Obs. Y]]="","-",Readings[[#This Row],[Obs. Y]]-_xlfn.XLOOKUP(Readings[[#This Row],[Sensor ID]],Table_Baseline[Sensor ID],Table_Baseline[Northing '[m']],"-")),"-")</f>
        <v>5.0000000046566129E-3</v>
      </c>
      <c r="Q806" s="93">
        <f>IFERROR(IF(Readings[[#This Row],[Obs. Z]]="","-",Readings[[#This Row],[Obs. Z]]-_xlfn.XLOOKUP(Readings[[#This Row],[Sensor ID]],Table_Baseline[Sensor ID],Table_Baseline[Level '[m']],"-")),"-")</f>
        <v>-1.0000000000012221E-3</v>
      </c>
      <c r="R806" s="93">
        <f>IFERROR(IF(Readings[[#This Row],[Reference Angle]]="-","-",(Readings[[#This Row],[Diff E]]*COS(RADIANS(Readings[[#This Row],[Reference Angle]]))-Readings[[#This Row],[Diff N]]*SIN(RADIANS(Readings[[#This Row],[Reference Angle]])))),"-")</f>
        <v>0</v>
      </c>
      <c r="S806" s="93">
        <f>IFERROR(IF(Readings[[#This Row],[Reference Angle]]="-","-",(Readings[[#This Row],[Diff E]]*SIN(RADIANS(Readings[[#This Row],[Reference Angle]]))+Readings[[#This Row],[Diff N]]*COS(RADIANS(Readings[[#This Row],[Reference Angle]])))),"-")</f>
        <v>5.0000000046566129E-3</v>
      </c>
      <c r="T806" s="94">
        <f>IFERROR(VLOOKUP(Readings[[#This Row],[Sensor ID]],Table_Baseline[],COLUMNS(Table_Baseline[[#Headers],[Sensor ID]:[Reference Angle '[Deg']]]),FALSE),"-")</f>
        <v>0</v>
      </c>
      <c r="U806" s="95" t="str">
        <f>Readings[[#This Row],[Sensor ID]]&amp;"-"&amp;Readings[[#This Row],[Epoch]]</f>
        <v>250-RL-OP-11017-45821.2916666667</v>
      </c>
      <c r="V806" s="99">
        <f ca="1">IF(Readings[[#This Row],[Epoch]]=OFFSET(Readings[[#This Row],[Epoch]],-1,0),0,1)</f>
        <v>0</v>
      </c>
    </row>
    <row r="807" spans="4:22" x14ac:dyDescent="0.2">
      <c r="D807" s="32">
        <v>45821.291666666664</v>
      </c>
      <c r="E807" s="33" t="s">
        <v>187</v>
      </c>
      <c r="F807" s="34">
        <v>60057.578999999998</v>
      </c>
      <c r="G807" s="34">
        <v>363838.10200000001</v>
      </c>
      <c r="H807" s="34">
        <v>18.774999999999999</v>
      </c>
      <c r="I807" s="33" t="s">
        <v>85</v>
      </c>
      <c r="J807" s="151" t="s">
        <v>90</v>
      </c>
      <c r="K807" s="33">
        <v>6.4</v>
      </c>
      <c r="L807" s="33">
        <v>1020</v>
      </c>
      <c r="M807" s="33">
        <v>73</v>
      </c>
      <c r="N807" s="33"/>
      <c r="O807" s="93">
        <f>IFERROR(IF(Readings[[#This Row],[Obs. X]]="","-",Readings[[#This Row],[Obs. X]]-_xlfn.XLOOKUP(Readings[[#This Row],[Sensor ID]],Table_Baseline[Sensor ID],Table_Baseline[Easting '[m']],"-")),"-")</f>
        <v>0</v>
      </c>
      <c r="P807" s="93">
        <f>IFERROR(IF(Readings[[#This Row],[Obs. Y]]="","-",Readings[[#This Row],[Obs. Y]]-_xlfn.XLOOKUP(Readings[[#This Row],[Sensor ID]],Table_Baseline[Sensor ID],Table_Baseline[Northing '[m']],"-")),"-")</f>
        <v>4.0000000153668225E-3</v>
      </c>
      <c r="Q807" s="93">
        <f>IFERROR(IF(Readings[[#This Row],[Obs. Z]]="","-",Readings[[#This Row],[Obs. Z]]-_xlfn.XLOOKUP(Readings[[#This Row],[Sensor ID]],Table_Baseline[Sensor ID],Table_Baseline[Level '[m']],"-")),"-")</f>
        <v>-1.0000000000012221E-3</v>
      </c>
      <c r="R807" s="93">
        <f>IFERROR(IF(Readings[[#This Row],[Reference Angle]]="-","-",(Readings[[#This Row],[Diff E]]*COS(RADIANS(Readings[[#This Row],[Reference Angle]]))-Readings[[#This Row],[Diff N]]*SIN(RADIANS(Readings[[#This Row],[Reference Angle]])))),"-")</f>
        <v>0</v>
      </c>
      <c r="S807" s="93">
        <f>IFERROR(IF(Readings[[#This Row],[Reference Angle]]="-","-",(Readings[[#This Row],[Diff E]]*SIN(RADIANS(Readings[[#This Row],[Reference Angle]]))+Readings[[#This Row],[Diff N]]*COS(RADIANS(Readings[[#This Row],[Reference Angle]])))),"-")</f>
        <v>4.0000000153668225E-3</v>
      </c>
      <c r="T807" s="94">
        <f>IFERROR(VLOOKUP(Readings[[#This Row],[Sensor ID]],Table_Baseline[],COLUMNS(Table_Baseline[[#Headers],[Sensor ID]:[Reference Angle '[Deg']]]),FALSE),"-")</f>
        <v>0</v>
      </c>
      <c r="U807" s="95" t="str">
        <f>Readings[[#This Row],[Sensor ID]]&amp;"-"&amp;Readings[[#This Row],[Epoch]]</f>
        <v>250-RL-OP-11018-45821.2916666667</v>
      </c>
      <c r="V807" s="99">
        <f ca="1">IF(Readings[[#This Row],[Epoch]]=OFFSET(Readings[[#This Row],[Epoch]],-1,0),0,1)</f>
        <v>0</v>
      </c>
    </row>
    <row r="808" spans="4:22" x14ac:dyDescent="0.2">
      <c r="D808" s="32">
        <v>45821.291666666664</v>
      </c>
      <c r="E808" s="33" t="s">
        <v>190</v>
      </c>
      <c r="F808" s="34">
        <v>60060.963000000003</v>
      </c>
      <c r="G808" s="34">
        <v>363838.60499999998</v>
      </c>
      <c r="H808" s="34">
        <v>18.794</v>
      </c>
      <c r="I808" s="33" t="s">
        <v>85</v>
      </c>
      <c r="J808" s="151" t="s">
        <v>90</v>
      </c>
      <c r="K808" s="33">
        <v>6.4</v>
      </c>
      <c r="L808" s="33">
        <v>1020</v>
      </c>
      <c r="M808" s="33">
        <v>73</v>
      </c>
      <c r="N808" s="33"/>
      <c r="O808" s="93">
        <f>IFERROR(IF(Readings[[#This Row],[Obs. X]]="","-",Readings[[#This Row],[Obs. X]]-_xlfn.XLOOKUP(Readings[[#This Row],[Sensor ID]],Table_Baseline[Sensor ID],Table_Baseline[Easting '[m']],"-")),"-")</f>
        <v>0</v>
      </c>
      <c r="P808" s="93">
        <f>IFERROR(IF(Readings[[#This Row],[Obs. Y]]="","-",Readings[[#This Row],[Obs. Y]]-_xlfn.XLOOKUP(Readings[[#This Row],[Sensor ID]],Table_Baseline[Sensor ID],Table_Baseline[Northing '[m']],"-")),"-")</f>
        <v>3.9999999571591616E-3</v>
      </c>
      <c r="Q808" s="93">
        <f>IFERROR(IF(Readings[[#This Row],[Obs. Z]]="","-",Readings[[#This Row],[Obs. Z]]-_xlfn.XLOOKUP(Readings[[#This Row],[Sensor ID]],Table_Baseline[Sensor ID],Table_Baseline[Level '[m']],"-")),"-")</f>
        <v>-5.9999999999860165E-4</v>
      </c>
      <c r="R808" s="93">
        <f>IFERROR(IF(Readings[[#This Row],[Reference Angle]]="-","-",(Readings[[#This Row],[Diff E]]*COS(RADIANS(Readings[[#This Row],[Reference Angle]]))-Readings[[#This Row],[Diff N]]*SIN(RADIANS(Readings[[#This Row],[Reference Angle]])))),"-")</f>
        <v>0</v>
      </c>
      <c r="S808" s="93">
        <f>IFERROR(IF(Readings[[#This Row],[Reference Angle]]="-","-",(Readings[[#This Row],[Diff E]]*SIN(RADIANS(Readings[[#This Row],[Reference Angle]]))+Readings[[#This Row],[Diff N]]*COS(RADIANS(Readings[[#This Row],[Reference Angle]])))),"-")</f>
        <v>3.9999999571591616E-3</v>
      </c>
      <c r="T808" s="94">
        <f>IFERROR(VLOOKUP(Readings[[#This Row],[Sensor ID]],Table_Baseline[],COLUMNS(Table_Baseline[[#Headers],[Sensor ID]:[Reference Angle '[Deg']]]),FALSE),"-")</f>
        <v>0</v>
      </c>
      <c r="U808" s="95" t="str">
        <f>Readings[[#This Row],[Sensor ID]]&amp;"-"&amp;Readings[[#This Row],[Epoch]]</f>
        <v>250-RL-OP-11019-45821.2916666667</v>
      </c>
      <c r="V808" s="99">
        <f ca="1">IF(Readings[[#This Row],[Epoch]]=OFFSET(Readings[[#This Row],[Epoch]],-1,0),0,1)</f>
        <v>0</v>
      </c>
    </row>
    <row r="809" spans="4:22" x14ac:dyDescent="0.2">
      <c r="D809" s="32">
        <v>45821.291666666664</v>
      </c>
      <c r="E809" s="33" t="s">
        <v>189</v>
      </c>
      <c r="F809" s="34">
        <v>60060.639999999999</v>
      </c>
      <c r="G809" s="34">
        <v>363837.32699999999</v>
      </c>
      <c r="H809" s="34">
        <v>18.782</v>
      </c>
      <c r="I809" s="33" t="s">
        <v>85</v>
      </c>
      <c r="J809" s="151" t="s">
        <v>90</v>
      </c>
      <c r="K809" s="33">
        <v>6.4</v>
      </c>
      <c r="L809" s="33">
        <v>1020</v>
      </c>
      <c r="M809" s="33">
        <v>73</v>
      </c>
      <c r="N809" s="33"/>
      <c r="O809" s="93">
        <f>IFERROR(IF(Readings[[#This Row],[Obs. X]]="","-",Readings[[#This Row],[Obs. X]]-_xlfn.XLOOKUP(Readings[[#This Row],[Sensor ID]],Table_Baseline[Sensor ID],Table_Baseline[Easting '[m']],"-")),"-")</f>
        <v>0</v>
      </c>
      <c r="P809" s="93">
        <f>IFERROR(IF(Readings[[#This Row],[Obs. Y]]="","-",Readings[[#This Row],[Obs. Y]]-_xlfn.XLOOKUP(Readings[[#This Row],[Sensor ID]],Table_Baseline[Sensor ID],Table_Baseline[Northing '[m']],"-")),"-")</f>
        <v>5.0000000046566129E-3</v>
      </c>
      <c r="Q809" s="93">
        <f>IFERROR(IF(Readings[[#This Row],[Obs. Z]]="","-",Readings[[#This Row],[Obs. Z]]-_xlfn.XLOOKUP(Readings[[#This Row],[Sensor ID]],Table_Baseline[Sensor ID],Table_Baseline[Level '[m']],"-")),"-")</f>
        <v>-1.5999999999998238E-3</v>
      </c>
      <c r="R809" s="93">
        <f>IFERROR(IF(Readings[[#This Row],[Reference Angle]]="-","-",(Readings[[#This Row],[Diff E]]*COS(RADIANS(Readings[[#This Row],[Reference Angle]]))-Readings[[#This Row],[Diff N]]*SIN(RADIANS(Readings[[#This Row],[Reference Angle]])))),"-")</f>
        <v>0</v>
      </c>
      <c r="S809" s="93">
        <f>IFERROR(IF(Readings[[#This Row],[Reference Angle]]="-","-",(Readings[[#This Row],[Diff E]]*SIN(RADIANS(Readings[[#This Row],[Reference Angle]]))+Readings[[#This Row],[Diff N]]*COS(RADIANS(Readings[[#This Row],[Reference Angle]])))),"-")</f>
        <v>5.0000000046566129E-3</v>
      </c>
      <c r="T809" s="94">
        <f>IFERROR(VLOOKUP(Readings[[#This Row],[Sensor ID]],Table_Baseline[],COLUMNS(Table_Baseline[[#Headers],[Sensor ID]:[Reference Angle '[Deg']]]),FALSE),"-")</f>
        <v>0</v>
      </c>
      <c r="U809" s="95" t="str">
        <f>Readings[[#This Row],[Sensor ID]]&amp;"-"&amp;Readings[[#This Row],[Epoch]]</f>
        <v>250-RL-OP-11020-45821.2916666667</v>
      </c>
      <c r="V809" s="99">
        <f ca="1">IF(Readings[[#This Row],[Epoch]]=OFFSET(Readings[[#This Row],[Epoch]],-1,0),0,1)</f>
        <v>0</v>
      </c>
    </row>
    <row r="810" spans="4:22" x14ac:dyDescent="0.2">
      <c r="D810" s="32">
        <v>45821.291666666664</v>
      </c>
      <c r="E810" s="33" t="s">
        <v>192</v>
      </c>
      <c r="F810" s="34">
        <v>60063.75</v>
      </c>
      <c r="G810" s="34">
        <v>363837.92200000002</v>
      </c>
      <c r="H810" s="34">
        <v>18.808</v>
      </c>
      <c r="I810" s="33" t="s">
        <v>85</v>
      </c>
      <c r="J810" s="151" t="s">
        <v>90</v>
      </c>
      <c r="K810" s="33">
        <v>6.4</v>
      </c>
      <c r="L810" s="33">
        <v>1020</v>
      </c>
      <c r="M810" s="33">
        <v>73</v>
      </c>
      <c r="N810" s="33"/>
      <c r="O810" s="93">
        <f>IFERROR(IF(Readings[[#This Row],[Obs. X]]="","-",Readings[[#This Row],[Obs. X]]-_xlfn.XLOOKUP(Readings[[#This Row],[Sensor ID]],Table_Baseline[Sensor ID],Table_Baseline[Easting '[m']],"-")),"-")</f>
        <v>-9.9999999656574801E-4</v>
      </c>
      <c r="P810" s="93">
        <f>IFERROR(IF(Readings[[#This Row],[Obs. Y]]="","-",Readings[[#This Row],[Obs. Y]]-_xlfn.XLOOKUP(Readings[[#This Row],[Sensor ID]],Table_Baseline[Sensor ID],Table_Baseline[Northing '[m']],"-")),"-")</f>
        <v>4.0000000153668225E-3</v>
      </c>
      <c r="Q810" s="93">
        <f>IFERROR(IF(Readings[[#This Row],[Obs. Z]]="","-",Readings[[#This Row],[Obs. Z]]-_xlfn.XLOOKUP(Readings[[#This Row],[Sensor ID]],Table_Baseline[Sensor ID],Table_Baseline[Level '[m']],"-")),"-")</f>
        <v>-1.0000000000012221E-3</v>
      </c>
      <c r="R810" s="93">
        <f>IFERROR(IF(Readings[[#This Row],[Reference Angle]]="-","-",(Readings[[#This Row],[Diff E]]*COS(RADIANS(Readings[[#This Row],[Reference Angle]]))-Readings[[#This Row],[Diff N]]*SIN(RADIANS(Readings[[#This Row],[Reference Angle]])))),"-")</f>
        <v>-9.9999999656574801E-4</v>
      </c>
      <c r="S810" s="93">
        <f>IFERROR(IF(Readings[[#This Row],[Reference Angle]]="-","-",(Readings[[#This Row],[Diff E]]*SIN(RADIANS(Readings[[#This Row],[Reference Angle]]))+Readings[[#This Row],[Diff N]]*COS(RADIANS(Readings[[#This Row],[Reference Angle]])))),"-")</f>
        <v>4.0000000153668225E-3</v>
      </c>
      <c r="T810" s="94">
        <f>IFERROR(VLOOKUP(Readings[[#This Row],[Sensor ID]],Table_Baseline[],COLUMNS(Table_Baseline[[#Headers],[Sensor ID]:[Reference Angle '[Deg']]]),FALSE),"-")</f>
        <v>0</v>
      </c>
      <c r="U810" s="95" t="str">
        <f>Readings[[#This Row],[Sensor ID]]&amp;"-"&amp;Readings[[#This Row],[Epoch]]</f>
        <v>250-RL-OP-11021-45821.2916666667</v>
      </c>
      <c r="V810" s="99">
        <f ca="1">IF(Readings[[#This Row],[Epoch]]=OFFSET(Readings[[#This Row],[Epoch]],-1,0),0,1)</f>
        <v>0</v>
      </c>
    </row>
    <row r="811" spans="4:22" x14ac:dyDescent="0.2">
      <c r="D811" s="32">
        <v>45821.291666666664</v>
      </c>
      <c r="E811" s="151" t="s">
        <v>191</v>
      </c>
      <c r="F811" s="152">
        <v>60063.421999999999</v>
      </c>
      <c r="G811" s="152">
        <v>363836.641</v>
      </c>
      <c r="H811" s="152">
        <v>18.792999999999999</v>
      </c>
      <c r="I811" s="33" t="s">
        <v>85</v>
      </c>
      <c r="J811" s="151" t="s">
        <v>90</v>
      </c>
      <c r="K811" s="33">
        <v>6.4</v>
      </c>
      <c r="L811" s="33">
        <v>1020</v>
      </c>
      <c r="M811" s="33">
        <v>73</v>
      </c>
      <c r="N811" s="151"/>
      <c r="O811" s="96">
        <f>IFERROR(IF(Readings[[#This Row],[Obs. X]]="","-",Readings[[#This Row],[Obs. X]]-_xlfn.XLOOKUP(Readings[[#This Row],[Sensor ID]],Table_Baseline[Sensor ID],Table_Baseline[Easting '[m']],"-")),"-")</f>
        <v>0</v>
      </c>
      <c r="P811" s="96">
        <f>IFERROR(IF(Readings[[#This Row],[Obs. Y]]="","-",Readings[[#This Row],[Obs. Y]]-_xlfn.XLOOKUP(Readings[[#This Row],[Sensor ID]],Table_Baseline[Sensor ID],Table_Baseline[Northing '[m']],"-")),"-")</f>
        <v>5.0000000046566129E-3</v>
      </c>
      <c r="Q811" s="96">
        <f>IFERROR(IF(Readings[[#This Row],[Obs. Z]]="","-",Readings[[#This Row],[Obs. Z]]-_xlfn.XLOOKUP(Readings[[#This Row],[Sensor ID]],Table_Baseline[Sensor ID],Table_Baseline[Level '[m']],"-")),"-")</f>
        <v>-1.8999999999991246E-3</v>
      </c>
      <c r="R811" s="96">
        <f>IFERROR(IF(Readings[[#This Row],[Reference Angle]]="-","-",(Readings[[#This Row],[Diff E]]*COS(RADIANS(Readings[[#This Row],[Reference Angle]]))-Readings[[#This Row],[Diff N]]*SIN(RADIANS(Readings[[#This Row],[Reference Angle]])))),"-")</f>
        <v>0</v>
      </c>
      <c r="S811" s="96">
        <f>IFERROR(IF(Readings[[#This Row],[Reference Angle]]="-","-",(Readings[[#This Row],[Diff E]]*SIN(RADIANS(Readings[[#This Row],[Reference Angle]]))+Readings[[#This Row],[Diff N]]*COS(RADIANS(Readings[[#This Row],[Reference Angle]])))),"-")</f>
        <v>5.0000000046566129E-3</v>
      </c>
      <c r="T811" s="97">
        <f>IFERROR(VLOOKUP(Readings[[#This Row],[Sensor ID]],Table_Baseline[],COLUMNS(Table_Baseline[[#Headers],[Sensor ID]:[Reference Angle '[Deg']]]),FALSE),"-")</f>
        <v>0</v>
      </c>
      <c r="U811" s="98" t="str">
        <f>Readings[[#This Row],[Sensor ID]]&amp;"-"&amp;Readings[[#This Row],[Epoch]]</f>
        <v>250-RL-OP-11022-45821.2916666667</v>
      </c>
      <c r="V811" s="100">
        <f ca="1">IF(Readings[[#This Row],[Epoch]]=OFFSET(Readings[[#This Row],[Epoch]],-1,0),0,1)</f>
        <v>0</v>
      </c>
    </row>
    <row r="812" spans="4:22" x14ac:dyDescent="0.2">
      <c r="D812" s="32">
        <v>45825.229166666664</v>
      </c>
      <c r="E812" s="33" t="s">
        <v>165</v>
      </c>
      <c r="F812" s="34">
        <v>60034.538999999997</v>
      </c>
      <c r="G812" s="34">
        <v>363843.38099999999</v>
      </c>
      <c r="H812" s="34">
        <v>19.331</v>
      </c>
      <c r="I812" s="33" t="s">
        <v>85</v>
      </c>
      <c r="J812" s="151" t="s">
        <v>90</v>
      </c>
      <c r="K812" s="33">
        <v>12</v>
      </c>
      <c r="L812" s="33">
        <v>1022</v>
      </c>
      <c r="M812" s="33">
        <v>82</v>
      </c>
      <c r="N812" s="33"/>
      <c r="O812" s="93" t="str">
        <f>IFERROR(IF(Readings[[#This Row],[Obs. X]]="","-",Readings[[#This Row],[Obs. X]]-_xlfn.XLOOKUP(Readings[[#This Row],[Sensor ID]],Table_Baseline[Sensor ID],Table_Baseline[Easting '[m']],"-")),"-")</f>
        <v>-</v>
      </c>
      <c r="P812" s="93" t="str">
        <f>IFERROR(IF(Readings[[#This Row],[Obs. Y]]="","-",Readings[[#This Row],[Obs. Y]]-_xlfn.XLOOKUP(Readings[[#This Row],[Sensor ID]],Table_Baseline[Sensor ID],Table_Baseline[Northing '[m']],"-")),"-")</f>
        <v>-</v>
      </c>
      <c r="Q812" s="93" t="str">
        <f>IFERROR(IF(Readings[[#This Row],[Obs. Z]]="","-",Readings[[#This Row],[Obs. Z]]-_xlfn.XLOOKUP(Readings[[#This Row],[Sensor ID]],Table_Baseline[Sensor ID],Table_Baseline[Level '[m']],"-")),"-")</f>
        <v>-</v>
      </c>
      <c r="R812" s="93" t="str">
        <f>IFERROR(IF(Readings[[#This Row],[Reference Angle]]="-","-",(Readings[[#This Row],[Diff E]]*COS(RADIANS(Readings[[#This Row],[Reference Angle]]))-Readings[[#This Row],[Diff N]]*SIN(RADIANS(Readings[[#This Row],[Reference Angle]])))),"-")</f>
        <v>-</v>
      </c>
      <c r="S812" s="93" t="str">
        <f>IFERROR(IF(Readings[[#This Row],[Reference Angle]]="-","-",(Readings[[#This Row],[Diff E]]*SIN(RADIANS(Readings[[#This Row],[Reference Angle]]))+Readings[[#This Row],[Diff N]]*COS(RADIANS(Readings[[#This Row],[Reference Angle]])))),"-")</f>
        <v>-</v>
      </c>
      <c r="T812" s="94" t="str">
        <f>IFERROR(VLOOKUP(Readings[[#This Row],[Sensor ID]],Table_Baseline[],COLUMNS(Table_Baseline[[#Headers],[Sensor ID]:[Reference Angle '[Deg']]]),FALSE),"-")</f>
        <v>-</v>
      </c>
      <c r="U812" s="95" t="str">
        <f>Readings[[#This Row],[Sensor ID]]&amp;"-"&amp;Readings[[#This Row],[Epoch]]</f>
        <v>250-ST-OP-500-45825.2291666667</v>
      </c>
      <c r="V812" s="99">
        <f ca="1">IF(Readings[[#This Row],[Epoch]]=OFFSET(Readings[[#This Row],[Epoch]],-1,0),0,1)</f>
        <v>1</v>
      </c>
    </row>
    <row r="813" spans="4:22" x14ac:dyDescent="0.2">
      <c r="D813" s="32">
        <v>45825.229166666664</v>
      </c>
      <c r="E813" s="33" t="s">
        <v>166</v>
      </c>
      <c r="F813" s="34">
        <v>60040.286999999997</v>
      </c>
      <c r="G813" s="34">
        <v>363841.72899999999</v>
      </c>
      <c r="H813" s="34">
        <v>19.321999999999999</v>
      </c>
      <c r="I813" s="33" t="s">
        <v>85</v>
      </c>
      <c r="J813" s="151" t="s">
        <v>90</v>
      </c>
      <c r="K813" s="33">
        <v>12</v>
      </c>
      <c r="L813" s="33">
        <v>1022</v>
      </c>
      <c r="M813" s="33">
        <v>82</v>
      </c>
      <c r="N813" s="33"/>
      <c r="O813" s="93" t="str">
        <f>IFERROR(IF(Readings[[#This Row],[Obs. X]]="","-",Readings[[#This Row],[Obs. X]]-_xlfn.XLOOKUP(Readings[[#This Row],[Sensor ID]],Table_Baseline[Sensor ID],Table_Baseline[Easting '[m']],"-")),"-")</f>
        <v>-</v>
      </c>
      <c r="P813" s="93" t="str">
        <f>IFERROR(IF(Readings[[#This Row],[Obs. Y]]="","-",Readings[[#This Row],[Obs. Y]]-_xlfn.XLOOKUP(Readings[[#This Row],[Sensor ID]],Table_Baseline[Sensor ID],Table_Baseline[Northing '[m']],"-")),"-")</f>
        <v>-</v>
      </c>
      <c r="Q813" s="93" t="str">
        <f>IFERROR(IF(Readings[[#This Row],[Obs. Z]]="","-",Readings[[#This Row],[Obs. Z]]-_xlfn.XLOOKUP(Readings[[#This Row],[Sensor ID]],Table_Baseline[Sensor ID],Table_Baseline[Level '[m']],"-")),"-")</f>
        <v>-</v>
      </c>
      <c r="R813" s="93" t="str">
        <f>IFERROR(IF(Readings[[#This Row],[Reference Angle]]="-","-",(Readings[[#This Row],[Diff E]]*COS(RADIANS(Readings[[#This Row],[Reference Angle]]))-Readings[[#This Row],[Diff N]]*SIN(RADIANS(Readings[[#This Row],[Reference Angle]])))),"-")</f>
        <v>-</v>
      </c>
      <c r="S813" s="93" t="str">
        <f>IFERROR(IF(Readings[[#This Row],[Reference Angle]]="-","-",(Readings[[#This Row],[Diff E]]*SIN(RADIANS(Readings[[#This Row],[Reference Angle]]))+Readings[[#This Row],[Diff N]]*COS(RADIANS(Readings[[#This Row],[Reference Angle]])))),"-")</f>
        <v>-</v>
      </c>
      <c r="T813" s="94" t="str">
        <f>IFERROR(VLOOKUP(Readings[[#This Row],[Sensor ID]],Table_Baseline[],COLUMNS(Table_Baseline[[#Headers],[Sensor ID]:[Reference Angle '[Deg']]]),FALSE),"-")</f>
        <v>-</v>
      </c>
      <c r="U813" s="95" t="str">
        <f>Readings[[#This Row],[Sensor ID]]&amp;"-"&amp;Readings[[#This Row],[Epoch]]</f>
        <v>250-ST-OP-501-45825.2291666667</v>
      </c>
      <c r="V813" s="99">
        <f ca="1">IF(Readings[[#This Row],[Epoch]]=OFFSET(Readings[[#This Row],[Epoch]],-1,0),0,1)</f>
        <v>0</v>
      </c>
    </row>
    <row r="814" spans="4:22" x14ac:dyDescent="0.2">
      <c r="D814" s="32">
        <v>45825.229166666664</v>
      </c>
      <c r="E814" s="33" t="s">
        <v>167</v>
      </c>
      <c r="F814" s="34">
        <v>60045.921999999999</v>
      </c>
      <c r="G814" s="34">
        <v>363840.10100000002</v>
      </c>
      <c r="H814" s="34">
        <v>19.334</v>
      </c>
      <c r="I814" s="33" t="s">
        <v>85</v>
      </c>
      <c r="J814" s="151" t="s">
        <v>90</v>
      </c>
      <c r="K814" s="33">
        <v>12</v>
      </c>
      <c r="L814" s="33">
        <v>1022</v>
      </c>
      <c r="M814" s="33">
        <v>82</v>
      </c>
      <c r="N814" s="33"/>
      <c r="O814" s="93" t="str">
        <f>IFERROR(IF(Readings[[#This Row],[Obs. X]]="","-",Readings[[#This Row],[Obs. X]]-_xlfn.XLOOKUP(Readings[[#This Row],[Sensor ID]],Table_Baseline[Sensor ID],Table_Baseline[Easting '[m']],"-")),"-")</f>
        <v>-</v>
      </c>
      <c r="P814" s="93" t="str">
        <f>IFERROR(IF(Readings[[#This Row],[Obs. Y]]="","-",Readings[[#This Row],[Obs. Y]]-_xlfn.XLOOKUP(Readings[[#This Row],[Sensor ID]],Table_Baseline[Sensor ID],Table_Baseline[Northing '[m']],"-")),"-")</f>
        <v>-</v>
      </c>
      <c r="Q814" s="93" t="str">
        <f>IFERROR(IF(Readings[[#This Row],[Obs. Z]]="","-",Readings[[#This Row],[Obs. Z]]-_xlfn.XLOOKUP(Readings[[#This Row],[Sensor ID]],Table_Baseline[Sensor ID],Table_Baseline[Level '[m']],"-")),"-")</f>
        <v>-</v>
      </c>
      <c r="R814" s="93" t="str">
        <f>IFERROR(IF(Readings[[#This Row],[Reference Angle]]="-","-",(Readings[[#This Row],[Diff E]]*COS(RADIANS(Readings[[#This Row],[Reference Angle]]))-Readings[[#This Row],[Diff N]]*SIN(RADIANS(Readings[[#This Row],[Reference Angle]])))),"-")</f>
        <v>-</v>
      </c>
      <c r="S814" s="93" t="str">
        <f>IFERROR(IF(Readings[[#This Row],[Reference Angle]]="-","-",(Readings[[#This Row],[Diff E]]*SIN(RADIANS(Readings[[#This Row],[Reference Angle]]))+Readings[[#This Row],[Diff N]]*COS(RADIANS(Readings[[#This Row],[Reference Angle]])))),"-")</f>
        <v>-</v>
      </c>
      <c r="T814" s="94" t="str">
        <f>IFERROR(VLOOKUP(Readings[[#This Row],[Sensor ID]],Table_Baseline[],COLUMNS(Table_Baseline[[#Headers],[Sensor ID]:[Reference Angle '[Deg']]]),FALSE),"-")</f>
        <v>-</v>
      </c>
      <c r="U814" s="95" t="str">
        <f>Readings[[#This Row],[Sensor ID]]&amp;"-"&amp;Readings[[#This Row],[Epoch]]</f>
        <v>250-ST-OP-502-45825.2291666667</v>
      </c>
      <c r="V814" s="99">
        <f ca="1">IF(Readings[[#This Row],[Epoch]]=OFFSET(Readings[[#This Row],[Epoch]],-1,0),0,1)</f>
        <v>0</v>
      </c>
    </row>
    <row r="815" spans="4:22" x14ac:dyDescent="0.2">
      <c r="D815" s="32">
        <v>45825.229166666664</v>
      </c>
      <c r="E815" s="33" t="s">
        <v>168</v>
      </c>
      <c r="F815" s="34">
        <v>60049.767999999996</v>
      </c>
      <c r="G815" s="34">
        <v>363838.99400000001</v>
      </c>
      <c r="H815" s="34">
        <v>19.344999999999999</v>
      </c>
      <c r="I815" s="33" t="s">
        <v>85</v>
      </c>
      <c r="J815" s="151" t="s">
        <v>90</v>
      </c>
      <c r="K815" s="33">
        <v>12</v>
      </c>
      <c r="L815" s="33">
        <v>1022</v>
      </c>
      <c r="M815" s="33">
        <v>82</v>
      </c>
      <c r="N815" s="33"/>
      <c r="O815" s="93" t="str">
        <f>IFERROR(IF(Readings[[#This Row],[Obs. X]]="","-",Readings[[#This Row],[Obs. X]]-_xlfn.XLOOKUP(Readings[[#This Row],[Sensor ID]],Table_Baseline[Sensor ID],Table_Baseline[Easting '[m']],"-")),"-")</f>
        <v>-</v>
      </c>
      <c r="P815" s="93" t="str">
        <f>IFERROR(IF(Readings[[#This Row],[Obs. Y]]="","-",Readings[[#This Row],[Obs. Y]]-_xlfn.XLOOKUP(Readings[[#This Row],[Sensor ID]],Table_Baseline[Sensor ID],Table_Baseline[Northing '[m']],"-")),"-")</f>
        <v>-</v>
      </c>
      <c r="Q815" s="93" t="str">
        <f>IFERROR(IF(Readings[[#This Row],[Obs. Z]]="","-",Readings[[#This Row],[Obs. Z]]-_xlfn.XLOOKUP(Readings[[#This Row],[Sensor ID]],Table_Baseline[Sensor ID],Table_Baseline[Level '[m']],"-")),"-")</f>
        <v>-</v>
      </c>
      <c r="R815" s="93" t="str">
        <f>IFERROR(IF(Readings[[#This Row],[Reference Angle]]="-","-",(Readings[[#This Row],[Diff E]]*COS(RADIANS(Readings[[#This Row],[Reference Angle]]))-Readings[[#This Row],[Diff N]]*SIN(RADIANS(Readings[[#This Row],[Reference Angle]])))),"-")</f>
        <v>-</v>
      </c>
      <c r="S815" s="93" t="str">
        <f>IFERROR(IF(Readings[[#This Row],[Reference Angle]]="-","-",(Readings[[#This Row],[Diff E]]*SIN(RADIANS(Readings[[#This Row],[Reference Angle]]))+Readings[[#This Row],[Diff N]]*COS(RADIANS(Readings[[#This Row],[Reference Angle]])))),"-")</f>
        <v>-</v>
      </c>
      <c r="T815" s="94" t="str">
        <f>IFERROR(VLOOKUP(Readings[[#This Row],[Sensor ID]],Table_Baseline[],COLUMNS(Table_Baseline[[#Headers],[Sensor ID]:[Reference Angle '[Deg']]]),FALSE),"-")</f>
        <v>-</v>
      </c>
      <c r="U815" s="95" t="str">
        <f>Readings[[#This Row],[Sensor ID]]&amp;"-"&amp;Readings[[#This Row],[Epoch]]</f>
        <v>250-ST-OP-503-45825.2291666667</v>
      </c>
      <c r="V815" s="99">
        <f ca="1">IF(Readings[[#This Row],[Epoch]]=OFFSET(Readings[[#This Row],[Epoch]],-1,0),0,1)</f>
        <v>0</v>
      </c>
    </row>
    <row r="816" spans="4:22" x14ac:dyDescent="0.2">
      <c r="D816" s="32">
        <v>45825.229166666664</v>
      </c>
      <c r="E816" s="33" t="s">
        <v>169</v>
      </c>
      <c r="F816" s="34">
        <v>60053.608999999997</v>
      </c>
      <c r="G816" s="34">
        <v>363837.88300000003</v>
      </c>
      <c r="H816" s="34">
        <v>19.356000000000002</v>
      </c>
      <c r="I816" s="33" t="s">
        <v>85</v>
      </c>
      <c r="J816" s="151" t="s">
        <v>90</v>
      </c>
      <c r="K816" s="33">
        <v>12</v>
      </c>
      <c r="L816" s="33">
        <v>1022</v>
      </c>
      <c r="M816" s="33">
        <v>82</v>
      </c>
      <c r="N816" s="33"/>
      <c r="O816" s="93" t="str">
        <f>IFERROR(IF(Readings[[#This Row],[Obs. X]]="","-",Readings[[#This Row],[Obs. X]]-_xlfn.XLOOKUP(Readings[[#This Row],[Sensor ID]],Table_Baseline[Sensor ID],Table_Baseline[Easting '[m']],"-")),"-")</f>
        <v>-</v>
      </c>
      <c r="P816" s="93" t="str">
        <f>IFERROR(IF(Readings[[#This Row],[Obs. Y]]="","-",Readings[[#This Row],[Obs. Y]]-_xlfn.XLOOKUP(Readings[[#This Row],[Sensor ID]],Table_Baseline[Sensor ID],Table_Baseline[Northing '[m']],"-")),"-")</f>
        <v>-</v>
      </c>
      <c r="Q816" s="93" t="str">
        <f>IFERROR(IF(Readings[[#This Row],[Obs. Z]]="","-",Readings[[#This Row],[Obs. Z]]-_xlfn.XLOOKUP(Readings[[#This Row],[Sensor ID]],Table_Baseline[Sensor ID],Table_Baseline[Level '[m']],"-")),"-")</f>
        <v>-</v>
      </c>
      <c r="R816" s="93" t="str">
        <f>IFERROR(IF(Readings[[#This Row],[Reference Angle]]="-","-",(Readings[[#This Row],[Diff E]]*COS(RADIANS(Readings[[#This Row],[Reference Angle]]))-Readings[[#This Row],[Diff N]]*SIN(RADIANS(Readings[[#This Row],[Reference Angle]])))),"-")</f>
        <v>-</v>
      </c>
      <c r="S816" s="93" t="str">
        <f>IFERROR(IF(Readings[[#This Row],[Reference Angle]]="-","-",(Readings[[#This Row],[Diff E]]*SIN(RADIANS(Readings[[#This Row],[Reference Angle]]))+Readings[[#This Row],[Diff N]]*COS(RADIANS(Readings[[#This Row],[Reference Angle]])))),"-")</f>
        <v>-</v>
      </c>
      <c r="T816" s="94" t="str">
        <f>IFERROR(VLOOKUP(Readings[[#This Row],[Sensor ID]],Table_Baseline[],COLUMNS(Table_Baseline[[#Headers],[Sensor ID]:[Reference Angle '[Deg']]]),FALSE),"-")</f>
        <v>-</v>
      </c>
      <c r="U816" s="95" t="str">
        <f>Readings[[#This Row],[Sensor ID]]&amp;"-"&amp;Readings[[#This Row],[Epoch]]</f>
        <v>250-ST-OP-504-45825.2291666667</v>
      </c>
      <c r="V816" s="99">
        <f ca="1">IF(Readings[[#This Row],[Epoch]]=OFFSET(Readings[[#This Row],[Epoch]],-1,0),0,1)</f>
        <v>0</v>
      </c>
    </row>
    <row r="817" spans="4:22" x14ac:dyDescent="0.2">
      <c r="D817" s="32">
        <v>45825.229166666664</v>
      </c>
      <c r="E817" s="33" t="s">
        <v>170</v>
      </c>
      <c r="F817" s="34">
        <v>60060.065000000002</v>
      </c>
      <c r="G817" s="34">
        <v>363836.02500000002</v>
      </c>
      <c r="H817" s="34">
        <v>19.356000000000002</v>
      </c>
      <c r="I817" s="33" t="s">
        <v>85</v>
      </c>
      <c r="J817" s="151" t="s">
        <v>90</v>
      </c>
      <c r="K817" s="33">
        <v>12</v>
      </c>
      <c r="L817" s="33">
        <v>1022</v>
      </c>
      <c r="M817" s="33">
        <v>82</v>
      </c>
      <c r="N817" s="33"/>
      <c r="O817" s="93" t="str">
        <f>IFERROR(IF(Readings[[#This Row],[Obs. X]]="","-",Readings[[#This Row],[Obs. X]]-_xlfn.XLOOKUP(Readings[[#This Row],[Sensor ID]],Table_Baseline[Sensor ID],Table_Baseline[Easting '[m']],"-")),"-")</f>
        <v>-</v>
      </c>
      <c r="P817" s="93" t="str">
        <f>IFERROR(IF(Readings[[#This Row],[Obs. Y]]="","-",Readings[[#This Row],[Obs. Y]]-_xlfn.XLOOKUP(Readings[[#This Row],[Sensor ID]],Table_Baseline[Sensor ID],Table_Baseline[Northing '[m']],"-")),"-")</f>
        <v>-</v>
      </c>
      <c r="Q817" s="93" t="str">
        <f>IFERROR(IF(Readings[[#This Row],[Obs. Z]]="","-",Readings[[#This Row],[Obs. Z]]-_xlfn.XLOOKUP(Readings[[#This Row],[Sensor ID]],Table_Baseline[Sensor ID],Table_Baseline[Level '[m']],"-")),"-")</f>
        <v>-</v>
      </c>
      <c r="R817" s="93" t="str">
        <f>IFERROR(IF(Readings[[#This Row],[Reference Angle]]="-","-",(Readings[[#This Row],[Diff E]]*COS(RADIANS(Readings[[#This Row],[Reference Angle]]))-Readings[[#This Row],[Diff N]]*SIN(RADIANS(Readings[[#This Row],[Reference Angle]])))),"-")</f>
        <v>-</v>
      </c>
      <c r="S817" s="93" t="str">
        <f>IFERROR(IF(Readings[[#This Row],[Reference Angle]]="-","-",(Readings[[#This Row],[Diff E]]*SIN(RADIANS(Readings[[#This Row],[Reference Angle]]))+Readings[[#This Row],[Diff N]]*COS(RADIANS(Readings[[#This Row],[Reference Angle]])))),"-")</f>
        <v>-</v>
      </c>
      <c r="T817" s="94" t="str">
        <f>IFERROR(VLOOKUP(Readings[[#This Row],[Sensor ID]],Table_Baseline[],COLUMNS(Table_Baseline[[#Headers],[Sensor ID]:[Reference Angle '[Deg']]]),FALSE),"-")</f>
        <v>-</v>
      </c>
      <c r="U817" s="95" t="str">
        <f>Readings[[#This Row],[Sensor ID]]&amp;"-"&amp;Readings[[#This Row],[Epoch]]</f>
        <v>250-ST-OP-505-45825.2291666667</v>
      </c>
      <c r="V817" s="99">
        <f ca="1">IF(Readings[[#This Row],[Epoch]]=OFFSET(Readings[[#This Row],[Epoch]],-1,0),0,1)</f>
        <v>0</v>
      </c>
    </row>
    <row r="818" spans="4:22" x14ac:dyDescent="0.2">
      <c r="D818" s="32">
        <v>45825.229166666664</v>
      </c>
      <c r="E818" s="33" t="s">
        <v>172</v>
      </c>
      <c r="F818" s="34">
        <v>60035.339</v>
      </c>
      <c r="G818" s="34">
        <v>363845.73800000001</v>
      </c>
      <c r="H818" s="34">
        <v>18.782</v>
      </c>
      <c r="I818" s="33" t="s">
        <v>85</v>
      </c>
      <c r="J818" s="151" t="s">
        <v>90</v>
      </c>
      <c r="K818" s="33">
        <v>12</v>
      </c>
      <c r="L818" s="33">
        <v>1022</v>
      </c>
      <c r="M818" s="33">
        <v>82</v>
      </c>
      <c r="N818" s="33"/>
      <c r="O818" s="93">
        <f>IFERROR(IF(Readings[[#This Row],[Obs. X]]="","-",Readings[[#This Row],[Obs. X]]-_xlfn.XLOOKUP(Readings[[#This Row],[Sensor ID]],Table_Baseline[Sensor ID],Table_Baseline[Easting '[m']],"-")),"-")</f>
        <v>-9.9999999656574801E-4</v>
      </c>
      <c r="P818" s="93">
        <f>IFERROR(IF(Readings[[#This Row],[Obs. Y]]="","-",Readings[[#This Row],[Obs. Y]]-_xlfn.XLOOKUP(Readings[[#This Row],[Sensor ID]],Table_Baseline[Sensor ID],Table_Baseline[Northing '[m']],"-")),"-")</f>
        <v>-9.9999998928979039E-4</v>
      </c>
      <c r="Q818" s="93">
        <f>IFERROR(IF(Readings[[#This Row],[Obs. Z]]="","-",Readings[[#This Row],[Obs. Z]]-_xlfn.XLOOKUP(Readings[[#This Row],[Sensor ID]],Table_Baseline[Sensor ID],Table_Baseline[Level '[m']],"-")),"-")</f>
        <v>0</v>
      </c>
      <c r="R818" s="93">
        <f>IFERROR(IF(Readings[[#This Row],[Reference Angle]]="-","-",(Readings[[#This Row],[Diff E]]*COS(RADIANS(Readings[[#This Row],[Reference Angle]]))-Readings[[#This Row],[Diff N]]*SIN(RADIANS(Readings[[#This Row],[Reference Angle]])))),"-")</f>
        <v>-9.9999999656574801E-4</v>
      </c>
      <c r="S818" s="93">
        <f>IFERROR(IF(Readings[[#This Row],[Reference Angle]]="-","-",(Readings[[#This Row],[Diff E]]*SIN(RADIANS(Readings[[#This Row],[Reference Angle]]))+Readings[[#This Row],[Diff N]]*COS(RADIANS(Readings[[#This Row],[Reference Angle]])))),"-")</f>
        <v>-9.9999998928979039E-4</v>
      </c>
      <c r="T818" s="94">
        <f>IFERROR(VLOOKUP(Readings[[#This Row],[Sensor ID]],Table_Baseline[],COLUMNS(Table_Baseline[[#Headers],[Sensor ID]:[Reference Angle '[Deg']]]),FALSE),"-")</f>
        <v>0</v>
      </c>
      <c r="U818" s="95" t="str">
        <f>Readings[[#This Row],[Sensor ID]]&amp;"-"&amp;Readings[[#This Row],[Epoch]]</f>
        <v>250-RL-OP-11001-45825.2291666667</v>
      </c>
      <c r="V818" s="99">
        <f ca="1">IF(Readings[[#This Row],[Epoch]]=OFFSET(Readings[[#This Row],[Epoch]],-1,0),0,1)</f>
        <v>0</v>
      </c>
    </row>
    <row r="819" spans="4:22" x14ac:dyDescent="0.2">
      <c r="D819" s="32">
        <v>45825.229166666664</v>
      </c>
      <c r="E819" s="33" t="s">
        <v>171</v>
      </c>
      <c r="F819" s="34">
        <v>60034.957999999999</v>
      </c>
      <c r="G819" s="34">
        <v>363844.47</v>
      </c>
      <c r="H819" s="34">
        <v>18.777999999999999</v>
      </c>
      <c r="I819" s="33" t="s">
        <v>85</v>
      </c>
      <c r="J819" s="151" t="s">
        <v>90</v>
      </c>
      <c r="K819" s="33">
        <v>12</v>
      </c>
      <c r="L819" s="33">
        <v>1022</v>
      </c>
      <c r="M819" s="33">
        <v>82</v>
      </c>
      <c r="N819" s="33"/>
      <c r="O819" s="93">
        <f>IFERROR(IF(Readings[[#This Row],[Obs. X]]="","-",Readings[[#This Row],[Obs. X]]-_xlfn.XLOOKUP(Readings[[#This Row],[Sensor ID]],Table_Baseline[Sensor ID],Table_Baseline[Easting '[m']],"-")),"-")</f>
        <v>-1.0000000038417056E-3</v>
      </c>
      <c r="P819" s="93">
        <f>IFERROR(IF(Readings[[#This Row],[Obs. Y]]="","-",Readings[[#This Row],[Obs. Y]]-_xlfn.XLOOKUP(Readings[[#This Row],[Sensor ID]],Table_Baseline[Sensor ID],Table_Baseline[Northing '[m']],"-")),"-")</f>
        <v>-1.0000000474974513E-3</v>
      </c>
      <c r="Q819" s="93">
        <f>IFERROR(IF(Readings[[#This Row],[Obs. Z]]="","-",Readings[[#This Row],[Obs. Z]]-_xlfn.XLOOKUP(Readings[[#This Row],[Sensor ID]],Table_Baseline[Sensor ID],Table_Baseline[Level '[m']],"-")),"-")</f>
        <v>-9.9999999999766942E-5</v>
      </c>
      <c r="R819" s="93">
        <f>IFERROR(IF(Readings[[#This Row],[Reference Angle]]="-","-",(Readings[[#This Row],[Diff E]]*COS(RADIANS(Readings[[#This Row],[Reference Angle]]))-Readings[[#This Row],[Diff N]]*SIN(RADIANS(Readings[[#This Row],[Reference Angle]])))),"-")</f>
        <v>-1.0000000038417056E-3</v>
      </c>
      <c r="S819" s="93">
        <f>IFERROR(IF(Readings[[#This Row],[Reference Angle]]="-","-",(Readings[[#This Row],[Diff E]]*SIN(RADIANS(Readings[[#This Row],[Reference Angle]]))+Readings[[#This Row],[Diff N]]*COS(RADIANS(Readings[[#This Row],[Reference Angle]])))),"-")</f>
        <v>-1.0000000474974513E-3</v>
      </c>
      <c r="T819" s="94">
        <f>IFERROR(VLOOKUP(Readings[[#This Row],[Sensor ID]],Table_Baseline[],COLUMNS(Table_Baseline[[#Headers],[Sensor ID]:[Reference Angle '[Deg']]]),FALSE),"-")</f>
        <v>0</v>
      </c>
      <c r="U819" s="95" t="str">
        <f>Readings[[#This Row],[Sensor ID]]&amp;"-"&amp;Readings[[#This Row],[Epoch]]</f>
        <v>250-RL-OP-11002-45825.2291666667</v>
      </c>
      <c r="V819" s="99">
        <f ca="1">IF(Readings[[#This Row],[Epoch]]=OFFSET(Readings[[#This Row],[Epoch]],-1,0),0,1)</f>
        <v>0</v>
      </c>
    </row>
    <row r="820" spans="4:22" x14ac:dyDescent="0.2">
      <c r="D820" s="32">
        <v>45825.229166666664</v>
      </c>
      <c r="E820" s="33" t="s">
        <v>174</v>
      </c>
      <c r="F820" s="34">
        <v>60038.116999999998</v>
      </c>
      <c r="G820" s="34">
        <v>363844.94500000001</v>
      </c>
      <c r="H820" s="34">
        <v>18.777999999999999</v>
      </c>
      <c r="I820" s="33" t="s">
        <v>85</v>
      </c>
      <c r="J820" s="151" t="s">
        <v>90</v>
      </c>
      <c r="K820" s="33">
        <v>12</v>
      </c>
      <c r="L820" s="33">
        <v>1022</v>
      </c>
      <c r="M820" s="33">
        <v>82</v>
      </c>
      <c r="N820" s="33"/>
      <c r="O820" s="93">
        <f>IFERROR(IF(Readings[[#This Row],[Obs. X]]="","-",Readings[[#This Row],[Obs. X]]-_xlfn.XLOOKUP(Readings[[#This Row],[Sensor ID]],Table_Baseline[Sensor ID],Table_Baseline[Easting '[m']],"-")),"-")</f>
        <v>-1.0000000038417056E-3</v>
      </c>
      <c r="P820" s="93">
        <f>IFERROR(IF(Readings[[#This Row],[Obs. Y]]="","-",Readings[[#This Row],[Obs. Y]]-_xlfn.XLOOKUP(Readings[[#This Row],[Sensor ID]],Table_Baseline[Sensor ID],Table_Baseline[Northing '[m']],"-")),"-")</f>
        <v>0</v>
      </c>
      <c r="Q820" s="93">
        <f>IFERROR(IF(Readings[[#This Row],[Obs. Z]]="","-",Readings[[#This Row],[Obs. Z]]-_xlfn.XLOOKUP(Readings[[#This Row],[Sensor ID]],Table_Baseline[Sensor ID],Table_Baseline[Level '[m']],"-")),"-")</f>
        <v>-8.0000000000168825E-4</v>
      </c>
      <c r="R820" s="93">
        <f>IFERROR(IF(Readings[[#This Row],[Reference Angle]]="-","-",(Readings[[#This Row],[Diff E]]*COS(RADIANS(Readings[[#This Row],[Reference Angle]]))-Readings[[#This Row],[Diff N]]*SIN(RADIANS(Readings[[#This Row],[Reference Angle]])))),"-")</f>
        <v>-1.0000000038417056E-3</v>
      </c>
      <c r="S820" s="93">
        <f>IFERROR(IF(Readings[[#This Row],[Reference Angle]]="-","-",(Readings[[#This Row],[Diff E]]*SIN(RADIANS(Readings[[#This Row],[Reference Angle]]))+Readings[[#This Row],[Diff N]]*COS(RADIANS(Readings[[#This Row],[Reference Angle]])))),"-")</f>
        <v>0</v>
      </c>
      <c r="T820" s="94">
        <f>IFERROR(VLOOKUP(Readings[[#This Row],[Sensor ID]],Table_Baseline[],COLUMNS(Table_Baseline[[#Headers],[Sensor ID]:[Reference Angle '[Deg']]]),FALSE),"-")</f>
        <v>0</v>
      </c>
      <c r="U820" s="95" t="str">
        <f>Readings[[#This Row],[Sensor ID]]&amp;"-"&amp;Readings[[#This Row],[Epoch]]</f>
        <v>250-RL-OP-11003-45825.2291666667</v>
      </c>
      <c r="V820" s="99">
        <f ca="1">IF(Readings[[#This Row],[Epoch]]=OFFSET(Readings[[#This Row],[Epoch]],-1,0),0,1)</f>
        <v>0</v>
      </c>
    </row>
    <row r="821" spans="4:22" x14ac:dyDescent="0.2">
      <c r="D821" s="32">
        <v>45825.229166666664</v>
      </c>
      <c r="E821" s="33" t="s">
        <v>173</v>
      </c>
      <c r="F821" s="34">
        <v>60037.803999999996</v>
      </c>
      <c r="G821" s="34">
        <v>363843.65700000001</v>
      </c>
      <c r="H821" s="34">
        <v>18.777999999999999</v>
      </c>
      <c r="I821" s="33" t="s">
        <v>85</v>
      </c>
      <c r="J821" s="151" t="s">
        <v>90</v>
      </c>
      <c r="K821" s="33">
        <v>12</v>
      </c>
      <c r="L821" s="33">
        <v>1022</v>
      </c>
      <c r="M821" s="33">
        <v>82</v>
      </c>
      <c r="N821" s="33"/>
      <c r="O821" s="93">
        <f>IFERROR(IF(Readings[[#This Row],[Obs. X]]="","-",Readings[[#This Row],[Obs. X]]-_xlfn.XLOOKUP(Readings[[#This Row],[Sensor ID]],Table_Baseline[Sensor ID],Table_Baseline[Easting '[m']],"-")),"-")</f>
        <v>-1.0000000038417056E-3</v>
      </c>
      <c r="P821" s="93">
        <f>IFERROR(IF(Readings[[#This Row],[Obs. Y]]="","-",Readings[[#This Row],[Obs. Y]]-_xlfn.XLOOKUP(Readings[[#This Row],[Sensor ID]],Table_Baseline[Sensor ID],Table_Baseline[Northing '[m']],"-")),"-")</f>
        <v>0</v>
      </c>
      <c r="Q821" s="93">
        <f>IFERROR(IF(Readings[[#This Row],[Obs. Z]]="","-",Readings[[#This Row],[Obs. Z]]-_xlfn.XLOOKUP(Readings[[#This Row],[Sensor ID]],Table_Baseline[Sensor ID],Table_Baseline[Level '[m']],"-")),"-")</f>
        <v>-5.0000000000238742E-4</v>
      </c>
      <c r="R821" s="93">
        <f>IFERROR(IF(Readings[[#This Row],[Reference Angle]]="-","-",(Readings[[#This Row],[Diff E]]*COS(RADIANS(Readings[[#This Row],[Reference Angle]]))-Readings[[#This Row],[Diff N]]*SIN(RADIANS(Readings[[#This Row],[Reference Angle]])))),"-")</f>
        <v>-1.0000000038417056E-3</v>
      </c>
      <c r="S821" s="93">
        <f>IFERROR(IF(Readings[[#This Row],[Reference Angle]]="-","-",(Readings[[#This Row],[Diff E]]*SIN(RADIANS(Readings[[#This Row],[Reference Angle]]))+Readings[[#This Row],[Diff N]]*COS(RADIANS(Readings[[#This Row],[Reference Angle]])))),"-")</f>
        <v>0</v>
      </c>
      <c r="T821" s="94">
        <f>IFERROR(VLOOKUP(Readings[[#This Row],[Sensor ID]],Table_Baseline[],COLUMNS(Table_Baseline[[#Headers],[Sensor ID]:[Reference Angle '[Deg']]]),FALSE),"-")</f>
        <v>0</v>
      </c>
      <c r="U821" s="95" t="str">
        <f>Readings[[#This Row],[Sensor ID]]&amp;"-"&amp;Readings[[#This Row],[Epoch]]</f>
        <v>250-RL-OP-11004-45825.2291666667</v>
      </c>
      <c r="V821" s="99">
        <f ca="1">IF(Readings[[#This Row],[Epoch]]=OFFSET(Readings[[#This Row],[Epoch]],-1,0),0,1)</f>
        <v>0</v>
      </c>
    </row>
    <row r="822" spans="4:22" x14ac:dyDescent="0.2">
      <c r="D822" s="32">
        <v>45825.229166666664</v>
      </c>
      <c r="E822" s="33" t="s">
        <v>176</v>
      </c>
      <c r="F822" s="34">
        <v>60040.968000000001</v>
      </c>
      <c r="G822" s="34">
        <v>363844.11800000002</v>
      </c>
      <c r="H822" s="34">
        <v>18.779</v>
      </c>
      <c r="I822" s="33" t="s">
        <v>85</v>
      </c>
      <c r="J822" s="151" t="s">
        <v>90</v>
      </c>
      <c r="K822" s="33">
        <v>12</v>
      </c>
      <c r="L822" s="33">
        <v>1022</v>
      </c>
      <c r="M822" s="33">
        <v>82</v>
      </c>
      <c r="N822" s="33"/>
      <c r="O822" s="93">
        <f>IFERROR(IF(Readings[[#This Row],[Obs. X]]="","-",Readings[[#This Row],[Obs. X]]-_xlfn.XLOOKUP(Readings[[#This Row],[Sensor ID]],Table_Baseline[Sensor ID],Table_Baseline[Easting '[m']],"-")),"-")</f>
        <v>-9.9999999656574801E-4</v>
      </c>
      <c r="P822" s="93">
        <f>IFERROR(IF(Readings[[#This Row],[Obs. Y]]="","-",Readings[[#This Row],[Obs. Y]]-_xlfn.XLOOKUP(Readings[[#This Row],[Sensor ID]],Table_Baseline[Sensor ID],Table_Baseline[Northing '[m']],"-")),"-")</f>
        <v>0</v>
      </c>
      <c r="Q822" s="93">
        <f>IFERROR(IF(Readings[[#This Row],[Obs. Z]]="","-",Readings[[#This Row],[Obs. Z]]-_xlfn.XLOOKUP(Readings[[#This Row],[Sensor ID]],Table_Baseline[Sensor ID],Table_Baseline[Level '[m']],"-")),"-")</f>
        <v>0</v>
      </c>
      <c r="R822" s="93">
        <f>IFERROR(IF(Readings[[#This Row],[Reference Angle]]="-","-",(Readings[[#This Row],[Diff E]]*COS(RADIANS(Readings[[#This Row],[Reference Angle]]))-Readings[[#This Row],[Diff N]]*SIN(RADIANS(Readings[[#This Row],[Reference Angle]])))),"-")</f>
        <v>-9.9999999656574801E-4</v>
      </c>
      <c r="S822" s="93">
        <f>IFERROR(IF(Readings[[#This Row],[Reference Angle]]="-","-",(Readings[[#This Row],[Diff E]]*SIN(RADIANS(Readings[[#This Row],[Reference Angle]]))+Readings[[#This Row],[Diff N]]*COS(RADIANS(Readings[[#This Row],[Reference Angle]])))),"-")</f>
        <v>0</v>
      </c>
      <c r="T822" s="94">
        <f>IFERROR(VLOOKUP(Readings[[#This Row],[Sensor ID]],Table_Baseline[],COLUMNS(Table_Baseline[[#Headers],[Sensor ID]:[Reference Angle '[Deg']]]),FALSE),"-")</f>
        <v>0</v>
      </c>
      <c r="U822" s="95" t="str">
        <f>Readings[[#This Row],[Sensor ID]]&amp;"-"&amp;Readings[[#This Row],[Epoch]]</f>
        <v>250-RL-OP-11005-45825.2291666667</v>
      </c>
      <c r="V822" s="99">
        <f ca="1">IF(Readings[[#This Row],[Epoch]]=OFFSET(Readings[[#This Row],[Epoch]],-1,0),0,1)</f>
        <v>0</v>
      </c>
    </row>
    <row r="823" spans="4:22" x14ac:dyDescent="0.2">
      <c r="D823" s="32">
        <v>45825.229166666664</v>
      </c>
      <c r="E823" s="33" t="s">
        <v>175</v>
      </c>
      <c r="F823" s="34">
        <v>60040.606</v>
      </c>
      <c r="G823" s="34">
        <v>363842.86199999996</v>
      </c>
      <c r="H823" s="34">
        <v>18.771999999999998</v>
      </c>
      <c r="I823" s="33" t="s">
        <v>85</v>
      </c>
      <c r="J823" s="151" t="s">
        <v>90</v>
      </c>
      <c r="K823" s="33">
        <v>12</v>
      </c>
      <c r="L823" s="33">
        <v>1022</v>
      </c>
      <c r="M823" s="33">
        <v>82</v>
      </c>
      <c r="N823" s="33"/>
      <c r="O823" s="93">
        <f>IFERROR(IF(Readings[[#This Row],[Obs. X]]="","-",Readings[[#This Row],[Obs. X]]-_xlfn.XLOOKUP(Readings[[#This Row],[Sensor ID]],Table_Baseline[Sensor ID],Table_Baseline[Easting '[m']],"-")),"-")</f>
        <v>-1.0000000038417056E-3</v>
      </c>
      <c r="P823" s="93">
        <f>IFERROR(IF(Readings[[#This Row],[Obs. Y]]="","-",Readings[[#This Row],[Obs. Y]]-_xlfn.XLOOKUP(Readings[[#This Row],[Sensor ID]],Table_Baseline[Sensor ID],Table_Baseline[Northing '[m']],"-")),"-")</f>
        <v>9.9999993108212948E-4</v>
      </c>
      <c r="Q823" s="93">
        <f>IFERROR(IF(Readings[[#This Row],[Obs. Z]]="","-",Readings[[#This Row],[Obs. Z]]-_xlfn.XLOOKUP(Readings[[#This Row],[Sensor ID]],Table_Baseline[Sensor ID],Table_Baseline[Level '[m']],"-")),"-")</f>
        <v>0</v>
      </c>
      <c r="R823" s="93">
        <f>IFERROR(IF(Readings[[#This Row],[Reference Angle]]="-","-",(Readings[[#This Row],[Diff E]]*COS(RADIANS(Readings[[#This Row],[Reference Angle]]))-Readings[[#This Row],[Diff N]]*SIN(RADIANS(Readings[[#This Row],[Reference Angle]])))),"-")</f>
        <v>-1.0000000038417056E-3</v>
      </c>
      <c r="S823" s="93">
        <f>IFERROR(IF(Readings[[#This Row],[Reference Angle]]="-","-",(Readings[[#This Row],[Diff E]]*SIN(RADIANS(Readings[[#This Row],[Reference Angle]]))+Readings[[#This Row],[Diff N]]*COS(RADIANS(Readings[[#This Row],[Reference Angle]])))),"-")</f>
        <v>9.9999993108212948E-4</v>
      </c>
      <c r="T823" s="94">
        <f>IFERROR(VLOOKUP(Readings[[#This Row],[Sensor ID]],Table_Baseline[],COLUMNS(Table_Baseline[[#Headers],[Sensor ID]:[Reference Angle '[Deg']]]),FALSE),"-")</f>
        <v>0</v>
      </c>
      <c r="U823" s="95" t="str">
        <f>Readings[[#This Row],[Sensor ID]]&amp;"-"&amp;Readings[[#This Row],[Epoch]]</f>
        <v>250-RL-OP-11006-45825.2291666667</v>
      </c>
      <c r="V823" s="99">
        <f ca="1">IF(Readings[[#This Row],[Epoch]]=OFFSET(Readings[[#This Row],[Epoch]],-1,0),0,1)</f>
        <v>0</v>
      </c>
    </row>
    <row r="824" spans="4:22" x14ac:dyDescent="0.2">
      <c r="D824" s="32">
        <v>45825.229166666664</v>
      </c>
      <c r="E824" s="33" t="s">
        <v>178</v>
      </c>
      <c r="F824" s="34">
        <v>60043.758000000002</v>
      </c>
      <c r="G824" s="34">
        <v>363843.315</v>
      </c>
      <c r="H824" s="34">
        <v>18.774000000000001</v>
      </c>
      <c r="I824" s="33" t="s">
        <v>85</v>
      </c>
      <c r="J824" s="151" t="s">
        <v>90</v>
      </c>
      <c r="K824" s="33">
        <v>12</v>
      </c>
      <c r="L824" s="33">
        <v>1022</v>
      </c>
      <c r="M824" s="33">
        <v>82</v>
      </c>
      <c r="N824" s="33"/>
      <c r="O824" s="93">
        <f>IFERROR(IF(Readings[[#This Row],[Obs. X]]="","-",Readings[[#This Row],[Obs. X]]-_xlfn.XLOOKUP(Readings[[#This Row],[Sensor ID]],Table_Baseline[Sensor ID],Table_Baseline[Easting '[m']],"-")),"-")</f>
        <v>-9.9999999656574801E-4</v>
      </c>
      <c r="P824" s="93">
        <f>IFERROR(IF(Readings[[#This Row],[Obs. Y]]="","-",Readings[[#This Row],[Obs. Y]]-_xlfn.XLOOKUP(Readings[[#This Row],[Sensor ID]],Table_Baseline[Sensor ID],Table_Baseline[Northing '[m']],"-")),"-")</f>
        <v>9.9999998928979039E-4</v>
      </c>
      <c r="Q824" s="93">
        <f>IFERROR(IF(Readings[[#This Row],[Obs. Z]]="","-",Readings[[#This Row],[Obs. Z]]-_xlfn.XLOOKUP(Readings[[#This Row],[Sensor ID]],Table_Baseline[Sensor ID],Table_Baseline[Level '[m']],"-")),"-")</f>
        <v>-9.9999999999766942E-5</v>
      </c>
      <c r="R824" s="93">
        <f>IFERROR(IF(Readings[[#This Row],[Reference Angle]]="-","-",(Readings[[#This Row],[Diff E]]*COS(RADIANS(Readings[[#This Row],[Reference Angle]]))-Readings[[#This Row],[Diff N]]*SIN(RADIANS(Readings[[#This Row],[Reference Angle]])))),"-")</f>
        <v>-9.9999999656574801E-4</v>
      </c>
      <c r="S824" s="93">
        <f>IFERROR(IF(Readings[[#This Row],[Reference Angle]]="-","-",(Readings[[#This Row],[Diff E]]*SIN(RADIANS(Readings[[#This Row],[Reference Angle]]))+Readings[[#This Row],[Diff N]]*COS(RADIANS(Readings[[#This Row],[Reference Angle]])))),"-")</f>
        <v>9.9999998928979039E-4</v>
      </c>
      <c r="T824" s="94">
        <f>IFERROR(VLOOKUP(Readings[[#This Row],[Sensor ID]],Table_Baseline[],COLUMNS(Table_Baseline[[#Headers],[Sensor ID]:[Reference Angle '[Deg']]]),FALSE),"-")</f>
        <v>0</v>
      </c>
      <c r="U824" s="95" t="str">
        <f>Readings[[#This Row],[Sensor ID]]&amp;"-"&amp;Readings[[#This Row],[Epoch]]</f>
        <v>250-RL-OP-11007-45825.2291666667</v>
      </c>
      <c r="V824" s="99">
        <f ca="1">IF(Readings[[#This Row],[Epoch]]=OFFSET(Readings[[#This Row],[Epoch]],-1,0),0,1)</f>
        <v>0</v>
      </c>
    </row>
    <row r="825" spans="4:22" x14ac:dyDescent="0.2">
      <c r="D825" s="32">
        <v>45825.229166666664</v>
      </c>
      <c r="E825" s="33" t="s">
        <v>177</v>
      </c>
      <c r="F825" s="34">
        <v>60043.440999999999</v>
      </c>
      <c r="G825" s="34">
        <v>363842.04099999997</v>
      </c>
      <c r="H825" s="34">
        <v>18.768000000000001</v>
      </c>
      <c r="I825" s="33" t="s">
        <v>85</v>
      </c>
      <c r="J825" s="151" t="s">
        <v>90</v>
      </c>
      <c r="K825" s="33">
        <v>12</v>
      </c>
      <c r="L825" s="33">
        <v>1022</v>
      </c>
      <c r="M825" s="33">
        <v>82</v>
      </c>
      <c r="N825" s="33"/>
      <c r="O825" s="93">
        <f>IFERROR(IF(Readings[[#This Row],[Obs. X]]="","-",Readings[[#This Row],[Obs. X]]-_xlfn.XLOOKUP(Readings[[#This Row],[Sensor ID]],Table_Baseline[Sensor ID],Table_Baseline[Easting '[m']],"-")),"-")</f>
        <v>0</v>
      </c>
      <c r="P825" s="93">
        <f>IFERROR(IF(Readings[[#This Row],[Obs. Y]]="","-",Readings[[#This Row],[Obs. Y]]-_xlfn.XLOOKUP(Readings[[#This Row],[Sensor ID]],Table_Baseline[Sensor ID],Table_Baseline[Northing '[m']],"-")),"-")</f>
        <v>9.9999993108212948E-4</v>
      </c>
      <c r="Q825" s="93">
        <f>IFERROR(IF(Readings[[#This Row],[Obs. Z]]="","-",Readings[[#This Row],[Obs. Z]]-_xlfn.XLOOKUP(Readings[[#This Row],[Sensor ID]],Table_Baseline[Sensor ID],Table_Baseline[Level '[m']],"-")),"-")</f>
        <v>-2.9999999999930083E-4</v>
      </c>
      <c r="R825" s="93">
        <f>IFERROR(IF(Readings[[#This Row],[Reference Angle]]="-","-",(Readings[[#This Row],[Diff E]]*COS(RADIANS(Readings[[#This Row],[Reference Angle]]))-Readings[[#This Row],[Diff N]]*SIN(RADIANS(Readings[[#This Row],[Reference Angle]])))),"-")</f>
        <v>0</v>
      </c>
      <c r="S825" s="93">
        <f>IFERROR(IF(Readings[[#This Row],[Reference Angle]]="-","-",(Readings[[#This Row],[Diff E]]*SIN(RADIANS(Readings[[#This Row],[Reference Angle]]))+Readings[[#This Row],[Diff N]]*COS(RADIANS(Readings[[#This Row],[Reference Angle]])))),"-")</f>
        <v>9.9999993108212948E-4</v>
      </c>
      <c r="T825" s="94">
        <f>IFERROR(VLOOKUP(Readings[[#This Row],[Sensor ID]],Table_Baseline[],COLUMNS(Table_Baseline[[#Headers],[Sensor ID]:[Reference Angle '[Deg']]]),FALSE),"-")</f>
        <v>0</v>
      </c>
      <c r="U825" s="95" t="str">
        <f>Readings[[#This Row],[Sensor ID]]&amp;"-"&amp;Readings[[#This Row],[Epoch]]</f>
        <v>250-RL-OP-11008-45825.2291666667</v>
      </c>
      <c r="V825" s="99">
        <f ca="1">IF(Readings[[#This Row],[Epoch]]=OFFSET(Readings[[#This Row],[Epoch]],-1,0),0,1)</f>
        <v>0</v>
      </c>
    </row>
    <row r="826" spans="4:22" x14ac:dyDescent="0.2">
      <c r="D826" s="32">
        <v>45825.229166666664</v>
      </c>
      <c r="E826" s="33" t="s">
        <v>180</v>
      </c>
      <c r="F826" s="34">
        <v>60046.633000000002</v>
      </c>
      <c r="G826" s="34">
        <v>363842.48600000003</v>
      </c>
      <c r="H826" s="34">
        <v>18.777000000000001</v>
      </c>
      <c r="I826" s="33" t="s">
        <v>85</v>
      </c>
      <c r="J826" s="151" t="s">
        <v>90</v>
      </c>
      <c r="K826" s="33">
        <v>12</v>
      </c>
      <c r="L826" s="33">
        <v>1022</v>
      </c>
      <c r="M826" s="33">
        <v>82</v>
      </c>
      <c r="N826" s="33"/>
      <c r="O826" s="93">
        <f>IFERROR(IF(Readings[[#This Row],[Obs. X]]="","-",Readings[[#This Row],[Obs. X]]-_xlfn.XLOOKUP(Readings[[#This Row],[Sensor ID]],Table_Baseline[Sensor ID],Table_Baseline[Easting '[m']],"-")),"-")</f>
        <v>0</v>
      </c>
      <c r="P826" s="93">
        <f>IFERROR(IF(Readings[[#This Row],[Obs. Y]]="","-",Readings[[#This Row],[Obs. Y]]-_xlfn.XLOOKUP(Readings[[#This Row],[Sensor ID]],Table_Baseline[Sensor ID],Table_Baseline[Northing '[m']],"-")),"-")</f>
        <v>1.0000000474974513E-3</v>
      </c>
      <c r="Q826" s="93">
        <f>IFERROR(IF(Readings[[#This Row],[Obs. Z]]="","-",Readings[[#This Row],[Obs. Z]]-_xlfn.XLOOKUP(Readings[[#This Row],[Sensor ID]],Table_Baseline[Sensor ID],Table_Baseline[Level '[m']],"-")),"-")</f>
        <v>-5.9999999999860165E-4</v>
      </c>
      <c r="R826" s="93">
        <f>IFERROR(IF(Readings[[#This Row],[Reference Angle]]="-","-",(Readings[[#This Row],[Diff E]]*COS(RADIANS(Readings[[#This Row],[Reference Angle]]))-Readings[[#This Row],[Diff N]]*SIN(RADIANS(Readings[[#This Row],[Reference Angle]])))),"-")</f>
        <v>0</v>
      </c>
      <c r="S826" s="93">
        <f>IFERROR(IF(Readings[[#This Row],[Reference Angle]]="-","-",(Readings[[#This Row],[Diff E]]*SIN(RADIANS(Readings[[#This Row],[Reference Angle]]))+Readings[[#This Row],[Diff N]]*COS(RADIANS(Readings[[#This Row],[Reference Angle]])))),"-")</f>
        <v>1.0000000474974513E-3</v>
      </c>
      <c r="T826" s="94">
        <f>IFERROR(VLOOKUP(Readings[[#This Row],[Sensor ID]],Table_Baseline[],COLUMNS(Table_Baseline[[#Headers],[Sensor ID]:[Reference Angle '[Deg']]]),FALSE),"-")</f>
        <v>0</v>
      </c>
      <c r="U826" s="95" t="str">
        <f>Readings[[#This Row],[Sensor ID]]&amp;"-"&amp;Readings[[#This Row],[Epoch]]</f>
        <v>250-RL-OP-11009-45825.2291666667</v>
      </c>
      <c r="V826" s="99">
        <f ca="1">IF(Readings[[#This Row],[Epoch]]=OFFSET(Readings[[#This Row],[Epoch]],-1,0),0,1)</f>
        <v>0</v>
      </c>
    </row>
    <row r="827" spans="4:22" x14ac:dyDescent="0.2">
      <c r="D827" s="32">
        <v>45825.229166666664</v>
      </c>
      <c r="E827" s="33" t="s">
        <v>179</v>
      </c>
      <c r="F827" s="34">
        <v>60046.25</v>
      </c>
      <c r="G827" s="34">
        <v>363841.22700000001</v>
      </c>
      <c r="H827" s="34">
        <v>18.77</v>
      </c>
      <c r="I827" s="33" t="s">
        <v>85</v>
      </c>
      <c r="J827" s="151" t="s">
        <v>90</v>
      </c>
      <c r="K827" s="33">
        <v>12</v>
      </c>
      <c r="L827" s="33">
        <v>1022</v>
      </c>
      <c r="M827" s="33">
        <v>82</v>
      </c>
      <c r="N827" s="33"/>
      <c r="O827" s="93">
        <f>IFERROR(IF(Readings[[#This Row],[Obs. X]]="","-",Readings[[#This Row],[Obs. X]]-_xlfn.XLOOKUP(Readings[[#This Row],[Sensor ID]],Table_Baseline[Sensor ID],Table_Baseline[Easting '[m']],"-")),"-")</f>
        <v>0</v>
      </c>
      <c r="P827" s="93">
        <f>IFERROR(IF(Readings[[#This Row],[Obs. Y]]="","-",Readings[[#This Row],[Obs. Y]]-_xlfn.XLOOKUP(Readings[[#This Row],[Sensor ID]],Table_Baseline[Sensor ID],Table_Baseline[Northing '[m']],"-")),"-")</f>
        <v>9.9999998928979039E-4</v>
      </c>
      <c r="Q827" s="93">
        <f>IFERROR(IF(Readings[[#This Row],[Obs. Z]]="","-",Readings[[#This Row],[Obs. Z]]-_xlfn.XLOOKUP(Readings[[#This Row],[Sensor ID]],Table_Baseline[Sensor ID],Table_Baseline[Level '[m']],"-")),"-")</f>
        <v>1.9999999999953388E-4</v>
      </c>
      <c r="R827" s="93">
        <f>IFERROR(IF(Readings[[#This Row],[Reference Angle]]="-","-",(Readings[[#This Row],[Diff E]]*COS(RADIANS(Readings[[#This Row],[Reference Angle]]))-Readings[[#This Row],[Diff N]]*SIN(RADIANS(Readings[[#This Row],[Reference Angle]])))),"-")</f>
        <v>0</v>
      </c>
      <c r="S827" s="93">
        <f>IFERROR(IF(Readings[[#This Row],[Reference Angle]]="-","-",(Readings[[#This Row],[Diff E]]*SIN(RADIANS(Readings[[#This Row],[Reference Angle]]))+Readings[[#This Row],[Diff N]]*COS(RADIANS(Readings[[#This Row],[Reference Angle]])))),"-")</f>
        <v>9.9999998928979039E-4</v>
      </c>
      <c r="T827" s="94">
        <f>IFERROR(VLOOKUP(Readings[[#This Row],[Sensor ID]],Table_Baseline[],COLUMNS(Table_Baseline[[#Headers],[Sensor ID]:[Reference Angle '[Deg']]]),FALSE),"-")</f>
        <v>0</v>
      </c>
      <c r="U827" s="95" t="str">
        <f>Readings[[#This Row],[Sensor ID]]&amp;"-"&amp;Readings[[#This Row],[Epoch]]</f>
        <v>250-RL-OP-11010-45825.2291666667</v>
      </c>
      <c r="V827" s="99">
        <f ca="1">IF(Readings[[#This Row],[Epoch]]=OFFSET(Readings[[#This Row],[Epoch]],-1,0),0,1)</f>
        <v>0</v>
      </c>
    </row>
    <row r="828" spans="4:22" x14ac:dyDescent="0.2">
      <c r="D828" s="32">
        <v>45825.229166666664</v>
      </c>
      <c r="E828" s="33" t="s">
        <v>182</v>
      </c>
      <c r="F828" s="34">
        <v>60049.398999999998</v>
      </c>
      <c r="G828" s="34">
        <v>363841.7</v>
      </c>
      <c r="H828" s="34">
        <v>18.777999999999999</v>
      </c>
      <c r="I828" s="33" t="s">
        <v>85</v>
      </c>
      <c r="J828" s="151" t="s">
        <v>90</v>
      </c>
      <c r="K828" s="33">
        <v>12</v>
      </c>
      <c r="L828" s="33">
        <v>1022</v>
      </c>
      <c r="M828" s="33">
        <v>82</v>
      </c>
      <c r="N828" s="33"/>
      <c r="O828" s="93">
        <f>IFERROR(IF(Readings[[#This Row],[Obs. X]]="","-",Readings[[#This Row],[Obs. X]]-_xlfn.XLOOKUP(Readings[[#This Row],[Sensor ID]],Table_Baseline[Sensor ID],Table_Baseline[Easting '[m']],"-")),"-")</f>
        <v>0</v>
      </c>
      <c r="P828" s="93">
        <f>IFERROR(IF(Readings[[#This Row],[Obs. Y]]="","-",Readings[[#This Row],[Obs. Y]]-_xlfn.XLOOKUP(Readings[[#This Row],[Sensor ID]],Table_Baseline[Sensor ID],Table_Baseline[Northing '[m']],"-")),"-")</f>
        <v>2.0000000367872417E-3</v>
      </c>
      <c r="Q828" s="93">
        <f>IFERROR(IF(Readings[[#This Row],[Obs. Z]]="","-",Readings[[#This Row],[Obs. Z]]-_xlfn.XLOOKUP(Readings[[#This Row],[Sensor ID]],Table_Baseline[Sensor ID],Table_Baseline[Level '[m']],"-")),"-")</f>
        <v>0</v>
      </c>
      <c r="R828" s="93">
        <f>IFERROR(IF(Readings[[#This Row],[Reference Angle]]="-","-",(Readings[[#This Row],[Diff E]]*COS(RADIANS(Readings[[#This Row],[Reference Angle]]))-Readings[[#This Row],[Diff N]]*SIN(RADIANS(Readings[[#This Row],[Reference Angle]])))),"-")</f>
        <v>0</v>
      </c>
      <c r="S828" s="93">
        <f>IFERROR(IF(Readings[[#This Row],[Reference Angle]]="-","-",(Readings[[#This Row],[Diff E]]*SIN(RADIANS(Readings[[#This Row],[Reference Angle]]))+Readings[[#This Row],[Diff N]]*COS(RADIANS(Readings[[#This Row],[Reference Angle]])))),"-")</f>
        <v>2.0000000367872417E-3</v>
      </c>
      <c r="T828" s="94">
        <f>IFERROR(VLOOKUP(Readings[[#This Row],[Sensor ID]],Table_Baseline[],COLUMNS(Table_Baseline[[#Headers],[Sensor ID]:[Reference Angle '[Deg']]]),FALSE),"-")</f>
        <v>0</v>
      </c>
      <c r="U828" s="95" t="str">
        <f>Readings[[#This Row],[Sensor ID]]&amp;"-"&amp;Readings[[#This Row],[Epoch]]</f>
        <v>250-RL-OP-11011-45825.2291666667</v>
      </c>
      <c r="V828" s="99">
        <f ca="1">IF(Readings[[#This Row],[Epoch]]=OFFSET(Readings[[#This Row],[Epoch]],-1,0),0,1)</f>
        <v>0</v>
      </c>
    </row>
    <row r="829" spans="4:22" x14ac:dyDescent="0.2">
      <c r="D829" s="32">
        <v>45825.229166666664</v>
      </c>
      <c r="E829" s="33" t="s">
        <v>181</v>
      </c>
      <c r="F829" s="34">
        <v>60049.040999999997</v>
      </c>
      <c r="G829" s="34">
        <v>363840.43599999999</v>
      </c>
      <c r="H829" s="34">
        <v>18.771000000000001</v>
      </c>
      <c r="I829" s="33" t="s">
        <v>85</v>
      </c>
      <c r="J829" s="151" t="s">
        <v>90</v>
      </c>
      <c r="K829" s="33">
        <v>12</v>
      </c>
      <c r="L829" s="33">
        <v>1022</v>
      </c>
      <c r="M829" s="33">
        <v>82</v>
      </c>
      <c r="N829" s="33"/>
      <c r="O829" s="93">
        <f>IFERROR(IF(Readings[[#This Row],[Obs. X]]="","-",Readings[[#This Row],[Obs. X]]-_xlfn.XLOOKUP(Readings[[#This Row],[Sensor ID]],Table_Baseline[Sensor ID],Table_Baseline[Easting '[m']],"-")),"-")</f>
        <v>0</v>
      </c>
      <c r="P829" s="93">
        <f>IFERROR(IF(Readings[[#This Row],[Obs. Y]]="","-",Readings[[#This Row],[Obs. Y]]-_xlfn.XLOOKUP(Readings[[#This Row],[Sensor ID]],Table_Baseline[Sensor ID],Table_Baseline[Northing '[m']],"-")),"-")</f>
        <v>3.0000000260770321E-3</v>
      </c>
      <c r="Q829" s="93">
        <f>IFERROR(IF(Readings[[#This Row],[Obs. Z]]="","-",Readings[[#This Row],[Obs. Z]]-_xlfn.XLOOKUP(Readings[[#This Row],[Sensor ID]],Table_Baseline[Sensor ID],Table_Baseline[Level '[m']],"-")),"-")</f>
        <v>-9.9999999999766942E-5</v>
      </c>
      <c r="R829" s="93">
        <f>IFERROR(IF(Readings[[#This Row],[Reference Angle]]="-","-",(Readings[[#This Row],[Diff E]]*COS(RADIANS(Readings[[#This Row],[Reference Angle]]))-Readings[[#This Row],[Diff N]]*SIN(RADIANS(Readings[[#This Row],[Reference Angle]])))),"-")</f>
        <v>0</v>
      </c>
      <c r="S829" s="93">
        <f>IFERROR(IF(Readings[[#This Row],[Reference Angle]]="-","-",(Readings[[#This Row],[Diff E]]*SIN(RADIANS(Readings[[#This Row],[Reference Angle]]))+Readings[[#This Row],[Diff N]]*COS(RADIANS(Readings[[#This Row],[Reference Angle]])))),"-")</f>
        <v>3.0000000260770321E-3</v>
      </c>
      <c r="T829" s="94">
        <f>IFERROR(VLOOKUP(Readings[[#This Row],[Sensor ID]],Table_Baseline[],COLUMNS(Table_Baseline[[#Headers],[Sensor ID]:[Reference Angle '[Deg']]]),FALSE),"-")</f>
        <v>0</v>
      </c>
      <c r="U829" s="95" t="str">
        <f>Readings[[#This Row],[Sensor ID]]&amp;"-"&amp;Readings[[#This Row],[Epoch]]</f>
        <v>250-RL-OP-11012-45825.2291666667</v>
      </c>
      <c r="V829" s="99">
        <f ca="1">IF(Readings[[#This Row],[Epoch]]=OFFSET(Readings[[#This Row],[Epoch]],-1,0),0,1)</f>
        <v>0</v>
      </c>
    </row>
    <row r="830" spans="4:22" x14ac:dyDescent="0.2">
      <c r="D830" s="32">
        <v>45825.229166666664</v>
      </c>
      <c r="E830" s="33" t="s">
        <v>184</v>
      </c>
      <c r="F830" s="34">
        <v>60052.292999999998</v>
      </c>
      <c r="G830" s="34">
        <v>363840.88699999999</v>
      </c>
      <c r="H830" s="34">
        <v>18.777999999999999</v>
      </c>
      <c r="I830" s="33" t="s">
        <v>85</v>
      </c>
      <c r="J830" s="151" t="s">
        <v>90</v>
      </c>
      <c r="K830" s="33">
        <v>12</v>
      </c>
      <c r="L830" s="33">
        <v>1022</v>
      </c>
      <c r="M830" s="33">
        <v>82</v>
      </c>
      <c r="N830" s="33"/>
      <c r="O830" s="93">
        <f>IFERROR(IF(Readings[[#This Row],[Obs. X]]="","-",Readings[[#This Row],[Obs. X]]-_xlfn.XLOOKUP(Readings[[#This Row],[Sensor ID]],Table_Baseline[Sensor ID],Table_Baseline[Easting '[m']],"-")),"-")</f>
        <v>0</v>
      </c>
      <c r="P830" s="93">
        <f>IFERROR(IF(Readings[[#This Row],[Obs. Y]]="","-",Readings[[#This Row],[Obs. Y]]-_xlfn.XLOOKUP(Readings[[#This Row],[Sensor ID]],Table_Baseline[Sensor ID],Table_Baseline[Northing '[m']],"-")),"-")</f>
        <v>1.9999999785795808E-3</v>
      </c>
      <c r="Q830" s="93">
        <f>IFERROR(IF(Readings[[#This Row],[Obs. Z]]="","-",Readings[[#This Row],[Obs. Z]]-_xlfn.XLOOKUP(Readings[[#This Row],[Sensor ID]],Table_Baseline[Sensor ID],Table_Baseline[Level '[m']],"-")),"-")</f>
        <v>-1.0000000000012221E-3</v>
      </c>
      <c r="R830" s="93">
        <f>IFERROR(IF(Readings[[#This Row],[Reference Angle]]="-","-",(Readings[[#This Row],[Diff E]]*COS(RADIANS(Readings[[#This Row],[Reference Angle]]))-Readings[[#This Row],[Diff N]]*SIN(RADIANS(Readings[[#This Row],[Reference Angle]])))),"-")</f>
        <v>0</v>
      </c>
      <c r="S830" s="93">
        <f>IFERROR(IF(Readings[[#This Row],[Reference Angle]]="-","-",(Readings[[#This Row],[Diff E]]*SIN(RADIANS(Readings[[#This Row],[Reference Angle]]))+Readings[[#This Row],[Diff N]]*COS(RADIANS(Readings[[#This Row],[Reference Angle]])))),"-")</f>
        <v>1.9999999785795808E-3</v>
      </c>
      <c r="T830" s="94">
        <f>IFERROR(VLOOKUP(Readings[[#This Row],[Sensor ID]],Table_Baseline[],COLUMNS(Table_Baseline[[#Headers],[Sensor ID]:[Reference Angle '[Deg']]]),FALSE),"-")</f>
        <v>0</v>
      </c>
      <c r="U830" s="95" t="str">
        <f>Readings[[#This Row],[Sensor ID]]&amp;"-"&amp;Readings[[#This Row],[Epoch]]</f>
        <v>250-RL-OP-11013-45825.2291666667</v>
      </c>
      <c r="V830" s="99">
        <f ca="1">IF(Readings[[#This Row],[Epoch]]=OFFSET(Readings[[#This Row],[Epoch]],-1,0),0,1)</f>
        <v>0</v>
      </c>
    </row>
    <row r="831" spans="4:22" x14ac:dyDescent="0.2">
      <c r="D831" s="32">
        <v>45825.229166666664</v>
      </c>
      <c r="E831" s="33" t="s">
        <v>183</v>
      </c>
      <c r="F831" s="34">
        <v>60051.989000000001</v>
      </c>
      <c r="G831" s="34">
        <v>363839.60600000003</v>
      </c>
      <c r="H831" s="34">
        <v>18.77</v>
      </c>
      <c r="I831" s="33" t="s">
        <v>85</v>
      </c>
      <c r="J831" s="151" t="s">
        <v>90</v>
      </c>
      <c r="K831" s="33">
        <v>12</v>
      </c>
      <c r="L831" s="33">
        <v>1022</v>
      </c>
      <c r="M831" s="33">
        <v>82</v>
      </c>
      <c r="N831" s="33"/>
      <c r="O831" s="93">
        <f>IFERROR(IF(Readings[[#This Row],[Obs. X]]="","-",Readings[[#This Row],[Obs. X]]-_xlfn.XLOOKUP(Readings[[#This Row],[Sensor ID]],Table_Baseline[Sensor ID],Table_Baseline[Easting '[m']],"-")),"-")</f>
        <v>0</v>
      </c>
      <c r="P831" s="93">
        <f>IFERROR(IF(Readings[[#This Row],[Obs. Y]]="","-",Readings[[#This Row],[Obs. Y]]-_xlfn.XLOOKUP(Readings[[#This Row],[Sensor ID]],Table_Baseline[Sensor ID],Table_Baseline[Northing '[m']],"-")),"-")</f>
        <v>3.0000000260770321E-3</v>
      </c>
      <c r="Q831" s="93">
        <f>IFERROR(IF(Readings[[#This Row],[Obs. Z]]="","-",Readings[[#This Row],[Obs. Z]]-_xlfn.XLOOKUP(Readings[[#This Row],[Sensor ID]],Table_Baseline[Sensor ID],Table_Baseline[Level '[m']],"-")),"-")</f>
        <v>-9.9999999999766942E-5</v>
      </c>
      <c r="R831" s="93">
        <f>IFERROR(IF(Readings[[#This Row],[Reference Angle]]="-","-",(Readings[[#This Row],[Diff E]]*COS(RADIANS(Readings[[#This Row],[Reference Angle]]))-Readings[[#This Row],[Diff N]]*SIN(RADIANS(Readings[[#This Row],[Reference Angle]])))),"-")</f>
        <v>0</v>
      </c>
      <c r="S831" s="93">
        <f>IFERROR(IF(Readings[[#This Row],[Reference Angle]]="-","-",(Readings[[#This Row],[Diff E]]*SIN(RADIANS(Readings[[#This Row],[Reference Angle]]))+Readings[[#This Row],[Diff N]]*COS(RADIANS(Readings[[#This Row],[Reference Angle]])))),"-")</f>
        <v>3.0000000260770321E-3</v>
      </c>
      <c r="T831" s="94">
        <f>IFERROR(VLOOKUP(Readings[[#This Row],[Sensor ID]],Table_Baseline[],COLUMNS(Table_Baseline[[#Headers],[Sensor ID]:[Reference Angle '[Deg']]]),FALSE),"-")</f>
        <v>0</v>
      </c>
      <c r="U831" s="95" t="str">
        <f>Readings[[#This Row],[Sensor ID]]&amp;"-"&amp;Readings[[#This Row],[Epoch]]</f>
        <v>250-RL-OP-11014-45825.2291666667</v>
      </c>
      <c r="V831" s="99">
        <f ca="1">IF(Readings[[#This Row],[Epoch]]=OFFSET(Readings[[#This Row],[Epoch]],-1,0),0,1)</f>
        <v>0</v>
      </c>
    </row>
    <row r="832" spans="4:22" x14ac:dyDescent="0.2">
      <c r="D832" s="32">
        <v>45825.229166666664</v>
      </c>
      <c r="E832" s="33" t="s">
        <v>186</v>
      </c>
      <c r="F832" s="34">
        <v>60055.196000000004</v>
      </c>
      <c r="G832" s="34">
        <v>363840.098</v>
      </c>
      <c r="H832" s="34">
        <v>18.78</v>
      </c>
      <c r="I832" s="33" t="s">
        <v>85</v>
      </c>
      <c r="J832" s="151" t="s">
        <v>90</v>
      </c>
      <c r="K832" s="33">
        <v>12</v>
      </c>
      <c r="L832" s="33">
        <v>1022</v>
      </c>
      <c r="M832" s="33">
        <v>82</v>
      </c>
      <c r="N832" s="33"/>
      <c r="O832" s="93">
        <f>IFERROR(IF(Readings[[#This Row],[Obs. X]]="","-",Readings[[#This Row],[Obs. X]]-_xlfn.XLOOKUP(Readings[[#This Row],[Sensor ID]],Table_Baseline[Sensor ID],Table_Baseline[Easting '[m']],"-")),"-")</f>
        <v>0</v>
      </c>
      <c r="P832" s="93">
        <f>IFERROR(IF(Readings[[#This Row],[Obs. Y]]="","-",Readings[[#This Row],[Obs. Y]]-_xlfn.XLOOKUP(Readings[[#This Row],[Sensor ID]],Table_Baseline[Sensor ID],Table_Baseline[Northing '[m']],"-")),"-")</f>
        <v>3.0000000260770321E-3</v>
      </c>
      <c r="Q832" s="93">
        <f>IFERROR(IF(Readings[[#This Row],[Obs. Z]]="","-",Readings[[#This Row],[Obs. Z]]-_xlfn.XLOOKUP(Readings[[#This Row],[Sensor ID]],Table_Baseline[Sensor ID],Table_Baseline[Level '[m']],"-")),"-")</f>
        <v>-8.9999999999790248E-4</v>
      </c>
      <c r="R832" s="93">
        <f>IFERROR(IF(Readings[[#This Row],[Reference Angle]]="-","-",(Readings[[#This Row],[Diff E]]*COS(RADIANS(Readings[[#This Row],[Reference Angle]]))-Readings[[#This Row],[Diff N]]*SIN(RADIANS(Readings[[#This Row],[Reference Angle]])))),"-")</f>
        <v>0</v>
      </c>
      <c r="S832" s="93">
        <f>IFERROR(IF(Readings[[#This Row],[Reference Angle]]="-","-",(Readings[[#This Row],[Diff E]]*SIN(RADIANS(Readings[[#This Row],[Reference Angle]]))+Readings[[#This Row],[Diff N]]*COS(RADIANS(Readings[[#This Row],[Reference Angle]])))),"-")</f>
        <v>3.0000000260770321E-3</v>
      </c>
      <c r="T832" s="94">
        <f>IFERROR(VLOOKUP(Readings[[#This Row],[Sensor ID]],Table_Baseline[],COLUMNS(Table_Baseline[[#Headers],[Sensor ID]:[Reference Angle '[Deg']]]),FALSE),"-")</f>
        <v>0</v>
      </c>
      <c r="U832" s="95" t="str">
        <f>Readings[[#This Row],[Sensor ID]]&amp;"-"&amp;Readings[[#This Row],[Epoch]]</f>
        <v>250-RL-OP-11015-45825.2291666667</v>
      </c>
      <c r="V832" s="99">
        <f ca="1">IF(Readings[[#This Row],[Epoch]]=OFFSET(Readings[[#This Row],[Epoch]],-1,0),0,1)</f>
        <v>0</v>
      </c>
    </row>
    <row r="833" spans="4:22" x14ac:dyDescent="0.2">
      <c r="D833" s="32">
        <v>45825.229166666664</v>
      </c>
      <c r="E833" s="33" t="s">
        <v>185</v>
      </c>
      <c r="F833" s="34">
        <v>60054.885000000002</v>
      </c>
      <c r="G833" s="34">
        <v>363838.80799999996</v>
      </c>
      <c r="H833" s="34">
        <v>18.771999999999998</v>
      </c>
      <c r="I833" s="33" t="s">
        <v>85</v>
      </c>
      <c r="J833" s="151" t="s">
        <v>90</v>
      </c>
      <c r="K833" s="33">
        <v>12</v>
      </c>
      <c r="L833" s="33">
        <v>1022</v>
      </c>
      <c r="M833" s="33">
        <v>82</v>
      </c>
      <c r="N833" s="33"/>
      <c r="O833" s="93">
        <f>IFERROR(IF(Readings[[#This Row],[Obs. X]]="","-",Readings[[#This Row],[Obs. X]]-_xlfn.XLOOKUP(Readings[[#This Row],[Sensor ID]],Table_Baseline[Sensor ID],Table_Baseline[Easting '[m']],"-")),"-")</f>
        <v>-9.9999999656574801E-4</v>
      </c>
      <c r="P833" s="93">
        <f>IFERROR(IF(Readings[[#This Row],[Obs. Y]]="","-",Readings[[#This Row],[Obs. Y]]-_xlfn.XLOOKUP(Readings[[#This Row],[Sensor ID]],Table_Baseline[Sensor ID],Table_Baseline[Northing '[m']],"-")),"-")</f>
        <v>2.9999999678693712E-3</v>
      </c>
      <c r="Q833" s="93">
        <f>IFERROR(IF(Readings[[#This Row],[Obs. Z]]="","-",Readings[[#This Row],[Obs. Z]]-_xlfn.XLOOKUP(Readings[[#This Row],[Sensor ID]],Table_Baseline[Sensor ID],Table_Baseline[Level '[m']],"-")),"-")</f>
        <v>-1.1000000000009891E-3</v>
      </c>
      <c r="R833" s="93">
        <f>IFERROR(IF(Readings[[#This Row],[Reference Angle]]="-","-",(Readings[[#This Row],[Diff E]]*COS(RADIANS(Readings[[#This Row],[Reference Angle]]))-Readings[[#This Row],[Diff N]]*SIN(RADIANS(Readings[[#This Row],[Reference Angle]])))),"-")</f>
        <v>-9.9999999656574801E-4</v>
      </c>
      <c r="S833" s="93">
        <f>IFERROR(IF(Readings[[#This Row],[Reference Angle]]="-","-",(Readings[[#This Row],[Diff E]]*SIN(RADIANS(Readings[[#This Row],[Reference Angle]]))+Readings[[#This Row],[Diff N]]*COS(RADIANS(Readings[[#This Row],[Reference Angle]])))),"-")</f>
        <v>2.9999999678693712E-3</v>
      </c>
      <c r="T833" s="94">
        <f>IFERROR(VLOOKUP(Readings[[#This Row],[Sensor ID]],Table_Baseline[],COLUMNS(Table_Baseline[[#Headers],[Sensor ID]:[Reference Angle '[Deg']]]),FALSE),"-")</f>
        <v>0</v>
      </c>
      <c r="U833" s="95" t="str">
        <f>Readings[[#This Row],[Sensor ID]]&amp;"-"&amp;Readings[[#This Row],[Epoch]]</f>
        <v>250-RL-OP-11016-45825.2291666667</v>
      </c>
      <c r="V833" s="99">
        <f ca="1">IF(Readings[[#This Row],[Epoch]]=OFFSET(Readings[[#This Row],[Epoch]],-1,0),0,1)</f>
        <v>0</v>
      </c>
    </row>
    <row r="834" spans="4:22" x14ac:dyDescent="0.2">
      <c r="D834" s="32">
        <v>45825.229166666664</v>
      </c>
      <c r="E834" s="33" t="s">
        <v>188</v>
      </c>
      <c r="F834" s="34">
        <v>60057.951999999997</v>
      </c>
      <c r="G834" s="34">
        <v>363839.36600000004</v>
      </c>
      <c r="H834" s="34">
        <v>18.785</v>
      </c>
      <c r="I834" s="33" t="s">
        <v>85</v>
      </c>
      <c r="J834" s="151" t="s">
        <v>90</v>
      </c>
      <c r="K834" s="33">
        <v>12</v>
      </c>
      <c r="L834" s="33">
        <v>1022</v>
      </c>
      <c r="M834" s="33">
        <v>82</v>
      </c>
      <c r="N834" s="33"/>
      <c r="O834" s="93">
        <f>IFERROR(IF(Readings[[#This Row],[Obs. X]]="","-",Readings[[#This Row],[Obs. X]]-_xlfn.XLOOKUP(Readings[[#This Row],[Sensor ID]],Table_Baseline[Sensor ID],Table_Baseline[Easting '[m']],"-")),"-")</f>
        <v>0</v>
      </c>
      <c r="P834" s="93">
        <f>IFERROR(IF(Readings[[#This Row],[Obs. Y]]="","-",Readings[[#This Row],[Obs. Y]]-_xlfn.XLOOKUP(Readings[[#This Row],[Sensor ID]],Table_Baseline[Sensor ID],Table_Baseline[Northing '[m']],"-")),"-")</f>
        <v>4.0000000735744834E-3</v>
      </c>
      <c r="Q834" s="93">
        <f>IFERROR(IF(Readings[[#This Row],[Obs. Z]]="","-",Readings[[#This Row],[Obs. Z]]-_xlfn.XLOOKUP(Readings[[#This Row],[Sensor ID]],Table_Baseline[Sensor ID],Table_Baseline[Level '[m']],"-")),"-")</f>
        <v>-1.0000000000012221E-3</v>
      </c>
      <c r="R834" s="93">
        <f>IFERROR(IF(Readings[[#This Row],[Reference Angle]]="-","-",(Readings[[#This Row],[Diff E]]*COS(RADIANS(Readings[[#This Row],[Reference Angle]]))-Readings[[#This Row],[Diff N]]*SIN(RADIANS(Readings[[#This Row],[Reference Angle]])))),"-")</f>
        <v>0</v>
      </c>
      <c r="S834" s="93">
        <f>IFERROR(IF(Readings[[#This Row],[Reference Angle]]="-","-",(Readings[[#This Row],[Diff E]]*SIN(RADIANS(Readings[[#This Row],[Reference Angle]]))+Readings[[#This Row],[Diff N]]*COS(RADIANS(Readings[[#This Row],[Reference Angle]])))),"-")</f>
        <v>4.0000000735744834E-3</v>
      </c>
      <c r="T834" s="94">
        <f>IFERROR(VLOOKUP(Readings[[#This Row],[Sensor ID]],Table_Baseline[],COLUMNS(Table_Baseline[[#Headers],[Sensor ID]:[Reference Angle '[Deg']]]),FALSE),"-")</f>
        <v>0</v>
      </c>
      <c r="U834" s="95" t="str">
        <f>Readings[[#This Row],[Sensor ID]]&amp;"-"&amp;Readings[[#This Row],[Epoch]]</f>
        <v>250-RL-OP-11017-45825.2291666667</v>
      </c>
      <c r="V834" s="99">
        <f ca="1">IF(Readings[[#This Row],[Epoch]]=OFFSET(Readings[[#This Row],[Epoch]],-1,0),0,1)</f>
        <v>0</v>
      </c>
    </row>
    <row r="835" spans="4:22" x14ac:dyDescent="0.2">
      <c r="D835" s="32">
        <v>45825.229166666664</v>
      </c>
      <c r="E835" s="33" t="s">
        <v>187</v>
      </c>
      <c r="F835" s="34">
        <v>60057.578999999998</v>
      </c>
      <c r="G835" s="34">
        <v>363838.10200000001</v>
      </c>
      <c r="H835" s="34">
        <v>18.774999999999999</v>
      </c>
      <c r="I835" s="33" t="s">
        <v>85</v>
      </c>
      <c r="J835" s="151" t="s">
        <v>90</v>
      </c>
      <c r="K835" s="33">
        <v>12</v>
      </c>
      <c r="L835" s="33">
        <v>1022</v>
      </c>
      <c r="M835" s="33">
        <v>82</v>
      </c>
      <c r="N835" s="33"/>
      <c r="O835" s="93">
        <f>IFERROR(IF(Readings[[#This Row],[Obs. X]]="","-",Readings[[#This Row],[Obs. X]]-_xlfn.XLOOKUP(Readings[[#This Row],[Sensor ID]],Table_Baseline[Sensor ID],Table_Baseline[Easting '[m']],"-")),"-")</f>
        <v>0</v>
      </c>
      <c r="P835" s="93">
        <f>IFERROR(IF(Readings[[#This Row],[Obs. Y]]="","-",Readings[[#This Row],[Obs. Y]]-_xlfn.XLOOKUP(Readings[[#This Row],[Sensor ID]],Table_Baseline[Sensor ID],Table_Baseline[Northing '[m']],"-")),"-")</f>
        <v>4.0000000153668225E-3</v>
      </c>
      <c r="Q835" s="93">
        <f>IFERROR(IF(Readings[[#This Row],[Obs. Z]]="","-",Readings[[#This Row],[Obs. Z]]-_xlfn.XLOOKUP(Readings[[#This Row],[Sensor ID]],Table_Baseline[Sensor ID],Table_Baseline[Level '[m']],"-")),"-")</f>
        <v>-1.0000000000012221E-3</v>
      </c>
      <c r="R835" s="93">
        <f>IFERROR(IF(Readings[[#This Row],[Reference Angle]]="-","-",(Readings[[#This Row],[Diff E]]*COS(RADIANS(Readings[[#This Row],[Reference Angle]]))-Readings[[#This Row],[Diff N]]*SIN(RADIANS(Readings[[#This Row],[Reference Angle]])))),"-")</f>
        <v>0</v>
      </c>
      <c r="S835" s="93">
        <f>IFERROR(IF(Readings[[#This Row],[Reference Angle]]="-","-",(Readings[[#This Row],[Diff E]]*SIN(RADIANS(Readings[[#This Row],[Reference Angle]]))+Readings[[#This Row],[Diff N]]*COS(RADIANS(Readings[[#This Row],[Reference Angle]])))),"-")</f>
        <v>4.0000000153668225E-3</v>
      </c>
      <c r="T835" s="94">
        <f>IFERROR(VLOOKUP(Readings[[#This Row],[Sensor ID]],Table_Baseline[],COLUMNS(Table_Baseline[[#Headers],[Sensor ID]:[Reference Angle '[Deg']]]),FALSE),"-")</f>
        <v>0</v>
      </c>
      <c r="U835" s="95" t="str">
        <f>Readings[[#This Row],[Sensor ID]]&amp;"-"&amp;Readings[[#This Row],[Epoch]]</f>
        <v>250-RL-OP-11018-45825.2291666667</v>
      </c>
      <c r="V835" s="99">
        <f ca="1">IF(Readings[[#This Row],[Epoch]]=OFFSET(Readings[[#This Row],[Epoch]],-1,0),0,1)</f>
        <v>0</v>
      </c>
    </row>
    <row r="836" spans="4:22" x14ac:dyDescent="0.2">
      <c r="D836" s="32">
        <v>45825.229166666664</v>
      </c>
      <c r="E836" s="33" t="s">
        <v>190</v>
      </c>
      <c r="F836" s="34">
        <v>60060.963000000003</v>
      </c>
      <c r="G836" s="34">
        <v>363838.60399999999</v>
      </c>
      <c r="H836" s="34">
        <v>18.792999999999999</v>
      </c>
      <c r="I836" s="33" t="s">
        <v>85</v>
      </c>
      <c r="J836" s="151" t="s">
        <v>90</v>
      </c>
      <c r="K836" s="33">
        <v>12</v>
      </c>
      <c r="L836" s="33">
        <v>1022</v>
      </c>
      <c r="M836" s="33">
        <v>82</v>
      </c>
      <c r="N836" s="33"/>
      <c r="O836" s="93">
        <f>IFERROR(IF(Readings[[#This Row],[Obs. X]]="","-",Readings[[#This Row],[Obs. X]]-_xlfn.XLOOKUP(Readings[[#This Row],[Sensor ID]],Table_Baseline[Sensor ID],Table_Baseline[Easting '[m']],"-")),"-")</f>
        <v>0</v>
      </c>
      <c r="P836" s="93">
        <f>IFERROR(IF(Readings[[#This Row],[Obs. Y]]="","-",Readings[[#This Row],[Obs. Y]]-_xlfn.XLOOKUP(Readings[[#This Row],[Sensor ID]],Table_Baseline[Sensor ID],Table_Baseline[Northing '[m']],"-")),"-")</f>
        <v>2.9999999678693712E-3</v>
      </c>
      <c r="Q836" s="93">
        <f>IFERROR(IF(Readings[[#This Row],[Obs. Z]]="","-",Readings[[#This Row],[Obs. Z]]-_xlfn.XLOOKUP(Readings[[#This Row],[Sensor ID]],Table_Baseline[Sensor ID],Table_Baseline[Level '[m']],"-")),"-")</f>
        <v>-1.5999999999998238E-3</v>
      </c>
      <c r="R836" s="93">
        <f>IFERROR(IF(Readings[[#This Row],[Reference Angle]]="-","-",(Readings[[#This Row],[Diff E]]*COS(RADIANS(Readings[[#This Row],[Reference Angle]]))-Readings[[#This Row],[Diff N]]*SIN(RADIANS(Readings[[#This Row],[Reference Angle]])))),"-")</f>
        <v>0</v>
      </c>
      <c r="S836" s="93">
        <f>IFERROR(IF(Readings[[#This Row],[Reference Angle]]="-","-",(Readings[[#This Row],[Diff E]]*SIN(RADIANS(Readings[[#This Row],[Reference Angle]]))+Readings[[#This Row],[Diff N]]*COS(RADIANS(Readings[[#This Row],[Reference Angle]])))),"-")</f>
        <v>2.9999999678693712E-3</v>
      </c>
      <c r="T836" s="94">
        <f>IFERROR(VLOOKUP(Readings[[#This Row],[Sensor ID]],Table_Baseline[],COLUMNS(Table_Baseline[[#Headers],[Sensor ID]:[Reference Angle '[Deg']]]),FALSE),"-")</f>
        <v>0</v>
      </c>
      <c r="U836" s="95" t="str">
        <f>Readings[[#This Row],[Sensor ID]]&amp;"-"&amp;Readings[[#This Row],[Epoch]]</f>
        <v>250-RL-OP-11019-45825.2291666667</v>
      </c>
      <c r="V836" s="99">
        <f ca="1">IF(Readings[[#This Row],[Epoch]]=OFFSET(Readings[[#This Row],[Epoch]],-1,0),0,1)</f>
        <v>0</v>
      </c>
    </row>
    <row r="837" spans="4:22" x14ac:dyDescent="0.2">
      <c r="D837" s="32">
        <v>45825.229166666664</v>
      </c>
      <c r="E837" s="33" t="s">
        <v>189</v>
      </c>
      <c r="F837" s="34">
        <v>60060.639999999999</v>
      </c>
      <c r="G837" s="34">
        <v>363837.326</v>
      </c>
      <c r="H837" s="34">
        <v>18.782</v>
      </c>
      <c r="I837" s="33" t="s">
        <v>85</v>
      </c>
      <c r="J837" s="151" t="s">
        <v>90</v>
      </c>
      <c r="K837" s="33">
        <v>12</v>
      </c>
      <c r="L837" s="33">
        <v>1022</v>
      </c>
      <c r="M837" s="33">
        <v>82</v>
      </c>
      <c r="N837" s="33"/>
      <c r="O837" s="93">
        <f>IFERROR(IF(Readings[[#This Row],[Obs. X]]="","-",Readings[[#This Row],[Obs. X]]-_xlfn.XLOOKUP(Readings[[#This Row],[Sensor ID]],Table_Baseline[Sensor ID],Table_Baseline[Easting '[m']],"-")),"-")</f>
        <v>0</v>
      </c>
      <c r="P837" s="93">
        <f>IFERROR(IF(Readings[[#This Row],[Obs. Y]]="","-",Readings[[#This Row],[Obs. Y]]-_xlfn.XLOOKUP(Readings[[#This Row],[Sensor ID]],Table_Baseline[Sensor ID],Table_Baseline[Northing '[m']],"-")),"-")</f>
        <v>4.0000000153668225E-3</v>
      </c>
      <c r="Q837" s="93">
        <f>IFERROR(IF(Readings[[#This Row],[Obs. Z]]="","-",Readings[[#This Row],[Obs. Z]]-_xlfn.XLOOKUP(Readings[[#This Row],[Sensor ID]],Table_Baseline[Sensor ID],Table_Baseline[Level '[m']],"-")),"-")</f>
        <v>-1.5999999999998238E-3</v>
      </c>
      <c r="R837" s="93">
        <f>IFERROR(IF(Readings[[#This Row],[Reference Angle]]="-","-",(Readings[[#This Row],[Diff E]]*COS(RADIANS(Readings[[#This Row],[Reference Angle]]))-Readings[[#This Row],[Diff N]]*SIN(RADIANS(Readings[[#This Row],[Reference Angle]])))),"-")</f>
        <v>0</v>
      </c>
      <c r="S837" s="93">
        <f>IFERROR(IF(Readings[[#This Row],[Reference Angle]]="-","-",(Readings[[#This Row],[Diff E]]*SIN(RADIANS(Readings[[#This Row],[Reference Angle]]))+Readings[[#This Row],[Diff N]]*COS(RADIANS(Readings[[#This Row],[Reference Angle]])))),"-")</f>
        <v>4.0000000153668225E-3</v>
      </c>
      <c r="T837" s="94">
        <f>IFERROR(VLOOKUP(Readings[[#This Row],[Sensor ID]],Table_Baseline[],COLUMNS(Table_Baseline[[#Headers],[Sensor ID]:[Reference Angle '[Deg']]]),FALSE),"-")</f>
        <v>0</v>
      </c>
      <c r="U837" s="95" t="str">
        <f>Readings[[#This Row],[Sensor ID]]&amp;"-"&amp;Readings[[#This Row],[Epoch]]</f>
        <v>250-RL-OP-11020-45825.2291666667</v>
      </c>
      <c r="V837" s="99">
        <f ca="1">IF(Readings[[#This Row],[Epoch]]=OFFSET(Readings[[#This Row],[Epoch]],-1,0),0,1)</f>
        <v>0</v>
      </c>
    </row>
    <row r="838" spans="4:22" x14ac:dyDescent="0.2">
      <c r="D838" s="32">
        <v>45825.229166666664</v>
      </c>
      <c r="E838" s="33" t="s">
        <v>192</v>
      </c>
      <c r="F838" s="34">
        <v>60063.750999999997</v>
      </c>
      <c r="G838" s="34">
        <v>363837.92099999997</v>
      </c>
      <c r="H838" s="34">
        <v>18.808</v>
      </c>
      <c r="I838" s="33" t="s">
        <v>85</v>
      </c>
      <c r="J838" s="151" t="s">
        <v>90</v>
      </c>
      <c r="K838" s="33">
        <v>12</v>
      </c>
      <c r="L838" s="33">
        <v>1022</v>
      </c>
      <c r="M838" s="33">
        <v>82</v>
      </c>
      <c r="N838" s="33"/>
      <c r="O838" s="93">
        <f>IFERROR(IF(Readings[[#This Row],[Obs. X]]="","-",Readings[[#This Row],[Obs. X]]-_xlfn.XLOOKUP(Readings[[#This Row],[Sensor ID]],Table_Baseline[Sensor ID],Table_Baseline[Easting '[m']],"-")),"-")</f>
        <v>0</v>
      </c>
      <c r="P838" s="93">
        <f>IFERROR(IF(Readings[[#This Row],[Obs. Y]]="","-",Readings[[#This Row],[Obs. Y]]-_xlfn.XLOOKUP(Readings[[#This Row],[Sensor ID]],Table_Baseline[Sensor ID],Table_Baseline[Northing '[m']],"-")),"-")</f>
        <v>2.9999999678693712E-3</v>
      </c>
      <c r="Q838" s="93">
        <f>IFERROR(IF(Readings[[#This Row],[Obs. Z]]="","-",Readings[[#This Row],[Obs. Z]]-_xlfn.XLOOKUP(Readings[[#This Row],[Sensor ID]],Table_Baseline[Sensor ID],Table_Baseline[Level '[m']],"-")),"-")</f>
        <v>-1.0000000000012221E-3</v>
      </c>
      <c r="R838" s="93">
        <f>IFERROR(IF(Readings[[#This Row],[Reference Angle]]="-","-",(Readings[[#This Row],[Diff E]]*COS(RADIANS(Readings[[#This Row],[Reference Angle]]))-Readings[[#This Row],[Diff N]]*SIN(RADIANS(Readings[[#This Row],[Reference Angle]])))),"-")</f>
        <v>0</v>
      </c>
      <c r="S838" s="93">
        <f>IFERROR(IF(Readings[[#This Row],[Reference Angle]]="-","-",(Readings[[#This Row],[Diff E]]*SIN(RADIANS(Readings[[#This Row],[Reference Angle]]))+Readings[[#This Row],[Diff N]]*COS(RADIANS(Readings[[#This Row],[Reference Angle]])))),"-")</f>
        <v>2.9999999678693712E-3</v>
      </c>
      <c r="T838" s="94">
        <f>IFERROR(VLOOKUP(Readings[[#This Row],[Sensor ID]],Table_Baseline[],COLUMNS(Table_Baseline[[#Headers],[Sensor ID]:[Reference Angle '[Deg']]]),FALSE),"-")</f>
        <v>0</v>
      </c>
      <c r="U838" s="95" t="str">
        <f>Readings[[#This Row],[Sensor ID]]&amp;"-"&amp;Readings[[#This Row],[Epoch]]</f>
        <v>250-RL-OP-11021-45825.2291666667</v>
      </c>
      <c r="V838" s="99">
        <f ca="1">IF(Readings[[#This Row],[Epoch]]=OFFSET(Readings[[#This Row],[Epoch]],-1,0),0,1)</f>
        <v>0</v>
      </c>
    </row>
    <row r="839" spans="4:22" x14ac:dyDescent="0.2">
      <c r="D839" s="32">
        <v>45825.229166666664</v>
      </c>
      <c r="E839" s="151" t="s">
        <v>191</v>
      </c>
      <c r="F839" s="152">
        <v>60063.421999999999</v>
      </c>
      <c r="G839" s="152">
        <v>363836.64</v>
      </c>
      <c r="H839" s="152">
        <v>18.792999999999999</v>
      </c>
      <c r="I839" s="33" t="s">
        <v>85</v>
      </c>
      <c r="J839" s="151" t="s">
        <v>90</v>
      </c>
      <c r="K839" s="33">
        <v>12</v>
      </c>
      <c r="L839" s="33">
        <v>1022</v>
      </c>
      <c r="M839" s="33">
        <v>82</v>
      </c>
      <c r="N839" s="151"/>
      <c r="O839" s="96">
        <f>IFERROR(IF(Readings[[#This Row],[Obs. X]]="","-",Readings[[#This Row],[Obs. X]]-_xlfn.XLOOKUP(Readings[[#This Row],[Sensor ID]],Table_Baseline[Sensor ID],Table_Baseline[Easting '[m']],"-")),"-")</f>
        <v>0</v>
      </c>
      <c r="P839" s="96">
        <f>IFERROR(IF(Readings[[#This Row],[Obs. Y]]="","-",Readings[[#This Row],[Obs. Y]]-_xlfn.XLOOKUP(Readings[[#This Row],[Sensor ID]],Table_Baseline[Sensor ID],Table_Baseline[Northing '[m']],"-")),"-")</f>
        <v>4.0000000153668225E-3</v>
      </c>
      <c r="Q839" s="96">
        <f>IFERROR(IF(Readings[[#This Row],[Obs. Z]]="","-",Readings[[#This Row],[Obs. Z]]-_xlfn.XLOOKUP(Readings[[#This Row],[Sensor ID]],Table_Baseline[Sensor ID],Table_Baseline[Level '[m']],"-")),"-")</f>
        <v>-1.8999999999991246E-3</v>
      </c>
      <c r="R839" s="96">
        <f>IFERROR(IF(Readings[[#This Row],[Reference Angle]]="-","-",(Readings[[#This Row],[Diff E]]*COS(RADIANS(Readings[[#This Row],[Reference Angle]]))-Readings[[#This Row],[Diff N]]*SIN(RADIANS(Readings[[#This Row],[Reference Angle]])))),"-")</f>
        <v>0</v>
      </c>
      <c r="S839" s="96">
        <f>IFERROR(IF(Readings[[#This Row],[Reference Angle]]="-","-",(Readings[[#This Row],[Diff E]]*SIN(RADIANS(Readings[[#This Row],[Reference Angle]]))+Readings[[#This Row],[Diff N]]*COS(RADIANS(Readings[[#This Row],[Reference Angle]])))),"-")</f>
        <v>4.0000000153668225E-3</v>
      </c>
      <c r="T839" s="97">
        <f>IFERROR(VLOOKUP(Readings[[#This Row],[Sensor ID]],Table_Baseline[],COLUMNS(Table_Baseline[[#Headers],[Sensor ID]:[Reference Angle '[Deg']]]),FALSE),"-")</f>
        <v>0</v>
      </c>
      <c r="U839" s="98" t="str">
        <f>Readings[[#This Row],[Sensor ID]]&amp;"-"&amp;Readings[[#This Row],[Epoch]]</f>
        <v>250-RL-OP-11022-45825.2291666667</v>
      </c>
      <c r="V839" s="100">
        <f ca="1">IF(Readings[[#This Row],[Epoch]]=OFFSET(Readings[[#This Row],[Epoch]],-1,0),0,1)</f>
        <v>0</v>
      </c>
    </row>
    <row r="840" spans="4:22" x14ac:dyDescent="0.2">
      <c r="D840" s="32">
        <v>45827.284722222219</v>
      </c>
      <c r="E840" s="33" t="s">
        <v>165</v>
      </c>
      <c r="F840" s="34">
        <v>60034.538999999997</v>
      </c>
      <c r="G840" s="34">
        <v>363843.38099999999</v>
      </c>
      <c r="H840" s="34">
        <v>19.331</v>
      </c>
      <c r="I840" s="33" t="s">
        <v>85</v>
      </c>
      <c r="J840" s="151" t="s">
        <v>90</v>
      </c>
      <c r="K840" s="33">
        <v>11.7</v>
      </c>
      <c r="L840" s="33">
        <v>1024</v>
      </c>
      <c r="M840" s="33">
        <v>85</v>
      </c>
      <c r="N840" s="33"/>
      <c r="O840" s="93" t="str">
        <f>IFERROR(IF(Readings[[#This Row],[Obs. X]]="","-",Readings[[#This Row],[Obs. X]]-_xlfn.XLOOKUP(Readings[[#This Row],[Sensor ID]],Table_Baseline[Sensor ID],Table_Baseline[Easting '[m']],"-")),"-")</f>
        <v>-</v>
      </c>
      <c r="P840" s="93" t="str">
        <f>IFERROR(IF(Readings[[#This Row],[Obs. Y]]="","-",Readings[[#This Row],[Obs. Y]]-_xlfn.XLOOKUP(Readings[[#This Row],[Sensor ID]],Table_Baseline[Sensor ID],Table_Baseline[Northing '[m']],"-")),"-")</f>
        <v>-</v>
      </c>
      <c r="Q840" s="93" t="str">
        <f>IFERROR(IF(Readings[[#This Row],[Obs. Z]]="","-",Readings[[#This Row],[Obs. Z]]-_xlfn.XLOOKUP(Readings[[#This Row],[Sensor ID]],Table_Baseline[Sensor ID],Table_Baseline[Level '[m']],"-")),"-")</f>
        <v>-</v>
      </c>
      <c r="R840" s="93" t="str">
        <f>IFERROR(IF(Readings[[#This Row],[Reference Angle]]="-","-",(Readings[[#This Row],[Diff E]]*COS(RADIANS(Readings[[#This Row],[Reference Angle]]))-Readings[[#This Row],[Diff N]]*SIN(RADIANS(Readings[[#This Row],[Reference Angle]])))),"-")</f>
        <v>-</v>
      </c>
      <c r="S840" s="93" t="str">
        <f>IFERROR(IF(Readings[[#This Row],[Reference Angle]]="-","-",(Readings[[#This Row],[Diff E]]*SIN(RADIANS(Readings[[#This Row],[Reference Angle]]))+Readings[[#This Row],[Diff N]]*COS(RADIANS(Readings[[#This Row],[Reference Angle]])))),"-")</f>
        <v>-</v>
      </c>
      <c r="T840" s="94" t="str">
        <f>IFERROR(VLOOKUP(Readings[[#This Row],[Sensor ID]],Table_Baseline[],COLUMNS(Table_Baseline[[#Headers],[Sensor ID]:[Reference Angle '[Deg']]]),FALSE),"-")</f>
        <v>-</v>
      </c>
      <c r="U840" s="95" t="str">
        <f>Readings[[#This Row],[Sensor ID]]&amp;"-"&amp;Readings[[#This Row],[Epoch]]</f>
        <v>250-ST-OP-500-45827.2847222222</v>
      </c>
      <c r="V840" s="99">
        <f ca="1">IF(Readings[[#This Row],[Epoch]]=OFFSET(Readings[[#This Row],[Epoch]],-1,0),0,1)</f>
        <v>1</v>
      </c>
    </row>
    <row r="841" spans="4:22" x14ac:dyDescent="0.2">
      <c r="D841" s="32">
        <v>45827.284722222219</v>
      </c>
      <c r="E841" s="33" t="s">
        <v>166</v>
      </c>
      <c r="F841" s="34">
        <v>60040.286999999997</v>
      </c>
      <c r="G841" s="34">
        <v>363841.73</v>
      </c>
      <c r="H841" s="34">
        <v>19.321999999999999</v>
      </c>
      <c r="I841" s="33" t="s">
        <v>85</v>
      </c>
      <c r="J841" s="151" t="s">
        <v>90</v>
      </c>
      <c r="K841" s="33">
        <v>11.7</v>
      </c>
      <c r="L841" s="33">
        <v>1024</v>
      </c>
      <c r="M841" s="33">
        <v>85</v>
      </c>
      <c r="N841" s="33"/>
      <c r="O841" s="93" t="str">
        <f>IFERROR(IF(Readings[[#This Row],[Obs. X]]="","-",Readings[[#This Row],[Obs. X]]-_xlfn.XLOOKUP(Readings[[#This Row],[Sensor ID]],Table_Baseline[Sensor ID],Table_Baseline[Easting '[m']],"-")),"-")</f>
        <v>-</v>
      </c>
      <c r="P841" s="93" t="str">
        <f>IFERROR(IF(Readings[[#This Row],[Obs. Y]]="","-",Readings[[#This Row],[Obs. Y]]-_xlfn.XLOOKUP(Readings[[#This Row],[Sensor ID]],Table_Baseline[Sensor ID],Table_Baseline[Northing '[m']],"-")),"-")</f>
        <v>-</v>
      </c>
      <c r="Q841" s="93" t="str">
        <f>IFERROR(IF(Readings[[#This Row],[Obs. Z]]="","-",Readings[[#This Row],[Obs. Z]]-_xlfn.XLOOKUP(Readings[[#This Row],[Sensor ID]],Table_Baseline[Sensor ID],Table_Baseline[Level '[m']],"-")),"-")</f>
        <v>-</v>
      </c>
      <c r="R841" s="93" t="str">
        <f>IFERROR(IF(Readings[[#This Row],[Reference Angle]]="-","-",(Readings[[#This Row],[Diff E]]*COS(RADIANS(Readings[[#This Row],[Reference Angle]]))-Readings[[#This Row],[Diff N]]*SIN(RADIANS(Readings[[#This Row],[Reference Angle]])))),"-")</f>
        <v>-</v>
      </c>
      <c r="S841" s="93" t="str">
        <f>IFERROR(IF(Readings[[#This Row],[Reference Angle]]="-","-",(Readings[[#This Row],[Diff E]]*SIN(RADIANS(Readings[[#This Row],[Reference Angle]]))+Readings[[#This Row],[Diff N]]*COS(RADIANS(Readings[[#This Row],[Reference Angle]])))),"-")</f>
        <v>-</v>
      </c>
      <c r="T841" s="94" t="str">
        <f>IFERROR(VLOOKUP(Readings[[#This Row],[Sensor ID]],Table_Baseline[],COLUMNS(Table_Baseline[[#Headers],[Sensor ID]:[Reference Angle '[Deg']]]),FALSE),"-")</f>
        <v>-</v>
      </c>
      <c r="U841" s="95" t="str">
        <f>Readings[[#This Row],[Sensor ID]]&amp;"-"&amp;Readings[[#This Row],[Epoch]]</f>
        <v>250-ST-OP-501-45827.2847222222</v>
      </c>
      <c r="V841" s="99">
        <f ca="1">IF(Readings[[#This Row],[Epoch]]=OFFSET(Readings[[#This Row],[Epoch]],-1,0),0,1)</f>
        <v>0</v>
      </c>
    </row>
    <row r="842" spans="4:22" x14ac:dyDescent="0.2">
      <c r="D842" s="32">
        <v>45827.284722222219</v>
      </c>
      <c r="E842" s="33" t="s">
        <v>167</v>
      </c>
      <c r="F842" s="34">
        <v>60045.921999999999</v>
      </c>
      <c r="G842" s="34">
        <v>363840.10100000002</v>
      </c>
      <c r="H842" s="34">
        <v>19.334</v>
      </c>
      <c r="I842" s="33" t="s">
        <v>85</v>
      </c>
      <c r="J842" s="151" t="s">
        <v>90</v>
      </c>
      <c r="K842" s="33">
        <v>11.7</v>
      </c>
      <c r="L842" s="33">
        <v>1024</v>
      </c>
      <c r="M842" s="33">
        <v>85</v>
      </c>
      <c r="N842" s="33"/>
      <c r="O842" s="93" t="str">
        <f>IFERROR(IF(Readings[[#This Row],[Obs. X]]="","-",Readings[[#This Row],[Obs. X]]-_xlfn.XLOOKUP(Readings[[#This Row],[Sensor ID]],Table_Baseline[Sensor ID],Table_Baseline[Easting '[m']],"-")),"-")</f>
        <v>-</v>
      </c>
      <c r="P842" s="93" t="str">
        <f>IFERROR(IF(Readings[[#This Row],[Obs. Y]]="","-",Readings[[#This Row],[Obs. Y]]-_xlfn.XLOOKUP(Readings[[#This Row],[Sensor ID]],Table_Baseline[Sensor ID],Table_Baseline[Northing '[m']],"-")),"-")</f>
        <v>-</v>
      </c>
      <c r="Q842" s="93" t="str">
        <f>IFERROR(IF(Readings[[#This Row],[Obs. Z]]="","-",Readings[[#This Row],[Obs. Z]]-_xlfn.XLOOKUP(Readings[[#This Row],[Sensor ID]],Table_Baseline[Sensor ID],Table_Baseline[Level '[m']],"-")),"-")</f>
        <v>-</v>
      </c>
      <c r="R842" s="93" t="str">
        <f>IFERROR(IF(Readings[[#This Row],[Reference Angle]]="-","-",(Readings[[#This Row],[Diff E]]*COS(RADIANS(Readings[[#This Row],[Reference Angle]]))-Readings[[#This Row],[Diff N]]*SIN(RADIANS(Readings[[#This Row],[Reference Angle]])))),"-")</f>
        <v>-</v>
      </c>
      <c r="S842" s="93" t="str">
        <f>IFERROR(IF(Readings[[#This Row],[Reference Angle]]="-","-",(Readings[[#This Row],[Diff E]]*SIN(RADIANS(Readings[[#This Row],[Reference Angle]]))+Readings[[#This Row],[Diff N]]*COS(RADIANS(Readings[[#This Row],[Reference Angle]])))),"-")</f>
        <v>-</v>
      </c>
      <c r="T842" s="94" t="str">
        <f>IFERROR(VLOOKUP(Readings[[#This Row],[Sensor ID]],Table_Baseline[],COLUMNS(Table_Baseline[[#Headers],[Sensor ID]:[Reference Angle '[Deg']]]),FALSE),"-")</f>
        <v>-</v>
      </c>
      <c r="U842" s="95" t="str">
        <f>Readings[[#This Row],[Sensor ID]]&amp;"-"&amp;Readings[[#This Row],[Epoch]]</f>
        <v>250-ST-OP-502-45827.2847222222</v>
      </c>
      <c r="V842" s="99">
        <f ca="1">IF(Readings[[#This Row],[Epoch]]=OFFSET(Readings[[#This Row],[Epoch]],-1,0),0,1)</f>
        <v>0</v>
      </c>
    </row>
    <row r="843" spans="4:22" x14ac:dyDescent="0.2">
      <c r="D843" s="32">
        <v>45827.284722222219</v>
      </c>
      <c r="E843" s="33" t="s">
        <v>168</v>
      </c>
      <c r="F843" s="34">
        <v>60049.767999999996</v>
      </c>
      <c r="G843" s="34">
        <v>363838.995</v>
      </c>
      <c r="H843" s="34">
        <v>19.344999999999999</v>
      </c>
      <c r="I843" s="33" t="s">
        <v>85</v>
      </c>
      <c r="J843" s="151" t="s">
        <v>90</v>
      </c>
      <c r="K843" s="33">
        <v>11.7</v>
      </c>
      <c r="L843" s="33">
        <v>1024</v>
      </c>
      <c r="M843" s="33">
        <v>85</v>
      </c>
      <c r="N843" s="33"/>
      <c r="O843" s="93" t="str">
        <f>IFERROR(IF(Readings[[#This Row],[Obs. X]]="","-",Readings[[#This Row],[Obs. X]]-_xlfn.XLOOKUP(Readings[[#This Row],[Sensor ID]],Table_Baseline[Sensor ID],Table_Baseline[Easting '[m']],"-")),"-")</f>
        <v>-</v>
      </c>
      <c r="P843" s="93" t="str">
        <f>IFERROR(IF(Readings[[#This Row],[Obs. Y]]="","-",Readings[[#This Row],[Obs. Y]]-_xlfn.XLOOKUP(Readings[[#This Row],[Sensor ID]],Table_Baseline[Sensor ID],Table_Baseline[Northing '[m']],"-")),"-")</f>
        <v>-</v>
      </c>
      <c r="Q843" s="93" t="str">
        <f>IFERROR(IF(Readings[[#This Row],[Obs. Z]]="","-",Readings[[#This Row],[Obs. Z]]-_xlfn.XLOOKUP(Readings[[#This Row],[Sensor ID]],Table_Baseline[Sensor ID],Table_Baseline[Level '[m']],"-")),"-")</f>
        <v>-</v>
      </c>
      <c r="R843" s="93" t="str">
        <f>IFERROR(IF(Readings[[#This Row],[Reference Angle]]="-","-",(Readings[[#This Row],[Diff E]]*COS(RADIANS(Readings[[#This Row],[Reference Angle]]))-Readings[[#This Row],[Diff N]]*SIN(RADIANS(Readings[[#This Row],[Reference Angle]])))),"-")</f>
        <v>-</v>
      </c>
      <c r="S843" s="93" t="str">
        <f>IFERROR(IF(Readings[[#This Row],[Reference Angle]]="-","-",(Readings[[#This Row],[Diff E]]*SIN(RADIANS(Readings[[#This Row],[Reference Angle]]))+Readings[[#This Row],[Diff N]]*COS(RADIANS(Readings[[#This Row],[Reference Angle]])))),"-")</f>
        <v>-</v>
      </c>
      <c r="T843" s="94" t="str">
        <f>IFERROR(VLOOKUP(Readings[[#This Row],[Sensor ID]],Table_Baseline[],COLUMNS(Table_Baseline[[#Headers],[Sensor ID]:[Reference Angle '[Deg']]]),FALSE),"-")</f>
        <v>-</v>
      </c>
      <c r="U843" s="95" t="str">
        <f>Readings[[#This Row],[Sensor ID]]&amp;"-"&amp;Readings[[#This Row],[Epoch]]</f>
        <v>250-ST-OP-503-45827.2847222222</v>
      </c>
      <c r="V843" s="99">
        <f ca="1">IF(Readings[[#This Row],[Epoch]]=OFFSET(Readings[[#This Row],[Epoch]],-1,0),0,1)</f>
        <v>0</v>
      </c>
    </row>
    <row r="844" spans="4:22" x14ac:dyDescent="0.2">
      <c r="D844" s="32">
        <v>45827.284722222219</v>
      </c>
      <c r="E844" s="33" t="s">
        <v>169</v>
      </c>
      <c r="F844" s="34">
        <v>60053.608999999997</v>
      </c>
      <c r="G844" s="34">
        <v>363837.88399999996</v>
      </c>
      <c r="H844" s="34">
        <v>19.356000000000002</v>
      </c>
      <c r="I844" s="33" t="s">
        <v>85</v>
      </c>
      <c r="J844" s="151" t="s">
        <v>90</v>
      </c>
      <c r="K844" s="33">
        <v>11.7</v>
      </c>
      <c r="L844" s="33">
        <v>1024</v>
      </c>
      <c r="M844" s="33">
        <v>85</v>
      </c>
      <c r="N844" s="33"/>
      <c r="O844" s="93" t="str">
        <f>IFERROR(IF(Readings[[#This Row],[Obs. X]]="","-",Readings[[#This Row],[Obs. X]]-_xlfn.XLOOKUP(Readings[[#This Row],[Sensor ID]],Table_Baseline[Sensor ID],Table_Baseline[Easting '[m']],"-")),"-")</f>
        <v>-</v>
      </c>
      <c r="P844" s="93" t="str">
        <f>IFERROR(IF(Readings[[#This Row],[Obs. Y]]="","-",Readings[[#This Row],[Obs. Y]]-_xlfn.XLOOKUP(Readings[[#This Row],[Sensor ID]],Table_Baseline[Sensor ID],Table_Baseline[Northing '[m']],"-")),"-")</f>
        <v>-</v>
      </c>
      <c r="Q844" s="93" t="str">
        <f>IFERROR(IF(Readings[[#This Row],[Obs. Z]]="","-",Readings[[#This Row],[Obs. Z]]-_xlfn.XLOOKUP(Readings[[#This Row],[Sensor ID]],Table_Baseline[Sensor ID],Table_Baseline[Level '[m']],"-")),"-")</f>
        <v>-</v>
      </c>
      <c r="R844" s="93" t="str">
        <f>IFERROR(IF(Readings[[#This Row],[Reference Angle]]="-","-",(Readings[[#This Row],[Diff E]]*COS(RADIANS(Readings[[#This Row],[Reference Angle]]))-Readings[[#This Row],[Diff N]]*SIN(RADIANS(Readings[[#This Row],[Reference Angle]])))),"-")</f>
        <v>-</v>
      </c>
      <c r="S844" s="93" t="str">
        <f>IFERROR(IF(Readings[[#This Row],[Reference Angle]]="-","-",(Readings[[#This Row],[Diff E]]*SIN(RADIANS(Readings[[#This Row],[Reference Angle]]))+Readings[[#This Row],[Diff N]]*COS(RADIANS(Readings[[#This Row],[Reference Angle]])))),"-")</f>
        <v>-</v>
      </c>
      <c r="T844" s="94" t="str">
        <f>IFERROR(VLOOKUP(Readings[[#This Row],[Sensor ID]],Table_Baseline[],COLUMNS(Table_Baseline[[#Headers],[Sensor ID]:[Reference Angle '[Deg']]]),FALSE),"-")</f>
        <v>-</v>
      </c>
      <c r="U844" s="95" t="str">
        <f>Readings[[#This Row],[Sensor ID]]&amp;"-"&amp;Readings[[#This Row],[Epoch]]</f>
        <v>250-ST-OP-504-45827.2847222222</v>
      </c>
      <c r="V844" s="99">
        <f ca="1">IF(Readings[[#This Row],[Epoch]]=OFFSET(Readings[[#This Row],[Epoch]],-1,0),0,1)</f>
        <v>0</v>
      </c>
    </row>
    <row r="845" spans="4:22" x14ac:dyDescent="0.2">
      <c r="D845" s="32">
        <v>45827.284722222219</v>
      </c>
      <c r="E845" s="33" t="s">
        <v>170</v>
      </c>
      <c r="F845" s="34">
        <v>60060.065000000002</v>
      </c>
      <c r="G845" s="34">
        <v>363836.02600000001</v>
      </c>
      <c r="H845" s="34">
        <v>19.356000000000002</v>
      </c>
      <c r="I845" s="33" t="s">
        <v>85</v>
      </c>
      <c r="J845" s="151" t="s">
        <v>90</v>
      </c>
      <c r="K845" s="33">
        <v>11.7</v>
      </c>
      <c r="L845" s="33">
        <v>1024</v>
      </c>
      <c r="M845" s="33">
        <v>85</v>
      </c>
      <c r="N845" s="33"/>
      <c r="O845" s="93" t="str">
        <f>IFERROR(IF(Readings[[#This Row],[Obs. X]]="","-",Readings[[#This Row],[Obs. X]]-_xlfn.XLOOKUP(Readings[[#This Row],[Sensor ID]],Table_Baseline[Sensor ID],Table_Baseline[Easting '[m']],"-")),"-")</f>
        <v>-</v>
      </c>
      <c r="P845" s="93" t="str">
        <f>IFERROR(IF(Readings[[#This Row],[Obs. Y]]="","-",Readings[[#This Row],[Obs. Y]]-_xlfn.XLOOKUP(Readings[[#This Row],[Sensor ID]],Table_Baseline[Sensor ID],Table_Baseline[Northing '[m']],"-")),"-")</f>
        <v>-</v>
      </c>
      <c r="Q845" s="93" t="str">
        <f>IFERROR(IF(Readings[[#This Row],[Obs. Z]]="","-",Readings[[#This Row],[Obs. Z]]-_xlfn.XLOOKUP(Readings[[#This Row],[Sensor ID]],Table_Baseline[Sensor ID],Table_Baseline[Level '[m']],"-")),"-")</f>
        <v>-</v>
      </c>
      <c r="R845" s="93" t="str">
        <f>IFERROR(IF(Readings[[#This Row],[Reference Angle]]="-","-",(Readings[[#This Row],[Diff E]]*COS(RADIANS(Readings[[#This Row],[Reference Angle]]))-Readings[[#This Row],[Diff N]]*SIN(RADIANS(Readings[[#This Row],[Reference Angle]])))),"-")</f>
        <v>-</v>
      </c>
      <c r="S845" s="93" t="str">
        <f>IFERROR(IF(Readings[[#This Row],[Reference Angle]]="-","-",(Readings[[#This Row],[Diff E]]*SIN(RADIANS(Readings[[#This Row],[Reference Angle]]))+Readings[[#This Row],[Diff N]]*COS(RADIANS(Readings[[#This Row],[Reference Angle]])))),"-")</f>
        <v>-</v>
      </c>
      <c r="T845" s="94" t="str">
        <f>IFERROR(VLOOKUP(Readings[[#This Row],[Sensor ID]],Table_Baseline[],COLUMNS(Table_Baseline[[#Headers],[Sensor ID]:[Reference Angle '[Deg']]]),FALSE),"-")</f>
        <v>-</v>
      </c>
      <c r="U845" s="95" t="str">
        <f>Readings[[#This Row],[Sensor ID]]&amp;"-"&amp;Readings[[#This Row],[Epoch]]</f>
        <v>250-ST-OP-505-45827.2847222222</v>
      </c>
      <c r="V845" s="99">
        <f ca="1">IF(Readings[[#This Row],[Epoch]]=OFFSET(Readings[[#This Row],[Epoch]],-1,0),0,1)</f>
        <v>0</v>
      </c>
    </row>
    <row r="846" spans="4:22" x14ac:dyDescent="0.2">
      <c r="D846" s="32">
        <v>45827.284722222219</v>
      </c>
      <c r="E846" s="33" t="s">
        <v>172</v>
      </c>
      <c r="F846" s="34">
        <v>60035.339</v>
      </c>
      <c r="G846" s="34">
        <v>363845.73800000001</v>
      </c>
      <c r="H846" s="34">
        <v>18.782</v>
      </c>
      <c r="I846" s="33" t="s">
        <v>85</v>
      </c>
      <c r="J846" s="151" t="s">
        <v>90</v>
      </c>
      <c r="K846" s="33">
        <v>11.7</v>
      </c>
      <c r="L846" s="33">
        <v>1024</v>
      </c>
      <c r="M846" s="33">
        <v>85</v>
      </c>
      <c r="N846" s="33"/>
      <c r="O846" s="93">
        <f>IFERROR(IF(Readings[[#This Row],[Obs. X]]="","-",Readings[[#This Row],[Obs. X]]-_xlfn.XLOOKUP(Readings[[#This Row],[Sensor ID]],Table_Baseline[Sensor ID],Table_Baseline[Easting '[m']],"-")),"-")</f>
        <v>-9.9999999656574801E-4</v>
      </c>
      <c r="P846" s="93">
        <f>IFERROR(IF(Readings[[#This Row],[Obs. Y]]="","-",Readings[[#This Row],[Obs. Y]]-_xlfn.XLOOKUP(Readings[[#This Row],[Sensor ID]],Table_Baseline[Sensor ID],Table_Baseline[Northing '[m']],"-")),"-")</f>
        <v>-9.9999998928979039E-4</v>
      </c>
      <c r="Q846" s="93">
        <f>IFERROR(IF(Readings[[#This Row],[Obs. Z]]="","-",Readings[[#This Row],[Obs. Z]]-_xlfn.XLOOKUP(Readings[[#This Row],[Sensor ID]],Table_Baseline[Sensor ID],Table_Baseline[Level '[m']],"-")),"-")</f>
        <v>0</v>
      </c>
      <c r="R846" s="93">
        <f>IFERROR(IF(Readings[[#This Row],[Reference Angle]]="-","-",(Readings[[#This Row],[Diff E]]*COS(RADIANS(Readings[[#This Row],[Reference Angle]]))-Readings[[#This Row],[Diff N]]*SIN(RADIANS(Readings[[#This Row],[Reference Angle]])))),"-")</f>
        <v>-9.9999999656574801E-4</v>
      </c>
      <c r="S846" s="93">
        <f>IFERROR(IF(Readings[[#This Row],[Reference Angle]]="-","-",(Readings[[#This Row],[Diff E]]*SIN(RADIANS(Readings[[#This Row],[Reference Angle]]))+Readings[[#This Row],[Diff N]]*COS(RADIANS(Readings[[#This Row],[Reference Angle]])))),"-")</f>
        <v>-9.9999998928979039E-4</v>
      </c>
      <c r="T846" s="94">
        <f>IFERROR(VLOOKUP(Readings[[#This Row],[Sensor ID]],Table_Baseline[],COLUMNS(Table_Baseline[[#Headers],[Sensor ID]:[Reference Angle '[Deg']]]),FALSE),"-")</f>
        <v>0</v>
      </c>
      <c r="U846" s="95" t="str">
        <f>Readings[[#This Row],[Sensor ID]]&amp;"-"&amp;Readings[[#This Row],[Epoch]]</f>
        <v>250-RL-OP-11001-45827.2847222222</v>
      </c>
      <c r="V846" s="99">
        <f ca="1">IF(Readings[[#This Row],[Epoch]]=OFFSET(Readings[[#This Row],[Epoch]],-1,0),0,1)</f>
        <v>0</v>
      </c>
    </row>
    <row r="847" spans="4:22" x14ac:dyDescent="0.2">
      <c r="D847" s="32">
        <v>45827.284722222219</v>
      </c>
      <c r="E847" s="33" t="s">
        <v>171</v>
      </c>
      <c r="F847" s="34">
        <v>60034.959000000003</v>
      </c>
      <c r="G847" s="34">
        <v>363844.47100000002</v>
      </c>
      <c r="H847" s="34">
        <v>18.777999999999999</v>
      </c>
      <c r="I847" s="33" t="s">
        <v>85</v>
      </c>
      <c r="J847" s="151" t="s">
        <v>90</v>
      </c>
      <c r="K847" s="33">
        <v>11.7</v>
      </c>
      <c r="L847" s="33">
        <v>1024</v>
      </c>
      <c r="M847" s="33">
        <v>85</v>
      </c>
      <c r="N847" s="33"/>
      <c r="O847" s="93">
        <f>IFERROR(IF(Readings[[#This Row],[Obs. X]]="","-",Readings[[#This Row],[Obs. X]]-_xlfn.XLOOKUP(Readings[[#This Row],[Sensor ID]],Table_Baseline[Sensor ID],Table_Baseline[Easting '[m']],"-")),"-")</f>
        <v>0</v>
      </c>
      <c r="P847" s="93">
        <f>IFERROR(IF(Readings[[#This Row],[Obs. Y]]="","-",Readings[[#This Row],[Obs. Y]]-_xlfn.XLOOKUP(Readings[[#This Row],[Sensor ID]],Table_Baseline[Sensor ID],Table_Baseline[Northing '[m']],"-")),"-")</f>
        <v>0</v>
      </c>
      <c r="Q847" s="93">
        <f>IFERROR(IF(Readings[[#This Row],[Obs. Z]]="","-",Readings[[#This Row],[Obs. Z]]-_xlfn.XLOOKUP(Readings[[#This Row],[Sensor ID]],Table_Baseline[Sensor ID],Table_Baseline[Level '[m']],"-")),"-")</f>
        <v>-9.9999999999766942E-5</v>
      </c>
      <c r="R847" s="93">
        <f>IFERROR(IF(Readings[[#This Row],[Reference Angle]]="-","-",(Readings[[#This Row],[Diff E]]*COS(RADIANS(Readings[[#This Row],[Reference Angle]]))-Readings[[#This Row],[Diff N]]*SIN(RADIANS(Readings[[#This Row],[Reference Angle]])))),"-")</f>
        <v>0</v>
      </c>
      <c r="S847" s="93">
        <f>IFERROR(IF(Readings[[#This Row],[Reference Angle]]="-","-",(Readings[[#This Row],[Diff E]]*SIN(RADIANS(Readings[[#This Row],[Reference Angle]]))+Readings[[#This Row],[Diff N]]*COS(RADIANS(Readings[[#This Row],[Reference Angle]])))),"-")</f>
        <v>0</v>
      </c>
      <c r="T847" s="94">
        <f>IFERROR(VLOOKUP(Readings[[#This Row],[Sensor ID]],Table_Baseline[],COLUMNS(Table_Baseline[[#Headers],[Sensor ID]:[Reference Angle '[Deg']]]),FALSE),"-")</f>
        <v>0</v>
      </c>
      <c r="U847" s="95" t="str">
        <f>Readings[[#This Row],[Sensor ID]]&amp;"-"&amp;Readings[[#This Row],[Epoch]]</f>
        <v>250-RL-OP-11002-45827.2847222222</v>
      </c>
      <c r="V847" s="99">
        <f ca="1">IF(Readings[[#This Row],[Epoch]]=OFFSET(Readings[[#This Row],[Epoch]],-1,0),0,1)</f>
        <v>0</v>
      </c>
    </row>
    <row r="848" spans="4:22" x14ac:dyDescent="0.2">
      <c r="D848" s="32">
        <v>45827.284722222219</v>
      </c>
      <c r="E848" s="33" t="s">
        <v>174</v>
      </c>
      <c r="F848" s="34">
        <v>60038.116999999998</v>
      </c>
      <c r="G848" s="34">
        <v>363844.94500000001</v>
      </c>
      <c r="H848" s="34">
        <v>18.777999999999999</v>
      </c>
      <c r="I848" s="33" t="s">
        <v>85</v>
      </c>
      <c r="J848" s="151" t="s">
        <v>90</v>
      </c>
      <c r="K848" s="33">
        <v>11.7</v>
      </c>
      <c r="L848" s="33">
        <v>1024</v>
      </c>
      <c r="M848" s="33">
        <v>85</v>
      </c>
      <c r="N848" s="33"/>
      <c r="O848" s="93">
        <f>IFERROR(IF(Readings[[#This Row],[Obs. X]]="","-",Readings[[#This Row],[Obs. X]]-_xlfn.XLOOKUP(Readings[[#This Row],[Sensor ID]],Table_Baseline[Sensor ID],Table_Baseline[Easting '[m']],"-")),"-")</f>
        <v>-1.0000000038417056E-3</v>
      </c>
      <c r="P848" s="93">
        <f>IFERROR(IF(Readings[[#This Row],[Obs. Y]]="","-",Readings[[#This Row],[Obs. Y]]-_xlfn.XLOOKUP(Readings[[#This Row],[Sensor ID]],Table_Baseline[Sensor ID],Table_Baseline[Northing '[m']],"-")),"-")</f>
        <v>0</v>
      </c>
      <c r="Q848" s="93">
        <f>IFERROR(IF(Readings[[#This Row],[Obs. Z]]="","-",Readings[[#This Row],[Obs. Z]]-_xlfn.XLOOKUP(Readings[[#This Row],[Sensor ID]],Table_Baseline[Sensor ID],Table_Baseline[Level '[m']],"-")),"-")</f>
        <v>-8.0000000000168825E-4</v>
      </c>
      <c r="R848" s="93">
        <f>IFERROR(IF(Readings[[#This Row],[Reference Angle]]="-","-",(Readings[[#This Row],[Diff E]]*COS(RADIANS(Readings[[#This Row],[Reference Angle]]))-Readings[[#This Row],[Diff N]]*SIN(RADIANS(Readings[[#This Row],[Reference Angle]])))),"-")</f>
        <v>-1.0000000038417056E-3</v>
      </c>
      <c r="S848" s="93">
        <f>IFERROR(IF(Readings[[#This Row],[Reference Angle]]="-","-",(Readings[[#This Row],[Diff E]]*SIN(RADIANS(Readings[[#This Row],[Reference Angle]]))+Readings[[#This Row],[Diff N]]*COS(RADIANS(Readings[[#This Row],[Reference Angle]])))),"-")</f>
        <v>0</v>
      </c>
      <c r="T848" s="94">
        <f>IFERROR(VLOOKUP(Readings[[#This Row],[Sensor ID]],Table_Baseline[],COLUMNS(Table_Baseline[[#Headers],[Sensor ID]:[Reference Angle '[Deg']]]),FALSE),"-")</f>
        <v>0</v>
      </c>
      <c r="U848" s="95" t="str">
        <f>Readings[[#This Row],[Sensor ID]]&amp;"-"&amp;Readings[[#This Row],[Epoch]]</f>
        <v>250-RL-OP-11003-45827.2847222222</v>
      </c>
      <c r="V848" s="99">
        <f ca="1">IF(Readings[[#This Row],[Epoch]]=OFFSET(Readings[[#This Row],[Epoch]],-1,0),0,1)</f>
        <v>0</v>
      </c>
    </row>
    <row r="849" spans="4:22" x14ac:dyDescent="0.2">
      <c r="D849" s="32">
        <v>45827.284722222219</v>
      </c>
      <c r="E849" s="33" t="s">
        <v>173</v>
      </c>
      <c r="F849" s="34">
        <v>60037.803999999996</v>
      </c>
      <c r="G849" s="34">
        <v>363843.65700000001</v>
      </c>
      <c r="H849" s="34">
        <v>18.777999999999999</v>
      </c>
      <c r="I849" s="33" t="s">
        <v>85</v>
      </c>
      <c r="J849" s="151" t="s">
        <v>90</v>
      </c>
      <c r="K849" s="33">
        <v>11.7</v>
      </c>
      <c r="L849" s="33">
        <v>1024</v>
      </c>
      <c r="M849" s="33">
        <v>85</v>
      </c>
      <c r="N849" s="33"/>
      <c r="O849" s="93">
        <f>IFERROR(IF(Readings[[#This Row],[Obs. X]]="","-",Readings[[#This Row],[Obs. X]]-_xlfn.XLOOKUP(Readings[[#This Row],[Sensor ID]],Table_Baseline[Sensor ID],Table_Baseline[Easting '[m']],"-")),"-")</f>
        <v>-1.0000000038417056E-3</v>
      </c>
      <c r="P849" s="93">
        <f>IFERROR(IF(Readings[[#This Row],[Obs. Y]]="","-",Readings[[#This Row],[Obs. Y]]-_xlfn.XLOOKUP(Readings[[#This Row],[Sensor ID]],Table_Baseline[Sensor ID],Table_Baseline[Northing '[m']],"-")),"-")</f>
        <v>0</v>
      </c>
      <c r="Q849" s="93">
        <f>IFERROR(IF(Readings[[#This Row],[Obs. Z]]="","-",Readings[[#This Row],[Obs. Z]]-_xlfn.XLOOKUP(Readings[[#This Row],[Sensor ID]],Table_Baseline[Sensor ID],Table_Baseline[Level '[m']],"-")),"-")</f>
        <v>-5.0000000000238742E-4</v>
      </c>
      <c r="R849" s="93">
        <f>IFERROR(IF(Readings[[#This Row],[Reference Angle]]="-","-",(Readings[[#This Row],[Diff E]]*COS(RADIANS(Readings[[#This Row],[Reference Angle]]))-Readings[[#This Row],[Diff N]]*SIN(RADIANS(Readings[[#This Row],[Reference Angle]])))),"-")</f>
        <v>-1.0000000038417056E-3</v>
      </c>
      <c r="S849" s="93">
        <f>IFERROR(IF(Readings[[#This Row],[Reference Angle]]="-","-",(Readings[[#This Row],[Diff E]]*SIN(RADIANS(Readings[[#This Row],[Reference Angle]]))+Readings[[#This Row],[Diff N]]*COS(RADIANS(Readings[[#This Row],[Reference Angle]])))),"-")</f>
        <v>0</v>
      </c>
      <c r="T849" s="94">
        <f>IFERROR(VLOOKUP(Readings[[#This Row],[Sensor ID]],Table_Baseline[],COLUMNS(Table_Baseline[[#Headers],[Sensor ID]:[Reference Angle '[Deg']]]),FALSE),"-")</f>
        <v>0</v>
      </c>
      <c r="U849" s="95" t="str">
        <f>Readings[[#This Row],[Sensor ID]]&amp;"-"&amp;Readings[[#This Row],[Epoch]]</f>
        <v>250-RL-OP-11004-45827.2847222222</v>
      </c>
      <c r="V849" s="99">
        <f ca="1">IF(Readings[[#This Row],[Epoch]]=OFFSET(Readings[[#This Row],[Epoch]],-1,0),0,1)</f>
        <v>0</v>
      </c>
    </row>
    <row r="850" spans="4:22" x14ac:dyDescent="0.2">
      <c r="D850" s="32">
        <v>45827.284722222219</v>
      </c>
      <c r="E850" s="33" t="s">
        <v>176</v>
      </c>
      <c r="F850" s="34">
        <v>60040.968000000001</v>
      </c>
      <c r="G850" s="34">
        <v>363844.11800000002</v>
      </c>
      <c r="H850" s="34">
        <v>18.779</v>
      </c>
      <c r="I850" s="33" t="s">
        <v>85</v>
      </c>
      <c r="J850" s="151" t="s">
        <v>90</v>
      </c>
      <c r="K850" s="33">
        <v>11.7</v>
      </c>
      <c r="L850" s="33">
        <v>1024</v>
      </c>
      <c r="M850" s="33">
        <v>85</v>
      </c>
      <c r="N850" s="33"/>
      <c r="O850" s="93">
        <f>IFERROR(IF(Readings[[#This Row],[Obs. X]]="","-",Readings[[#This Row],[Obs. X]]-_xlfn.XLOOKUP(Readings[[#This Row],[Sensor ID]],Table_Baseline[Sensor ID],Table_Baseline[Easting '[m']],"-")),"-")</f>
        <v>-9.9999999656574801E-4</v>
      </c>
      <c r="P850" s="93">
        <f>IFERROR(IF(Readings[[#This Row],[Obs. Y]]="","-",Readings[[#This Row],[Obs. Y]]-_xlfn.XLOOKUP(Readings[[#This Row],[Sensor ID]],Table_Baseline[Sensor ID],Table_Baseline[Northing '[m']],"-")),"-")</f>
        <v>0</v>
      </c>
      <c r="Q850" s="93">
        <f>IFERROR(IF(Readings[[#This Row],[Obs. Z]]="","-",Readings[[#This Row],[Obs. Z]]-_xlfn.XLOOKUP(Readings[[#This Row],[Sensor ID]],Table_Baseline[Sensor ID],Table_Baseline[Level '[m']],"-")),"-")</f>
        <v>0</v>
      </c>
      <c r="R850" s="93">
        <f>IFERROR(IF(Readings[[#This Row],[Reference Angle]]="-","-",(Readings[[#This Row],[Diff E]]*COS(RADIANS(Readings[[#This Row],[Reference Angle]]))-Readings[[#This Row],[Diff N]]*SIN(RADIANS(Readings[[#This Row],[Reference Angle]])))),"-")</f>
        <v>-9.9999999656574801E-4</v>
      </c>
      <c r="S850" s="93">
        <f>IFERROR(IF(Readings[[#This Row],[Reference Angle]]="-","-",(Readings[[#This Row],[Diff E]]*SIN(RADIANS(Readings[[#This Row],[Reference Angle]]))+Readings[[#This Row],[Diff N]]*COS(RADIANS(Readings[[#This Row],[Reference Angle]])))),"-")</f>
        <v>0</v>
      </c>
      <c r="T850" s="94">
        <f>IFERROR(VLOOKUP(Readings[[#This Row],[Sensor ID]],Table_Baseline[],COLUMNS(Table_Baseline[[#Headers],[Sensor ID]:[Reference Angle '[Deg']]]),FALSE),"-")</f>
        <v>0</v>
      </c>
      <c r="U850" s="95" t="str">
        <f>Readings[[#This Row],[Sensor ID]]&amp;"-"&amp;Readings[[#This Row],[Epoch]]</f>
        <v>250-RL-OP-11005-45827.2847222222</v>
      </c>
      <c r="V850" s="99">
        <f ca="1">IF(Readings[[#This Row],[Epoch]]=OFFSET(Readings[[#This Row],[Epoch]],-1,0),0,1)</f>
        <v>0</v>
      </c>
    </row>
    <row r="851" spans="4:22" x14ac:dyDescent="0.2">
      <c r="D851" s="32">
        <v>45827.284722222219</v>
      </c>
      <c r="E851" s="33" t="s">
        <v>175</v>
      </c>
      <c r="F851" s="34">
        <v>60040.606</v>
      </c>
      <c r="G851" s="34">
        <v>363842.86199999996</v>
      </c>
      <c r="H851" s="34">
        <v>18.771999999999998</v>
      </c>
      <c r="I851" s="33" t="s">
        <v>85</v>
      </c>
      <c r="J851" s="151" t="s">
        <v>90</v>
      </c>
      <c r="K851" s="33">
        <v>11.7</v>
      </c>
      <c r="L851" s="33">
        <v>1024</v>
      </c>
      <c r="M851" s="33">
        <v>85</v>
      </c>
      <c r="N851" s="33"/>
      <c r="O851" s="93">
        <f>IFERROR(IF(Readings[[#This Row],[Obs. X]]="","-",Readings[[#This Row],[Obs. X]]-_xlfn.XLOOKUP(Readings[[#This Row],[Sensor ID]],Table_Baseline[Sensor ID],Table_Baseline[Easting '[m']],"-")),"-")</f>
        <v>-1.0000000038417056E-3</v>
      </c>
      <c r="P851" s="93">
        <f>IFERROR(IF(Readings[[#This Row],[Obs. Y]]="","-",Readings[[#This Row],[Obs. Y]]-_xlfn.XLOOKUP(Readings[[#This Row],[Sensor ID]],Table_Baseline[Sensor ID],Table_Baseline[Northing '[m']],"-")),"-")</f>
        <v>9.9999993108212948E-4</v>
      </c>
      <c r="Q851" s="93">
        <f>IFERROR(IF(Readings[[#This Row],[Obs. Z]]="","-",Readings[[#This Row],[Obs. Z]]-_xlfn.XLOOKUP(Readings[[#This Row],[Sensor ID]],Table_Baseline[Sensor ID],Table_Baseline[Level '[m']],"-")),"-")</f>
        <v>0</v>
      </c>
      <c r="R851" s="93">
        <f>IFERROR(IF(Readings[[#This Row],[Reference Angle]]="-","-",(Readings[[#This Row],[Diff E]]*COS(RADIANS(Readings[[#This Row],[Reference Angle]]))-Readings[[#This Row],[Diff N]]*SIN(RADIANS(Readings[[#This Row],[Reference Angle]])))),"-")</f>
        <v>-1.0000000038417056E-3</v>
      </c>
      <c r="S851" s="93">
        <f>IFERROR(IF(Readings[[#This Row],[Reference Angle]]="-","-",(Readings[[#This Row],[Diff E]]*SIN(RADIANS(Readings[[#This Row],[Reference Angle]]))+Readings[[#This Row],[Diff N]]*COS(RADIANS(Readings[[#This Row],[Reference Angle]])))),"-")</f>
        <v>9.9999993108212948E-4</v>
      </c>
      <c r="T851" s="94">
        <f>IFERROR(VLOOKUP(Readings[[#This Row],[Sensor ID]],Table_Baseline[],COLUMNS(Table_Baseline[[#Headers],[Sensor ID]:[Reference Angle '[Deg']]]),FALSE),"-")</f>
        <v>0</v>
      </c>
      <c r="U851" s="95" t="str">
        <f>Readings[[#This Row],[Sensor ID]]&amp;"-"&amp;Readings[[#This Row],[Epoch]]</f>
        <v>250-RL-OP-11006-45827.2847222222</v>
      </c>
      <c r="V851" s="99">
        <f ca="1">IF(Readings[[#This Row],[Epoch]]=OFFSET(Readings[[#This Row],[Epoch]],-1,0),0,1)</f>
        <v>0</v>
      </c>
    </row>
    <row r="852" spans="4:22" x14ac:dyDescent="0.2">
      <c r="D852" s="32">
        <v>45827.284722222219</v>
      </c>
      <c r="E852" s="33" t="s">
        <v>178</v>
      </c>
      <c r="F852" s="34">
        <v>60043.758000000002</v>
      </c>
      <c r="G852" s="34">
        <v>363843.31599999999</v>
      </c>
      <c r="H852" s="34">
        <v>18.774000000000001</v>
      </c>
      <c r="I852" s="33" t="s">
        <v>85</v>
      </c>
      <c r="J852" s="151" t="s">
        <v>90</v>
      </c>
      <c r="K852" s="33">
        <v>11.7</v>
      </c>
      <c r="L852" s="33">
        <v>1024</v>
      </c>
      <c r="M852" s="33">
        <v>85</v>
      </c>
      <c r="N852" s="33"/>
      <c r="O852" s="93">
        <f>IFERROR(IF(Readings[[#This Row],[Obs. X]]="","-",Readings[[#This Row],[Obs. X]]-_xlfn.XLOOKUP(Readings[[#This Row],[Sensor ID]],Table_Baseline[Sensor ID],Table_Baseline[Easting '[m']],"-")),"-")</f>
        <v>-9.9999999656574801E-4</v>
      </c>
      <c r="P852" s="93">
        <f>IFERROR(IF(Readings[[#This Row],[Obs. Y]]="","-",Readings[[#This Row],[Obs. Y]]-_xlfn.XLOOKUP(Readings[[#This Row],[Sensor ID]],Table_Baseline[Sensor ID],Table_Baseline[Northing '[m']],"-")),"-")</f>
        <v>1.9999999785795808E-3</v>
      </c>
      <c r="Q852" s="93">
        <f>IFERROR(IF(Readings[[#This Row],[Obs. Z]]="","-",Readings[[#This Row],[Obs. Z]]-_xlfn.XLOOKUP(Readings[[#This Row],[Sensor ID]],Table_Baseline[Sensor ID],Table_Baseline[Level '[m']],"-")),"-")</f>
        <v>-9.9999999999766942E-5</v>
      </c>
      <c r="R852" s="93">
        <f>IFERROR(IF(Readings[[#This Row],[Reference Angle]]="-","-",(Readings[[#This Row],[Diff E]]*COS(RADIANS(Readings[[#This Row],[Reference Angle]]))-Readings[[#This Row],[Diff N]]*SIN(RADIANS(Readings[[#This Row],[Reference Angle]])))),"-")</f>
        <v>-9.9999999656574801E-4</v>
      </c>
      <c r="S852" s="93">
        <f>IFERROR(IF(Readings[[#This Row],[Reference Angle]]="-","-",(Readings[[#This Row],[Diff E]]*SIN(RADIANS(Readings[[#This Row],[Reference Angle]]))+Readings[[#This Row],[Diff N]]*COS(RADIANS(Readings[[#This Row],[Reference Angle]])))),"-")</f>
        <v>1.9999999785795808E-3</v>
      </c>
      <c r="T852" s="94">
        <f>IFERROR(VLOOKUP(Readings[[#This Row],[Sensor ID]],Table_Baseline[],COLUMNS(Table_Baseline[[#Headers],[Sensor ID]:[Reference Angle '[Deg']]]),FALSE),"-")</f>
        <v>0</v>
      </c>
      <c r="U852" s="95" t="str">
        <f>Readings[[#This Row],[Sensor ID]]&amp;"-"&amp;Readings[[#This Row],[Epoch]]</f>
        <v>250-RL-OP-11007-45827.2847222222</v>
      </c>
      <c r="V852" s="99">
        <f ca="1">IF(Readings[[#This Row],[Epoch]]=OFFSET(Readings[[#This Row],[Epoch]],-1,0),0,1)</f>
        <v>0</v>
      </c>
    </row>
    <row r="853" spans="4:22" x14ac:dyDescent="0.2">
      <c r="D853" s="32">
        <v>45827.284722222219</v>
      </c>
      <c r="E853" s="33" t="s">
        <v>177</v>
      </c>
      <c r="F853" s="34">
        <v>60043.440999999999</v>
      </c>
      <c r="G853" s="34">
        <v>363842.04200000002</v>
      </c>
      <c r="H853" s="34">
        <v>18.768000000000001</v>
      </c>
      <c r="I853" s="33" t="s">
        <v>85</v>
      </c>
      <c r="J853" s="151" t="s">
        <v>90</v>
      </c>
      <c r="K853" s="33">
        <v>11.7</v>
      </c>
      <c r="L853" s="33">
        <v>1024</v>
      </c>
      <c r="M853" s="33">
        <v>85</v>
      </c>
      <c r="N853" s="33"/>
      <c r="O853" s="93">
        <f>IFERROR(IF(Readings[[#This Row],[Obs. X]]="","-",Readings[[#This Row],[Obs. X]]-_xlfn.XLOOKUP(Readings[[#This Row],[Sensor ID]],Table_Baseline[Sensor ID],Table_Baseline[Easting '[m']],"-")),"-")</f>
        <v>0</v>
      </c>
      <c r="P853" s="93">
        <f>IFERROR(IF(Readings[[#This Row],[Obs. Y]]="","-",Readings[[#This Row],[Obs. Y]]-_xlfn.XLOOKUP(Readings[[#This Row],[Sensor ID]],Table_Baseline[Sensor ID],Table_Baseline[Northing '[m']],"-")),"-")</f>
        <v>1.9999999785795808E-3</v>
      </c>
      <c r="Q853" s="93">
        <f>IFERROR(IF(Readings[[#This Row],[Obs. Z]]="","-",Readings[[#This Row],[Obs. Z]]-_xlfn.XLOOKUP(Readings[[#This Row],[Sensor ID]],Table_Baseline[Sensor ID],Table_Baseline[Level '[m']],"-")),"-")</f>
        <v>-2.9999999999930083E-4</v>
      </c>
      <c r="R853" s="93">
        <f>IFERROR(IF(Readings[[#This Row],[Reference Angle]]="-","-",(Readings[[#This Row],[Diff E]]*COS(RADIANS(Readings[[#This Row],[Reference Angle]]))-Readings[[#This Row],[Diff N]]*SIN(RADIANS(Readings[[#This Row],[Reference Angle]])))),"-")</f>
        <v>0</v>
      </c>
      <c r="S853" s="93">
        <f>IFERROR(IF(Readings[[#This Row],[Reference Angle]]="-","-",(Readings[[#This Row],[Diff E]]*SIN(RADIANS(Readings[[#This Row],[Reference Angle]]))+Readings[[#This Row],[Diff N]]*COS(RADIANS(Readings[[#This Row],[Reference Angle]])))),"-")</f>
        <v>1.9999999785795808E-3</v>
      </c>
      <c r="T853" s="94">
        <f>IFERROR(VLOOKUP(Readings[[#This Row],[Sensor ID]],Table_Baseline[],COLUMNS(Table_Baseline[[#Headers],[Sensor ID]:[Reference Angle '[Deg']]]),FALSE),"-")</f>
        <v>0</v>
      </c>
      <c r="U853" s="95" t="str">
        <f>Readings[[#This Row],[Sensor ID]]&amp;"-"&amp;Readings[[#This Row],[Epoch]]</f>
        <v>250-RL-OP-11008-45827.2847222222</v>
      </c>
      <c r="V853" s="99">
        <f ca="1">IF(Readings[[#This Row],[Epoch]]=OFFSET(Readings[[#This Row],[Epoch]],-1,0),0,1)</f>
        <v>0</v>
      </c>
    </row>
    <row r="854" spans="4:22" x14ac:dyDescent="0.2">
      <c r="D854" s="32">
        <v>45827.284722222219</v>
      </c>
      <c r="E854" s="33" t="s">
        <v>180</v>
      </c>
      <c r="F854" s="34">
        <v>60046.633000000002</v>
      </c>
      <c r="G854" s="34">
        <v>363842.48600000003</v>
      </c>
      <c r="H854" s="34">
        <v>18.777000000000001</v>
      </c>
      <c r="I854" s="33" t="s">
        <v>85</v>
      </c>
      <c r="J854" s="151" t="s">
        <v>90</v>
      </c>
      <c r="K854" s="33">
        <v>11.7</v>
      </c>
      <c r="L854" s="33">
        <v>1024</v>
      </c>
      <c r="M854" s="33">
        <v>85</v>
      </c>
      <c r="N854" s="33"/>
      <c r="O854" s="93">
        <f>IFERROR(IF(Readings[[#This Row],[Obs. X]]="","-",Readings[[#This Row],[Obs. X]]-_xlfn.XLOOKUP(Readings[[#This Row],[Sensor ID]],Table_Baseline[Sensor ID],Table_Baseline[Easting '[m']],"-")),"-")</f>
        <v>0</v>
      </c>
      <c r="P854" s="93">
        <f>IFERROR(IF(Readings[[#This Row],[Obs. Y]]="","-",Readings[[#This Row],[Obs. Y]]-_xlfn.XLOOKUP(Readings[[#This Row],[Sensor ID]],Table_Baseline[Sensor ID],Table_Baseline[Northing '[m']],"-")),"-")</f>
        <v>1.0000000474974513E-3</v>
      </c>
      <c r="Q854" s="93">
        <f>IFERROR(IF(Readings[[#This Row],[Obs. Z]]="","-",Readings[[#This Row],[Obs. Z]]-_xlfn.XLOOKUP(Readings[[#This Row],[Sensor ID]],Table_Baseline[Sensor ID],Table_Baseline[Level '[m']],"-")),"-")</f>
        <v>-5.9999999999860165E-4</v>
      </c>
      <c r="R854" s="93">
        <f>IFERROR(IF(Readings[[#This Row],[Reference Angle]]="-","-",(Readings[[#This Row],[Diff E]]*COS(RADIANS(Readings[[#This Row],[Reference Angle]]))-Readings[[#This Row],[Diff N]]*SIN(RADIANS(Readings[[#This Row],[Reference Angle]])))),"-")</f>
        <v>0</v>
      </c>
      <c r="S854" s="93">
        <f>IFERROR(IF(Readings[[#This Row],[Reference Angle]]="-","-",(Readings[[#This Row],[Diff E]]*SIN(RADIANS(Readings[[#This Row],[Reference Angle]]))+Readings[[#This Row],[Diff N]]*COS(RADIANS(Readings[[#This Row],[Reference Angle]])))),"-")</f>
        <v>1.0000000474974513E-3</v>
      </c>
      <c r="T854" s="94">
        <f>IFERROR(VLOOKUP(Readings[[#This Row],[Sensor ID]],Table_Baseline[],COLUMNS(Table_Baseline[[#Headers],[Sensor ID]:[Reference Angle '[Deg']]]),FALSE),"-")</f>
        <v>0</v>
      </c>
      <c r="U854" s="95" t="str">
        <f>Readings[[#This Row],[Sensor ID]]&amp;"-"&amp;Readings[[#This Row],[Epoch]]</f>
        <v>250-RL-OP-11009-45827.2847222222</v>
      </c>
      <c r="V854" s="99">
        <f ca="1">IF(Readings[[#This Row],[Epoch]]=OFFSET(Readings[[#This Row],[Epoch]],-1,0),0,1)</f>
        <v>0</v>
      </c>
    </row>
    <row r="855" spans="4:22" x14ac:dyDescent="0.2">
      <c r="D855" s="32">
        <v>45827.284722222219</v>
      </c>
      <c r="E855" s="33" t="s">
        <v>179</v>
      </c>
      <c r="F855" s="34">
        <v>60046.25</v>
      </c>
      <c r="G855" s="34">
        <v>363841.228</v>
      </c>
      <c r="H855" s="34">
        <v>18.77</v>
      </c>
      <c r="I855" s="33" t="s">
        <v>85</v>
      </c>
      <c r="J855" s="151" t="s">
        <v>90</v>
      </c>
      <c r="K855" s="33">
        <v>11.7</v>
      </c>
      <c r="L855" s="33">
        <v>1024</v>
      </c>
      <c r="M855" s="33">
        <v>85</v>
      </c>
      <c r="N855" s="33"/>
      <c r="O855" s="93">
        <f>IFERROR(IF(Readings[[#This Row],[Obs. X]]="","-",Readings[[#This Row],[Obs. X]]-_xlfn.XLOOKUP(Readings[[#This Row],[Sensor ID]],Table_Baseline[Sensor ID],Table_Baseline[Easting '[m']],"-")),"-")</f>
        <v>0</v>
      </c>
      <c r="P855" s="93">
        <f>IFERROR(IF(Readings[[#This Row],[Obs. Y]]="","-",Readings[[#This Row],[Obs. Y]]-_xlfn.XLOOKUP(Readings[[#This Row],[Sensor ID]],Table_Baseline[Sensor ID],Table_Baseline[Northing '[m']],"-")),"-")</f>
        <v>1.9999999785795808E-3</v>
      </c>
      <c r="Q855" s="93">
        <f>IFERROR(IF(Readings[[#This Row],[Obs. Z]]="","-",Readings[[#This Row],[Obs. Z]]-_xlfn.XLOOKUP(Readings[[#This Row],[Sensor ID]],Table_Baseline[Sensor ID],Table_Baseline[Level '[m']],"-")),"-")</f>
        <v>1.9999999999953388E-4</v>
      </c>
      <c r="R855" s="93">
        <f>IFERROR(IF(Readings[[#This Row],[Reference Angle]]="-","-",(Readings[[#This Row],[Diff E]]*COS(RADIANS(Readings[[#This Row],[Reference Angle]]))-Readings[[#This Row],[Diff N]]*SIN(RADIANS(Readings[[#This Row],[Reference Angle]])))),"-")</f>
        <v>0</v>
      </c>
      <c r="S855" s="93">
        <f>IFERROR(IF(Readings[[#This Row],[Reference Angle]]="-","-",(Readings[[#This Row],[Diff E]]*SIN(RADIANS(Readings[[#This Row],[Reference Angle]]))+Readings[[#This Row],[Diff N]]*COS(RADIANS(Readings[[#This Row],[Reference Angle]])))),"-")</f>
        <v>1.9999999785795808E-3</v>
      </c>
      <c r="T855" s="94">
        <f>IFERROR(VLOOKUP(Readings[[#This Row],[Sensor ID]],Table_Baseline[],COLUMNS(Table_Baseline[[#Headers],[Sensor ID]:[Reference Angle '[Deg']]]),FALSE),"-")</f>
        <v>0</v>
      </c>
      <c r="U855" s="95" t="str">
        <f>Readings[[#This Row],[Sensor ID]]&amp;"-"&amp;Readings[[#This Row],[Epoch]]</f>
        <v>250-RL-OP-11010-45827.2847222222</v>
      </c>
      <c r="V855" s="99">
        <f ca="1">IF(Readings[[#This Row],[Epoch]]=OFFSET(Readings[[#This Row],[Epoch]],-1,0),0,1)</f>
        <v>0</v>
      </c>
    </row>
    <row r="856" spans="4:22" x14ac:dyDescent="0.2">
      <c r="D856" s="32">
        <v>45827.284722222219</v>
      </c>
      <c r="E856" s="33" t="s">
        <v>182</v>
      </c>
      <c r="F856" s="34">
        <v>60049.398999999998</v>
      </c>
      <c r="G856" s="34">
        <v>363841.7</v>
      </c>
      <c r="H856" s="34">
        <v>18.777000000000001</v>
      </c>
      <c r="I856" s="33" t="s">
        <v>85</v>
      </c>
      <c r="J856" s="151" t="s">
        <v>90</v>
      </c>
      <c r="K856" s="33">
        <v>11.7</v>
      </c>
      <c r="L856" s="33">
        <v>1024</v>
      </c>
      <c r="M856" s="33">
        <v>85</v>
      </c>
      <c r="N856" s="33"/>
      <c r="O856" s="93">
        <f>IFERROR(IF(Readings[[#This Row],[Obs. X]]="","-",Readings[[#This Row],[Obs. X]]-_xlfn.XLOOKUP(Readings[[#This Row],[Sensor ID]],Table_Baseline[Sensor ID],Table_Baseline[Easting '[m']],"-")),"-")</f>
        <v>0</v>
      </c>
      <c r="P856" s="93">
        <f>IFERROR(IF(Readings[[#This Row],[Obs. Y]]="","-",Readings[[#This Row],[Obs. Y]]-_xlfn.XLOOKUP(Readings[[#This Row],[Sensor ID]],Table_Baseline[Sensor ID],Table_Baseline[Northing '[m']],"-")),"-")</f>
        <v>2.0000000367872417E-3</v>
      </c>
      <c r="Q856" s="93">
        <f>IFERROR(IF(Readings[[#This Row],[Obs. Z]]="","-",Readings[[#This Row],[Obs. Z]]-_xlfn.XLOOKUP(Readings[[#This Row],[Sensor ID]],Table_Baseline[Sensor ID],Table_Baseline[Level '[m']],"-")),"-")</f>
        <v>-9.9999999999766942E-4</v>
      </c>
      <c r="R856" s="93">
        <f>IFERROR(IF(Readings[[#This Row],[Reference Angle]]="-","-",(Readings[[#This Row],[Diff E]]*COS(RADIANS(Readings[[#This Row],[Reference Angle]]))-Readings[[#This Row],[Diff N]]*SIN(RADIANS(Readings[[#This Row],[Reference Angle]])))),"-")</f>
        <v>0</v>
      </c>
      <c r="S856" s="93">
        <f>IFERROR(IF(Readings[[#This Row],[Reference Angle]]="-","-",(Readings[[#This Row],[Diff E]]*SIN(RADIANS(Readings[[#This Row],[Reference Angle]]))+Readings[[#This Row],[Diff N]]*COS(RADIANS(Readings[[#This Row],[Reference Angle]])))),"-")</f>
        <v>2.0000000367872417E-3</v>
      </c>
      <c r="T856" s="94">
        <f>IFERROR(VLOOKUP(Readings[[#This Row],[Sensor ID]],Table_Baseline[],COLUMNS(Table_Baseline[[#Headers],[Sensor ID]:[Reference Angle '[Deg']]]),FALSE),"-")</f>
        <v>0</v>
      </c>
      <c r="U856" s="95" t="str">
        <f>Readings[[#This Row],[Sensor ID]]&amp;"-"&amp;Readings[[#This Row],[Epoch]]</f>
        <v>250-RL-OP-11011-45827.2847222222</v>
      </c>
      <c r="V856" s="99">
        <f ca="1">IF(Readings[[#This Row],[Epoch]]=OFFSET(Readings[[#This Row],[Epoch]],-1,0),0,1)</f>
        <v>0</v>
      </c>
    </row>
    <row r="857" spans="4:22" x14ac:dyDescent="0.2">
      <c r="D857" s="32">
        <v>45827.284722222219</v>
      </c>
      <c r="E857" s="33" t="s">
        <v>181</v>
      </c>
      <c r="F857" s="34">
        <v>60049.040999999997</v>
      </c>
      <c r="G857" s="34">
        <v>363840.43599999999</v>
      </c>
      <c r="H857" s="34">
        <v>18.771000000000001</v>
      </c>
      <c r="I857" s="33" t="s">
        <v>85</v>
      </c>
      <c r="J857" s="151" t="s">
        <v>90</v>
      </c>
      <c r="K857" s="33">
        <v>11.7</v>
      </c>
      <c r="L857" s="33">
        <v>1024</v>
      </c>
      <c r="M857" s="33">
        <v>85</v>
      </c>
      <c r="N857" s="33"/>
      <c r="O857" s="93">
        <f>IFERROR(IF(Readings[[#This Row],[Obs. X]]="","-",Readings[[#This Row],[Obs. X]]-_xlfn.XLOOKUP(Readings[[#This Row],[Sensor ID]],Table_Baseline[Sensor ID],Table_Baseline[Easting '[m']],"-")),"-")</f>
        <v>0</v>
      </c>
      <c r="P857" s="93">
        <f>IFERROR(IF(Readings[[#This Row],[Obs. Y]]="","-",Readings[[#This Row],[Obs. Y]]-_xlfn.XLOOKUP(Readings[[#This Row],[Sensor ID]],Table_Baseline[Sensor ID],Table_Baseline[Northing '[m']],"-")),"-")</f>
        <v>3.0000000260770321E-3</v>
      </c>
      <c r="Q857" s="93">
        <f>IFERROR(IF(Readings[[#This Row],[Obs. Z]]="","-",Readings[[#This Row],[Obs. Z]]-_xlfn.XLOOKUP(Readings[[#This Row],[Sensor ID]],Table_Baseline[Sensor ID],Table_Baseline[Level '[m']],"-")),"-")</f>
        <v>-9.9999999999766942E-5</v>
      </c>
      <c r="R857" s="93">
        <f>IFERROR(IF(Readings[[#This Row],[Reference Angle]]="-","-",(Readings[[#This Row],[Diff E]]*COS(RADIANS(Readings[[#This Row],[Reference Angle]]))-Readings[[#This Row],[Diff N]]*SIN(RADIANS(Readings[[#This Row],[Reference Angle]])))),"-")</f>
        <v>0</v>
      </c>
      <c r="S857" s="93">
        <f>IFERROR(IF(Readings[[#This Row],[Reference Angle]]="-","-",(Readings[[#This Row],[Diff E]]*SIN(RADIANS(Readings[[#This Row],[Reference Angle]]))+Readings[[#This Row],[Diff N]]*COS(RADIANS(Readings[[#This Row],[Reference Angle]])))),"-")</f>
        <v>3.0000000260770321E-3</v>
      </c>
      <c r="T857" s="94">
        <f>IFERROR(VLOOKUP(Readings[[#This Row],[Sensor ID]],Table_Baseline[],COLUMNS(Table_Baseline[[#Headers],[Sensor ID]:[Reference Angle '[Deg']]]),FALSE),"-")</f>
        <v>0</v>
      </c>
      <c r="U857" s="95" t="str">
        <f>Readings[[#This Row],[Sensor ID]]&amp;"-"&amp;Readings[[#This Row],[Epoch]]</f>
        <v>250-RL-OP-11012-45827.2847222222</v>
      </c>
      <c r="V857" s="99">
        <f ca="1">IF(Readings[[#This Row],[Epoch]]=OFFSET(Readings[[#This Row],[Epoch]],-1,0),0,1)</f>
        <v>0</v>
      </c>
    </row>
    <row r="858" spans="4:22" x14ac:dyDescent="0.2">
      <c r="D858" s="32">
        <v>45827.284722222219</v>
      </c>
      <c r="E858" s="33" t="s">
        <v>184</v>
      </c>
      <c r="F858" s="34">
        <v>60052.292999999998</v>
      </c>
      <c r="G858" s="34">
        <v>363840.88800000004</v>
      </c>
      <c r="H858" s="34">
        <v>18.777999999999999</v>
      </c>
      <c r="I858" s="33" t="s">
        <v>85</v>
      </c>
      <c r="J858" s="151" t="s">
        <v>90</v>
      </c>
      <c r="K858" s="33">
        <v>11.7</v>
      </c>
      <c r="L858" s="33">
        <v>1024</v>
      </c>
      <c r="M858" s="33">
        <v>85</v>
      </c>
      <c r="N858" s="33"/>
      <c r="O858" s="93">
        <f>IFERROR(IF(Readings[[#This Row],[Obs. X]]="","-",Readings[[#This Row],[Obs. X]]-_xlfn.XLOOKUP(Readings[[#This Row],[Sensor ID]],Table_Baseline[Sensor ID],Table_Baseline[Easting '[m']],"-")),"-")</f>
        <v>0</v>
      </c>
      <c r="P858" s="93">
        <f>IFERROR(IF(Readings[[#This Row],[Obs. Y]]="","-",Readings[[#This Row],[Obs. Y]]-_xlfn.XLOOKUP(Readings[[#This Row],[Sensor ID]],Table_Baseline[Sensor ID],Table_Baseline[Northing '[m']],"-")),"-")</f>
        <v>3.0000000260770321E-3</v>
      </c>
      <c r="Q858" s="93">
        <f>IFERROR(IF(Readings[[#This Row],[Obs. Z]]="","-",Readings[[#This Row],[Obs. Z]]-_xlfn.XLOOKUP(Readings[[#This Row],[Sensor ID]],Table_Baseline[Sensor ID],Table_Baseline[Level '[m']],"-")),"-")</f>
        <v>-1.0000000000012221E-3</v>
      </c>
      <c r="R858" s="93">
        <f>IFERROR(IF(Readings[[#This Row],[Reference Angle]]="-","-",(Readings[[#This Row],[Diff E]]*COS(RADIANS(Readings[[#This Row],[Reference Angle]]))-Readings[[#This Row],[Diff N]]*SIN(RADIANS(Readings[[#This Row],[Reference Angle]])))),"-")</f>
        <v>0</v>
      </c>
      <c r="S858" s="93">
        <f>IFERROR(IF(Readings[[#This Row],[Reference Angle]]="-","-",(Readings[[#This Row],[Diff E]]*SIN(RADIANS(Readings[[#This Row],[Reference Angle]]))+Readings[[#This Row],[Diff N]]*COS(RADIANS(Readings[[#This Row],[Reference Angle]])))),"-")</f>
        <v>3.0000000260770321E-3</v>
      </c>
      <c r="T858" s="94">
        <f>IFERROR(VLOOKUP(Readings[[#This Row],[Sensor ID]],Table_Baseline[],COLUMNS(Table_Baseline[[#Headers],[Sensor ID]:[Reference Angle '[Deg']]]),FALSE),"-")</f>
        <v>0</v>
      </c>
      <c r="U858" s="95" t="str">
        <f>Readings[[#This Row],[Sensor ID]]&amp;"-"&amp;Readings[[#This Row],[Epoch]]</f>
        <v>250-RL-OP-11013-45827.2847222222</v>
      </c>
      <c r="V858" s="99">
        <f ca="1">IF(Readings[[#This Row],[Epoch]]=OFFSET(Readings[[#This Row],[Epoch]],-1,0),0,1)</f>
        <v>0</v>
      </c>
    </row>
    <row r="859" spans="4:22" x14ac:dyDescent="0.2">
      <c r="D859" s="32">
        <v>45827.284722222219</v>
      </c>
      <c r="E859" s="33" t="s">
        <v>183</v>
      </c>
      <c r="F859" s="34">
        <v>60051.989000000001</v>
      </c>
      <c r="G859" s="34">
        <v>363839.60699999996</v>
      </c>
      <c r="H859" s="34">
        <v>18.768999999999998</v>
      </c>
      <c r="I859" s="33" t="s">
        <v>85</v>
      </c>
      <c r="J859" s="151" t="s">
        <v>90</v>
      </c>
      <c r="K859" s="33">
        <v>11.7</v>
      </c>
      <c r="L859" s="33">
        <v>1024</v>
      </c>
      <c r="M859" s="33">
        <v>85</v>
      </c>
      <c r="N859" s="33"/>
      <c r="O859" s="93">
        <f>IFERROR(IF(Readings[[#This Row],[Obs. X]]="","-",Readings[[#This Row],[Obs. X]]-_xlfn.XLOOKUP(Readings[[#This Row],[Sensor ID]],Table_Baseline[Sensor ID],Table_Baseline[Easting '[m']],"-")),"-")</f>
        <v>0</v>
      </c>
      <c r="P859" s="93">
        <f>IFERROR(IF(Readings[[#This Row],[Obs. Y]]="","-",Readings[[#This Row],[Obs. Y]]-_xlfn.XLOOKUP(Readings[[#This Row],[Sensor ID]],Table_Baseline[Sensor ID],Table_Baseline[Northing '[m']],"-")),"-")</f>
        <v>3.9999999571591616E-3</v>
      </c>
      <c r="Q859" s="93">
        <f>IFERROR(IF(Readings[[#This Row],[Obs. Z]]="","-",Readings[[#This Row],[Obs. Z]]-_xlfn.XLOOKUP(Readings[[#This Row],[Sensor ID]],Table_Baseline[Sensor ID],Table_Baseline[Level '[m']],"-")),"-")</f>
        <v>-1.1000000000009891E-3</v>
      </c>
      <c r="R859" s="93">
        <f>IFERROR(IF(Readings[[#This Row],[Reference Angle]]="-","-",(Readings[[#This Row],[Diff E]]*COS(RADIANS(Readings[[#This Row],[Reference Angle]]))-Readings[[#This Row],[Diff N]]*SIN(RADIANS(Readings[[#This Row],[Reference Angle]])))),"-")</f>
        <v>0</v>
      </c>
      <c r="S859" s="93">
        <f>IFERROR(IF(Readings[[#This Row],[Reference Angle]]="-","-",(Readings[[#This Row],[Diff E]]*SIN(RADIANS(Readings[[#This Row],[Reference Angle]]))+Readings[[#This Row],[Diff N]]*COS(RADIANS(Readings[[#This Row],[Reference Angle]])))),"-")</f>
        <v>3.9999999571591616E-3</v>
      </c>
      <c r="T859" s="94">
        <f>IFERROR(VLOOKUP(Readings[[#This Row],[Sensor ID]],Table_Baseline[],COLUMNS(Table_Baseline[[#Headers],[Sensor ID]:[Reference Angle '[Deg']]]),FALSE),"-")</f>
        <v>0</v>
      </c>
      <c r="U859" s="95" t="str">
        <f>Readings[[#This Row],[Sensor ID]]&amp;"-"&amp;Readings[[#This Row],[Epoch]]</f>
        <v>250-RL-OP-11014-45827.2847222222</v>
      </c>
      <c r="V859" s="99">
        <f ca="1">IF(Readings[[#This Row],[Epoch]]=OFFSET(Readings[[#This Row],[Epoch]],-1,0),0,1)</f>
        <v>0</v>
      </c>
    </row>
    <row r="860" spans="4:22" x14ac:dyDescent="0.2">
      <c r="D860" s="32">
        <v>45827.284722222219</v>
      </c>
      <c r="E860" s="33" t="s">
        <v>186</v>
      </c>
      <c r="F860" s="34">
        <v>60055.196000000004</v>
      </c>
      <c r="G860" s="34">
        <v>363840.098</v>
      </c>
      <c r="H860" s="34">
        <v>18.78</v>
      </c>
      <c r="I860" s="33" t="s">
        <v>85</v>
      </c>
      <c r="J860" s="151" t="s">
        <v>90</v>
      </c>
      <c r="K860" s="33">
        <v>11.7</v>
      </c>
      <c r="L860" s="33">
        <v>1024</v>
      </c>
      <c r="M860" s="33">
        <v>85</v>
      </c>
      <c r="N860" s="33"/>
      <c r="O860" s="93">
        <f>IFERROR(IF(Readings[[#This Row],[Obs. X]]="","-",Readings[[#This Row],[Obs. X]]-_xlfn.XLOOKUP(Readings[[#This Row],[Sensor ID]],Table_Baseline[Sensor ID],Table_Baseline[Easting '[m']],"-")),"-")</f>
        <v>0</v>
      </c>
      <c r="P860" s="93">
        <f>IFERROR(IF(Readings[[#This Row],[Obs. Y]]="","-",Readings[[#This Row],[Obs. Y]]-_xlfn.XLOOKUP(Readings[[#This Row],[Sensor ID]],Table_Baseline[Sensor ID],Table_Baseline[Northing '[m']],"-")),"-")</f>
        <v>3.0000000260770321E-3</v>
      </c>
      <c r="Q860" s="93">
        <f>IFERROR(IF(Readings[[#This Row],[Obs. Z]]="","-",Readings[[#This Row],[Obs. Z]]-_xlfn.XLOOKUP(Readings[[#This Row],[Sensor ID]],Table_Baseline[Sensor ID],Table_Baseline[Level '[m']],"-")),"-")</f>
        <v>-8.9999999999790248E-4</v>
      </c>
      <c r="R860" s="93">
        <f>IFERROR(IF(Readings[[#This Row],[Reference Angle]]="-","-",(Readings[[#This Row],[Diff E]]*COS(RADIANS(Readings[[#This Row],[Reference Angle]]))-Readings[[#This Row],[Diff N]]*SIN(RADIANS(Readings[[#This Row],[Reference Angle]])))),"-")</f>
        <v>0</v>
      </c>
      <c r="S860" s="93">
        <f>IFERROR(IF(Readings[[#This Row],[Reference Angle]]="-","-",(Readings[[#This Row],[Diff E]]*SIN(RADIANS(Readings[[#This Row],[Reference Angle]]))+Readings[[#This Row],[Diff N]]*COS(RADIANS(Readings[[#This Row],[Reference Angle]])))),"-")</f>
        <v>3.0000000260770321E-3</v>
      </c>
      <c r="T860" s="94">
        <f>IFERROR(VLOOKUP(Readings[[#This Row],[Sensor ID]],Table_Baseline[],COLUMNS(Table_Baseline[[#Headers],[Sensor ID]:[Reference Angle '[Deg']]]),FALSE),"-")</f>
        <v>0</v>
      </c>
      <c r="U860" s="95" t="str">
        <f>Readings[[#This Row],[Sensor ID]]&amp;"-"&amp;Readings[[#This Row],[Epoch]]</f>
        <v>250-RL-OP-11015-45827.2847222222</v>
      </c>
      <c r="V860" s="99">
        <f ca="1">IF(Readings[[#This Row],[Epoch]]=OFFSET(Readings[[#This Row],[Epoch]],-1,0),0,1)</f>
        <v>0</v>
      </c>
    </row>
    <row r="861" spans="4:22" x14ac:dyDescent="0.2">
      <c r="D861" s="32">
        <v>45827.284722222219</v>
      </c>
      <c r="E861" s="33" t="s">
        <v>185</v>
      </c>
      <c r="F861" s="34">
        <v>60054.885000000002</v>
      </c>
      <c r="G861" s="34">
        <v>363838.80900000001</v>
      </c>
      <c r="H861" s="34">
        <v>18.771999999999998</v>
      </c>
      <c r="I861" s="33" t="s">
        <v>85</v>
      </c>
      <c r="J861" s="151" t="s">
        <v>90</v>
      </c>
      <c r="K861" s="33">
        <v>11.7</v>
      </c>
      <c r="L861" s="33">
        <v>1024</v>
      </c>
      <c r="M861" s="33">
        <v>85</v>
      </c>
      <c r="N861" s="33"/>
      <c r="O861" s="93">
        <f>IFERROR(IF(Readings[[#This Row],[Obs. X]]="","-",Readings[[#This Row],[Obs. X]]-_xlfn.XLOOKUP(Readings[[#This Row],[Sensor ID]],Table_Baseline[Sensor ID],Table_Baseline[Easting '[m']],"-")),"-")</f>
        <v>-9.9999999656574801E-4</v>
      </c>
      <c r="P861" s="93">
        <f>IFERROR(IF(Readings[[#This Row],[Obs. Y]]="","-",Readings[[#This Row],[Obs. Y]]-_xlfn.XLOOKUP(Readings[[#This Row],[Sensor ID]],Table_Baseline[Sensor ID],Table_Baseline[Northing '[m']],"-")),"-")</f>
        <v>4.0000000153668225E-3</v>
      </c>
      <c r="Q861" s="93">
        <f>IFERROR(IF(Readings[[#This Row],[Obs. Z]]="","-",Readings[[#This Row],[Obs. Z]]-_xlfn.XLOOKUP(Readings[[#This Row],[Sensor ID]],Table_Baseline[Sensor ID],Table_Baseline[Level '[m']],"-")),"-")</f>
        <v>-1.1000000000009891E-3</v>
      </c>
      <c r="R861" s="93">
        <f>IFERROR(IF(Readings[[#This Row],[Reference Angle]]="-","-",(Readings[[#This Row],[Diff E]]*COS(RADIANS(Readings[[#This Row],[Reference Angle]]))-Readings[[#This Row],[Diff N]]*SIN(RADIANS(Readings[[#This Row],[Reference Angle]])))),"-")</f>
        <v>-9.9999999656574801E-4</v>
      </c>
      <c r="S861" s="93">
        <f>IFERROR(IF(Readings[[#This Row],[Reference Angle]]="-","-",(Readings[[#This Row],[Diff E]]*SIN(RADIANS(Readings[[#This Row],[Reference Angle]]))+Readings[[#This Row],[Diff N]]*COS(RADIANS(Readings[[#This Row],[Reference Angle]])))),"-")</f>
        <v>4.0000000153668225E-3</v>
      </c>
      <c r="T861" s="94">
        <f>IFERROR(VLOOKUP(Readings[[#This Row],[Sensor ID]],Table_Baseline[],COLUMNS(Table_Baseline[[#Headers],[Sensor ID]:[Reference Angle '[Deg']]]),FALSE),"-")</f>
        <v>0</v>
      </c>
      <c r="U861" s="95" t="str">
        <f>Readings[[#This Row],[Sensor ID]]&amp;"-"&amp;Readings[[#This Row],[Epoch]]</f>
        <v>250-RL-OP-11016-45827.2847222222</v>
      </c>
      <c r="V861" s="99">
        <f ca="1">IF(Readings[[#This Row],[Epoch]]=OFFSET(Readings[[#This Row],[Epoch]],-1,0),0,1)</f>
        <v>0</v>
      </c>
    </row>
    <row r="862" spans="4:22" x14ac:dyDescent="0.2">
      <c r="D862" s="32">
        <v>45827.284722222219</v>
      </c>
      <c r="E862" s="33" t="s">
        <v>188</v>
      </c>
      <c r="F862" s="34">
        <v>60057.951999999997</v>
      </c>
      <c r="G862" s="34">
        <v>363839.36699999997</v>
      </c>
      <c r="H862" s="34">
        <v>18.785</v>
      </c>
      <c r="I862" s="33" t="s">
        <v>85</v>
      </c>
      <c r="J862" s="151" t="s">
        <v>90</v>
      </c>
      <c r="K862" s="33">
        <v>11.7</v>
      </c>
      <c r="L862" s="33">
        <v>1024</v>
      </c>
      <c r="M862" s="33">
        <v>85</v>
      </c>
      <c r="N862" s="33"/>
      <c r="O862" s="93">
        <f>IFERROR(IF(Readings[[#This Row],[Obs. X]]="","-",Readings[[#This Row],[Obs. X]]-_xlfn.XLOOKUP(Readings[[#This Row],[Sensor ID]],Table_Baseline[Sensor ID],Table_Baseline[Easting '[m']],"-")),"-")</f>
        <v>0</v>
      </c>
      <c r="P862" s="93">
        <f>IFERROR(IF(Readings[[#This Row],[Obs. Y]]="","-",Readings[[#This Row],[Obs. Y]]-_xlfn.XLOOKUP(Readings[[#This Row],[Sensor ID]],Table_Baseline[Sensor ID],Table_Baseline[Northing '[m']],"-")),"-")</f>
        <v>5.0000000046566129E-3</v>
      </c>
      <c r="Q862" s="93">
        <f>IFERROR(IF(Readings[[#This Row],[Obs. Z]]="","-",Readings[[#This Row],[Obs. Z]]-_xlfn.XLOOKUP(Readings[[#This Row],[Sensor ID]],Table_Baseline[Sensor ID],Table_Baseline[Level '[m']],"-")),"-")</f>
        <v>-1.0000000000012221E-3</v>
      </c>
      <c r="R862" s="93">
        <f>IFERROR(IF(Readings[[#This Row],[Reference Angle]]="-","-",(Readings[[#This Row],[Diff E]]*COS(RADIANS(Readings[[#This Row],[Reference Angle]]))-Readings[[#This Row],[Diff N]]*SIN(RADIANS(Readings[[#This Row],[Reference Angle]])))),"-")</f>
        <v>0</v>
      </c>
      <c r="S862" s="93">
        <f>IFERROR(IF(Readings[[#This Row],[Reference Angle]]="-","-",(Readings[[#This Row],[Diff E]]*SIN(RADIANS(Readings[[#This Row],[Reference Angle]]))+Readings[[#This Row],[Diff N]]*COS(RADIANS(Readings[[#This Row],[Reference Angle]])))),"-")</f>
        <v>5.0000000046566129E-3</v>
      </c>
      <c r="T862" s="94">
        <f>IFERROR(VLOOKUP(Readings[[#This Row],[Sensor ID]],Table_Baseline[],COLUMNS(Table_Baseline[[#Headers],[Sensor ID]:[Reference Angle '[Deg']]]),FALSE),"-")</f>
        <v>0</v>
      </c>
      <c r="U862" s="95" t="str">
        <f>Readings[[#This Row],[Sensor ID]]&amp;"-"&amp;Readings[[#This Row],[Epoch]]</f>
        <v>250-RL-OP-11017-45827.2847222222</v>
      </c>
      <c r="V862" s="99">
        <f ca="1">IF(Readings[[#This Row],[Epoch]]=OFFSET(Readings[[#This Row],[Epoch]],-1,0),0,1)</f>
        <v>0</v>
      </c>
    </row>
    <row r="863" spans="4:22" x14ac:dyDescent="0.2">
      <c r="D863" s="32">
        <v>45827.284722222219</v>
      </c>
      <c r="E863" s="33" t="s">
        <v>187</v>
      </c>
      <c r="F863" s="34">
        <v>60057.578999999998</v>
      </c>
      <c r="G863" s="34">
        <v>363838.103</v>
      </c>
      <c r="H863" s="34">
        <v>18.774999999999999</v>
      </c>
      <c r="I863" s="33" t="s">
        <v>85</v>
      </c>
      <c r="J863" s="151" t="s">
        <v>90</v>
      </c>
      <c r="K863" s="33">
        <v>11.7</v>
      </c>
      <c r="L863" s="33">
        <v>1024</v>
      </c>
      <c r="M863" s="33">
        <v>85</v>
      </c>
      <c r="N863" s="33"/>
      <c r="O863" s="93">
        <f>IFERROR(IF(Readings[[#This Row],[Obs. X]]="","-",Readings[[#This Row],[Obs. X]]-_xlfn.XLOOKUP(Readings[[#This Row],[Sensor ID]],Table_Baseline[Sensor ID],Table_Baseline[Easting '[m']],"-")),"-")</f>
        <v>0</v>
      </c>
      <c r="P863" s="93">
        <f>IFERROR(IF(Readings[[#This Row],[Obs. Y]]="","-",Readings[[#This Row],[Obs. Y]]-_xlfn.XLOOKUP(Readings[[#This Row],[Sensor ID]],Table_Baseline[Sensor ID],Table_Baseline[Northing '[m']],"-")),"-")</f>
        <v>5.0000000046566129E-3</v>
      </c>
      <c r="Q863" s="93">
        <f>IFERROR(IF(Readings[[#This Row],[Obs. Z]]="","-",Readings[[#This Row],[Obs. Z]]-_xlfn.XLOOKUP(Readings[[#This Row],[Sensor ID]],Table_Baseline[Sensor ID],Table_Baseline[Level '[m']],"-")),"-")</f>
        <v>-1.0000000000012221E-3</v>
      </c>
      <c r="R863" s="93">
        <f>IFERROR(IF(Readings[[#This Row],[Reference Angle]]="-","-",(Readings[[#This Row],[Diff E]]*COS(RADIANS(Readings[[#This Row],[Reference Angle]]))-Readings[[#This Row],[Diff N]]*SIN(RADIANS(Readings[[#This Row],[Reference Angle]])))),"-")</f>
        <v>0</v>
      </c>
      <c r="S863" s="93">
        <f>IFERROR(IF(Readings[[#This Row],[Reference Angle]]="-","-",(Readings[[#This Row],[Diff E]]*SIN(RADIANS(Readings[[#This Row],[Reference Angle]]))+Readings[[#This Row],[Diff N]]*COS(RADIANS(Readings[[#This Row],[Reference Angle]])))),"-")</f>
        <v>5.0000000046566129E-3</v>
      </c>
      <c r="T863" s="94">
        <f>IFERROR(VLOOKUP(Readings[[#This Row],[Sensor ID]],Table_Baseline[],COLUMNS(Table_Baseline[[#Headers],[Sensor ID]:[Reference Angle '[Deg']]]),FALSE),"-")</f>
        <v>0</v>
      </c>
      <c r="U863" s="95" t="str">
        <f>Readings[[#This Row],[Sensor ID]]&amp;"-"&amp;Readings[[#This Row],[Epoch]]</f>
        <v>250-RL-OP-11018-45827.2847222222</v>
      </c>
      <c r="V863" s="99">
        <f ca="1">IF(Readings[[#This Row],[Epoch]]=OFFSET(Readings[[#This Row],[Epoch]],-1,0),0,1)</f>
        <v>0</v>
      </c>
    </row>
    <row r="864" spans="4:22" x14ac:dyDescent="0.2">
      <c r="D864" s="32">
        <v>45827.284722222219</v>
      </c>
      <c r="E864" s="33" t="s">
        <v>190</v>
      </c>
      <c r="F864" s="34">
        <v>60060.963000000003</v>
      </c>
      <c r="G864" s="34">
        <v>363838.60499999998</v>
      </c>
      <c r="H864" s="34">
        <v>18.792999999999999</v>
      </c>
      <c r="I864" s="33" t="s">
        <v>85</v>
      </c>
      <c r="J864" s="151" t="s">
        <v>90</v>
      </c>
      <c r="K864" s="33">
        <v>11.7</v>
      </c>
      <c r="L864" s="33">
        <v>1024</v>
      </c>
      <c r="M864" s="33">
        <v>85</v>
      </c>
      <c r="N864" s="33"/>
      <c r="O864" s="93">
        <f>IFERROR(IF(Readings[[#This Row],[Obs. X]]="","-",Readings[[#This Row],[Obs. X]]-_xlfn.XLOOKUP(Readings[[#This Row],[Sensor ID]],Table_Baseline[Sensor ID],Table_Baseline[Easting '[m']],"-")),"-")</f>
        <v>0</v>
      </c>
      <c r="P864" s="93">
        <f>IFERROR(IF(Readings[[#This Row],[Obs. Y]]="","-",Readings[[#This Row],[Obs. Y]]-_xlfn.XLOOKUP(Readings[[#This Row],[Sensor ID]],Table_Baseline[Sensor ID],Table_Baseline[Northing '[m']],"-")),"-")</f>
        <v>3.9999999571591616E-3</v>
      </c>
      <c r="Q864" s="93">
        <f>IFERROR(IF(Readings[[#This Row],[Obs. Z]]="","-",Readings[[#This Row],[Obs. Z]]-_xlfn.XLOOKUP(Readings[[#This Row],[Sensor ID]],Table_Baseline[Sensor ID],Table_Baseline[Level '[m']],"-")),"-")</f>
        <v>-1.5999999999998238E-3</v>
      </c>
      <c r="R864" s="93">
        <f>IFERROR(IF(Readings[[#This Row],[Reference Angle]]="-","-",(Readings[[#This Row],[Diff E]]*COS(RADIANS(Readings[[#This Row],[Reference Angle]]))-Readings[[#This Row],[Diff N]]*SIN(RADIANS(Readings[[#This Row],[Reference Angle]])))),"-")</f>
        <v>0</v>
      </c>
      <c r="S864" s="93">
        <f>IFERROR(IF(Readings[[#This Row],[Reference Angle]]="-","-",(Readings[[#This Row],[Diff E]]*SIN(RADIANS(Readings[[#This Row],[Reference Angle]]))+Readings[[#This Row],[Diff N]]*COS(RADIANS(Readings[[#This Row],[Reference Angle]])))),"-")</f>
        <v>3.9999999571591616E-3</v>
      </c>
      <c r="T864" s="94">
        <f>IFERROR(VLOOKUP(Readings[[#This Row],[Sensor ID]],Table_Baseline[],COLUMNS(Table_Baseline[[#Headers],[Sensor ID]:[Reference Angle '[Deg']]]),FALSE),"-")</f>
        <v>0</v>
      </c>
      <c r="U864" s="95" t="str">
        <f>Readings[[#This Row],[Sensor ID]]&amp;"-"&amp;Readings[[#This Row],[Epoch]]</f>
        <v>250-RL-OP-11019-45827.2847222222</v>
      </c>
      <c r="V864" s="99">
        <f ca="1">IF(Readings[[#This Row],[Epoch]]=OFFSET(Readings[[#This Row],[Epoch]],-1,0),0,1)</f>
        <v>0</v>
      </c>
    </row>
    <row r="865" spans="4:22" x14ac:dyDescent="0.2">
      <c r="D865" s="32">
        <v>45827.284722222219</v>
      </c>
      <c r="E865" s="33" t="s">
        <v>189</v>
      </c>
      <c r="F865" s="34">
        <v>60060.639999999999</v>
      </c>
      <c r="G865" s="34">
        <v>363837.32699999999</v>
      </c>
      <c r="H865" s="34">
        <v>18.782</v>
      </c>
      <c r="I865" s="33" t="s">
        <v>85</v>
      </c>
      <c r="J865" s="151" t="s">
        <v>90</v>
      </c>
      <c r="K865" s="33">
        <v>11.7</v>
      </c>
      <c r="L865" s="33">
        <v>1024</v>
      </c>
      <c r="M865" s="33">
        <v>85</v>
      </c>
      <c r="N865" s="33"/>
      <c r="O865" s="93">
        <f>IFERROR(IF(Readings[[#This Row],[Obs. X]]="","-",Readings[[#This Row],[Obs. X]]-_xlfn.XLOOKUP(Readings[[#This Row],[Sensor ID]],Table_Baseline[Sensor ID],Table_Baseline[Easting '[m']],"-")),"-")</f>
        <v>0</v>
      </c>
      <c r="P865" s="93">
        <f>IFERROR(IF(Readings[[#This Row],[Obs. Y]]="","-",Readings[[#This Row],[Obs. Y]]-_xlfn.XLOOKUP(Readings[[#This Row],[Sensor ID]],Table_Baseline[Sensor ID],Table_Baseline[Northing '[m']],"-")),"-")</f>
        <v>5.0000000046566129E-3</v>
      </c>
      <c r="Q865" s="93">
        <f>IFERROR(IF(Readings[[#This Row],[Obs. Z]]="","-",Readings[[#This Row],[Obs. Z]]-_xlfn.XLOOKUP(Readings[[#This Row],[Sensor ID]],Table_Baseline[Sensor ID],Table_Baseline[Level '[m']],"-")),"-")</f>
        <v>-1.5999999999998238E-3</v>
      </c>
      <c r="R865" s="93">
        <f>IFERROR(IF(Readings[[#This Row],[Reference Angle]]="-","-",(Readings[[#This Row],[Diff E]]*COS(RADIANS(Readings[[#This Row],[Reference Angle]]))-Readings[[#This Row],[Diff N]]*SIN(RADIANS(Readings[[#This Row],[Reference Angle]])))),"-")</f>
        <v>0</v>
      </c>
      <c r="S865" s="93">
        <f>IFERROR(IF(Readings[[#This Row],[Reference Angle]]="-","-",(Readings[[#This Row],[Diff E]]*SIN(RADIANS(Readings[[#This Row],[Reference Angle]]))+Readings[[#This Row],[Diff N]]*COS(RADIANS(Readings[[#This Row],[Reference Angle]])))),"-")</f>
        <v>5.0000000046566129E-3</v>
      </c>
      <c r="T865" s="94">
        <f>IFERROR(VLOOKUP(Readings[[#This Row],[Sensor ID]],Table_Baseline[],COLUMNS(Table_Baseline[[#Headers],[Sensor ID]:[Reference Angle '[Deg']]]),FALSE),"-")</f>
        <v>0</v>
      </c>
      <c r="U865" s="95" t="str">
        <f>Readings[[#This Row],[Sensor ID]]&amp;"-"&amp;Readings[[#This Row],[Epoch]]</f>
        <v>250-RL-OP-11020-45827.2847222222</v>
      </c>
      <c r="V865" s="99">
        <f ca="1">IF(Readings[[#This Row],[Epoch]]=OFFSET(Readings[[#This Row],[Epoch]],-1,0),0,1)</f>
        <v>0</v>
      </c>
    </row>
    <row r="866" spans="4:22" x14ac:dyDescent="0.2">
      <c r="D866" s="32">
        <v>45827.284722222219</v>
      </c>
      <c r="E866" s="33" t="s">
        <v>192</v>
      </c>
      <c r="F866" s="34">
        <v>60063.75</v>
      </c>
      <c r="G866" s="34">
        <v>363837.92200000002</v>
      </c>
      <c r="H866" s="34">
        <v>18.808</v>
      </c>
      <c r="I866" s="33" t="s">
        <v>85</v>
      </c>
      <c r="J866" s="151" t="s">
        <v>90</v>
      </c>
      <c r="K866" s="33">
        <v>11.7</v>
      </c>
      <c r="L866" s="33">
        <v>1024</v>
      </c>
      <c r="M866" s="33">
        <v>85</v>
      </c>
      <c r="N866" s="33"/>
      <c r="O866" s="93">
        <f>IFERROR(IF(Readings[[#This Row],[Obs. X]]="","-",Readings[[#This Row],[Obs. X]]-_xlfn.XLOOKUP(Readings[[#This Row],[Sensor ID]],Table_Baseline[Sensor ID],Table_Baseline[Easting '[m']],"-")),"-")</f>
        <v>-9.9999999656574801E-4</v>
      </c>
      <c r="P866" s="93">
        <f>IFERROR(IF(Readings[[#This Row],[Obs. Y]]="","-",Readings[[#This Row],[Obs. Y]]-_xlfn.XLOOKUP(Readings[[#This Row],[Sensor ID]],Table_Baseline[Sensor ID],Table_Baseline[Northing '[m']],"-")),"-")</f>
        <v>4.0000000153668225E-3</v>
      </c>
      <c r="Q866" s="93">
        <f>IFERROR(IF(Readings[[#This Row],[Obs. Z]]="","-",Readings[[#This Row],[Obs. Z]]-_xlfn.XLOOKUP(Readings[[#This Row],[Sensor ID]],Table_Baseline[Sensor ID],Table_Baseline[Level '[m']],"-")),"-")</f>
        <v>-1.0000000000012221E-3</v>
      </c>
      <c r="R866" s="93">
        <f>IFERROR(IF(Readings[[#This Row],[Reference Angle]]="-","-",(Readings[[#This Row],[Diff E]]*COS(RADIANS(Readings[[#This Row],[Reference Angle]]))-Readings[[#This Row],[Diff N]]*SIN(RADIANS(Readings[[#This Row],[Reference Angle]])))),"-")</f>
        <v>-9.9999999656574801E-4</v>
      </c>
      <c r="S866" s="93">
        <f>IFERROR(IF(Readings[[#This Row],[Reference Angle]]="-","-",(Readings[[#This Row],[Diff E]]*SIN(RADIANS(Readings[[#This Row],[Reference Angle]]))+Readings[[#This Row],[Diff N]]*COS(RADIANS(Readings[[#This Row],[Reference Angle]])))),"-")</f>
        <v>4.0000000153668225E-3</v>
      </c>
      <c r="T866" s="94">
        <f>IFERROR(VLOOKUP(Readings[[#This Row],[Sensor ID]],Table_Baseline[],COLUMNS(Table_Baseline[[#Headers],[Sensor ID]:[Reference Angle '[Deg']]]),FALSE),"-")</f>
        <v>0</v>
      </c>
      <c r="U866" s="95" t="str">
        <f>Readings[[#This Row],[Sensor ID]]&amp;"-"&amp;Readings[[#This Row],[Epoch]]</f>
        <v>250-RL-OP-11021-45827.2847222222</v>
      </c>
      <c r="V866" s="99">
        <f ca="1">IF(Readings[[#This Row],[Epoch]]=OFFSET(Readings[[#This Row],[Epoch]],-1,0),0,1)</f>
        <v>0</v>
      </c>
    </row>
    <row r="867" spans="4:22" x14ac:dyDescent="0.2">
      <c r="D867" s="32">
        <v>45827.284722222219</v>
      </c>
      <c r="E867" s="151" t="s">
        <v>191</v>
      </c>
      <c r="F867" s="152">
        <v>60063.421000000002</v>
      </c>
      <c r="G867" s="152">
        <v>363836.641</v>
      </c>
      <c r="H867" s="152">
        <v>18.792999999999999</v>
      </c>
      <c r="I867" s="33" t="s">
        <v>85</v>
      </c>
      <c r="J867" s="151" t="s">
        <v>90</v>
      </c>
      <c r="K867" s="33">
        <v>11.7</v>
      </c>
      <c r="L867" s="33">
        <v>1024</v>
      </c>
      <c r="M867" s="33">
        <v>85</v>
      </c>
      <c r="N867" s="151"/>
      <c r="O867" s="96">
        <f>IFERROR(IF(Readings[[#This Row],[Obs. X]]="","-",Readings[[#This Row],[Obs. X]]-_xlfn.XLOOKUP(Readings[[#This Row],[Sensor ID]],Table_Baseline[Sensor ID],Table_Baseline[Easting '[m']],"-")),"-")</f>
        <v>-9.9999999656574801E-4</v>
      </c>
      <c r="P867" s="96">
        <f>IFERROR(IF(Readings[[#This Row],[Obs. Y]]="","-",Readings[[#This Row],[Obs. Y]]-_xlfn.XLOOKUP(Readings[[#This Row],[Sensor ID]],Table_Baseline[Sensor ID],Table_Baseline[Northing '[m']],"-")),"-")</f>
        <v>5.0000000046566129E-3</v>
      </c>
      <c r="Q867" s="96">
        <f>IFERROR(IF(Readings[[#This Row],[Obs. Z]]="","-",Readings[[#This Row],[Obs. Z]]-_xlfn.XLOOKUP(Readings[[#This Row],[Sensor ID]],Table_Baseline[Sensor ID],Table_Baseline[Level '[m']],"-")),"-")</f>
        <v>-1.8999999999991246E-3</v>
      </c>
      <c r="R867" s="96">
        <f>IFERROR(IF(Readings[[#This Row],[Reference Angle]]="-","-",(Readings[[#This Row],[Diff E]]*COS(RADIANS(Readings[[#This Row],[Reference Angle]]))-Readings[[#This Row],[Diff N]]*SIN(RADIANS(Readings[[#This Row],[Reference Angle]])))),"-")</f>
        <v>-9.9999999656574801E-4</v>
      </c>
      <c r="S867" s="96">
        <f>IFERROR(IF(Readings[[#This Row],[Reference Angle]]="-","-",(Readings[[#This Row],[Diff E]]*SIN(RADIANS(Readings[[#This Row],[Reference Angle]]))+Readings[[#This Row],[Diff N]]*COS(RADIANS(Readings[[#This Row],[Reference Angle]])))),"-")</f>
        <v>5.0000000046566129E-3</v>
      </c>
      <c r="T867" s="97">
        <f>IFERROR(VLOOKUP(Readings[[#This Row],[Sensor ID]],Table_Baseline[],COLUMNS(Table_Baseline[[#Headers],[Sensor ID]:[Reference Angle '[Deg']]]),FALSE),"-")</f>
        <v>0</v>
      </c>
      <c r="U867" s="98" t="str">
        <f>Readings[[#This Row],[Sensor ID]]&amp;"-"&amp;Readings[[#This Row],[Epoch]]</f>
        <v>250-RL-OP-11022-45827.2847222222</v>
      </c>
      <c r="V867" s="100">
        <f ca="1">IF(Readings[[#This Row],[Epoch]]=OFFSET(Readings[[#This Row],[Epoch]],-1,0),0,1)</f>
        <v>0</v>
      </c>
    </row>
    <row r="868" spans="4:22" x14ac:dyDescent="0.2">
      <c r="D868" s="32">
        <v>45831.291666666664</v>
      </c>
      <c r="E868" s="33" t="s">
        <v>165</v>
      </c>
      <c r="F868" s="34">
        <v>60034.538999999997</v>
      </c>
      <c r="G868" s="34">
        <v>363843.38099999999</v>
      </c>
      <c r="H868" s="34">
        <v>19.331</v>
      </c>
      <c r="I868" s="33" t="s">
        <v>85</v>
      </c>
      <c r="J868" s="151" t="s">
        <v>90</v>
      </c>
      <c r="K868" s="33">
        <v>15.3</v>
      </c>
      <c r="L868" s="33">
        <v>1025</v>
      </c>
      <c r="M868" s="33">
        <v>96</v>
      </c>
      <c r="N868" s="33"/>
      <c r="O868" s="93" t="str">
        <f>IFERROR(IF(Readings[[#This Row],[Obs. X]]="","-",Readings[[#This Row],[Obs. X]]-_xlfn.XLOOKUP(Readings[[#This Row],[Sensor ID]],Table_Baseline[Sensor ID],Table_Baseline[Easting '[m']],"-")),"-")</f>
        <v>-</v>
      </c>
      <c r="P868" s="93" t="str">
        <f>IFERROR(IF(Readings[[#This Row],[Obs. Y]]="","-",Readings[[#This Row],[Obs. Y]]-_xlfn.XLOOKUP(Readings[[#This Row],[Sensor ID]],Table_Baseline[Sensor ID],Table_Baseline[Northing '[m']],"-")),"-")</f>
        <v>-</v>
      </c>
      <c r="Q868" s="93" t="str">
        <f>IFERROR(IF(Readings[[#This Row],[Obs. Z]]="","-",Readings[[#This Row],[Obs. Z]]-_xlfn.XLOOKUP(Readings[[#This Row],[Sensor ID]],Table_Baseline[Sensor ID],Table_Baseline[Level '[m']],"-")),"-")</f>
        <v>-</v>
      </c>
      <c r="R868" s="93" t="str">
        <f>IFERROR(IF(Readings[[#This Row],[Reference Angle]]="-","-",(Readings[[#This Row],[Diff E]]*COS(RADIANS(Readings[[#This Row],[Reference Angle]]))-Readings[[#This Row],[Diff N]]*SIN(RADIANS(Readings[[#This Row],[Reference Angle]])))),"-")</f>
        <v>-</v>
      </c>
      <c r="S868" s="93" t="str">
        <f>IFERROR(IF(Readings[[#This Row],[Reference Angle]]="-","-",(Readings[[#This Row],[Diff E]]*SIN(RADIANS(Readings[[#This Row],[Reference Angle]]))+Readings[[#This Row],[Diff N]]*COS(RADIANS(Readings[[#This Row],[Reference Angle]])))),"-")</f>
        <v>-</v>
      </c>
      <c r="T868" s="94" t="str">
        <f>IFERROR(VLOOKUP(Readings[[#This Row],[Sensor ID]],Table_Baseline[],COLUMNS(Table_Baseline[[#Headers],[Sensor ID]:[Reference Angle '[Deg']]]),FALSE),"-")</f>
        <v>-</v>
      </c>
      <c r="U868" s="95" t="str">
        <f>Readings[[#This Row],[Sensor ID]]&amp;"-"&amp;Readings[[#This Row],[Epoch]]</f>
        <v>250-ST-OP-500-45831.2916666667</v>
      </c>
      <c r="V868" s="99">
        <f ca="1">IF(Readings[[#This Row],[Epoch]]=OFFSET(Readings[[#This Row],[Epoch]],-1,0),0,1)</f>
        <v>1</v>
      </c>
    </row>
    <row r="869" spans="4:22" x14ac:dyDescent="0.2">
      <c r="D869" s="32">
        <v>45831.291666666664</v>
      </c>
      <c r="E869" s="33" t="s">
        <v>166</v>
      </c>
      <c r="F869" s="34">
        <v>60040.286999999997</v>
      </c>
      <c r="G869" s="34">
        <v>363841.73</v>
      </c>
      <c r="H869" s="34">
        <v>19.321000000000002</v>
      </c>
      <c r="I869" s="33" t="s">
        <v>85</v>
      </c>
      <c r="J869" s="151" t="s">
        <v>90</v>
      </c>
      <c r="K869" s="33">
        <v>15.3</v>
      </c>
      <c r="L869" s="33">
        <v>1025</v>
      </c>
      <c r="M869" s="33">
        <v>96</v>
      </c>
      <c r="N869" s="33"/>
      <c r="O869" s="93" t="str">
        <f>IFERROR(IF(Readings[[#This Row],[Obs. X]]="","-",Readings[[#This Row],[Obs. X]]-_xlfn.XLOOKUP(Readings[[#This Row],[Sensor ID]],Table_Baseline[Sensor ID],Table_Baseline[Easting '[m']],"-")),"-")</f>
        <v>-</v>
      </c>
      <c r="P869" s="93" t="str">
        <f>IFERROR(IF(Readings[[#This Row],[Obs. Y]]="","-",Readings[[#This Row],[Obs. Y]]-_xlfn.XLOOKUP(Readings[[#This Row],[Sensor ID]],Table_Baseline[Sensor ID],Table_Baseline[Northing '[m']],"-")),"-")</f>
        <v>-</v>
      </c>
      <c r="Q869" s="93" t="str">
        <f>IFERROR(IF(Readings[[#This Row],[Obs. Z]]="","-",Readings[[#This Row],[Obs. Z]]-_xlfn.XLOOKUP(Readings[[#This Row],[Sensor ID]],Table_Baseline[Sensor ID],Table_Baseline[Level '[m']],"-")),"-")</f>
        <v>-</v>
      </c>
      <c r="R869" s="93" t="str">
        <f>IFERROR(IF(Readings[[#This Row],[Reference Angle]]="-","-",(Readings[[#This Row],[Diff E]]*COS(RADIANS(Readings[[#This Row],[Reference Angle]]))-Readings[[#This Row],[Diff N]]*SIN(RADIANS(Readings[[#This Row],[Reference Angle]])))),"-")</f>
        <v>-</v>
      </c>
      <c r="S869" s="93" t="str">
        <f>IFERROR(IF(Readings[[#This Row],[Reference Angle]]="-","-",(Readings[[#This Row],[Diff E]]*SIN(RADIANS(Readings[[#This Row],[Reference Angle]]))+Readings[[#This Row],[Diff N]]*COS(RADIANS(Readings[[#This Row],[Reference Angle]])))),"-")</f>
        <v>-</v>
      </c>
      <c r="T869" s="94" t="str">
        <f>IFERROR(VLOOKUP(Readings[[#This Row],[Sensor ID]],Table_Baseline[],COLUMNS(Table_Baseline[[#Headers],[Sensor ID]:[Reference Angle '[Deg']]]),FALSE),"-")</f>
        <v>-</v>
      </c>
      <c r="U869" s="95" t="str">
        <f>Readings[[#This Row],[Sensor ID]]&amp;"-"&amp;Readings[[#This Row],[Epoch]]</f>
        <v>250-ST-OP-501-45831.2916666667</v>
      </c>
      <c r="V869" s="99">
        <f ca="1">IF(Readings[[#This Row],[Epoch]]=OFFSET(Readings[[#This Row],[Epoch]],-1,0),0,1)</f>
        <v>0</v>
      </c>
    </row>
    <row r="870" spans="4:22" x14ac:dyDescent="0.2">
      <c r="D870" s="32">
        <v>45831.291666666664</v>
      </c>
      <c r="E870" s="33" t="s">
        <v>167</v>
      </c>
      <c r="F870" s="34">
        <v>60045.921999999999</v>
      </c>
      <c r="G870" s="34">
        <v>363840.10100000002</v>
      </c>
      <c r="H870" s="34">
        <v>19.334</v>
      </c>
      <c r="I870" s="33" t="s">
        <v>85</v>
      </c>
      <c r="J870" s="151" t="s">
        <v>90</v>
      </c>
      <c r="K870" s="33">
        <v>15.3</v>
      </c>
      <c r="L870" s="33">
        <v>1025</v>
      </c>
      <c r="M870" s="33">
        <v>96</v>
      </c>
      <c r="N870" s="33"/>
      <c r="O870" s="93" t="str">
        <f>IFERROR(IF(Readings[[#This Row],[Obs. X]]="","-",Readings[[#This Row],[Obs. X]]-_xlfn.XLOOKUP(Readings[[#This Row],[Sensor ID]],Table_Baseline[Sensor ID],Table_Baseline[Easting '[m']],"-")),"-")</f>
        <v>-</v>
      </c>
      <c r="P870" s="93" t="str">
        <f>IFERROR(IF(Readings[[#This Row],[Obs. Y]]="","-",Readings[[#This Row],[Obs. Y]]-_xlfn.XLOOKUP(Readings[[#This Row],[Sensor ID]],Table_Baseline[Sensor ID],Table_Baseline[Northing '[m']],"-")),"-")</f>
        <v>-</v>
      </c>
      <c r="Q870" s="93" t="str">
        <f>IFERROR(IF(Readings[[#This Row],[Obs. Z]]="","-",Readings[[#This Row],[Obs. Z]]-_xlfn.XLOOKUP(Readings[[#This Row],[Sensor ID]],Table_Baseline[Sensor ID],Table_Baseline[Level '[m']],"-")),"-")</f>
        <v>-</v>
      </c>
      <c r="R870" s="93" t="str">
        <f>IFERROR(IF(Readings[[#This Row],[Reference Angle]]="-","-",(Readings[[#This Row],[Diff E]]*COS(RADIANS(Readings[[#This Row],[Reference Angle]]))-Readings[[#This Row],[Diff N]]*SIN(RADIANS(Readings[[#This Row],[Reference Angle]])))),"-")</f>
        <v>-</v>
      </c>
      <c r="S870" s="93" t="str">
        <f>IFERROR(IF(Readings[[#This Row],[Reference Angle]]="-","-",(Readings[[#This Row],[Diff E]]*SIN(RADIANS(Readings[[#This Row],[Reference Angle]]))+Readings[[#This Row],[Diff N]]*COS(RADIANS(Readings[[#This Row],[Reference Angle]])))),"-")</f>
        <v>-</v>
      </c>
      <c r="T870" s="94" t="str">
        <f>IFERROR(VLOOKUP(Readings[[#This Row],[Sensor ID]],Table_Baseline[],COLUMNS(Table_Baseline[[#Headers],[Sensor ID]:[Reference Angle '[Deg']]]),FALSE),"-")</f>
        <v>-</v>
      </c>
      <c r="U870" s="95" t="str">
        <f>Readings[[#This Row],[Sensor ID]]&amp;"-"&amp;Readings[[#This Row],[Epoch]]</f>
        <v>250-ST-OP-502-45831.2916666667</v>
      </c>
      <c r="V870" s="99">
        <f ca="1">IF(Readings[[#This Row],[Epoch]]=OFFSET(Readings[[#This Row],[Epoch]],-1,0),0,1)</f>
        <v>0</v>
      </c>
    </row>
    <row r="871" spans="4:22" x14ac:dyDescent="0.2">
      <c r="D871" s="32">
        <v>45831.291666666664</v>
      </c>
      <c r="E871" s="33" t="s">
        <v>168</v>
      </c>
      <c r="F871" s="34">
        <v>60049.767999999996</v>
      </c>
      <c r="G871" s="34">
        <v>363838.995</v>
      </c>
      <c r="H871" s="34">
        <v>19.344999999999999</v>
      </c>
      <c r="I871" s="33" t="s">
        <v>85</v>
      </c>
      <c r="J871" s="151" t="s">
        <v>90</v>
      </c>
      <c r="K871" s="33">
        <v>15.3</v>
      </c>
      <c r="L871" s="33">
        <v>1025</v>
      </c>
      <c r="M871" s="33">
        <v>96</v>
      </c>
      <c r="N871" s="33"/>
      <c r="O871" s="93" t="str">
        <f>IFERROR(IF(Readings[[#This Row],[Obs. X]]="","-",Readings[[#This Row],[Obs. X]]-_xlfn.XLOOKUP(Readings[[#This Row],[Sensor ID]],Table_Baseline[Sensor ID],Table_Baseline[Easting '[m']],"-")),"-")</f>
        <v>-</v>
      </c>
      <c r="P871" s="93" t="str">
        <f>IFERROR(IF(Readings[[#This Row],[Obs. Y]]="","-",Readings[[#This Row],[Obs. Y]]-_xlfn.XLOOKUP(Readings[[#This Row],[Sensor ID]],Table_Baseline[Sensor ID],Table_Baseline[Northing '[m']],"-")),"-")</f>
        <v>-</v>
      </c>
      <c r="Q871" s="93" t="str">
        <f>IFERROR(IF(Readings[[#This Row],[Obs. Z]]="","-",Readings[[#This Row],[Obs. Z]]-_xlfn.XLOOKUP(Readings[[#This Row],[Sensor ID]],Table_Baseline[Sensor ID],Table_Baseline[Level '[m']],"-")),"-")</f>
        <v>-</v>
      </c>
      <c r="R871" s="93" t="str">
        <f>IFERROR(IF(Readings[[#This Row],[Reference Angle]]="-","-",(Readings[[#This Row],[Diff E]]*COS(RADIANS(Readings[[#This Row],[Reference Angle]]))-Readings[[#This Row],[Diff N]]*SIN(RADIANS(Readings[[#This Row],[Reference Angle]])))),"-")</f>
        <v>-</v>
      </c>
      <c r="S871" s="93" t="str">
        <f>IFERROR(IF(Readings[[#This Row],[Reference Angle]]="-","-",(Readings[[#This Row],[Diff E]]*SIN(RADIANS(Readings[[#This Row],[Reference Angle]]))+Readings[[#This Row],[Diff N]]*COS(RADIANS(Readings[[#This Row],[Reference Angle]])))),"-")</f>
        <v>-</v>
      </c>
      <c r="T871" s="94" t="str">
        <f>IFERROR(VLOOKUP(Readings[[#This Row],[Sensor ID]],Table_Baseline[],COLUMNS(Table_Baseline[[#Headers],[Sensor ID]:[Reference Angle '[Deg']]]),FALSE),"-")</f>
        <v>-</v>
      </c>
      <c r="U871" s="95" t="str">
        <f>Readings[[#This Row],[Sensor ID]]&amp;"-"&amp;Readings[[#This Row],[Epoch]]</f>
        <v>250-ST-OP-503-45831.2916666667</v>
      </c>
      <c r="V871" s="99">
        <f ca="1">IF(Readings[[#This Row],[Epoch]]=OFFSET(Readings[[#This Row],[Epoch]],-1,0),0,1)</f>
        <v>0</v>
      </c>
    </row>
    <row r="872" spans="4:22" x14ac:dyDescent="0.2">
      <c r="D872" s="32">
        <v>45831.291666666664</v>
      </c>
      <c r="E872" s="33" t="s">
        <v>169</v>
      </c>
      <c r="F872" s="34">
        <v>60053.608999999997</v>
      </c>
      <c r="G872" s="34">
        <v>363837.88399999996</v>
      </c>
      <c r="H872" s="34">
        <v>19.356000000000002</v>
      </c>
      <c r="I872" s="33" t="s">
        <v>85</v>
      </c>
      <c r="J872" s="151" t="s">
        <v>90</v>
      </c>
      <c r="K872" s="33">
        <v>15.3</v>
      </c>
      <c r="L872" s="33">
        <v>1025</v>
      </c>
      <c r="M872" s="33">
        <v>96</v>
      </c>
      <c r="N872" s="33"/>
      <c r="O872" s="93" t="str">
        <f>IFERROR(IF(Readings[[#This Row],[Obs. X]]="","-",Readings[[#This Row],[Obs. X]]-_xlfn.XLOOKUP(Readings[[#This Row],[Sensor ID]],Table_Baseline[Sensor ID],Table_Baseline[Easting '[m']],"-")),"-")</f>
        <v>-</v>
      </c>
      <c r="P872" s="93" t="str">
        <f>IFERROR(IF(Readings[[#This Row],[Obs. Y]]="","-",Readings[[#This Row],[Obs. Y]]-_xlfn.XLOOKUP(Readings[[#This Row],[Sensor ID]],Table_Baseline[Sensor ID],Table_Baseline[Northing '[m']],"-")),"-")</f>
        <v>-</v>
      </c>
      <c r="Q872" s="93" t="str">
        <f>IFERROR(IF(Readings[[#This Row],[Obs. Z]]="","-",Readings[[#This Row],[Obs. Z]]-_xlfn.XLOOKUP(Readings[[#This Row],[Sensor ID]],Table_Baseline[Sensor ID],Table_Baseline[Level '[m']],"-")),"-")</f>
        <v>-</v>
      </c>
      <c r="R872" s="93" t="str">
        <f>IFERROR(IF(Readings[[#This Row],[Reference Angle]]="-","-",(Readings[[#This Row],[Diff E]]*COS(RADIANS(Readings[[#This Row],[Reference Angle]]))-Readings[[#This Row],[Diff N]]*SIN(RADIANS(Readings[[#This Row],[Reference Angle]])))),"-")</f>
        <v>-</v>
      </c>
      <c r="S872" s="93" t="str">
        <f>IFERROR(IF(Readings[[#This Row],[Reference Angle]]="-","-",(Readings[[#This Row],[Diff E]]*SIN(RADIANS(Readings[[#This Row],[Reference Angle]]))+Readings[[#This Row],[Diff N]]*COS(RADIANS(Readings[[#This Row],[Reference Angle]])))),"-")</f>
        <v>-</v>
      </c>
      <c r="T872" s="94" t="str">
        <f>IFERROR(VLOOKUP(Readings[[#This Row],[Sensor ID]],Table_Baseline[],COLUMNS(Table_Baseline[[#Headers],[Sensor ID]:[Reference Angle '[Deg']]]),FALSE),"-")</f>
        <v>-</v>
      </c>
      <c r="U872" s="95" t="str">
        <f>Readings[[#This Row],[Sensor ID]]&amp;"-"&amp;Readings[[#This Row],[Epoch]]</f>
        <v>250-ST-OP-504-45831.2916666667</v>
      </c>
      <c r="V872" s="99">
        <f ca="1">IF(Readings[[#This Row],[Epoch]]=OFFSET(Readings[[#This Row],[Epoch]],-1,0),0,1)</f>
        <v>0</v>
      </c>
    </row>
    <row r="873" spans="4:22" x14ac:dyDescent="0.2">
      <c r="D873" s="32">
        <v>45831.291666666664</v>
      </c>
      <c r="E873" s="33" t="s">
        <v>170</v>
      </c>
      <c r="F873" s="34">
        <v>60060.065000000002</v>
      </c>
      <c r="G873" s="34">
        <v>363836.02500000002</v>
      </c>
      <c r="H873" s="34">
        <v>19.356000000000002</v>
      </c>
      <c r="I873" s="33" t="s">
        <v>85</v>
      </c>
      <c r="J873" s="151" t="s">
        <v>90</v>
      </c>
      <c r="K873" s="33">
        <v>15.3</v>
      </c>
      <c r="L873" s="33">
        <v>1025</v>
      </c>
      <c r="M873" s="33">
        <v>96</v>
      </c>
      <c r="N873" s="33"/>
      <c r="O873" s="93" t="str">
        <f>IFERROR(IF(Readings[[#This Row],[Obs. X]]="","-",Readings[[#This Row],[Obs. X]]-_xlfn.XLOOKUP(Readings[[#This Row],[Sensor ID]],Table_Baseline[Sensor ID],Table_Baseline[Easting '[m']],"-")),"-")</f>
        <v>-</v>
      </c>
      <c r="P873" s="93" t="str">
        <f>IFERROR(IF(Readings[[#This Row],[Obs. Y]]="","-",Readings[[#This Row],[Obs. Y]]-_xlfn.XLOOKUP(Readings[[#This Row],[Sensor ID]],Table_Baseline[Sensor ID],Table_Baseline[Northing '[m']],"-")),"-")</f>
        <v>-</v>
      </c>
      <c r="Q873" s="93" t="str">
        <f>IFERROR(IF(Readings[[#This Row],[Obs. Z]]="","-",Readings[[#This Row],[Obs. Z]]-_xlfn.XLOOKUP(Readings[[#This Row],[Sensor ID]],Table_Baseline[Sensor ID],Table_Baseline[Level '[m']],"-")),"-")</f>
        <v>-</v>
      </c>
      <c r="R873" s="93" t="str">
        <f>IFERROR(IF(Readings[[#This Row],[Reference Angle]]="-","-",(Readings[[#This Row],[Diff E]]*COS(RADIANS(Readings[[#This Row],[Reference Angle]]))-Readings[[#This Row],[Diff N]]*SIN(RADIANS(Readings[[#This Row],[Reference Angle]])))),"-")</f>
        <v>-</v>
      </c>
      <c r="S873" s="93" t="str">
        <f>IFERROR(IF(Readings[[#This Row],[Reference Angle]]="-","-",(Readings[[#This Row],[Diff E]]*SIN(RADIANS(Readings[[#This Row],[Reference Angle]]))+Readings[[#This Row],[Diff N]]*COS(RADIANS(Readings[[#This Row],[Reference Angle]])))),"-")</f>
        <v>-</v>
      </c>
      <c r="T873" s="94" t="str">
        <f>IFERROR(VLOOKUP(Readings[[#This Row],[Sensor ID]],Table_Baseline[],COLUMNS(Table_Baseline[[#Headers],[Sensor ID]:[Reference Angle '[Deg']]]),FALSE),"-")</f>
        <v>-</v>
      </c>
      <c r="U873" s="95" t="str">
        <f>Readings[[#This Row],[Sensor ID]]&amp;"-"&amp;Readings[[#This Row],[Epoch]]</f>
        <v>250-ST-OP-505-45831.2916666667</v>
      </c>
      <c r="V873" s="99">
        <f ca="1">IF(Readings[[#This Row],[Epoch]]=OFFSET(Readings[[#This Row],[Epoch]],-1,0),0,1)</f>
        <v>0</v>
      </c>
    </row>
    <row r="874" spans="4:22" x14ac:dyDescent="0.2">
      <c r="D874" s="32">
        <v>45831.291666666664</v>
      </c>
      <c r="E874" s="33" t="s">
        <v>172</v>
      </c>
      <c r="F874" s="34">
        <v>60035.339</v>
      </c>
      <c r="G874" s="34">
        <v>363845.73800000001</v>
      </c>
      <c r="H874" s="34">
        <v>18.782</v>
      </c>
      <c r="I874" s="33" t="s">
        <v>85</v>
      </c>
      <c r="J874" s="151" t="s">
        <v>90</v>
      </c>
      <c r="K874" s="33">
        <v>15.3</v>
      </c>
      <c r="L874" s="33">
        <v>1025</v>
      </c>
      <c r="M874" s="33">
        <v>96</v>
      </c>
      <c r="N874" s="33"/>
      <c r="O874" s="93">
        <f>IFERROR(IF(Readings[[#This Row],[Obs. X]]="","-",Readings[[#This Row],[Obs. X]]-_xlfn.XLOOKUP(Readings[[#This Row],[Sensor ID]],Table_Baseline[Sensor ID],Table_Baseline[Easting '[m']],"-")),"-")</f>
        <v>-9.9999999656574801E-4</v>
      </c>
      <c r="P874" s="93">
        <f>IFERROR(IF(Readings[[#This Row],[Obs. Y]]="","-",Readings[[#This Row],[Obs. Y]]-_xlfn.XLOOKUP(Readings[[#This Row],[Sensor ID]],Table_Baseline[Sensor ID],Table_Baseline[Northing '[m']],"-")),"-")</f>
        <v>-9.9999998928979039E-4</v>
      </c>
      <c r="Q874" s="93">
        <f>IFERROR(IF(Readings[[#This Row],[Obs. Z]]="","-",Readings[[#This Row],[Obs. Z]]-_xlfn.XLOOKUP(Readings[[#This Row],[Sensor ID]],Table_Baseline[Sensor ID],Table_Baseline[Level '[m']],"-")),"-")</f>
        <v>0</v>
      </c>
      <c r="R874" s="93">
        <f>IFERROR(IF(Readings[[#This Row],[Reference Angle]]="-","-",(Readings[[#This Row],[Diff E]]*COS(RADIANS(Readings[[#This Row],[Reference Angle]]))-Readings[[#This Row],[Diff N]]*SIN(RADIANS(Readings[[#This Row],[Reference Angle]])))),"-")</f>
        <v>-9.9999999656574801E-4</v>
      </c>
      <c r="S874" s="93">
        <f>IFERROR(IF(Readings[[#This Row],[Reference Angle]]="-","-",(Readings[[#This Row],[Diff E]]*SIN(RADIANS(Readings[[#This Row],[Reference Angle]]))+Readings[[#This Row],[Diff N]]*COS(RADIANS(Readings[[#This Row],[Reference Angle]])))),"-")</f>
        <v>-9.9999998928979039E-4</v>
      </c>
      <c r="T874" s="94">
        <f>IFERROR(VLOOKUP(Readings[[#This Row],[Sensor ID]],Table_Baseline[],COLUMNS(Table_Baseline[[#Headers],[Sensor ID]:[Reference Angle '[Deg']]]),FALSE),"-")</f>
        <v>0</v>
      </c>
      <c r="U874" s="95" t="str">
        <f>Readings[[#This Row],[Sensor ID]]&amp;"-"&amp;Readings[[#This Row],[Epoch]]</f>
        <v>250-RL-OP-11001-45831.2916666667</v>
      </c>
      <c r="V874" s="99">
        <f ca="1">IF(Readings[[#This Row],[Epoch]]=OFFSET(Readings[[#This Row],[Epoch]],-1,0),0,1)</f>
        <v>0</v>
      </c>
    </row>
    <row r="875" spans="4:22" x14ac:dyDescent="0.2">
      <c r="D875" s="32">
        <v>45831.291666666664</v>
      </c>
      <c r="E875" s="33" t="s">
        <v>171</v>
      </c>
      <c r="F875" s="34">
        <v>60034.957999999999</v>
      </c>
      <c r="G875" s="34">
        <v>363844.47</v>
      </c>
      <c r="H875" s="34">
        <v>18.777999999999999</v>
      </c>
      <c r="I875" s="33" t="s">
        <v>85</v>
      </c>
      <c r="J875" s="151" t="s">
        <v>90</v>
      </c>
      <c r="K875" s="33">
        <v>15.3</v>
      </c>
      <c r="L875" s="33">
        <v>1025</v>
      </c>
      <c r="M875" s="33">
        <v>96</v>
      </c>
      <c r="N875" s="33"/>
      <c r="O875" s="93">
        <f>IFERROR(IF(Readings[[#This Row],[Obs. X]]="","-",Readings[[#This Row],[Obs. X]]-_xlfn.XLOOKUP(Readings[[#This Row],[Sensor ID]],Table_Baseline[Sensor ID],Table_Baseline[Easting '[m']],"-")),"-")</f>
        <v>-1.0000000038417056E-3</v>
      </c>
      <c r="P875" s="93">
        <f>IFERROR(IF(Readings[[#This Row],[Obs. Y]]="","-",Readings[[#This Row],[Obs. Y]]-_xlfn.XLOOKUP(Readings[[#This Row],[Sensor ID]],Table_Baseline[Sensor ID],Table_Baseline[Northing '[m']],"-")),"-")</f>
        <v>-1.0000000474974513E-3</v>
      </c>
      <c r="Q875" s="93">
        <f>IFERROR(IF(Readings[[#This Row],[Obs. Z]]="","-",Readings[[#This Row],[Obs. Z]]-_xlfn.XLOOKUP(Readings[[#This Row],[Sensor ID]],Table_Baseline[Sensor ID],Table_Baseline[Level '[m']],"-")),"-")</f>
        <v>-9.9999999999766942E-5</v>
      </c>
      <c r="R875" s="93">
        <f>IFERROR(IF(Readings[[#This Row],[Reference Angle]]="-","-",(Readings[[#This Row],[Diff E]]*COS(RADIANS(Readings[[#This Row],[Reference Angle]]))-Readings[[#This Row],[Diff N]]*SIN(RADIANS(Readings[[#This Row],[Reference Angle]])))),"-")</f>
        <v>-1.0000000038417056E-3</v>
      </c>
      <c r="S875" s="93">
        <f>IFERROR(IF(Readings[[#This Row],[Reference Angle]]="-","-",(Readings[[#This Row],[Diff E]]*SIN(RADIANS(Readings[[#This Row],[Reference Angle]]))+Readings[[#This Row],[Diff N]]*COS(RADIANS(Readings[[#This Row],[Reference Angle]])))),"-")</f>
        <v>-1.0000000474974513E-3</v>
      </c>
      <c r="T875" s="94">
        <f>IFERROR(VLOOKUP(Readings[[#This Row],[Sensor ID]],Table_Baseline[],COLUMNS(Table_Baseline[[#Headers],[Sensor ID]:[Reference Angle '[Deg']]]),FALSE),"-")</f>
        <v>0</v>
      </c>
      <c r="U875" s="95" t="str">
        <f>Readings[[#This Row],[Sensor ID]]&amp;"-"&amp;Readings[[#This Row],[Epoch]]</f>
        <v>250-RL-OP-11002-45831.2916666667</v>
      </c>
      <c r="V875" s="99">
        <f ca="1">IF(Readings[[#This Row],[Epoch]]=OFFSET(Readings[[#This Row],[Epoch]],-1,0),0,1)</f>
        <v>0</v>
      </c>
    </row>
    <row r="876" spans="4:22" x14ac:dyDescent="0.2">
      <c r="D876" s="32">
        <v>45831.291666666664</v>
      </c>
      <c r="E876" s="33" t="s">
        <v>174</v>
      </c>
      <c r="F876" s="34">
        <v>60038.116999999998</v>
      </c>
      <c r="G876" s="34">
        <v>363844.94500000001</v>
      </c>
      <c r="H876" s="34">
        <v>18.777999999999999</v>
      </c>
      <c r="I876" s="33" t="s">
        <v>85</v>
      </c>
      <c r="J876" s="151" t="s">
        <v>90</v>
      </c>
      <c r="K876" s="33">
        <v>15.3</v>
      </c>
      <c r="L876" s="33">
        <v>1025</v>
      </c>
      <c r="M876" s="33">
        <v>96</v>
      </c>
      <c r="N876" s="33"/>
      <c r="O876" s="93">
        <f>IFERROR(IF(Readings[[#This Row],[Obs. X]]="","-",Readings[[#This Row],[Obs. X]]-_xlfn.XLOOKUP(Readings[[#This Row],[Sensor ID]],Table_Baseline[Sensor ID],Table_Baseline[Easting '[m']],"-")),"-")</f>
        <v>-1.0000000038417056E-3</v>
      </c>
      <c r="P876" s="93">
        <f>IFERROR(IF(Readings[[#This Row],[Obs. Y]]="","-",Readings[[#This Row],[Obs. Y]]-_xlfn.XLOOKUP(Readings[[#This Row],[Sensor ID]],Table_Baseline[Sensor ID],Table_Baseline[Northing '[m']],"-")),"-")</f>
        <v>0</v>
      </c>
      <c r="Q876" s="93">
        <f>IFERROR(IF(Readings[[#This Row],[Obs. Z]]="","-",Readings[[#This Row],[Obs. Z]]-_xlfn.XLOOKUP(Readings[[#This Row],[Sensor ID]],Table_Baseline[Sensor ID],Table_Baseline[Level '[m']],"-")),"-")</f>
        <v>-8.0000000000168825E-4</v>
      </c>
      <c r="R876" s="93">
        <f>IFERROR(IF(Readings[[#This Row],[Reference Angle]]="-","-",(Readings[[#This Row],[Diff E]]*COS(RADIANS(Readings[[#This Row],[Reference Angle]]))-Readings[[#This Row],[Diff N]]*SIN(RADIANS(Readings[[#This Row],[Reference Angle]])))),"-")</f>
        <v>-1.0000000038417056E-3</v>
      </c>
      <c r="S876" s="93">
        <f>IFERROR(IF(Readings[[#This Row],[Reference Angle]]="-","-",(Readings[[#This Row],[Diff E]]*SIN(RADIANS(Readings[[#This Row],[Reference Angle]]))+Readings[[#This Row],[Diff N]]*COS(RADIANS(Readings[[#This Row],[Reference Angle]])))),"-")</f>
        <v>0</v>
      </c>
      <c r="T876" s="94">
        <f>IFERROR(VLOOKUP(Readings[[#This Row],[Sensor ID]],Table_Baseline[],COLUMNS(Table_Baseline[[#Headers],[Sensor ID]:[Reference Angle '[Deg']]]),FALSE),"-")</f>
        <v>0</v>
      </c>
      <c r="U876" s="95" t="str">
        <f>Readings[[#This Row],[Sensor ID]]&amp;"-"&amp;Readings[[#This Row],[Epoch]]</f>
        <v>250-RL-OP-11003-45831.2916666667</v>
      </c>
      <c r="V876" s="99">
        <f ca="1">IF(Readings[[#This Row],[Epoch]]=OFFSET(Readings[[#This Row],[Epoch]],-1,0),0,1)</f>
        <v>0</v>
      </c>
    </row>
    <row r="877" spans="4:22" x14ac:dyDescent="0.2">
      <c r="D877" s="32">
        <v>45831.291666666664</v>
      </c>
      <c r="E877" s="33" t="s">
        <v>173</v>
      </c>
      <c r="F877" s="34">
        <v>60037.803999999996</v>
      </c>
      <c r="G877" s="34">
        <v>363843.65700000001</v>
      </c>
      <c r="H877" s="34">
        <v>18.777999999999999</v>
      </c>
      <c r="I877" s="33" t="s">
        <v>85</v>
      </c>
      <c r="J877" s="151" t="s">
        <v>90</v>
      </c>
      <c r="K877" s="33">
        <v>15.3</v>
      </c>
      <c r="L877" s="33">
        <v>1025</v>
      </c>
      <c r="M877" s="33">
        <v>96</v>
      </c>
      <c r="N877" s="33"/>
      <c r="O877" s="93">
        <f>IFERROR(IF(Readings[[#This Row],[Obs. X]]="","-",Readings[[#This Row],[Obs. X]]-_xlfn.XLOOKUP(Readings[[#This Row],[Sensor ID]],Table_Baseline[Sensor ID],Table_Baseline[Easting '[m']],"-")),"-")</f>
        <v>-1.0000000038417056E-3</v>
      </c>
      <c r="P877" s="93">
        <f>IFERROR(IF(Readings[[#This Row],[Obs. Y]]="","-",Readings[[#This Row],[Obs. Y]]-_xlfn.XLOOKUP(Readings[[#This Row],[Sensor ID]],Table_Baseline[Sensor ID],Table_Baseline[Northing '[m']],"-")),"-")</f>
        <v>0</v>
      </c>
      <c r="Q877" s="93">
        <f>IFERROR(IF(Readings[[#This Row],[Obs. Z]]="","-",Readings[[#This Row],[Obs. Z]]-_xlfn.XLOOKUP(Readings[[#This Row],[Sensor ID]],Table_Baseline[Sensor ID],Table_Baseline[Level '[m']],"-")),"-")</f>
        <v>-5.0000000000238742E-4</v>
      </c>
      <c r="R877" s="93">
        <f>IFERROR(IF(Readings[[#This Row],[Reference Angle]]="-","-",(Readings[[#This Row],[Diff E]]*COS(RADIANS(Readings[[#This Row],[Reference Angle]]))-Readings[[#This Row],[Diff N]]*SIN(RADIANS(Readings[[#This Row],[Reference Angle]])))),"-")</f>
        <v>-1.0000000038417056E-3</v>
      </c>
      <c r="S877" s="93">
        <f>IFERROR(IF(Readings[[#This Row],[Reference Angle]]="-","-",(Readings[[#This Row],[Diff E]]*SIN(RADIANS(Readings[[#This Row],[Reference Angle]]))+Readings[[#This Row],[Diff N]]*COS(RADIANS(Readings[[#This Row],[Reference Angle]])))),"-")</f>
        <v>0</v>
      </c>
      <c r="T877" s="94">
        <f>IFERROR(VLOOKUP(Readings[[#This Row],[Sensor ID]],Table_Baseline[],COLUMNS(Table_Baseline[[#Headers],[Sensor ID]:[Reference Angle '[Deg']]]),FALSE),"-")</f>
        <v>0</v>
      </c>
      <c r="U877" s="95" t="str">
        <f>Readings[[#This Row],[Sensor ID]]&amp;"-"&amp;Readings[[#This Row],[Epoch]]</f>
        <v>250-RL-OP-11004-45831.2916666667</v>
      </c>
      <c r="V877" s="99">
        <f ca="1">IF(Readings[[#This Row],[Epoch]]=OFFSET(Readings[[#This Row],[Epoch]],-1,0),0,1)</f>
        <v>0</v>
      </c>
    </row>
    <row r="878" spans="4:22" x14ac:dyDescent="0.2">
      <c r="D878" s="32">
        <v>45831.291666666664</v>
      </c>
      <c r="E878" s="33" t="s">
        <v>176</v>
      </c>
      <c r="F878" s="34">
        <v>60040.968000000001</v>
      </c>
      <c r="G878" s="34">
        <v>363844.11800000002</v>
      </c>
      <c r="H878" s="34">
        <v>18.779</v>
      </c>
      <c r="I878" s="33" t="s">
        <v>85</v>
      </c>
      <c r="J878" s="151" t="s">
        <v>90</v>
      </c>
      <c r="K878" s="33">
        <v>15.3</v>
      </c>
      <c r="L878" s="33">
        <v>1025</v>
      </c>
      <c r="M878" s="33">
        <v>96</v>
      </c>
      <c r="N878" s="33"/>
      <c r="O878" s="93">
        <f>IFERROR(IF(Readings[[#This Row],[Obs. X]]="","-",Readings[[#This Row],[Obs. X]]-_xlfn.XLOOKUP(Readings[[#This Row],[Sensor ID]],Table_Baseline[Sensor ID],Table_Baseline[Easting '[m']],"-")),"-")</f>
        <v>-9.9999999656574801E-4</v>
      </c>
      <c r="P878" s="93">
        <f>IFERROR(IF(Readings[[#This Row],[Obs. Y]]="","-",Readings[[#This Row],[Obs. Y]]-_xlfn.XLOOKUP(Readings[[#This Row],[Sensor ID]],Table_Baseline[Sensor ID],Table_Baseline[Northing '[m']],"-")),"-")</f>
        <v>0</v>
      </c>
      <c r="Q878" s="93">
        <f>IFERROR(IF(Readings[[#This Row],[Obs. Z]]="","-",Readings[[#This Row],[Obs. Z]]-_xlfn.XLOOKUP(Readings[[#This Row],[Sensor ID]],Table_Baseline[Sensor ID],Table_Baseline[Level '[m']],"-")),"-")</f>
        <v>0</v>
      </c>
      <c r="R878" s="93">
        <f>IFERROR(IF(Readings[[#This Row],[Reference Angle]]="-","-",(Readings[[#This Row],[Diff E]]*COS(RADIANS(Readings[[#This Row],[Reference Angle]]))-Readings[[#This Row],[Diff N]]*SIN(RADIANS(Readings[[#This Row],[Reference Angle]])))),"-")</f>
        <v>-9.9999999656574801E-4</v>
      </c>
      <c r="S878" s="93">
        <f>IFERROR(IF(Readings[[#This Row],[Reference Angle]]="-","-",(Readings[[#This Row],[Diff E]]*SIN(RADIANS(Readings[[#This Row],[Reference Angle]]))+Readings[[#This Row],[Diff N]]*COS(RADIANS(Readings[[#This Row],[Reference Angle]])))),"-")</f>
        <v>0</v>
      </c>
      <c r="T878" s="94">
        <f>IFERROR(VLOOKUP(Readings[[#This Row],[Sensor ID]],Table_Baseline[],COLUMNS(Table_Baseline[[#Headers],[Sensor ID]:[Reference Angle '[Deg']]]),FALSE),"-")</f>
        <v>0</v>
      </c>
      <c r="U878" s="95" t="str">
        <f>Readings[[#This Row],[Sensor ID]]&amp;"-"&amp;Readings[[#This Row],[Epoch]]</f>
        <v>250-RL-OP-11005-45831.2916666667</v>
      </c>
      <c r="V878" s="99">
        <f ca="1">IF(Readings[[#This Row],[Epoch]]=OFFSET(Readings[[#This Row],[Epoch]],-1,0),0,1)</f>
        <v>0</v>
      </c>
    </row>
    <row r="879" spans="4:22" x14ac:dyDescent="0.2">
      <c r="D879" s="32">
        <v>45831.291666666664</v>
      </c>
      <c r="E879" s="33" t="s">
        <v>175</v>
      </c>
      <c r="F879" s="34">
        <v>60040.606</v>
      </c>
      <c r="G879" s="34">
        <v>363842.86199999996</v>
      </c>
      <c r="H879" s="34">
        <v>18.771000000000001</v>
      </c>
      <c r="I879" s="33" t="s">
        <v>85</v>
      </c>
      <c r="J879" s="151" t="s">
        <v>90</v>
      </c>
      <c r="K879" s="33">
        <v>15.3</v>
      </c>
      <c r="L879" s="33">
        <v>1025</v>
      </c>
      <c r="M879" s="33">
        <v>96</v>
      </c>
      <c r="N879" s="33"/>
      <c r="O879" s="93">
        <f>IFERROR(IF(Readings[[#This Row],[Obs. X]]="","-",Readings[[#This Row],[Obs. X]]-_xlfn.XLOOKUP(Readings[[#This Row],[Sensor ID]],Table_Baseline[Sensor ID],Table_Baseline[Easting '[m']],"-")),"-")</f>
        <v>-1.0000000038417056E-3</v>
      </c>
      <c r="P879" s="93">
        <f>IFERROR(IF(Readings[[#This Row],[Obs. Y]]="","-",Readings[[#This Row],[Obs. Y]]-_xlfn.XLOOKUP(Readings[[#This Row],[Sensor ID]],Table_Baseline[Sensor ID],Table_Baseline[Northing '[m']],"-")),"-")</f>
        <v>9.9999993108212948E-4</v>
      </c>
      <c r="Q879" s="93">
        <f>IFERROR(IF(Readings[[#This Row],[Obs. Z]]="","-",Readings[[#This Row],[Obs. Z]]-_xlfn.XLOOKUP(Readings[[#This Row],[Sensor ID]],Table_Baseline[Sensor ID],Table_Baseline[Level '[m']],"-")),"-")</f>
        <v>-9.9999999999766942E-4</v>
      </c>
      <c r="R879" s="93">
        <f>IFERROR(IF(Readings[[#This Row],[Reference Angle]]="-","-",(Readings[[#This Row],[Diff E]]*COS(RADIANS(Readings[[#This Row],[Reference Angle]]))-Readings[[#This Row],[Diff N]]*SIN(RADIANS(Readings[[#This Row],[Reference Angle]])))),"-")</f>
        <v>-1.0000000038417056E-3</v>
      </c>
      <c r="S879" s="93">
        <f>IFERROR(IF(Readings[[#This Row],[Reference Angle]]="-","-",(Readings[[#This Row],[Diff E]]*SIN(RADIANS(Readings[[#This Row],[Reference Angle]]))+Readings[[#This Row],[Diff N]]*COS(RADIANS(Readings[[#This Row],[Reference Angle]])))),"-")</f>
        <v>9.9999993108212948E-4</v>
      </c>
      <c r="T879" s="94">
        <f>IFERROR(VLOOKUP(Readings[[#This Row],[Sensor ID]],Table_Baseline[],COLUMNS(Table_Baseline[[#Headers],[Sensor ID]:[Reference Angle '[Deg']]]),FALSE),"-")</f>
        <v>0</v>
      </c>
      <c r="U879" s="95" t="str">
        <f>Readings[[#This Row],[Sensor ID]]&amp;"-"&amp;Readings[[#This Row],[Epoch]]</f>
        <v>250-RL-OP-11006-45831.2916666667</v>
      </c>
      <c r="V879" s="99">
        <f ca="1">IF(Readings[[#This Row],[Epoch]]=OFFSET(Readings[[#This Row],[Epoch]],-1,0),0,1)</f>
        <v>0</v>
      </c>
    </row>
    <row r="880" spans="4:22" x14ac:dyDescent="0.2">
      <c r="D880" s="32">
        <v>45831.291666666664</v>
      </c>
      <c r="E880" s="33" t="s">
        <v>178</v>
      </c>
      <c r="F880" s="34">
        <v>60043.758000000002</v>
      </c>
      <c r="G880" s="34">
        <v>363843.315</v>
      </c>
      <c r="H880" s="34">
        <v>18.774000000000001</v>
      </c>
      <c r="I880" s="33" t="s">
        <v>85</v>
      </c>
      <c r="J880" s="151" t="s">
        <v>90</v>
      </c>
      <c r="K880" s="33">
        <v>15.3</v>
      </c>
      <c r="L880" s="33">
        <v>1025</v>
      </c>
      <c r="M880" s="33">
        <v>96</v>
      </c>
      <c r="N880" s="33"/>
      <c r="O880" s="93">
        <f>IFERROR(IF(Readings[[#This Row],[Obs. X]]="","-",Readings[[#This Row],[Obs. X]]-_xlfn.XLOOKUP(Readings[[#This Row],[Sensor ID]],Table_Baseline[Sensor ID],Table_Baseline[Easting '[m']],"-")),"-")</f>
        <v>-9.9999999656574801E-4</v>
      </c>
      <c r="P880" s="93">
        <f>IFERROR(IF(Readings[[#This Row],[Obs. Y]]="","-",Readings[[#This Row],[Obs. Y]]-_xlfn.XLOOKUP(Readings[[#This Row],[Sensor ID]],Table_Baseline[Sensor ID],Table_Baseline[Northing '[m']],"-")),"-")</f>
        <v>9.9999998928979039E-4</v>
      </c>
      <c r="Q880" s="93">
        <f>IFERROR(IF(Readings[[#This Row],[Obs. Z]]="","-",Readings[[#This Row],[Obs. Z]]-_xlfn.XLOOKUP(Readings[[#This Row],[Sensor ID]],Table_Baseline[Sensor ID],Table_Baseline[Level '[m']],"-")),"-")</f>
        <v>-9.9999999999766942E-5</v>
      </c>
      <c r="R880" s="93">
        <f>IFERROR(IF(Readings[[#This Row],[Reference Angle]]="-","-",(Readings[[#This Row],[Diff E]]*COS(RADIANS(Readings[[#This Row],[Reference Angle]]))-Readings[[#This Row],[Diff N]]*SIN(RADIANS(Readings[[#This Row],[Reference Angle]])))),"-")</f>
        <v>-9.9999999656574801E-4</v>
      </c>
      <c r="S880" s="93">
        <f>IFERROR(IF(Readings[[#This Row],[Reference Angle]]="-","-",(Readings[[#This Row],[Diff E]]*SIN(RADIANS(Readings[[#This Row],[Reference Angle]]))+Readings[[#This Row],[Diff N]]*COS(RADIANS(Readings[[#This Row],[Reference Angle]])))),"-")</f>
        <v>9.9999998928979039E-4</v>
      </c>
      <c r="T880" s="94">
        <f>IFERROR(VLOOKUP(Readings[[#This Row],[Sensor ID]],Table_Baseline[],COLUMNS(Table_Baseline[[#Headers],[Sensor ID]:[Reference Angle '[Deg']]]),FALSE),"-")</f>
        <v>0</v>
      </c>
      <c r="U880" s="95" t="str">
        <f>Readings[[#This Row],[Sensor ID]]&amp;"-"&amp;Readings[[#This Row],[Epoch]]</f>
        <v>250-RL-OP-11007-45831.2916666667</v>
      </c>
      <c r="V880" s="99">
        <f ca="1">IF(Readings[[#This Row],[Epoch]]=OFFSET(Readings[[#This Row],[Epoch]],-1,0),0,1)</f>
        <v>0</v>
      </c>
    </row>
    <row r="881" spans="4:22" x14ac:dyDescent="0.2">
      <c r="D881" s="32">
        <v>45831.291666666664</v>
      </c>
      <c r="E881" s="33" t="s">
        <v>177</v>
      </c>
      <c r="F881" s="34">
        <v>60043.440999999999</v>
      </c>
      <c r="G881" s="34">
        <v>363842.04200000002</v>
      </c>
      <c r="H881" s="34">
        <v>18.768000000000001</v>
      </c>
      <c r="I881" s="33" t="s">
        <v>85</v>
      </c>
      <c r="J881" s="151" t="s">
        <v>90</v>
      </c>
      <c r="K881" s="33">
        <v>15.3</v>
      </c>
      <c r="L881" s="33">
        <v>1025</v>
      </c>
      <c r="M881" s="33">
        <v>96</v>
      </c>
      <c r="N881" s="33"/>
      <c r="O881" s="93">
        <f>IFERROR(IF(Readings[[#This Row],[Obs. X]]="","-",Readings[[#This Row],[Obs. X]]-_xlfn.XLOOKUP(Readings[[#This Row],[Sensor ID]],Table_Baseline[Sensor ID],Table_Baseline[Easting '[m']],"-")),"-")</f>
        <v>0</v>
      </c>
      <c r="P881" s="93">
        <f>IFERROR(IF(Readings[[#This Row],[Obs. Y]]="","-",Readings[[#This Row],[Obs. Y]]-_xlfn.XLOOKUP(Readings[[#This Row],[Sensor ID]],Table_Baseline[Sensor ID],Table_Baseline[Northing '[m']],"-")),"-")</f>
        <v>1.9999999785795808E-3</v>
      </c>
      <c r="Q881" s="93">
        <f>IFERROR(IF(Readings[[#This Row],[Obs. Z]]="","-",Readings[[#This Row],[Obs. Z]]-_xlfn.XLOOKUP(Readings[[#This Row],[Sensor ID]],Table_Baseline[Sensor ID],Table_Baseline[Level '[m']],"-")),"-")</f>
        <v>-2.9999999999930083E-4</v>
      </c>
      <c r="R881" s="93">
        <f>IFERROR(IF(Readings[[#This Row],[Reference Angle]]="-","-",(Readings[[#This Row],[Diff E]]*COS(RADIANS(Readings[[#This Row],[Reference Angle]]))-Readings[[#This Row],[Diff N]]*SIN(RADIANS(Readings[[#This Row],[Reference Angle]])))),"-")</f>
        <v>0</v>
      </c>
      <c r="S881" s="93">
        <f>IFERROR(IF(Readings[[#This Row],[Reference Angle]]="-","-",(Readings[[#This Row],[Diff E]]*SIN(RADIANS(Readings[[#This Row],[Reference Angle]]))+Readings[[#This Row],[Diff N]]*COS(RADIANS(Readings[[#This Row],[Reference Angle]])))),"-")</f>
        <v>1.9999999785795808E-3</v>
      </c>
      <c r="T881" s="94">
        <f>IFERROR(VLOOKUP(Readings[[#This Row],[Sensor ID]],Table_Baseline[],COLUMNS(Table_Baseline[[#Headers],[Sensor ID]:[Reference Angle '[Deg']]]),FALSE),"-")</f>
        <v>0</v>
      </c>
      <c r="U881" s="95" t="str">
        <f>Readings[[#This Row],[Sensor ID]]&amp;"-"&amp;Readings[[#This Row],[Epoch]]</f>
        <v>250-RL-OP-11008-45831.2916666667</v>
      </c>
      <c r="V881" s="99">
        <f ca="1">IF(Readings[[#This Row],[Epoch]]=OFFSET(Readings[[#This Row],[Epoch]],-1,0),0,1)</f>
        <v>0</v>
      </c>
    </row>
    <row r="882" spans="4:22" x14ac:dyDescent="0.2">
      <c r="D882" s="32">
        <v>45831.291666666664</v>
      </c>
      <c r="E882" s="33" t="s">
        <v>180</v>
      </c>
      <c r="F882" s="34">
        <v>60046.633000000002</v>
      </c>
      <c r="G882" s="34">
        <v>363842.48600000003</v>
      </c>
      <c r="H882" s="34">
        <v>18.777000000000001</v>
      </c>
      <c r="I882" s="33" t="s">
        <v>85</v>
      </c>
      <c r="J882" s="151" t="s">
        <v>90</v>
      </c>
      <c r="K882" s="33">
        <v>15.3</v>
      </c>
      <c r="L882" s="33">
        <v>1025</v>
      </c>
      <c r="M882" s="33">
        <v>96</v>
      </c>
      <c r="N882" s="33"/>
      <c r="O882" s="93">
        <f>IFERROR(IF(Readings[[#This Row],[Obs. X]]="","-",Readings[[#This Row],[Obs. X]]-_xlfn.XLOOKUP(Readings[[#This Row],[Sensor ID]],Table_Baseline[Sensor ID],Table_Baseline[Easting '[m']],"-")),"-")</f>
        <v>0</v>
      </c>
      <c r="P882" s="93">
        <f>IFERROR(IF(Readings[[#This Row],[Obs. Y]]="","-",Readings[[#This Row],[Obs. Y]]-_xlfn.XLOOKUP(Readings[[#This Row],[Sensor ID]],Table_Baseline[Sensor ID],Table_Baseline[Northing '[m']],"-")),"-")</f>
        <v>1.0000000474974513E-3</v>
      </c>
      <c r="Q882" s="93">
        <f>IFERROR(IF(Readings[[#This Row],[Obs. Z]]="","-",Readings[[#This Row],[Obs. Z]]-_xlfn.XLOOKUP(Readings[[#This Row],[Sensor ID]],Table_Baseline[Sensor ID],Table_Baseline[Level '[m']],"-")),"-")</f>
        <v>-5.9999999999860165E-4</v>
      </c>
      <c r="R882" s="93">
        <f>IFERROR(IF(Readings[[#This Row],[Reference Angle]]="-","-",(Readings[[#This Row],[Diff E]]*COS(RADIANS(Readings[[#This Row],[Reference Angle]]))-Readings[[#This Row],[Diff N]]*SIN(RADIANS(Readings[[#This Row],[Reference Angle]])))),"-")</f>
        <v>0</v>
      </c>
      <c r="S882" s="93">
        <f>IFERROR(IF(Readings[[#This Row],[Reference Angle]]="-","-",(Readings[[#This Row],[Diff E]]*SIN(RADIANS(Readings[[#This Row],[Reference Angle]]))+Readings[[#This Row],[Diff N]]*COS(RADIANS(Readings[[#This Row],[Reference Angle]])))),"-")</f>
        <v>1.0000000474974513E-3</v>
      </c>
      <c r="T882" s="94">
        <f>IFERROR(VLOOKUP(Readings[[#This Row],[Sensor ID]],Table_Baseline[],COLUMNS(Table_Baseline[[#Headers],[Sensor ID]:[Reference Angle '[Deg']]]),FALSE),"-")</f>
        <v>0</v>
      </c>
      <c r="U882" s="95" t="str">
        <f>Readings[[#This Row],[Sensor ID]]&amp;"-"&amp;Readings[[#This Row],[Epoch]]</f>
        <v>250-RL-OP-11009-45831.2916666667</v>
      </c>
      <c r="V882" s="99">
        <f ca="1">IF(Readings[[#This Row],[Epoch]]=OFFSET(Readings[[#This Row],[Epoch]],-1,0),0,1)</f>
        <v>0</v>
      </c>
    </row>
    <row r="883" spans="4:22" x14ac:dyDescent="0.2">
      <c r="D883" s="32">
        <v>45831.291666666664</v>
      </c>
      <c r="E883" s="33" t="s">
        <v>179</v>
      </c>
      <c r="F883" s="34">
        <v>60046.249000000003</v>
      </c>
      <c r="G883" s="34">
        <v>363841.22700000001</v>
      </c>
      <c r="H883" s="34">
        <v>18.77</v>
      </c>
      <c r="I883" s="33" t="s">
        <v>85</v>
      </c>
      <c r="J883" s="151" t="s">
        <v>90</v>
      </c>
      <c r="K883" s="33">
        <v>15.3</v>
      </c>
      <c r="L883" s="33">
        <v>1025</v>
      </c>
      <c r="M883" s="33">
        <v>96</v>
      </c>
      <c r="N883" s="33"/>
      <c r="O883" s="93">
        <f>IFERROR(IF(Readings[[#This Row],[Obs. X]]="","-",Readings[[#This Row],[Obs. X]]-_xlfn.XLOOKUP(Readings[[#This Row],[Sensor ID]],Table_Baseline[Sensor ID],Table_Baseline[Easting '[m']],"-")),"-")</f>
        <v>-9.9999999656574801E-4</v>
      </c>
      <c r="P883" s="93">
        <f>IFERROR(IF(Readings[[#This Row],[Obs. Y]]="","-",Readings[[#This Row],[Obs. Y]]-_xlfn.XLOOKUP(Readings[[#This Row],[Sensor ID]],Table_Baseline[Sensor ID],Table_Baseline[Northing '[m']],"-")),"-")</f>
        <v>9.9999998928979039E-4</v>
      </c>
      <c r="Q883" s="93">
        <f>IFERROR(IF(Readings[[#This Row],[Obs. Z]]="","-",Readings[[#This Row],[Obs. Z]]-_xlfn.XLOOKUP(Readings[[#This Row],[Sensor ID]],Table_Baseline[Sensor ID],Table_Baseline[Level '[m']],"-")),"-")</f>
        <v>1.9999999999953388E-4</v>
      </c>
      <c r="R883" s="93">
        <f>IFERROR(IF(Readings[[#This Row],[Reference Angle]]="-","-",(Readings[[#This Row],[Diff E]]*COS(RADIANS(Readings[[#This Row],[Reference Angle]]))-Readings[[#This Row],[Diff N]]*SIN(RADIANS(Readings[[#This Row],[Reference Angle]])))),"-")</f>
        <v>-9.9999999656574801E-4</v>
      </c>
      <c r="S883" s="93">
        <f>IFERROR(IF(Readings[[#This Row],[Reference Angle]]="-","-",(Readings[[#This Row],[Diff E]]*SIN(RADIANS(Readings[[#This Row],[Reference Angle]]))+Readings[[#This Row],[Diff N]]*COS(RADIANS(Readings[[#This Row],[Reference Angle]])))),"-")</f>
        <v>9.9999998928979039E-4</v>
      </c>
      <c r="T883" s="94">
        <f>IFERROR(VLOOKUP(Readings[[#This Row],[Sensor ID]],Table_Baseline[],COLUMNS(Table_Baseline[[#Headers],[Sensor ID]:[Reference Angle '[Deg']]]),FALSE),"-")</f>
        <v>0</v>
      </c>
      <c r="U883" s="95" t="str">
        <f>Readings[[#This Row],[Sensor ID]]&amp;"-"&amp;Readings[[#This Row],[Epoch]]</f>
        <v>250-RL-OP-11010-45831.2916666667</v>
      </c>
      <c r="V883" s="99">
        <f ca="1">IF(Readings[[#This Row],[Epoch]]=OFFSET(Readings[[#This Row],[Epoch]],-1,0),0,1)</f>
        <v>0</v>
      </c>
    </row>
    <row r="884" spans="4:22" x14ac:dyDescent="0.2">
      <c r="D884" s="32">
        <v>45831.291666666664</v>
      </c>
      <c r="E884" s="33" t="s">
        <v>182</v>
      </c>
      <c r="F884" s="34">
        <v>60049.398000000001</v>
      </c>
      <c r="G884" s="34">
        <v>363841.7</v>
      </c>
      <c r="H884" s="34">
        <v>18.777999999999999</v>
      </c>
      <c r="I884" s="33" t="s">
        <v>85</v>
      </c>
      <c r="J884" s="151" t="s">
        <v>90</v>
      </c>
      <c r="K884" s="33">
        <v>15.3</v>
      </c>
      <c r="L884" s="33">
        <v>1025</v>
      </c>
      <c r="M884" s="33">
        <v>96</v>
      </c>
      <c r="N884" s="33"/>
      <c r="O884" s="93">
        <f>IFERROR(IF(Readings[[#This Row],[Obs. X]]="","-",Readings[[#This Row],[Obs. X]]-_xlfn.XLOOKUP(Readings[[#This Row],[Sensor ID]],Table_Baseline[Sensor ID],Table_Baseline[Easting '[m']],"-")),"-")</f>
        <v>-9.9999999656574801E-4</v>
      </c>
      <c r="P884" s="93">
        <f>IFERROR(IF(Readings[[#This Row],[Obs. Y]]="","-",Readings[[#This Row],[Obs. Y]]-_xlfn.XLOOKUP(Readings[[#This Row],[Sensor ID]],Table_Baseline[Sensor ID],Table_Baseline[Northing '[m']],"-")),"-")</f>
        <v>2.0000000367872417E-3</v>
      </c>
      <c r="Q884" s="93">
        <f>IFERROR(IF(Readings[[#This Row],[Obs. Z]]="","-",Readings[[#This Row],[Obs. Z]]-_xlfn.XLOOKUP(Readings[[#This Row],[Sensor ID]],Table_Baseline[Sensor ID],Table_Baseline[Level '[m']],"-")),"-")</f>
        <v>0</v>
      </c>
      <c r="R884" s="93">
        <f>IFERROR(IF(Readings[[#This Row],[Reference Angle]]="-","-",(Readings[[#This Row],[Diff E]]*COS(RADIANS(Readings[[#This Row],[Reference Angle]]))-Readings[[#This Row],[Diff N]]*SIN(RADIANS(Readings[[#This Row],[Reference Angle]])))),"-")</f>
        <v>-9.9999999656574801E-4</v>
      </c>
      <c r="S884" s="93">
        <f>IFERROR(IF(Readings[[#This Row],[Reference Angle]]="-","-",(Readings[[#This Row],[Diff E]]*SIN(RADIANS(Readings[[#This Row],[Reference Angle]]))+Readings[[#This Row],[Diff N]]*COS(RADIANS(Readings[[#This Row],[Reference Angle]])))),"-")</f>
        <v>2.0000000367872417E-3</v>
      </c>
      <c r="T884" s="94">
        <f>IFERROR(VLOOKUP(Readings[[#This Row],[Sensor ID]],Table_Baseline[],COLUMNS(Table_Baseline[[#Headers],[Sensor ID]:[Reference Angle '[Deg']]]),FALSE),"-")</f>
        <v>0</v>
      </c>
      <c r="U884" s="95" t="str">
        <f>Readings[[#This Row],[Sensor ID]]&amp;"-"&amp;Readings[[#This Row],[Epoch]]</f>
        <v>250-RL-OP-11011-45831.2916666667</v>
      </c>
      <c r="V884" s="99">
        <f ca="1">IF(Readings[[#This Row],[Epoch]]=OFFSET(Readings[[#This Row],[Epoch]],-1,0),0,1)</f>
        <v>0</v>
      </c>
    </row>
    <row r="885" spans="4:22" x14ac:dyDescent="0.2">
      <c r="D885" s="32">
        <v>45831.291666666664</v>
      </c>
      <c r="E885" s="33" t="s">
        <v>181</v>
      </c>
      <c r="F885" s="34">
        <v>60049.040999999997</v>
      </c>
      <c r="G885" s="34">
        <v>363840.43599999999</v>
      </c>
      <c r="H885" s="34">
        <v>18.771000000000001</v>
      </c>
      <c r="I885" s="33" t="s">
        <v>85</v>
      </c>
      <c r="J885" s="151" t="s">
        <v>90</v>
      </c>
      <c r="K885" s="33">
        <v>15.3</v>
      </c>
      <c r="L885" s="33">
        <v>1025</v>
      </c>
      <c r="M885" s="33">
        <v>96</v>
      </c>
      <c r="N885" s="33"/>
      <c r="O885" s="93">
        <f>IFERROR(IF(Readings[[#This Row],[Obs. X]]="","-",Readings[[#This Row],[Obs. X]]-_xlfn.XLOOKUP(Readings[[#This Row],[Sensor ID]],Table_Baseline[Sensor ID],Table_Baseline[Easting '[m']],"-")),"-")</f>
        <v>0</v>
      </c>
      <c r="P885" s="93">
        <f>IFERROR(IF(Readings[[#This Row],[Obs. Y]]="","-",Readings[[#This Row],[Obs. Y]]-_xlfn.XLOOKUP(Readings[[#This Row],[Sensor ID]],Table_Baseline[Sensor ID],Table_Baseline[Northing '[m']],"-")),"-")</f>
        <v>3.0000000260770321E-3</v>
      </c>
      <c r="Q885" s="93">
        <f>IFERROR(IF(Readings[[#This Row],[Obs. Z]]="","-",Readings[[#This Row],[Obs. Z]]-_xlfn.XLOOKUP(Readings[[#This Row],[Sensor ID]],Table_Baseline[Sensor ID],Table_Baseline[Level '[m']],"-")),"-")</f>
        <v>-9.9999999999766942E-5</v>
      </c>
      <c r="R885" s="93">
        <f>IFERROR(IF(Readings[[#This Row],[Reference Angle]]="-","-",(Readings[[#This Row],[Diff E]]*COS(RADIANS(Readings[[#This Row],[Reference Angle]]))-Readings[[#This Row],[Diff N]]*SIN(RADIANS(Readings[[#This Row],[Reference Angle]])))),"-")</f>
        <v>0</v>
      </c>
      <c r="S885" s="93">
        <f>IFERROR(IF(Readings[[#This Row],[Reference Angle]]="-","-",(Readings[[#This Row],[Diff E]]*SIN(RADIANS(Readings[[#This Row],[Reference Angle]]))+Readings[[#This Row],[Diff N]]*COS(RADIANS(Readings[[#This Row],[Reference Angle]])))),"-")</f>
        <v>3.0000000260770321E-3</v>
      </c>
      <c r="T885" s="94">
        <f>IFERROR(VLOOKUP(Readings[[#This Row],[Sensor ID]],Table_Baseline[],COLUMNS(Table_Baseline[[#Headers],[Sensor ID]:[Reference Angle '[Deg']]]),FALSE),"-")</f>
        <v>0</v>
      </c>
      <c r="U885" s="95" t="str">
        <f>Readings[[#This Row],[Sensor ID]]&amp;"-"&amp;Readings[[#This Row],[Epoch]]</f>
        <v>250-RL-OP-11012-45831.2916666667</v>
      </c>
      <c r="V885" s="99">
        <f ca="1">IF(Readings[[#This Row],[Epoch]]=OFFSET(Readings[[#This Row],[Epoch]],-1,0),0,1)</f>
        <v>0</v>
      </c>
    </row>
    <row r="886" spans="4:22" x14ac:dyDescent="0.2">
      <c r="D886" s="32">
        <v>45831.291666666664</v>
      </c>
      <c r="E886" s="33" t="s">
        <v>184</v>
      </c>
      <c r="F886" s="34">
        <v>60052.292999999998</v>
      </c>
      <c r="G886" s="34">
        <v>363840.88800000004</v>
      </c>
      <c r="H886" s="34">
        <v>18.777999999999999</v>
      </c>
      <c r="I886" s="33" t="s">
        <v>85</v>
      </c>
      <c r="J886" s="151" t="s">
        <v>90</v>
      </c>
      <c r="K886" s="33">
        <v>15.3</v>
      </c>
      <c r="L886" s="33">
        <v>1025</v>
      </c>
      <c r="M886" s="33">
        <v>96</v>
      </c>
      <c r="N886" s="33"/>
      <c r="O886" s="93">
        <f>IFERROR(IF(Readings[[#This Row],[Obs. X]]="","-",Readings[[#This Row],[Obs. X]]-_xlfn.XLOOKUP(Readings[[#This Row],[Sensor ID]],Table_Baseline[Sensor ID],Table_Baseline[Easting '[m']],"-")),"-")</f>
        <v>0</v>
      </c>
      <c r="P886" s="93">
        <f>IFERROR(IF(Readings[[#This Row],[Obs. Y]]="","-",Readings[[#This Row],[Obs. Y]]-_xlfn.XLOOKUP(Readings[[#This Row],[Sensor ID]],Table_Baseline[Sensor ID],Table_Baseline[Northing '[m']],"-")),"-")</f>
        <v>3.0000000260770321E-3</v>
      </c>
      <c r="Q886" s="93">
        <f>IFERROR(IF(Readings[[#This Row],[Obs. Z]]="","-",Readings[[#This Row],[Obs. Z]]-_xlfn.XLOOKUP(Readings[[#This Row],[Sensor ID]],Table_Baseline[Sensor ID],Table_Baseline[Level '[m']],"-")),"-")</f>
        <v>-1.0000000000012221E-3</v>
      </c>
      <c r="R886" s="93">
        <f>IFERROR(IF(Readings[[#This Row],[Reference Angle]]="-","-",(Readings[[#This Row],[Diff E]]*COS(RADIANS(Readings[[#This Row],[Reference Angle]]))-Readings[[#This Row],[Diff N]]*SIN(RADIANS(Readings[[#This Row],[Reference Angle]])))),"-")</f>
        <v>0</v>
      </c>
      <c r="S886" s="93">
        <f>IFERROR(IF(Readings[[#This Row],[Reference Angle]]="-","-",(Readings[[#This Row],[Diff E]]*SIN(RADIANS(Readings[[#This Row],[Reference Angle]]))+Readings[[#This Row],[Diff N]]*COS(RADIANS(Readings[[#This Row],[Reference Angle]])))),"-")</f>
        <v>3.0000000260770321E-3</v>
      </c>
      <c r="T886" s="94">
        <f>IFERROR(VLOOKUP(Readings[[#This Row],[Sensor ID]],Table_Baseline[],COLUMNS(Table_Baseline[[#Headers],[Sensor ID]:[Reference Angle '[Deg']]]),FALSE),"-")</f>
        <v>0</v>
      </c>
      <c r="U886" s="95" t="str">
        <f>Readings[[#This Row],[Sensor ID]]&amp;"-"&amp;Readings[[#This Row],[Epoch]]</f>
        <v>250-RL-OP-11013-45831.2916666667</v>
      </c>
      <c r="V886" s="99">
        <f ca="1">IF(Readings[[#This Row],[Epoch]]=OFFSET(Readings[[#This Row],[Epoch]],-1,0),0,1)</f>
        <v>0</v>
      </c>
    </row>
    <row r="887" spans="4:22" x14ac:dyDescent="0.2">
      <c r="D887" s="32">
        <v>45831.291666666664</v>
      </c>
      <c r="E887" s="33" t="s">
        <v>183</v>
      </c>
      <c r="F887" s="34">
        <v>60051.989000000001</v>
      </c>
      <c r="G887" s="34">
        <v>363839.60699999996</v>
      </c>
      <c r="H887" s="34">
        <v>18.768999999999998</v>
      </c>
      <c r="I887" s="33" t="s">
        <v>85</v>
      </c>
      <c r="J887" s="151" t="s">
        <v>90</v>
      </c>
      <c r="K887" s="33">
        <v>15.3</v>
      </c>
      <c r="L887" s="33">
        <v>1025</v>
      </c>
      <c r="M887" s="33">
        <v>96</v>
      </c>
      <c r="N887" s="33"/>
      <c r="O887" s="93">
        <f>IFERROR(IF(Readings[[#This Row],[Obs. X]]="","-",Readings[[#This Row],[Obs. X]]-_xlfn.XLOOKUP(Readings[[#This Row],[Sensor ID]],Table_Baseline[Sensor ID],Table_Baseline[Easting '[m']],"-")),"-")</f>
        <v>0</v>
      </c>
      <c r="P887" s="93">
        <f>IFERROR(IF(Readings[[#This Row],[Obs. Y]]="","-",Readings[[#This Row],[Obs. Y]]-_xlfn.XLOOKUP(Readings[[#This Row],[Sensor ID]],Table_Baseline[Sensor ID],Table_Baseline[Northing '[m']],"-")),"-")</f>
        <v>3.9999999571591616E-3</v>
      </c>
      <c r="Q887" s="93">
        <f>IFERROR(IF(Readings[[#This Row],[Obs. Z]]="","-",Readings[[#This Row],[Obs. Z]]-_xlfn.XLOOKUP(Readings[[#This Row],[Sensor ID]],Table_Baseline[Sensor ID],Table_Baseline[Level '[m']],"-")),"-")</f>
        <v>-1.1000000000009891E-3</v>
      </c>
      <c r="R887" s="93">
        <f>IFERROR(IF(Readings[[#This Row],[Reference Angle]]="-","-",(Readings[[#This Row],[Diff E]]*COS(RADIANS(Readings[[#This Row],[Reference Angle]]))-Readings[[#This Row],[Diff N]]*SIN(RADIANS(Readings[[#This Row],[Reference Angle]])))),"-")</f>
        <v>0</v>
      </c>
      <c r="S887" s="93">
        <f>IFERROR(IF(Readings[[#This Row],[Reference Angle]]="-","-",(Readings[[#This Row],[Diff E]]*SIN(RADIANS(Readings[[#This Row],[Reference Angle]]))+Readings[[#This Row],[Diff N]]*COS(RADIANS(Readings[[#This Row],[Reference Angle]])))),"-")</f>
        <v>3.9999999571591616E-3</v>
      </c>
      <c r="T887" s="94">
        <f>IFERROR(VLOOKUP(Readings[[#This Row],[Sensor ID]],Table_Baseline[],COLUMNS(Table_Baseline[[#Headers],[Sensor ID]:[Reference Angle '[Deg']]]),FALSE),"-")</f>
        <v>0</v>
      </c>
      <c r="U887" s="95" t="str">
        <f>Readings[[#This Row],[Sensor ID]]&amp;"-"&amp;Readings[[#This Row],[Epoch]]</f>
        <v>250-RL-OP-11014-45831.2916666667</v>
      </c>
      <c r="V887" s="99">
        <f ca="1">IF(Readings[[#This Row],[Epoch]]=OFFSET(Readings[[#This Row],[Epoch]],-1,0),0,1)</f>
        <v>0</v>
      </c>
    </row>
    <row r="888" spans="4:22" x14ac:dyDescent="0.2">
      <c r="D888" s="32">
        <v>45831.291666666664</v>
      </c>
      <c r="E888" s="33" t="s">
        <v>186</v>
      </c>
      <c r="F888" s="34">
        <v>60055.196000000004</v>
      </c>
      <c r="G888" s="34">
        <v>363840.098</v>
      </c>
      <c r="H888" s="34">
        <v>18.78</v>
      </c>
      <c r="I888" s="33" t="s">
        <v>85</v>
      </c>
      <c r="J888" s="151" t="s">
        <v>90</v>
      </c>
      <c r="K888" s="33">
        <v>15.3</v>
      </c>
      <c r="L888" s="33">
        <v>1025</v>
      </c>
      <c r="M888" s="33">
        <v>96</v>
      </c>
      <c r="N888" s="33"/>
      <c r="O888" s="93">
        <f>IFERROR(IF(Readings[[#This Row],[Obs. X]]="","-",Readings[[#This Row],[Obs. X]]-_xlfn.XLOOKUP(Readings[[#This Row],[Sensor ID]],Table_Baseline[Sensor ID],Table_Baseline[Easting '[m']],"-")),"-")</f>
        <v>0</v>
      </c>
      <c r="P888" s="93">
        <f>IFERROR(IF(Readings[[#This Row],[Obs. Y]]="","-",Readings[[#This Row],[Obs. Y]]-_xlfn.XLOOKUP(Readings[[#This Row],[Sensor ID]],Table_Baseline[Sensor ID],Table_Baseline[Northing '[m']],"-")),"-")</f>
        <v>3.0000000260770321E-3</v>
      </c>
      <c r="Q888" s="93">
        <f>IFERROR(IF(Readings[[#This Row],[Obs. Z]]="","-",Readings[[#This Row],[Obs. Z]]-_xlfn.XLOOKUP(Readings[[#This Row],[Sensor ID]],Table_Baseline[Sensor ID],Table_Baseline[Level '[m']],"-")),"-")</f>
        <v>-8.9999999999790248E-4</v>
      </c>
      <c r="R888" s="93">
        <f>IFERROR(IF(Readings[[#This Row],[Reference Angle]]="-","-",(Readings[[#This Row],[Diff E]]*COS(RADIANS(Readings[[#This Row],[Reference Angle]]))-Readings[[#This Row],[Diff N]]*SIN(RADIANS(Readings[[#This Row],[Reference Angle]])))),"-")</f>
        <v>0</v>
      </c>
      <c r="S888" s="93">
        <f>IFERROR(IF(Readings[[#This Row],[Reference Angle]]="-","-",(Readings[[#This Row],[Diff E]]*SIN(RADIANS(Readings[[#This Row],[Reference Angle]]))+Readings[[#This Row],[Diff N]]*COS(RADIANS(Readings[[#This Row],[Reference Angle]])))),"-")</f>
        <v>3.0000000260770321E-3</v>
      </c>
      <c r="T888" s="94">
        <f>IFERROR(VLOOKUP(Readings[[#This Row],[Sensor ID]],Table_Baseline[],COLUMNS(Table_Baseline[[#Headers],[Sensor ID]:[Reference Angle '[Deg']]]),FALSE),"-")</f>
        <v>0</v>
      </c>
      <c r="U888" s="95" t="str">
        <f>Readings[[#This Row],[Sensor ID]]&amp;"-"&amp;Readings[[#This Row],[Epoch]]</f>
        <v>250-RL-OP-11015-45831.2916666667</v>
      </c>
      <c r="V888" s="99">
        <f ca="1">IF(Readings[[#This Row],[Epoch]]=OFFSET(Readings[[#This Row],[Epoch]],-1,0),0,1)</f>
        <v>0</v>
      </c>
    </row>
    <row r="889" spans="4:22" x14ac:dyDescent="0.2">
      <c r="D889" s="32">
        <v>45831.291666666664</v>
      </c>
      <c r="E889" s="33" t="s">
        <v>185</v>
      </c>
      <c r="F889" s="34">
        <v>60054.885000000002</v>
      </c>
      <c r="G889" s="34">
        <v>363838.80799999996</v>
      </c>
      <c r="H889" s="34">
        <v>18.771999999999998</v>
      </c>
      <c r="I889" s="33" t="s">
        <v>85</v>
      </c>
      <c r="J889" s="151" t="s">
        <v>90</v>
      </c>
      <c r="K889" s="33">
        <v>15.3</v>
      </c>
      <c r="L889" s="33">
        <v>1025</v>
      </c>
      <c r="M889" s="33">
        <v>96</v>
      </c>
      <c r="N889" s="33"/>
      <c r="O889" s="93">
        <f>IFERROR(IF(Readings[[#This Row],[Obs. X]]="","-",Readings[[#This Row],[Obs. X]]-_xlfn.XLOOKUP(Readings[[#This Row],[Sensor ID]],Table_Baseline[Sensor ID],Table_Baseline[Easting '[m']],"-")),"-")</f>
        <v>-9.9999999656574801E-4</v>
      </c>
      <c r="P889" s="93">
        <f>IFERROR(IF(Readings[[#This Row],[Obs. Y]]="","-",Readings[[#This Row],[Obs. Y]]-_xlfn.XLOOKUP(Readings[[#This Row],[Sensor ID]],Table_Baseline[Sensor ID],Table_Baseline[Northing '[m']],"-")),"-")</f>
        <v>2.9999999678693712E-3</v>
      </c>
      <c r="Q889" s="93">
        <f>IFERROR(IF(Readings[[#This Row],[Obs. Z]]="","-",Readings[[#This Row],[Obs. Z]]-_xlfn.XLOOKUP(Readings[[#This Row],[Sensor ID]],Table_Baseline[Sensor ID],Table_Baseline[Level '[m']],"-")),"-")</f>
        <v>-1.1000000000009891E-3</v>
      </c>
      <c r="R889" s="93">
        <f>IFERROR(IF(Readings[[#This Row],[Reference Angle]]="-","-",(Readings[[#This Row],[Diff E]]*COS(RADIANS(Readings[[#This Row],[Reference Angle]]))-Readings[[#This Row],[Diff N]]*SIN(RADIANS(Readings[[#This Row],[Reference Angle]])))),"-")</f>
        <v>-9.9999999656574801E-4</v>
      </c>
      <c r="S889" s="93">
        <f>IFERROR(IF(Readings[[#This Row],[Reference Angle]]="-","-",(Readings[[#This Row],[Diff E]]*SIN(RADIANS(Readings[[#This Row],[Reference Angle]]))+Readings[[#This Row],[Diff N]]*COS(RADIANS(Readings[[#This Row],[Reference Angle]])))),"-")</f>
        <v>2.9999999678693712E-3</v>
      </c>
      <c r="T889" s="94">
        <f>IFERROR(VLOOKUP(Readings[[#This Row],[Sensor ID]],Table_Baseline[],COLUMNS(Table_Baseline[[#Headers],[Sensor ID]:[Reference Angle '[Deg']]]),FALSE),"-")</f>
        <v>0</v>
      </c>
      <c r="U889" s="95" t="str">
        <f>Readings[[#This Row],[Sensor ID]]&amp;"-"&amp;Readings[[#This Row],[Epoch]]</f>
        <v>250-RL-OP-11016-45831.2916666667</v>
      </c>
      <c r="V889" s="99">
        <f ca="1">IF(Readings[[#This Row],[Epoch]]=OFFSET(Readings[[#This Row],[Epoch]],-1,0),0,1)</f>
        <v>0</v>
      </c>
    </row>
    <row r="890" spans="4:22" x14ac:dyDescent="0.2">
      <c r="D890" s="32">
        <v>45831.291666666664</v>
      </c>
      <c r="E890" s="33" t="s">
        <v>188</v>
      </c>
      <c r="F890" s="34">
        <v>60057.951999999997</v>
      </c>
      <c r="G890" s="34">
        <v>363839.36699999997</v>
      </c>
      <c r="H890" s="34">
        <v>18.785</v>
      </c>
      <c r="I890" s="33" t="s">
        <v>85</v>
      </c>
      <c r="J890" s="151" t="s">
        <v>90</v>
      </c>
      <c r="K890" s="33">
        <v>15.3</v>
      </c>
      <c r="L890" s="33">
        <v>1025</v>
      </c>
      <c r="M890" s="33">
        <v>96</v>
      </c>
      <c r="N890" s="33"/>
      <c r="O890" s="93">
        <f>IFERROR(IF(Readings[[#This Row],[Obs. X]]="","-",Readings[[#This Row],[Obs. X]]-_xlfn.XLOOKUP(Readings[[#This Row],[Sensor ID]],Table_Baseline[Sensor ID],Table_Baseline[Easting '[m']],"-")),"-")</f>
        <v>0</v>
      </c>
      <c r="P890" s="93">
        <f>IFERROR(IF(Readings[[#This Row],[Obs. Y]]="","-",Readings[[#This Row],[Obs. Y]]-_xlfn.XLOOKUP(Readings[[#This Row],[Sensor ID]],Table_Baseline[Sensor ID],Table_Baseline[Northing '[m']],"-")),"-")</f>
        <v>5.0000000046566129E-3</v>
      </c>
      <c r="Q890" s="93">
        <f>IFERROR(IF(Readings[[#This Row],[Obs. Z]]="","-",Readings[[#This Row],[Obs. Z]]-_xlfn.XLOOKUP(Readings[[#This Row],[Sensor ID]],Table_Baseline[Sensor ID],Table_Baseline[Level '[m']],"-")),"-")</f>
        <v>-1.0000000000012221E-3</v>
      </c>
      <c r="R890" s="93">
        <f>IFERROR(IF(Readings[[#This Row],[Reference Angle]]="-","-",(Readings[[#This Row],[Diff E]]*COS(RADIANS(Readings[[#This Row],[Reference Angle]]))-Readings[[#This Row],[Diff N]]*SIN(RADIANS(Readings[[#This Row],[Reference Angle]])))),"-")</f>
        <v>0</v>
      </c>
      <c r="S890" s="93">
        <f>IFERROR(IF(Readings[[#This Row],[Reference Angle]]="-","-",(Readings[[#This Row],[Diff E]]*SIN(RADIANS(Readings[[#This Row],[Reference Angle]]))+Readings[[#This Row],[Diff N]]*COS(RADIANS(Readings[[#This Row],[Reference Angle]])))),"-")</f>
        <v>5.0000000046566129E-3</v>
      </c>
      <c r="T890" s="94">
        <f>IFERROR(VLOOKUP(Readings[[#This Row],[Sensor ID]],Table_Baseline[],COLUMNS(Table_Baseline[[#Headers],[Sensor ID]:[Reference Angle '[Deg']]]),FALSE),"-")</f>
        <v>0</v>
      </c>
      <c r="U890" s="95" t="str">
        <f>Readings[[#This Row],[Sensor ID]]&amp;"-"&amp;Readings[[#This Row],[Epoch]]</f>
        <v>250-RL-OP-11017-45831.2916666667</v>
      </c>
      <c r="V890" s="99">
        <f ca="1">IF(Readings[[#This Row],[Epoch]]=OFFSET(Readings[[#This Row],[Epoch]],-1,0),0,1)</f>
        <v>0</v>
      </c>
    </row>
    <row r="891" spans="4:22" x14ac:dyDescent="0.2">
      <c r="D891" s="32">
        <v>45831.291666666664</v>
      </c>
      <c r="E891" s="33" t="s">
        <v>187</v>
      </c>
      <c r="F891" s="34">
        <v>60057.578999999998</v>
      </c>
      <c r="G891" s="34">
        <v>363838.10200000001</v>
      </c>
      <c r="H891" s="34">
        <v>18.774999999999999</v>
      </c>
      <c r="I891" s="33" t="s">
        <v>85</v>
      </c>
      <c r="J891" s="151" t="s">
        <v>90</v>
      </c>
      <c r="K891" s="33">
        <v>15.3</v>
      </c>
      <c r="L891" s="33">
        <v>1025</v>
      </c>
      <c r="M891" s="33">
        <v>96</v>
      </c>
      <c r="N891" s="33"/>
      <c r="O891" s="93">
        <f>IFERROR(IF(Readings[[#This Row],[Obs. X]]="","-",Readings[[#This Row],[Obs. X]]-_xlfn.XLOOKUP(Readings[[#This Row],[Sensor ID]],Table_Baseline[Sensor ID],Table_Baseline[Easting '[m']],"-")),"-")</f>
        <v>0</v>
      </c>
      <c r="P891" s="93">
        <f>IFERROR(IF(Readings[[#This Row],[Obs. Y]]="","-",Readings[[#This Row],[Obs. Y]]-_xlfn.XLOOKUP(Readings[[#This Row],[Sensor ID]],Table_Baseline[Sensor ID],Table_Baseline[Northing '[m']],"-")),"-")</f>
        <v>4.0000000153668225E-3</v>
      </c>
      <c r="Q891" s="93">
        <f>IFERROR(IF(Readings[[#This Row],[Obs. Z]]="","-",Readings[[#This Row],[Obs. Z]]-_xlfn.XLOOKUP(Readings[[#This Row],[Sensor ID]],Table_Baseline[Sensor ID],Table_Baseline[Level '[m']],"-")),"-")</f>
        <v>-1.0000000000012221E-3</v>
      </c>
      <c r="R891" s="93">
        <f>IFERROR(IF(Readings[[#This Row],[Reference Angle]]="-","-",(Readings[[#This Row],[Diff E]]*COS(RADIANS(Readings[[#This Row],[Reference Angle]]))-Readings[[#This Row],[Diff N]]*SIN(RADIANS(Readings[[#This Row],[Reference Angle]])))),"-")</f>
        <v>0</v>
      </c>
      <c r="S891" s="93">
        <f>IFERROR(IF(Readings[[#This Row],[Reference Angle]]="-","-",(Readings[[#This Row],[Diff E]]*SIN(RADIANS(Readings[[#This Row],[Reference Angle]]))+Readings[[#This Row],[Diff N]]*COS(RADIANS(Readings[[#This Row],[Reference Angle]])))),"-")</f>
        <v>4.0000000153668225E-3</v>
      </c>
      <c r="T891" s="94">
        <f>IFERROR(VLOOKUP(Readings[[#This Row],[Sensor ID]],Table_Baseline[],COLUMNS(Table_Baseline[[#Headers],[Sensor ID]:[Reference Angle '[Deg']]]),FALSE),"-")</f>
        <v>0</v>
      </c>
      <c r="U891" s="95" t="str">
        <f>Readings[[#This Row],[Sensor ID]]&amp;"-"&amp;Readings[[#This Row],[Epoch]]</f>
        <v>250-RL-OP-11018-45831.2916666667</v>
      </c>
      <c r="V891" s="99">
        <f ca="1">IF(Readings[[#This Row],[Epoch]]=OFFSET(Readings[[#This Row],[Epoch]],-1,0),0,1)</f>
        <v>0</v>
      </c>
    </row>
    <row r="892" spans="4:22" x14ac:dyDescent="0.2">
      <c r="D892" s="32">
        <v>45831.291666666664</v>
      </c>
      <c r="E892" s="33" t="s">
        <v>190</v>
      </c>
      <c r="F892" s="34">
        <v>60060.963000000003</v>
      </c>
      <c r="G892" s="34">
        <v>363838.60499999998</v>
      </c>
      <c r="H892" s="34">
        <v>18.794</v>
      </c>
      <c r="I892" s="33" t="s">
        <v>85</v>
      </c>
      <c r="J892" s="151" t="s">
        <v>90</v>
      </c>
      <c r="K892" s="33">
        <v>15.3</v>
      </c>
      <c r="L892" s="33">
        <v>1025</v>
      </c>
      <c r="M892" s="33">
        <v>96</v>
      </c>
      <c r="N892" s="33"/>
      <c r="O892" s="93">
        <f>IFERROR(IF(Readings[[#This Row],[Obs. X]]="","-",Readings[[#This Row],[Obs. X]]-_xlfn.XLOOKUP(Readings[[#This Row],[Sensor ID]],Table_Baseline[Sensor ID],Table_Baseline[Easting '[m']],"-")),"-")</f>
        <v>0</v>
      </c>
      <c r="P892" s="93">
        <f>IFERROR(IF(Readings[[#This Row],[Obs. Y]]="","-",Readings[[#This Row],[Obs. Y]]-_xlfn.XLOOKUP(Readings[[#This Row],[Sensor ID]],Table_Baseline[Sensor ID],Table_Baseline[Northing '[m']],"-")),"-")</f>
        <v>3.9999999571591616E-3</v>
      </c>
      <c r="Q892" s="93">
        <f>IFERROR(IF(Readings[[#This Row],[Obs. Z]]="","-",Readings[[#This Row],[Obs. Z]]-_xlfn.XLOOKUP(Readings[[#This Row],[Sensor ID]],Table_Baseline[Sensor ID],Table_Baseline[Level '[m']],"-")),"-")</f>
        <v>-5.9999999999860165E-4</v>
      </c>
      <c r="R892" s="93">
        <f>IFERROR(IF(Readings[[#This Row],[Reference Angle]]="-","-",(Readings[[#This Row],[Diff E]]*COS(RADIANS(Readings[[#This Row],[Reference Angle]]))-Readings[[#This Row],[Diff N]]*SIN(RADIANS(Readings[[#This Row],[Reference Angle]])))),"-")</f>
        <v>0</v>
      </c>
      <c r="S892" s="93">
        <f>IFERROR(IF(Readings[[#This Row],[Reference Angle]]="-","-",(Readings[[#This Row],[Diff E]]*SIN(RADIANS(Readings[[#This Row],[Reference Angle]]))+Readings[[#This Row],[Diff N]]*COS(RADIANS(Readings[[#This Row],[Reference Angle]])))),"-")</f>
        <v>3.9999999571591616E-3</v>
      </c>
      <c r="T892" s="94">
        <f>IFERROR(VLOOKUP(Readings[[#This Row],[Sensor ID]],Table_Baseline[],COLUMNS(Table_Baseline[[#Headers],[Sensor ID]:[Reference Angle '[Deg']]]),FALSE),"-")</f>
        <v>0</v>
      </c>
      <c r="U892" s="95" t="str">
        <f>Readings[[#This Row],[Sensor ID]]&amp;"-"&amp;Readings[[#This Row],[Epoch]]</f>
        <v>250-RL-OP-11019-45831.2916666667</v>
      </c>
      <c r="V892" s="99">
        <f ca="1">IF(Readings[[#This Row],[Epoch]]=OFFSET(Readings[[#This Row],[Epoch]],-1,0),0,1)</f>
        <v>0</v>
      </c>
    </row>
    <row r="893" spans="4:22" x14ac:dyDescent="0.2">
      <c r="D893" s="32">
        <v>45831.291666666664</v>
      </c>
      <c r="E893" s="33" t="s">
        <v>189</v>
      </c>
      <c r="F893" s="34">
        <v>60060.639999999999</v>
      </c>
      <c r="G893" s="34">
        <v>363837.32699999999</v>
      </c>
      <c r="H893" s="34">
        <v>18.782</v>
      </c>
      <c r="I893" s="33" t="s">
        <v>85</v>
      </c>
      <c r="J893" s="151" t="s">
        <v>90</v>
      </c>
      <c r="K893" s="33">
        <v>15.3</v>
      </c>
      <c r="L893" s="33">
        <v>1025</v>
      </c>
      <c r="M893" s="33">
        <v>96</v>
      </c>
      <c r="N893" s="33"/>
      <c r="O893" s="93">
        <f>IFERROR(IF(Readings[[#This Row],[Obs. X]]="","-",Readings[[#This Row],[Obs. X]]-_xlfn.XLOOKUP(Readings[[#This Row],[Sensor ID]],Table_Baseline[Sensor ID],Table_Baseline[Easting '[m']],"-")),"-")</f>
        <v>0</v>
      </c>
      <c r="P893" s="93">
        <f>IFERROR(IF(Readings[[#This Row],[Obs. Y]]="","-",Readings[[#This Row],[Obs. Y]]-_xlfn.XLOOKUP(Readings[[#This Row],[Sensor ID]],Table_Baseline[Sensor ID],Table_Baseline[Northing '[m']],"-")),"-")</f>
        <v>5.0000000046566129E-3</v>
      </c>
      <c r="Q893" s="93">
        <f>IFERROR(IF(Readings[[#This Row],[Obs. Z]]="","-",Readings[[#This Row],[Obs. Z]]-_xlfn.XLOOKUP(Readings[[#This Row],[Sensor ID]],Table_Baseline[Sensor ID],Table_Baseline[Level '[m']],"-")),"-")</f>
        <v>-1.5999999999998238E-3</v>
      </c>
      <c r="R893" s="93">
        <f>IFERROR(IF(Readings[[#This Row],[Reference Angle]]="-","-",(Readings[[#This Row],[Diff E]]*COS(RADIANS(Readings[[#This Row],[Reference Angle]]))-Readings[[#This Row],[Diff N]]*SIN(RADIANS(Readings[[#This Row],[Reference Angle]])))),"-")</f>
        <v>0</v>
      </c>
      <c r="S893" s="93">
        <f>IFERROR(IF(Readings[[#This Row],[Reference Angle]]="-","-",(Readings[[#This Row],[Diff E]]*SIN(RADIANS(Readings[[#This Row],[Reference Angle]]))+Readings[[#This Row],[Diff N]]*COS(RADIANS(Readings[[#This Row],[Reference Angle]])))),"-")</f>
        <v>5.0000000046566129E-3</v>
      </c>
      <c r="T893" s="94">
        <f>IFERROR(VLOOKUP(Readings[[#This Row],[Sensor ID]],Table_Baseline[],COLUMNS(Table_Baseline[[#Headers],[Sensor ID]:[Reference Angle '[Deg']]]),FALSE),"-")</f>
        <v>0</v>
      </c>
      <c r="U893" s="95" t="str">
        <f>Readings[[#This Row],[Sensor ID]]&amp;"-"&amp;Readings[[#This Row],[Epoch]]</f>
        <v>250-RL-OP-11020-45831.2916666667</v>
      </c>
      <c r="V893" s="99">
        <f ca="1">IF(Readings[[#This Row],[Epoch]]=OFFSET(Readings[[#This Row],[Epoch]],-1,0),0,1)</f>
        <v>0</v>
      </c>
    </row>
    <row r="894" spans="4:22" x14ac:dyDescent="0.2">
      <c r="D894" s="32">
        <v>45831.291666666664</v>
      </c>
      <c r="E894" s="33" t="s">
        <v>192</v>
      </c>
      <c r="F894" s="34">
        <v>60063.750999999997</v>
      </c>
      <c r="G894" s="34">
        <v>363837.92200000002</v>
      </c>
      <c r="H894" s="34">
        <v>18.808</v>
      </c>
      <c r="I894" s="33" t="s">
        <v>85</v>
      </c>
      <c r="J894" s="151" t="s">
        <v>90</v>
      </c>
      <c r="K894" s="33">
        <v>15.3</v>
      </c>
      <c r="L894" s="33">
        <v>1025</v>
      </c>
      <c r="M894" s="33">
        <v>96</v>
      </c>
      <c r="N894" s="33"/>
      <c r="O894" s="93">
        <f>IFERROR(IF(Readings[[#This Row],[Obs. X]]="","-",Readings[[#This Row],[Obs. X]]-_xlfn.XLOOKUP(Readings[[#This Row],[Sensor ID]],Table_Baseline[Sensor ID],Table_Baseline[Easting '[m']],"-")),"-")</f>
        <v>0</v>
      </c>
      <c r="P894" s="93">
        <f>IFERROR(IF(Readings[[#This Row],[Obs. Y]]="","-",Readings[[#This Row],[Obs. Y]]-_xlfn.XLOOKUP(Readings[[#This Row],[Sensor ID]],Table_Baseline[Sensor ID],Table_Baseline[Northing '[m']],"-")),"-")</f>
        <v>4.0000000153668225E-3</v>
      </c>
      <c r="Q894" s="93">
        <f>IFERROR(IF(Readings[[#This Row],[Obs. Z]]="","-",Readings[[#This Row],[Obs. Z]]-_xlfn.XLOOKUP(Readings[[#This Row],[Sensor ID]],Table_Baseline[Sensor ID],Table_Baseline[Level '[m']],"-")),"-")</f>
        <v>-1.0000000000012221E-3</v>
      </c>
      <c r="R894" s="93">
        <f>IFERROR(IF(Readings[[#This Row],[Reference Angle]]="-","-",(Readings[[#This Row],[Diff E]]*COS(RADIANS(Readings[[#This Row],[Reference Angle]]))-Readings[[#This Row],[Diff N]]*SIN(RADIANS(Readings[[#This Row],[Reference Angle]])))),"-")</f>
        <v>0</v>
      </c>
      <c r="S894" s="93">
        <f>IFERROR(IF(Readings[[#This Row],[Reference Angle]]="-","-",(Readings[[#This Row],[Diff E]]*SIN(RADIANS(Readings[[#This Row],[Reference Angle]]))+Readings[[#This Row],[Diff N]]*COS(RADIANS(Readings[[#This Row],[Reference Angle]])))),"-")</f>
        <v>4.0000000153668225E-3</v>
      </c>
      <c r="T894" s="94">
        <f>IFERROR(VLOOKUP(Readings[[#This Row],[Sensor ID]],Table_Baseline[],COLUMNS(Table_Baseline[[#Headers],[Sensor ID]:[Reference Angle '[Deg']]]),FALSE),"-")</f>
        <v>0</v>
      </c>
      <c r="U894" s="95" t="str">
        <f>Readings[[#This Row],[Sensor ID]]&amp;"-"&amp;Readings[[#This Row],[Epoch]]</f>
        <v>250-RL-OP-11021-45831.2916666667</v>
      </c>
      <c r="V894" s="99">
        <f ca="1">IF(Readings[[#This Row],[Epoch]]=OFFSET(Readings[[#This Row],[Epoch]],-1,0),0,1)</f>
        <v>0</v>
      </c>
    </row>
    <row r="895" spans="4:22" x14ac:dyDescent="0.2">
      <c r="D895" s="32">
        <v>45831.291666666664</v>
      </c>
      <c r="E895" s="151" t="s">
        <v>191</v>
      </c>
      <c r="F895" s="152">
        <v>60063.421999999999</v>
      </c>
      <c r="G895" s="152">
        <v>363836.641</v>
      </c>
      <c r="H895" s="152">
        <v>18.792999999999999</v>
      </c>
      <c r="I895" s="33" t="s">
        <v>85</v>
      </c>
      <c r="J895" s="151" t="s">
        <v>90</v>
      </c>
      <c r="K895" s="33">
        <v>15.3</v>
      </c>
      <c r="L895" s="33">
        <v>1025</v>
      </c>
      <c r="M895" s="33">
        <v>96</v>
      </c>
      <c r="N895" s="151"/>
      <c r="O895" s="96">
        <f>IFERROR(IF(Readings[[#This Row],[Obs. X]]="","-",Readings[[#This Row],[Obs. X]]-_xlfn.XLOOKUP(Readings[[#This Row],[Sensor ID]],Table_Baseline[Sensor ID],Table_Baseline[Easting '[m']],"-")),"-")</f>
        <v>0</v>
      </c>
      <c r="P895" s="96">
        <f>IFERROR(IF(Readings[[#This Row],[Obs. Y]]="","-",Readings[[#This Row],[Obs. Y]]-_xlfn.XLOOKUP(Readings[[#This Row],[Sensor ID]],Table_Baseline[Sensor ID],Table_Baseline[Northing '[m']],"-")),"-")</f>
        <v>5.0000000046566129E-3</v>
      </c>
      <c r="Q895" s="96">
        <f>IFERROR(IF(Readings[[#This Row],[Obs. Z]]="","-",Readings[[#This Row],[Obs. Z]]-_xlfn.XLOOKUP(Readings[[#This Row],[Sensor ID]],Table_Baseline[Sensor ID],Table_Baseline[Level '[m']],"-")),"-")</f>
        <v>-1.8999999999991246E-3</v>
      </c>
      <c r="R895" s="96">
        <f>IFERROR(IF(Readings[[#This Row],[Reference Angle]]="-","-",(Readings[[#This Row],[Diff E]]*COS(RADIANS(Readings[[#This Row],[Reference Angle]]))-Readings[[#This Row],[Diff N]]*SIN(RADIANS(Readings[[#This Row],[Reference Angle]])))),"-")</f>
        <v>0</v>
      </c>
      <c r="S895" s="96">
        <f>IFERROR(IF(Readings[[#This Row],[Reference Angle]]="-","-",(Readings[[#This Row],[Diff E]]*SIN(RADIANS(Readings[[#This Row],[Reference Angle]]))+Readings[[#This Row],[Diff N]]*COS(RADIANS(Readings[[#This Row],[Reference Angle]])))),"-")</f>
        <v>5.0000000046566129E-3</v>
      </c>
      <c r="T895" s="97">
        <f>IFERROR(VLOOKUP(Readings[[#This Row],[Sensor ID]],Table_Baseline[],COLUMNS(Table_Baseline[[#Headers],[Sensor ID]:[Reference Angle '[Deg']]]),FALSE),"-")</f>
        <v>0</v>
      </c>
      <c r="U895" s="98" t="str">
        <f>Readings[[#This Row],[Sensor ID]]&amp;"-"&amp;Readings[[#This Row],[Epoch]]</f>
        <v>250-RL-OP-11022-45831.2916666667</v>
      </c>
      <c r="V895" s="100">
        <f ca="1">IF(Readings[[#This Row],[Epoch]]=OFFSET(Readings[[#This Row],[Epoch]],-1,0),0,1)</f>
        <v>0</v>
      </c>
    </row>
    <row r="896" spans="4:22" x14ac:dyDescent="0.2">
      <c r="D896" s="32">
        <v>45833.284722222219</v>
      </c>
      <c r="E896" s="33" t="s">
        <v>172</v>
      </c>
      <c r="F896" s="34">
        <v>60035.339</v>
      </c>
      <c r="G896" s="34">
        <v>363845.73800000001</v>
      </c>
      <c r="H896" s="34">
        <v>18.782</v>
      </c>
      <c r="I896" s="33" t="s">
        <v>85</v>
      </c>
      <c r="J896" s="33" t="s">
        <v>90</v>
      </c>
      <c r="K896" s="33">
        <v>15.3</v>
      </c>
      <c r="L896" s="33">
        <v>1025.9000000000001</v>
      </c>
      <c r="M896" s="33">
        <v>96</v>
      </c>
      <c r="N896" s="33"/>
      <c r="O896" s="93">
        <f>IFERROR(IF(Readings[[#This Row],[Obs. X]]="","-",Readings[[#This Row],[Obs. X]]-_xlfn.XLOOKUP(Readings[[#This Row],[Sensor ID]],Table_Baseline[Sensor ID],Table_Baseline[Easting '[m']],"-")),"-")</f>
        <v>-9.9999999656574801E-4</v>
      </c>
      <c r="P896" s="93">
        <f>IFERROR(IF(Readings[[#This Row],[Obs. Y]]="","-",Readings[[#This Row],[Obs. Y]]-_xlfn.XLOOKUP(Readings[[#This Row],[Sensor ID]],Table_Baseline[Sensor ID],Table_Baseline[Northing '[m']],"-")),"-")</f>
        <v>-9.9999998928979039E-4</v>
      </c>
      <c r="Q896" s="93">
        <f>IFERROR(IF(Readings[[#This Row],[Obs. Z]]="","-",Readings[[#This Row],[Obs. Z]]-_xlfn.XLOOKUP(Readings[[#This Row],[Sensor ID]],Table_Baseline[Sensor ID],Table_Baseline[Level '[m']],"-")),"-")</f>
        <v>0</v>
      </c>
      <c r="R896" s="93">
        <f>IFERROR(IF(Readings[[#This Row],[Reference Angle]]="-","-",(Readings[[#This Row],[Diff E]]*COS(RADIANS(Readings[[#This Row],[Reference Angle]]))-Readings[[#This Row],[Diff N]]*SIN(RADIANS(Readings[[#This Row],[Reference Angle]])))),"-")</f>
        <v>-9.9999999656574801E-4</v>
      </c>
      <c r="S896" s="93">
        <f>IFERROR(IF(Readings[[#This Row],[Reference Angle]]="-","-",(Readings[[#This Row],[Diff E]]*SIN(RADIANS(Readings[[#This Row],[Reference Angle]]))+Readings[[#This Row],[Diff N]]*COS(RADIANS(Readings[[#This Row],[Reference Angle]])))),"-")</f>
        <v>-9.9999998928979039E-4</v>
      </c>
      <c r="T896" s="94">
        <f>IFERROR(VLOOKUP(Readings[[#This Row],[Sensor ID]],Table_Baseline[],COLUMNS(Table_Baseline[[#Headers],[Sensor ID]:[Reference Angle '[Deg']]]),FALSE),"-")</f>
        <v>0</v>
      </c>
      <c r="U896" s="95" t="str">
        <f>Readings[[#This Row],[Sensor ID]]&amp;"-"&amp;Readings[[#This Row],[Epoch]]</f>
        <v>250-RL-OP-11001-45833.2847222222</v>
      </c>
      <c r="V896" s="99">
        <f ca="1">IF(Readings[[#This Row],[Epoch]]=OFFSET(Readings[[#This Row],[Epoch]],-1,0),0,1)</f>
        <v>1</v>
      </c>
    </row>
    <row r="897" spans="4:22" x14ac:dyDescent="0.2">
      <c r="D897" s="32">
        <v>45833.284722222219</v>
      </c>
      <c r="E897" s="33" t="s">
        <v>171</v>
      </c>
      <c r="F897" s="34">
        <v>60034.957999999999</v>
      </c>
      <c r="G897" s="34">
        <v>363844.47</v>
      </c>
      <c r="H897" s="34">
        <v>18.777999999999999</v>
      </c>
      <c r="I897" s="33" t="s">
        <v>85</v>
      </c>
      <c r="J897" s="33" t="s">
        <v>90</v>
      </c>
      <c r="K897" s="33">
        <v>15.3</v>
      </c>
      <c r="L897" s="33">
        <v>1025.9000000000001</v>
      </c>
      <c r="M897" s="33">
        <v>96</v>
      </c>
      <c r="N897" s="33"/>
      <c r="O897" s="93">
        <f>IFERROR(IF(Readings[[#This Row],[Obs. X]]="","-",Readings[[#This Row],[Obs. X]]-_xlfn.XLOOKUP(Readings[[#This Row],[Sensor ID]],Table_Baseline[Sensor ID],Table_Baseline[Easting '[m']],"-")),"-")</f>
        <v>-1.0000000038417056E-3</v>
      </c>
      <c r="P897" s="93">
        <f>IFERROR(IF(Readings[[#This Row],[Obs. Y]]="","-",Readings[[#This Row],[Obs. Y]]-_xlfn.XLOOKUP(Readings[[#This Row],[Sensor ID]],Table_Baseline[Sensor ID],Table_Baseline[Northing '[m']],"-")),"-")</f>
        <v>-1.0000000474974513E-3</v>
      </c>
      <c r="Q897" s="93">
        <f>IFERROR(IF(Readings[[#This Row],[Obs. Z]]="","-",Readings[[#This Row],[Obs. Z]]-_xlfn.XLOOKUP(Readings[[#This Row],[Sensor ID]],Table_Baseline[Sensor ID],Table_Baseline[Level '[m']],"-")),"-")</f>
        <v>-9.9999999999766942E-5</v>
      </c>
      <c r="R897" s="93">
        <f>IFERROR(IF(Readings[[#This Row],[Reference Angle]]="-","-",(Readings[[#This Row],[Diff E]]*COS(RADIANS(Readings[[#This Row],[Reference Angle]]))-Readings[[#This Row],[Diff N]]*SIN(RADIANS(Readings[[#This Row],[Reference Angle]])))),"-")</f>
        <v>-1.0000000038417056E-3</v>
      </c>
      <c r="S897" s="93">
        <f>IFERROR(IF(Readings[[#This Row],[Reference Angle]]="-","-",(Readings[[#This Row],[Diff E]]*SIN(RADIANS(Readings[[#This Row],[Reference Angle]]))+Readings[[#This Row],[Diff N]]*COS(RADIANS(Readings[[#This Row],[Reference Angle]])))),"-")</f>
        <v>-1.0000000474974513E-3</v>
      </c>
      <c r="T897" s="94">
        <f>IFERROR(VLOOKUP(Readings[[#This Row],[Sensor ID]],Table_Baseline[],COLUMNS(Table_Baseline[[#Headers],[Sensor ID]:[Reference Angle '[Deg']]]),FALSE),"-")</f>
        <v>0</v>
      </c>
      <c r="U897" s="95" t="str">
        <f>Readings[[#This Row],[Sensor ID]]&amp;"-"&amp;Readings[[#This Row],[Epoch]]</f>
        <v>250-RL-OP-11002-45833.2847222222</v>
      </c>
      <c r="V897" s="99">
        <f ca="1">IF(Readings[[#This Row],[Epoch]]=OFFSET(Readings[[#This Row],[Epoch]],-1,0),0,1)</f>
        <v>0</v>
      </c>
    </row>
    <row r="898" spans="4:22" x14ac:dyDescent="0.2">
      <c r="D898" s="32">
        <v>45833.284722222219</v>
      </c>
      <c r="E898" s="33" t="s">
        <v>174</v>
      </c>
      <c r="F898" s="34">
        <v>60038.116999999998</v>
      </c>
      <c r="G898" s="34">
        <v>363844.94400000002</v>
      </c>
      <c r="H898" s="34">
        <v>18.777999999999999</v>
      </c>
      <c r="I898" s="33" t="s">
        <v>85</v>
      </c>
      <c r="J898" s="33" t="s">
        <v>90</v>
      </c>
      <c r="K898" s="33">
        <v>15.3</v>
      </c>
      <c r="L898" s="33">
        <v>1025.9000000000001</v>
      </c>
      <c r="M898" s="33">
        <v>96</v>
      </c>
      <c r="N898" s="33"/>
      <c r="O898" s="93">
        <f>IFERROR(IF(Readings[[#This Row],[Obs. X]]="","-",Readings[[#This Row],[Obs. X]]-_xlfn.XLOOKUP(Readings[[#This Row],[Sensor ID]],Table_Baseline[Sensor ID],Table_Baseline[Easting '[m']],"-")),"-")</f>
        <v>-1.0000000038417056E-3</v>
      </c>
      <c r="P898" s="93">
        <f>IFERROR(IF(Readings[[#This Row],[Obs. Y]]="","-",Readings[[#This Row],[Obs. Y]]-_xlfn.XLOOKUP(Readings[[#This Row],[Sensor ID]],Table_Baseline[Sensor ID],Table_Baseline[Northing '[m']],"-")),"-")</f>
        <v>-9.9999998928979039E-4</v>
      </c>
      <c r="Q898" s="93">
        <f>IFERROR(IF(Readings[[#This Row],[Obs. Z]]="","-",Readings[[#This Row],[Obs. Z]]-_xlfn.XLOOKUP(Readings[[#This Row],[Sensor ID]],Table_Baseline[Sensor ID],Table_Baseline[Level '[m']],"-")),"-")</f>
        <v>-8.0000000000168825E-4</v>
      </c>
      <c r="R898" s="93">
        <f>IFERROR(IF(Readings[[#This Row],[Reference Angle]]="-","-",(Readings[[#This Row],[Diff E]]*COS(RADIANS(Readings[[#This Row],[Reference Angle]]))-Readings[[#This Row],[Diff N]]*SIN(RADIANS(Readings[[#This Row],[Reference Angle]])))),"-")</f>
        <v>-1.0000000038417056E-3</v>
      </c>
      <c r="S898" s="93">
        <f>IFERROR(IF(Readings[[#This Row],[Reference Angle]]="-","-",(Readings[[#This Row],[Diff E]]*SIN(RADIANS(Readings[[#This Row],[Reference Angle]]))+Readings[[#This Row],[Diff N]]*COS(RADIANS(Readings[[#This Row],[Reference Angle]])))),"-")</f>
        <v>-9.9999998928979039E-4</v>
      </c>
      <c r="T898" s="94">
        <f>IFERROR(VLOOKUP(Readings[[#This Row],[Sensor ID]],Table_Baseline[],COLUMNS(Table_Baseline[[#Headers],[Sensor ID]:[Reference Angle '[Deg']]]),FALSE),"-")</f>
        <v>0</v>
      </c>
      <c r="U898" s="95" t="str">
        <f>Readings[[#This Row],[Sensor ID]]&amp;"-"&amp;Readings[[#This Row],[Epoch]]</f>
        <v>250-RL-OP-11003-45833.2847222222</v>
      </c>
      <c r="V898" s="99">
        <f ca="1">IF(Readings[[#This Row],[Epoch]]=OFFSET(Readings[[#This Row],[Epoch]],-1,0),0,1)</f>
        <v>0</v>
      </c>
    </row>
    <row r="899" spans="4:22" x14ac:dyDescent="0.2">
      <c r="D899" s="32">
        <v>45833.284722222219</v>
      </c>
      <c r="E899" s="33" t="s">
        <v>173</v>
      </c>
      <c r="F899" s="34">
        <v>60037.803999999996</v>
      </c>
      <c r="G899" s="34">
        <v>363843.65700000001</v>
      </c>
      <c r="H899" s="34">
        <v>18.777999999999999</v>
      </c>
      <c r="I899" s="33" t="s">
        <v>85</v>
      </c>
      <c r="J899" s="33" t="s">
        <v>90</v>
      </c>
      <c r="K899" s="33">
        <v>15.3</v>
      </c>
      <c r="L899" s="33">
        <v>1025.9000000000001</v>
      </c>
      <c r="M899" s="33">
        <v>96</v>
      </c>
      <c r="N899" s="33"/>
      <c r="O899" s="93">
        <f>IFERROR(IF(Readings[[#This Row],[Obs. X]]="","-",Readings[[#This Row],[Obs. X]]-_xlfn.XLOOKUP(Readings[[#This Row],[Sensor ID]],Table_Baseline[Sensor ID],Table_Baseline[Easting '[m']],"-")),"-")</f>
        <v>-1.0000000038417056E-3</v>
      </c>
      <c r="P899" s="93">
        <f>IFERROR(IF(Readings[[#This Row],[Obs. Y]]="","-",Readings[[#This Row],[Obs. Y]]-_xlfn.XLOOKUP(Readings[[#This Row],[Sensor ID]],Table_Baseline[Sensor ID],Table_Baseline[Northing '[m']],"-")),"-")</f>
        <v>0</v>
      </c>
      <c r="Q899" s="93">
        <f>IFERROR(IF(Readings[[#This Row],[Obs. Z]]="","-",Readings[[#This Row],[Obs. Z]]-_xlfn.XLOOKUP(Readings[[#This Row],[Sensor ID]],Table_Baseline[Sensor ID],Table_Baseline[Level '[m']],"-")),"-")</f>
        <v>-5.0000000000238742E-4</v>
      </c>
      <c r="R899" s="93">
        <f>IFERROR(IF(Readings[[#This Row],[Reference Angle]]="-","-",(Readings[[#This Row],[Diff E]]*COS(RADIANS(Readings[[#This Row],[Reference Angle]]))-Readings[[#This Row],[Diff N]]*SIN(RADIANS(Readings[[#This Row],[Reference Angle]])))),"-")</f>
        <v>-1.0000000038417056E-3</v>
      </c>
      <c r="S899" s="93">
        <f>IFERROR(IF(Readings[[#This Row],[Reference Angle]]="-","-",(Readings[[#This Row],[Diff E]]*SIN(RADIANS(Readings[[#This Row],[Reference Angle]]))+Readings[[#This Row],[Diff N]]*COS(RADIANS(Readings[[#This Row],[Reference Angle]])))),"-")</f>
        <v>0</v>
      </c>
      <c r="T899" s="94">
        <f>IFERROR(VLOOKUP(Readings[[#This Row],[Sensor ID]],Table_Baseline[],COLUMNS(Table_Baseline[[#Headers],[Sensor ID]:[Reference Angle '[Deg']]]),FALSE),"-")</f>
        <v>0</v>
      </c>
      <c r="U899" s="95" t="str">
        <f>Readings[[#This Row],[Sensor ID]]&amp;"-"&amp;Readings[[#This Row],[Epoch]]</f>
        <v>250-RL-OP-11004-45833.2847222222</v>
      </c>
      <c r="V899" s="99">
        <f ca="1">IF(Readings[[#This Row],[Epoch]]=OFFSET(Readings[[#This Row],[Epoch]],-1,0),0,1)</f>
        <v>0</v>
      </c>
    </row>
    <row r="900" spans="4:22" x14ac:dyDescent="0.2">
      <c r="D900" s="32">
        <v>45833.284722222219</v>
      </c>
      <c r="E900" s="33" t="s">
        <v>176</v>
      </c>
      <c r="F900" s="34">
        <v>60040.968000000001</v>
      </c>
      <c r="G900" s="34">
        <v>363844.11699999997</v>
      </c>
      <c r="H900" s="34">
        <v>18.779</v>
      </c>
      <c r="I900" s="33" t="s">
        <v>85</v>
      </c>
      <c r="J900" s="33" t="s">
        <v>90</v>
      </c>
      <c r="K900" s="33">
        <v>15.3</v>
      </c>
      <c r="L900" s="33">
        <v>1025.9000000000001</v>
      </c>
      <c r="M900" s="33">
        <v>96</v>
      </c>
      <c r="N900" s="33"/>
      <c r="O900" s="93">
        <f>IFERROR(IF(Readings[[#This Row],[Obs. X]]="","-",Readings[[#This Row],[Obs. X]]-_xlfn.XLOOKUP(Readings[[#This Row],[Sensor ID]],Table_Baseline[Sensor ID],Table_Baseline[Easting '[m']],"-")),"-")</f>
        <v>-9.9999999656574801E-4</v>
      </c>
      <c r="P900" s="93">
        <f>IFERROR(IF(Readings[[#This Row],[Obs. Y]]="","-",Readings[[#This Row],[Obs. Y]]-_xlfn.XLOOKUP(Readings[[#This Row],[Sensor ID]],Table_Baseline[Sensor ID],Table_Baseline[Northing '[m']],"-")),"-")</f>
        <v>-1.0000000474974513E-3</v>
      </c>
      <c r="Q900" s="93">
        <f>IFERROR(IF(Readings[[#This Row],[Obs. Z]]="","-",Readings[[#This Row],[Obs. Z]]-_xlfn.XLOOKUP(Readings[[#This Row],[Sensor ID]],Table_Baseline[Sensor ID],Table_Baseline[Level '[m']],"-")),"-")</f>
        <v>0</v>
      </c>
      <c r="R900" s="93">
        <f>IFERROR(IF(Readings[[#This Row],[Reference Angle]]="-","-",(Readings[[#This Row],[Diff E]]*COS(RADIANS(Readings[[#This Row],[Reference Angle]]))-Readings[[#This Row],[Diff N]]*SIN(RADIANS(Readings[[#This Row],[Reference Angle]])))),"-")</f>
        <v>-9.9999999656574801E-4</v>
      </c>
      <c r="S900" s="93">
        <f>IFERROR(IF(Readings[[#This Row],[Reference Angle]]="-","-",(Readings[[#This Row],[Diff E]]*SIN(RADIANS(Readings[[#This Row],[Reference Angle]]))+Readings[[#This Row],[Diff N]]*COS(RADIANS(Readings[[#This Row],[Reference Angle]])))),"-")</f>
        <v>-1.0000000474974513E-3</v>
      </c>
      <c r="T900" s="94">
        <f>IFERROR(VLOOKUP(Readings[[#This Row],[Sensor ID]],Table_Baseline[],COLUMNS(Table_Baseline[[#Headers],[Sensor ID]:[Reference Angle '[Deg']]]),FALSE),"-")</f>
        <v>0</v>
      </c>
      <c r="U900" s="95" t="str">
        <f>Readings[[#This Row],[Sensor ID]]&amp;"-"&amp;Readings[[#This Row],[Epoch]]</f>
        <v>250-RL-OP-11005-45833.2847222222</v>
      </c>
      <c r="V900" s="99">
        <f ca="1">IF(Readings[[#This Row],[Epoch]]=OFFSET(Readings[[#This Row],[Epoch]],-1,0),0,1)</f>
        <v>0</v>
      </c>
    </row>
    <row r="901" spans="4:22" x14ac:dyDescent="0.2">
      <c r="D901" s="32">
        <v>45833.284722222219</v>
      </c>
      <c r="E901" s="33" t="s">
        <v>175</v>
      </c>
      <c r="F901" s="34">
        <v>60040.606</v>
      </c>
      <c r="G901" s="34">
        <v>363842.86100000003</v>
      </c>
      <c r="H901" s="34">
        <v>18.771999999999998</v>
      </c>
      <c r="I901" s="33" t="s">
        <v>85</v>
      </c>
      <c r="J901" s="33" t="s">
        <v>90</v>
      </c>
      <c r="K901" s="33">
        <v>15.3</v>
      </c>
      <c r="L901" s="33">
        <v>1025.9000000000001</v>
      </c>
      <c r="M901" s="33">
        <v>96</v>
      </c>
      <c r="N901" s="33"/>
      <c r="O901" s="93">
        <f>IFERROR(IF(Readings[[#This Row],[Obs. X]]="","-",Readings[[#This Row],[Obs. X]]-_xlfn.XLOOKUP(Readings[[#This Row],[Sensor ID]],Table_Baseline[Sensor ID],Table_Baseline[Easting '[m']],"-")),"-")</f>
        <v>-1.0000000038417056E-3</v>
      </c>
      <c r="P901" s="93">
        <f>IFERROR(IF(Readings[[#This Row],[Obs. Y]]="","-",Readings[[#This Row],[Obs. Y]]-_xlfn.XLOOKUP(Readings[[#This Row],[Sensor ID]],Table_Baseline[Sensor ID],Table_Baseline[Northing '[m']],"-")),"-")</f>
        <v>0</v>
      </c>
      <c r="Q901" s="93">
        <f>IFERROR(IF(Readings[[#This Row],[Obs. Z]]="","-",Readings[[#This Row],[Obs. Z]]-_xlfn.XLOOKUP(Readings[[#This Row],[Sensor ID]],Table_Baseline[Sensor ID],Table_Baseline[Level '[m']],"-")),"-")</f>
        <v>0</v>
      </c>
      <c r="R901" s="93">
        <f>IFERROR(IF(Readings[[#This Row],[Reference Angle]]="-","-",(Readings[[#This Row],[Diff E]]*COS(RADIANS(Readings[[#This Row],[Reference Angle]]))-Readings[[#This Row],[Diff N]]*SIN(RADIANS(Readings[[#This Row],[Reference Angle]])))),"-")</f>
        <v>-1.0000000038417056E-3</v>
      </c>
      <c r="S901" s="93">
        <f>IFERROR(IF(Readings[[#This Row],[Reference Angle]]="-","-",(Readings[[#This Row],[Diff E]]*SIN(RADIANS(Readings[[#This Row],[Reference Angle]]))+Readings[[#This Row],[Diff N]]*COS(RADIANS(Readings[[#This Row],[Reference Angle]])))),"-")</f>
        <v>0</v>
      </c>
      <c r="T901" s="94">
        <f>IFERROR(VLOOKUP(Readings[[#This Row],[Sensor ID]],Table_Baseline[],COLUMNS(Table_Baseline[[#Headers],[Sensor ID]:[Reference Angle '[Deg']]]),FALSE),"-")</f>
        <v>0</v>
      </c>
      <c r="U901" s="95" t="str">
        <f>Readings[[#This Row],[Sensor ID]]&amp;"-"&amp;Readings[[#This Row],[Epoch]]</f>
        <v>250-RL-OP-11006-45833.2847222222</v>
      </c>
      <c r="V901" s="99">
        <f ca="1">IF(Readings[[#This Row],[Epoch]]=OFFSET(Readings[[#This Row],[Epoch]],-1,0),0,1)</f>
        <v>0</v>
      </c>
    </row>
    <row r="902" spans="4:22" x14ac:dyDescent="0.2">
      <c r="D902" s="32">
        <v>45833.284722222219</v>
      </c>
      <c r="E902" s="33" t="s">
        <v>178</v>
      </c>
      <c r="F902" s="34">
        <v>60043.758000000002</v>
      </c>
      <c r="G902" s="34">
        <v>363843.315</v>
      </c>
      <c r="H902" s="34">
        <v>18.774000000000001</v>
      </c>
      <c r="I902" s="33" t="s">
        <v>85</v>
      </c>
      <c r="J902" s="33" t="s">
        <v>90</v>
      </c>
      <c r="K902" s="33">
        <v>15.3</v>
      </c>
      <c r="L902" s="33">
        <v>1025.9000000000001</v>
      </c>
      <c r="M902" s="33">
        <v>96</v>
      </c>
      <c r="N902" s="33"/>
      <c r="O902" s="93">
        <f>IFERROR(IF(Readings[[#This Row],[Obs. X]]="","-",Readings[[#This Row],[Obs. X]]-_xlfn.XLOOKUP(Readings[[#This Row],[Sensor ID]],Table_Baseline[Sensor ID],Table_Baseline[Easting '[m']],"-")),"-")</f>
        <v>-9.9999999656574801E-4</v>
      </c>
      <c r="P902" s="93">
        <f>IFERROR(IF(Readings[[#This Row],[Obs. Y]]="","-",Readings[[#This Row],[Obs. Y]]-_xlfn.XLOOKUP(Readings[[#This Row],[Sensor ID]],Table_Baseline[Sensor ID],Table_Baseline[Northing '[m']],"-")),"-")</f>
        <v>9.9999998928979039E-4</v>
      </c>
      <c r="Q902" s="93">
        <f>IFERROR(IF(Readings[[#This Row],[Obs. Z]]="","-",Readings[[#This Row],[Obs. Z]]-_xlfn.XLOOKUP(Readings[[#This Row],[Sensor ID]],Table_Baseline[Sensor ID],Table_Baseline[Level '[m']],"-")),"-")</f>
        <v>-9.9999999999766942E-5</v>
      </c>
      <c r="R902" s="93">
        <f>IFERROR(IF(Readings[[#This Row],[Reference Angle]]="-","-",(Readings[[#This Row],[Diff E]]*COS(RADIANS(Readings[[#This Row],[Reference Angle]]))-Readings[[#This Row],[Diff N]]*SIN(RADIANS(Readings[[#This Row],[Reference Angle]])))),"-")</f>
        <v>-9.9999999656574801E-4</v>
      </c>
      <c r="S902" s="93">
        <f>IFERROR(IF(Readings[[#This Row],[Reference Angle]]="-","-",(Readings[[#This Row],[Diff E]]*SIN(RADIANS(Readings[[#This Row],[Reference Angle]]))+Readings[[#This Row],[Diff N]]*COS(RADIANS(Readings[[#This Row],[Reference Angle]])))),"-")</f>
        <v>9.9999998928979039E-4</v>
      </c>
      <c r="T902" s="94">
        <f>IFERROR(VLOOKUP(Readings[[#This Row],[Sensor ID]],Table_Baseline[],COLUMNS(Table_Baseline[[#Headers],[Sensor ID]:[Reference Angle '[Deg']]]),FALSE),"-")</f>
        <v>0</v>
      </c>
      <c r="U902" s="95" t="str">
        <f>Readings[[#This Row],[Sensor ID]]&amp;"-"&amp;Readings[[#This Row],[Epoch]]</f>
        <v>250-RL-OP-11007-45833.2847222222</v>
      </c>
      <c r="V902" s="99">
        <f ca="1">IF(Readings[[#This Row],[Epoch]]=OFFSET(Readings[[#This Row],[Epoch]],-1,0),0,1)</f>
        <v>0</v>
      </c>
    </row>
    <row r="903" spans="4:22" x14ac:dyDescent="0.2">
      <c r="D903" s="32">
        <v>45833.284722222219</v>
      </c>
      <c r="E903" s="33" t="s">
        <v>177</v>
      </c>
      <c r="F903" s="34">
        <v>60043.440999999999</v>
      </c>
      <c r="G903" s="34">
        <v>363842.04099999997</v>
      </c>
      <c r="H903" s="34">
        <v>18.768000000000001</v>
      </c>
      <c r="I903" s="33" t="s">
        <v>85</v>
      </c>
      <c r="J903" s="33" t="s">
        <v>90</v>
      </c>
      <c r="K903" s="33">
        <v>15.3</v>
      </c>
      <c r="L903" s="33">
        <v>1025.9000000000001</v>
      </c>
      <c r="M903" s="33">
        <v>96</v>
      </c>
      <c r="N903" s="33"/>
      <c r="O903" s="93">
        <f>IFERROR(IF(Readings[[#This Row],[Obs. X]]="","-",Readings[[#This Row],[Obs. X]]-_xlfn.XLOOKUP(Readings[[#This Row],[Sensor ID]],Table_Baseline[Sensor ID],Table_Baseline[Easting '[m']],"-")),"-")</f>
        <v>0</v>
      </c>
      <c r="P903" s="93">
        <f>IFERROR(IF(Readings[[#This Row],[Obs. Y]]="","-",Readings[[#This Row],[Obs. Y]]-_xlfn.XLOOKUP(Readings[[#This Row],[Sensor ID]],Table_Baseline[Sensor ID],Table_Baseline[Northing '[m']],"-")),"-")</f>
        <v>9.9999993108212948E-4</v>
      </c>
      <c r="Q903" s="93">
        <f>IFERROR(IF(Readings[[#This Row],[Obs. Z]]="","-",Readings[[#This Row],[Obs. Z]]-_xlfn.XLOOKUP(Readings[[#This Row],[Sensor ID]],Table_Baseline[Sensor ID],Table_Baseline[Level '[m']],"-")),"-")</f>
        <v>-2.9999999999930083E-4</v>
      </c>
      <c r="R903" s="93">
        <f>IFERROR(IF(Readings[[#This Row],[Reference Angle]]="-","-",(Readings[[#This Row],[Diff E]]*COS(RADIANS(Readings[[#This Row],[Reference Angle]]))-Readings[[#This Row],[Diff N]]*SIN(RADIANS(Readings[[#This Row],[Reference Angle]])))),"-")</f>
        <v>0</v>
      </c>
      <c r="S903" s="93">
        <f>IFERROR(IF(Readings[[#This Row],[Reference Angle]]="-","-",(Readings[[#This Row],[Diff E]]*SIN(RADIANS(Readings[[#This Row],[Reference Angle]]))+Readings[[#This Row],[Diff N]]*COS(RADIANS(Readings[[#This Row],[Reference Angle]])))),"-")</f>
        <v>9.9999993108212948E-4</v>
      </c>
      <c r="T903" s="94">
        <f>IFERROR(VLOOKUP(Readings[[#This Row],[Sensor ID]],Table_Baseline[],COLUMNS(Table_Baseline[[#Headers],[Sensor ID]:[Reference Angle '[Deg']]]),FALSE),"-")</f>
        <v>0</v>
      </c>
      <c r="U903" s="95" t="str">
        <f>Readings[[#This Row],[Sensor ID]]&amp;"-"&amp;Readings[[#This Row],[Epoch]]</f>
        <v>250-RL-OP-11008-45833.2847222222</v>
      </c>
      <c r="V903" s="99">
        <f ca="1">IF(Readings[[#This Row],[Epoch]]=OFFSET(Readings[[#This Row],[Epoch]],-1,0),0,1)</f>
        <v>0</v>
      </c>
    </row>
    <row r="904" spans="4:22" x14ac:dyDescent="0.2">
      <c r="D904" s="32">
        <v>45833.284722222219</v>
      </c>
      <c r="E904" s="33" t="s">
        <v>180</v>
      </c>
      <c r="F904" s="34">
        <v>60046.633000000002</v>
      </c>
      <c r="G904" s="34">
        <v>363842.48600000003</v>
      </c>
      <c r="H904" s="34">
        <v>18.777000000000001</v>
      </c>
      <c r="I904" s="33" t="s">
        <v>85</v>
      </c>
      <c r="J904" s="33" t="s">
        <v>90</v>
      </c>
      <c r="K904" s="33">
        <v>15.3</v>
      </c>
      <c r="L904" s="33">
        <v>1025.9000000000001</v>
      </c>
      <c r="M904" s="33">
        <v>96</v>
      </c>
      <c r="N904" s="33"/>
      <c r="O904" s="93">
        <f>IFERROR(IF(Readings[[#This Row],[Obs. X]]="","-",Readings[[#This Row],[Obs. X]]-_xlfn.XLOOKUP(Readings[[#This Row],[Sensor ID]],Table_Baseline[Sensor ID],Table_Baseline[Easting '[m']],"-")),"-")</f>
        <v>0</v>
      </c>
      <c r="P904" s="93">
        <f>IFERROR(IF(Readings[[#This Row],[Obs. Y]]="","-",Readings[[#This Row],[Obs. Y]]-_xlfn.XLOOKUP(Readings[[#This Row],[Sensor ID]],Table_Baseline[Sensor ID],Table_Baseline[Northing '[m']],"-")),"-")</f>
        <v>1.0000000474974513E-3</v>
      </c>
      <c r="Q904" s="93">
        <f>IFERROR(IF(Readings[[#This Row],[Obs. Z]]="","-",Readings[[#This Row],[Obs. Z]]-_xlfn.XLOOKUP(Readings[[#This Row],[Sensor ID]],Table_Baseline[Sensor ID],Table_Baseline[Level '[m']],"-")),"-")</f>
        <v>-5.9999999999860165E-4</v>
      </c>
      <c r="R904" s="93">
        <f>IFERROR(IF(Readings[[#This Row],[Reference Angle]]="-","-",(Readings[[#This Row],[Diff E]]*COS(RADIANS(Readings[[#This Row],[Reference Angle]]))-Readings[[#This Row],[Diff N]]*SIN(RADIANS(Readings[[#This Row],[Reference Angle]])))),"-")</f>
        <v>0</v>
      </c>
      <c r="S904" s="93">
        <f>IFERROR(IF(Readings[[#This Row],[Reference Angle]]="-","-",(Readings[[#This Row],[Diff E]]*SIN(RADIANS(Readings[[#This Row],[Reference Angle]]))+Readings[[#This Row],[Diff N]]*COS(RADIANS(Readings[[#This Row],[Reference Angle]])))),"-")</f>
        <v>1.0000000474974513E-3</v>
      </c>
      <c r="T904" s="94">
        <f>IFERROR(VLOOKUP(Readings[[#This Row],[Sensor ID]],Table_Baseline[],COLUMNS(Table_Baseline[[#Headers],[Sensor ID]:[Reference Angle '[Deg']]]),FALSE),"-")</f>
        <v>0</v>
      </c>
      <c r="U904" s="95" t="str">
        <f>Readings[[#This Row],[Sensor ID]]&amp;"-"&amp;Readings[[#This Row],[Epoch]]</f>
        <v>250-RL-OP-11009-45833.2847222222</v>
      </c>
      <c r="V904" s="99">
        <f ca="1">IF(Readings[[#This Row],[Epoch]]=OFFSET(Readings[[#This Row],[Epoch]],-1,0),0,1)</f>
        <v>0</v>
      </c>
    </row>
    <row r="905" spans="4:22" x14ac:dyDescent="0.2">
      <c r="D905" s="32">
        <v>45833.284722222219</v>
      </c>
      <c r="E905" s="33" t="s">
        <v>179</v>
      </c>
      <c r="F905" s="34">
        <v>60046.249000000003</v>
      </c>
      <c r="G905" s="34">
        <v>363841.22700000001</v>
      </c>
      <c r="H905" s="34">
        <v>18.77</v>
      </c>
      <c r="I905" s="33" t="s">
        <v>85</v>
      </c>
      <c r="J905" s="33" t="s">
        <v>90</v>
      </c>
      <c r="K905" s="33">
        <v>15.3</v>
      </c>
      <c r="L905" s="33">
        <v>1025.9000000000001</v>
      </c>
      <c r="M905" s="33">
        <v>96</v>
      </c>
      <c r="N905" s="33"/>
      <c r="O905" s="93">
        <f>IFERROR(IF(Readings[[#This Row],[Obs. X]]="","-",Readings[[#This Row],[Obs. X]]-_xlfn.XLOOKUP(Readings[[#This Row],[Sensor ID]],Table_Baseline[Sensor ID],Table_Baseline[Easting '[m']],"-")),"-")</f>
        <v>-9.9999999656574801E-4</v>
      </c>
      <c r="P905" s="93">
        <f>IFERROR(IF(Readings[[#This Row],[Obs. Y]]="","-",Readings[[#This Row],[Obs. Y]]-_xlfn.XLOOKUP(Readings[[#This Row],[Sensor ID]],Table_Baseline[Sensor ID],Table_Baseline[Northing '[m']],"-")),"-")</f>
        <v>9.9999998928979039E-4</v>
      </c>
      <c r="Q905" s="93">
        <f>IFERROR(IF(Readings[[#This Row],[Obs. Z]]="","-",Readings[[#This Row],[Obs. Z]]-_xlfn.XLOOKUP(Readings[[#This Row],[Sensor ID]],Table_Baseline[Sensor ID],Table_Baseline[Level '[m']],"-")),"-")</f>
        <v>1.9999999999953388E-4</v>
      </c>
      <c r="R905" s="93">
        <f>IFERROR(IF(Readings[[#This Row],[Reference Angle]]="-","-",(Readings[[#This Row],[Diff E]]*COS(RADIANS(Readings[[#This Row],[Reference Angle]]))-Readings[[#This Row],[Diff N]]*SIN(RADIANS(Readings[[#This Row],[Reference Angle]])))),"-")</f>
        <v>-9.9999999656574801E-4</v>
      </c>
      <c r="S905" s="93">
        <f>IFERROR(IF(Readings[[#This Row],[Reference Angle]]="-","-",(Readings[[#This Row],[Diff E]]*SIN(RADIANS(Readings[[#This Row],[Reference Angle]]))+Readings[[#This Row],[Diff N]]*COS(RADIANS(Readings[[#This Row],[Reference Angle]])))),"-")</f>
        <v>9.9999998928979039E-4</v>
      </c>
      <c r="T905" s="94">
        <f>IFERROR(VLOOKUP(Readings[[#This Row],[Sensor ID]],Table_Baseline[],COLUMNS(Table_Baseline[[#Headers],[Sensor ID]:[Reference Angle '[Deg']]]),FALSE),"-")</f>
        <v>0</v>
      </c>
      <c r="U905" s="95" t="str">
        <f>Readings[[#This Row],[Sensor ID]]&amp;"-"&amp;Readings[[#This Row],[Epoch]]</f>
        <v>250-RL-OP-11010-45833.2847222222</v>
      </c>
      <c r="V905" s="99">
        <f ca="1">IF(Readings[[#This Row],[Epoch]]=OFFSET(Readings[[#This Row],[Epoch]],-1,0),0,1)</f>
        <v>0</v>
      </c>
    </row>
    <row r="906" spans="4:22" x14ac:dyDescent="0.2">
      <c r="D906" s="32">
        <v>45833.284722222219</v>
      </c>
      <c r="E906" s="33" t="s">
        <v>182</v>
      </c>
      <c r="F906" s="34">
        <v>60049.398000000001</v>
      </c>
      <c r="G906" s="34">
        <v>363841.69900000002</v>
      </c>
      <c r="H906" s="34">
        <v>18.777999999999999</v>
      </c>
      <c r="I906" s="33" t="s">
        <v>85</v>
      </c>
      <c r="J906" s="33" t="s">
        <v>90</v>
      </c>
      <c r="K906" s="33">
        <v>15.3</v>
      </c>
      <c r="L906" s="33">
        <v>1025.9000000000001</v>
      </c>
      <c r="M906" s="33">
        <v>96</v>
      </c>
      <c r="N906" s="33"/>
      <c r="O906" s="93">
        <f>IFERROR(IF(Readings[[#This Row],[Obs. X]]="","-",Readings[[#This Row],[Obs. X]]-_xlfn.XLOOKUP(Readings[[#This Row],[Sensor ID]],Table_Baseline[Sensor ID],Table_Baseline[Easting '[m']],"-")),"-")</f>
        <v>-9.9999999656574801E-4</v>
      </c>
      <c r="P906" s="93">
        <f>IFERROR(IF(Readings[[#This Row],[Obs. Y]]="","-",Readings[[#This Row],[Obs. Y]]-_xlfn.XLOOKUP(Readings[[#This Row],[Sensor ID]],Table_Baseline[Sensor ID],Table_Baseline[Northing '[m']],"-")),"-")</f>
        <v>1.0000000474974513E-3</v>
      </c>
      <c r="Q906" s="93">
        <f>IFERROR(IF(Readings[[#This Row],[Obs. Z]]="","-",Readings[[#This Row],[Obs. Z]]-_xlfn.XLOOKUP(Readings[[#This Row],[Sensor ID]],Table_Baseline[Sensor ID],Table_Baseline[Level '[m']],"-")),"-")</f>
        <v>0</v>
      </c>
      <c r="R906" s="93">
        <f>IFERROR(IF(Readings[[#This Row],[Reference Angle]]="-","-",(Readings[[#This Row],[Diff E]]*COS(RADIANS(Readings[[#This Row],[Reference Angle]]))-Readings[[#This Row],[Diff N]]*SIN(RADIANS(Readings[[#This Row],[Reference Angle]])))),"-")</f>
        <v>-9.9999999656574801E-4</v>
      </c>
      <c r="S906" s="93">
        <f>IFERROR(IF(Readings[[#This Row],[Reference Angle]]="-","-",(Readings[[#This Row],[Diff E]]*SIN(RADIANS(Readings[[#This Row],[Reference Angle]]))+Readings[[#This Row],[Diff N]]*COS(RADIANS(Readings[[#This Row],[Reference Angle]])))),"-")</f>
        <v>1.0000000474974513E-3</v>
      </c>
      <c r="T906" s="94">
        <f>IFERROR(VLOOKUP(Readings[[#This Row],[Sensor ID]],Table_Baseline[],COLUMNS(Table_Baseline[[#Headers],[Sensor ID]:[Reference Angle '[Deg']]]),FALSE),"-")</f>
        <v>0</v>
      </c>
      <c r="U906" s="95" t="str">
        <f>Readings[[#This Row],[Sensor ID]]&amp;"-"&amp;Readings[[#This Row],[Epoch]]</f>
        <v>250-RL-OP-11011-45833.2847222222</v>
      </c>
      <c r="V906" s="99">
        <f ca="1">IF(Readings[[#This Row],[Epoch]]=OFFSET(Readings[[#This Row],[Epoch]],-1,0),0,1)</f>
        <v>0</v>
      </c>
    </row>
    <row r="907" spans="4:22" x14ac:dyDescent="0.2">
      <c r="D907" s="32">
        <v>45833.284722222219</v>
      </c>
      <c r="E907" s="33" t="s">
        <v>181</v>
      </c>
      <c r="F907" s="34">
        <v>60049.04</v>
      </c>
      <c r="G907" s="34">
        <v>363840.435</v>
      </c>
      <c r="H907" s="34">
        <v>18.771000000000001</v>
      </c>
      <c r="I907" s="33" t="s">
        <v>85</v>
      </c>
      <c r="J907" s="33" t="s">
        <v>90</v>
      </c>
      <c r="K907" s="33">
        <v>15.3</v>
      </c>
      <c r="L907" s="33">
        <v>1025.9000000000001</v>
      </c>
      <c r="M907" s="33">
        <v>96</v>
      </c>
      <c r="N907" s="33"/>
      <c r="O907" s="93">
        <f>IFERROR(IF(Readings[[#This Row],[Obs. X]]="","-",Readings[[#This Row],[Obs. X]]-_xlfn.XLOOKUP(Readings[[#This Row],[Sensor ID]],Table_Baseline[Sensor ID],Table_Baseline[Easting '[m']],"-")),"-")</f>
        <v>-9.9999999656574801E-4</v>
      </c>
      <c r="P907" s="93">
        <f>IFERROR(IF(Readings[[#This Row],[Obs. Y]]="","-",Readings[[#This Row],[Obs. Y]]-_xlfn.XLOOKUP(Readings[[#This Row],[Sensor ID]],Table_Baseline[Sensor ID],Table_Baseline[Northing '[m']],"-")),"-")</f>
        <v>2.0000000367872417E-3</v>
      </c>
      <c r="Q907" s="93">
        <f>IFERROR(IF(Readings[[#This Row],[Obs. Z]]="","-",Readings[[#This Row],[Obs. Z]]-_xlfn.XLOOKUP(Readings[[#This Row],[Sensor ID]],Table_Baseline[Sensor ID],Table_Baseline[Level '[m']],"-")),"-")</f>
        <v>-9.9999999999766942E-5</v>
      </c>
      <c r="R907" s="93">
        <f>IFERROR(IF(Readings[[#This Row],[Reference Angle]]="-","-",(Readings[[#This Row],[Diff E]]*COS(RADIANS(Readings[[#This Row],[Reference Angle]]))-Readings[[#This Row],[Diff N]]*SIN(RADIANS(Readings[[#This Row],[Reference Angle]])))),"-")</f>
        <v>-9.9999999656574801E-4</v>
      </c>
      <c r="S907" s="93">
        <f>IFERROR(IF(Readings[[#This Row],[Reference Angle]]="-","-",(Readings[[#This Row],[Diff E]]*SIN(RADIANS(Readings[[#This Row],[Reference Angle]]))+Readings[[#This Row],[Diff N]]*COS(RADIANS(Readings[[#This Row],[Reference Angle]])))),"-")</f>
        <v>2.0000000367872417E-3</v>
      </c>
      <c r="T907" s="94">
        <f>IFERROR(VLOOKUP(Readings[[#This Row],[Sensor ID]],Table_Baseline[],COLUMNS(Table_Baseline[[#Headers],[Sensor ID]:[Reference Angle '[Deg']]]),FALSE),"-")</f>
        <v>0</v>
      </c>
      <c r="U907" s="95" t="str">
        <f>Readings[[#This Row],[Sensor ID]]&amp;"-"&amp;Readings[[#This Row],[Epoch]]</f>
        <v>250-RL-OP-11012-45833.2847222222</v>
      </c>
      <c r="V907" s="99">
        <f ca="1">IF(Readings[[#This Row],[Epoch]]=OFFSET(Readings[[#This Row],[Epoch]],-1,0),0,1)</f>
        <v>0</v>
      </c>
    </row>
    <row r="908" spans="4:22" x14ac:dyDescent="0.2">
      <c r="D908" s="32">
        <v>45833.284722222219</v>
      </c>
      <c r="E908" s="33" t="s">
        <v>184</v>
      </c>
      <c r="F908" s="34">
        <v>60052.292999999998</v>
      </c>
      <c r="G908" s="34">
        <v>363840.88699999999</v>
      </c>
      <c r="H908" s="34">
        <v>18.777999999999999</v>
      </c>
      <c r="I908" s="33" t="s">
        <v>85</v>
      </c>
      <c r="J908" s="33" t="s">
        <v>90</v>
      </c>
      <c r="K908" s="33">
        <v>15.3</v>
      </c>
      <c r="L908" s="33">
        <v>1025.9000000000001</v>
      </c>
      <c r="M908" s="33">
        <v>96</v>
      </c>
      <c r="N908" s="33"/>
      <c r="O908" s="93">
        <f>IFERROR(IF(Readings[[#This Row],[Obs. X]]="","-",Readings[[#This Row],[Obs. X]]-_xlfn.XLOOKUP(Readings[[#This Row],[Sensor ID]],Table_Baseline[Sensor ID],Table_Baseline[Easting '[m']],"-")),"-")</f>
        <v>0</v>
      </c>
      <c r="P908" s="93">
        <f>IFERROR(IF(Readings[[#This Row],[Obs. Y]]="","-",Readings[[#This Row],[Obs. Y]]-_xlfn.XLOOKUP(Readings[[#This Row],[Sensor ID]],Table_Baseline[Sensor ID],Table_Baseline[Northing '[m']],"-")),"-")</f>
        <v>1.9999999785795808E-3</v>
      </c>
      <c r="Q908" s="93">
        <f>IFERROR(IF(Readings[[#This Row],[Obs. Z]]="","-",Readings[[#This Row],[Obs. Z]]-_xlfn.XLOOKUP(Readings[[#This Row],[Sensor ID]],Table_Baseline[Sensor ID],Table_Baseline[Level '[m']],"-")),"-")</f>
        <v>-1.0000000000012221E-3</v>
      </c>
      <c r="R908" s="93">
        <f>IFERROR(IF(Readings[[#This Row],[Reference Angle]]="-","-",(Readings[[#This Row],[Diff E]]*COS(RADIANS(Readings[[#This Row],[Reference Angle]]))-Readings[[#This Row],[Diff N]]*SIN(RADIANS(Readings[[#This Row],[Reference Angle]])))),"-")</f>
        <v>0</v>
      </c>
      <c r="S908" s="93">
        <f>IFERROR(IF(Readings[[#This Row],[Reference Angle]]="-","-",(Readings[[#This Row],[Diff E]]*SIN(RADIANS(Readings[[#This Row],[Reference Angle]]))+Readings[[#This Row],[Diff N]]*COS(RADIANS(Readings[[#This Row],[Reference Angle]])))),"-")</f>
        <v>1.9999999785795808E-3</v>
      </c>
      <c r="T908" s="94">
        <f>IFERROR(VLOOKUP(Readings[[#This Row],[Sensor ID]],Table_Baseline[],COLUMNS(Table_Baseline[[#Headers],[Sensor ID]:[Reference Angle '[Deg']]]),FALSE),"-")</f>
        <v>0</v>
      </c>
      <c r="U908" s="95" t="str">
        <f>Readings[[#This Row],[Sensor ID]]&amp;"-"&amp;Readings[[#This Row],[Epoch]]</f>
        <v>250-RL-OP-11013-45833.2847222222</v>
      </c>
      <c r="V908" s="99">
        <f ca="1">IF(Readings[[#This Row],[Epoch]]=OFFSET(Readings[[#This Row],[Epoch]],-1,0),0,1)</f>
        <v>0</v>
      </c>
    </row>
    <row r="909" spans="4:22" x14ac:dyDescent="0.2">
      <c r="D909" s="32">
        <v>45833.284722222219</v>
      </c>
      <c r="E909" s="33" t="s">
        <v>183</v>
      </c>
      <c r="F909" s="34">
        <v>60051.989000000001</v>
      </c>
      <c r="G909" s="34">
        <v>363839.60600000003</v>
      </c>
      <c r="H909" s="34">
        <v>18.768999999999998</v>
      </c>
      <c r="I909" s="33" t="s">
        <v>85</v>
      </c>
      <c r="J909" s="33" t="s">
        <v>90</v>
      </c>
      <c r="K909" s="33">
        <v>15.3</v>
      </c>
      <c r="L909" s="33">
        <v>1025.9000000000001</v>
      </c>
      <c r="M909" s="33">
        <v>96</v>
      </c>
      <c r="N909" s="33"/>
      <c r="O909" s="93">
        <f>IFERROR(IF(Readings[[#This Row],[Obs. X]]="","-",Readings[[#This Row],[Obs. X]]-_xlfn.XLOOKUP(Readings[[#This Row],[Sensor ID]],Table_Baseline[Sensor ID],Table_Baseline[Easting '[m']],"-")),"-")</f>
        <v>0</v>
      </c>
      <c r="P909" s="93">
        <f>IFERROR(IF(Readings[[#This Row],[Obs. Y]]="","-",Readings[[#This Row],[Obs. Y]]-_xlfn.XLOOKUP(Readings[[#This Row],[Sensor ID]],Table_Baseline[Sensor ID],Table_Baseline[Northing '[m']],"-")),"-")</f>
        <v>3.0000000260770321E-3</v>
      </c>
      <c r="Q909" s="93">
        <f>IFERROR(IF(Readings[[#This Row],[Obs. Z]]="","-",Readings[[#This Row],[Obs. Z]]-_xlfn.XLOOKUP(Readings[[#This Row],[Sensor ID]],Table_Baseline[Sensor ID],Table_Baseline[Level '[m']],"-")),"-")</f>
        <v>-1.1000000000009891E-3</v>
      </c>
      <c r="R909" s="93">
        <f>IFERROR(IF(Readings[[#This Row],[Reference Angle]]="-","-",(Readings[[#This Row],[Diff E]]*COS(RADIANS(Readings[[#This Row],[Reference Angle]]))-Readings[[#This Row],[Diff N]]*SIN(RADIANS(Readings[[#This Row],[Reference Angle]])))),"-")</f>
        <v>0</v>
      </c>
      <c r="S909" s="93">
        <f>IFERROR(IF(Readings[[#This Row],[Reference Angle]]="-","-",(Readings[[#This Row],[Diff E]]*SIN(RADIANS(Readings[[#This Row],[Reference Angle]]))+Readings[[#This Row],[Diff N]]*COS(RADIANS(Readings[[#This Row],[Reference Angle]])))),"-")</f>
        <v>3.0000000260770321E-3</v>
      </c>
      <c r="T909" s="94">
        <f>IFERROR(VLOOKUP(Readings[[#This Row],[Sensor ID]],Table_Baseline[],COLUMNS(Table_Baseline[[#Headers],[Sensor ID]:[Reference Angle '[Deg']]]),FALSE),"-")</f>
        <v>0</v>
      </c>
      <c r="U909" s="95" t="str">
        <f>Readings[[#This Row],[Sensor ID]]&amp;"-"&amp;Readings[[#This Row],[Epoch]]</f>
        <v>250-RL-OP-11014-45833.2847222222</v>
      </c>
      <c r="V909" s="99">
        <f ca="1">IF(Readings[[#This Row],[Epoch]]=OFFSET(Readings[[#This Row],[Epoch]],-1,0),0,1)</f>
        <v>0</v>
      </c>
    </row>
    <row r="910" spans="4:22" x14ac:dyDescent="0.2">
      <c r="D910" s="32">
        <v>45833.284722222219</v>
      </c>
      <c r="E910" s="33" t="s">
        <v>186</v>
      </c>
      <c r="F910" s="34">
        <v>60055.196000000004</v>
      </c>
      <c r="G910" s="34">
        <v>363840.09700000001</v>
      </c>
      <c r="H910" s="34">
        <v>18.78</v>
      </c>
      <c r="I910" s="33" t="s">
        <v>85</v>
      </c>
      <c r="J910" s="33" t="s">
        <v>90</v>
      </c>
      <c r="K910" s="33">
        <v>15.3</v>
      </c>
      <c r="L910" s="33">
        <v>1025.9000000000001</v>
      </c>
      <c r="M910" s="33">
        <v>96</v>
      </c>
      <c r="N910" s="33"/>
      <c r="O910" s="93">
        <f>IFERROR(IF(Readings[[#This Row],[Obs. X]]="","-",Readings[[#This Row],[Obs. X]]-_xlfn.XLOOKUP(Readings[[#This Row],[Sensor ID]],Table_Baseline[Sensor ID],Table_Baseline[Easting '[m']],"-")),"-")</f>
        <v>0</v>
      </c>
      <c r="P910" s="93">
        <f>IFERROR(IF(Readings[[#This Row],[Obs. Y]]="","-",Readings[[#This Row],[Obs. Y]]-_xlfn.XLOOKUP(Readings[[#This Row],[Sensor ID]],Table_Baseline[Sensor ID],Table_Baseline[Northing '[m']],"-")),"-")</f>
        <v>2.0000000367872417E-3</v>
      </c>
      <c r="Q910" s="93">
        <f>IFERROR(IF(Readings[[#This Row],[Obs. Z]]="","-",Readings[[#This Row],[Obs. Z]]-_xlfn.XLOOKUP(Readings[[#This Row],[Sensor ID]],Table_Baseline[Sensor ID],Table_Baseline[Level '[m']],"-")),"-")</f>
        <v>-8.9999999999790248E-4</v>
      </c>
      <c r="R910" s="93">
        <f>IFERROR(IF(Readings[[#This Row],[Reference Angle]]="-","-",(Readings[[#This Row],[Diff E]]*COS(RADIANS(Readings[[#This Row],[Reference Angle]]))-Readings[[#This Row],[Diff N]]*SIN(RADIANS(Readings[[#This Row],[Reference Angle]])))),"-")</f>
        <v>0</v>
      </c>
      <c r="S910" s="93">
        <f>IFERROR(IF(Readings[[#This Row],[Reference Angle]]="-","-",(Readings[[#This Row],[Diff E]]*SIN(RADIANS(Readings[[#This Row],[Reference Angle]]))+Readings[[#This Row],[Diff N]]*COS(RADIANS(Readings[[#This Row],[Reference Angle]])))),"-")</f>
        <v>2.0000000367872417E-3</v>
      </c>
      <c r="T910" s="94">
        <f>IFERROR(VLOOKUP(Readings[[#This Row],[Sensor ID]],Table_Baseline[],COLUMNS(Table_Baseline[[#Headers],[Sensor ID]:[Reference Angle '[Deg']]]),FALSE),"-")</f>
        <v>0</v>
      </c>
      <c r="U910" s="95" t="str">
        <f>Readings[[#This Row],[Sensor ID]]&amp;"-"&amp;Readings[[#This Row],[Epoch]]</f>
        <v>250-RL-OP-11015-45833.2847222222</v>
      </c>
      <c r="V910" s="99">
        <f ca="1">IF(Readings[[#This Row],[Epoch]]=OFFSET(Readings[[#This Row],[Epoch]],-1,0),0,1)</f>
        <v>0</v>
      </c>
    </row>
    <row r="911" spans="4:22" x14ac:dyDescent="0.2">
      <c r="D911" s="32">
        <v>45833.284722222219</v>
      </c>
      <c r="E911" s="33" t="s">
        <v>185</v>
      </c>
      <c r="F911" s="34">
        <v>60054.885000000002</v>
      </c>
      <c r="G911" s="34">
        <v>363838.80799999996</v>
      </c>
      <c r="H911" s="34">
        <v>18.771999999999998</v>
      </c>
      <c r="I911" s="33" t="s">
        <v>85</v>
      </c>
      <c r="J911" s="33" t="s">
        <v>90</v>
      </c>
      <c r="K911" s="33">
        <v>15.3</v>
      </c>
      <c r="L911" s="33">
        <v>1025.9000000000001</v>
      </c>
      <c r="M911" s="33">
        <v>96</v>
      </c>
      <c r="N911" s="33"/>
      <c r="O911" s="93">
        <f>IFERROR(IF(Readings[[#This Row],[Obs. X]]="","-",Readings[[#This Row],[Obs. X]]-_xlfn.XLOOKUP(Readings[[#This Row],[Sensor ID]],Table_Baseline[Sensor ID],Table_Baseline[Easting '[m']],"-")),"-")</f>
        <v>-9.9999999656574801E-4</v>
      </c>
      <c r="P911" s="93">
        <f>IFERROR(IF(Readings[[#This Row],[Obs. Y]]="","-",Readings[[#This Row],[Obs. Y]]-_xlfn.XLOOKUP(Readings[[#This Row],[Sensor ID]],Table_Baseline[Sensor ID],Table_Baseline[Northing '[m']],"-")),"-")</f>
        <v>2.9999999678693712E-3</v>
      </c>
      <c r="Q911" s="93">
        <f>IFERROR(IF(Readings[[#This Row],[Obs. Z]]="","-",Readings[[#This Row],[Obs. Z]]-_xlfn.XLOOKUP(Readings[[#This Row],[Sensor ID]],Table_Baseline[Sensor ID],Table_Baseline[Level '[m']],"-")),"-")</f>
        <v>-1.1000000000009891E-3</v>
      </c>
      <c r="R911" s="93">
        <f>IFERROR(IF(Readings[[#This Row],[Reference Angle]]="-","-",(Readings[[#This Row],[Diff E]]*COS(RADIANS(Readings[[#This Row],[Reference Angle]]))-Readings[[#This Row],[Diff N]]*SIN(RADIANS(Readings[[#This Row],[Reference Angle]])))),"-")</f>
        <v>-9.9999999656574801E-4</v>
      </c>
      <c r="S911" s="93">
        <f>IFERROR(IF(Readings[[#This Row],[Reference Angle]]="-","-",(Readings[[#This Row],[Diff E]]*SIN(RADIANS(Readings[[#This Row],[Reference Angle]]))+Readings[[#This Row],[Diff N]]*COS(RADIANS(Readings[[#This Row],[Reference Angle]])))),"-")</f>
        <v>2.9999999678693712E-3</v>
      </c>
      <c r="T911" s="94">
        <f>IFERROR(VLOOKUP(Readings[[#This Row],[Sensor ID]],Table_Baseline[],COLUMNS(Table_Baseline[[#Headers],[Sensor ID]:[Reference Angle '[Deg']]]),FALSE),"-")</f>
        <v>0</v>
      </c>
      <c r="U911" s="95" t="str">
        <f>Readings[[#This Row],[Sensor ID]]&amp;"-"&amp;Readings[[#This Row],[Epoch]]</f>
        <v>250-RL-OP-11016-45833.2847222222</v>
      </c>
      <c r="V911" s="99">
        <f ca="1">IF(Readings[[#This Row],[Epoch]]=OFFSET(Readings[[#This Row],[Epoch]],-1,0),0,1)</f>
        <v>0</v>
      </c>
    </row>
    <row r="912" spans="4:22" x14ac:dyDescent="0.2">
      <c r="D912" s="32">
        <v>45833.284722222219</v>
      </c>
      <c r="E912" s="33" t="s">
        <v>188</v>
      </c>
      <c r="F912" s="34">
        <v>60057.951999999997</v>
      </c>
      <c r="G912" s="34">
        <v>363839.36600000004</v>
      </c>
      <c r="H912" s="34">
        <v>18.785</v>
      </c>
      <c r="I912" s="33" t="s">
        <v>85</v>
      </c>
      <c r="J912" s="33" t="s">
        <v>90</v>
      </c>
      <c r="K912" s="33">
        <v>15.3</v>
      </c>
      <c r="L912" s="33">
        <v>1025.9000000000001</v>
      </c>
      <c r="M912" s="33">
        <v>96</v>
      </c>
      <c r="N912" s="33"/>
      <c r="O912" s="93">
        <f>IFERROR(IF(Readings[[#This Row],[Obs. X]]="","-",Readings[[#This Row],[Obs. X]]-_xlfn.XLOOKUP(Readings[[#This Row],[Sensor ID]],Table_Baseline[Sensor ID],Table_Baseline[Easting '[m']],"-")),"-")</f>
        <v>0</v>
      </c>
      <c r="P912" s="93">
        <f>IFERROR(IF(Readings[[#This Row],[Obs. Y]]="","-",Readings[[#This Row],[Obs. Y]]-_xlfn.XLOOKUP(Readings[[#This Row],[Sensor ID]],Table_Baseline[Sensor ID],Table_Baseline[Northing '[m']],"-")),"-")</f>
        <v>4.0000000735744834E-3</v>
      </c>
      <c r="Q912" s="93">
        <f>IFERROR(IF(Readings[[#This Row],[Obs. Z]]="","-",Readings[[#This Row],[Obs. Z]]-_xlfn.XLOOKUP(Readings[[#This Row],[Sensor ID]],Table_Baseline[Sensor ID],Table_Baseline[Level '[m']],"-")),"-")</f>
        <v>-1.0000000000012221E-3</v>
      </c>
      <c r="R912" s="93">
        <f>IFERROR(IF(Readings[[#This Row],[Reference Angle]]="-","-",(Readings[[#This Row],[Diff E]]*COS(RADIANS(Readings[[#This Row],[Reference Angle]]))-Readings[[#This Row],[Diff N]]*SIN(RADIANS(Readings[[#This Row],[Reference Angle]])))),"-")</f>
        <v>0</v>
      </c>
      <c r="S912" s="93">
        <f>IFERROR(IF(Readings[[#This Row],[Reference Angle]]="-","-",(Readings[[#This Row],[Diff E]]*SIN(RADIANS(Readings[[#This Row],[Reference Angle]]))+Readings[[#This Row],[Diff N]]*COS(RADIANS(Readings[[#This Row],[Reference Angle]])))),"-")</f>
        <v>4.0000000735744834E-3</v>
      </c>
      <c r="T912" s="94">
        <f>IFERROR(VLOOKUP(Readings[[#This Row],[Sensor ID]],Table_Baseline[],COLUMNS(Table_Baseline[[#Headers],[Sensor ID]:[Reference Angle '[Deg']]]),FALSE),"-")</f>
        <v>0</v>
      </c>
      <c r="U912" s="95" t="str">
        <f>Readings[[#This Row],[Sensor ID]]&amp;"-"&amp;Readings[[#This Row],[Epoch]]</f>
        <v>250-RL-OP-11017-45833.2847222222</v>
      </c>
      <c r="V912" s="99">
        <f ca="1">IF(Readings[[#This Row],[Epoch]]=OFFSET(Readings[[#This Row],[Epoch]],-1,0),0,1)</f>
        <v>0</v>
      </c>
    </row>
    <row r="913" spans="4:22" x14ac:dyDescent="0.2">
      <c r="D913" s="32">
        <v>45833.284722222219</v>
      </c>
      <c r="E913" s="33" t="s">
        <v>187</v>
      </c>
      <c r="F913" s="34">
        <v>60057.578999999998</v>
      </c>
      <c r="G913" s="34">
        <v>363838.10100000002</v>
      </c>
      <c r="H913" s="34">
        <v>18.774999999999999</v>
      </c>
      <c r="I913" s="33" t="s">
        <v>85</v>
      </c>
      <c r="J913" s="33" t="s">
        <v>90</v>
      </c>
      <c r="K913" s="33">
        <v>15.3</v>
      </c>
      <c r="L913" s="33">
        <v>1025.9000000000001</v>
      </c>
      <c r="M913" s="33">
        <v>96</v>
      </c>
      <c r="N913" s="33"/>
      <c r="O913" s="93">
        <f>IFERROR(IF(Readings[[#This Row],[Obs. X]]="","-",Readings[[#This Row],[Obs. X]]-_xlfn.XLOOKUP(Readings[[#This Row],[Sensor ID]],Table_Baseline[Sensor ID],Table_Baseline[Easting '[m']],"-")),"-")</f>
        <v>0</v>
      </c>
      <c r="P913" s="93">
        <f>IFERROR(IF(Readings[[#This Row],[Obs. Y]]="","-",Readings[[#This Row],[Obs. Y]]-_xlfn.XLOOKUP(Readings[[#This Row],[Sensor ID]],Table_Baseline[Sensor ID],Table_Baseline[Northing '[m']],"-")),"-")</f>
        <v>3.0000000260770321E-3</v>
      </c>
      <c r="Q913" s="93">
        <f>IFERROR(IF(Readings[[#This Row],[Obs. Z]]="","-",Readings[[#This Row],[Obs. Z]]-_xlfn.XLOOKUP(Readings[[#This Row],[Sensor ID]],Table_Baseline[Sensor ID],Table_Baseline[Level '[m']],"-")),"-")</f>
        <v>-1.0000000000012221E-3</v>
      </c>
      <c r="R913" s="93">
        <f>IFERROR(IF(Readings[[#This Row],[Reference Angle]]="-","-",(Readings[[#This Row],[Diff E]]*COS(RADIANS(Readings[[#This Row],[Reference Angle]]))-Readings[[#This Row],[Diff N]]*SIN(RADIANS(Readings[[#This Row],[Reference Angle]])))),"-")</f>
        <v>0</v>
      </c>
      <c r="S913" s="93">
        <f>IFERROR(IF(Readings[[#This Row],[Reference Angle]]="-","-",(Readings[[#This Row],[Diff E]]*SIN(RADIANS(Readings[[#This Row],[Reference Angle]]))+Readings[[#This Row],[Diff N]]*COS(RADIANS(Readings[[#This Row],[Reference Angle]])))),"-")</f>
        <v>3.0000000260770321E-3</v>
      </c>
      <c r="T913" s="94">
        <f>IFERROR(VLOOKUP(Readings[[#This Row],[Sensor ID]],Table_Baseline[],COLUMNS(Table_Baseline[[#Headers],[Sensor ID]:[Reference Angle '[Deg']]]),FALSE),"-")</f>
        <v>0</v>
      </c>
      <c r="U913" s="95" t="str">
        <f>Readings[[#This Row],[Sensor ID]]&amp;"-"&amp;Readings[[#This Row],[Epoch]]</f>
        <v>250-RL-OP-11018-45833.2847222222</v>
      </c>
      <c r="V913" s="99">
        <f ca="1">IF(Readings[[#This Row],[Epoch]]=OFFSET(Readings[[#This Row],[Epoch]],-1,0),0,1)</f>
        <v>0</v>
      </c>
    </row>
    <row r="914" spans="4:22" x14ac:dyDescent="0.2">
      <c r="D914" s="32">
        <v>45833.284722222219</v>
      </c>
      <c r="E914" s="33" t="s">
        <v>190</v>
      </c>
      <c r="F914" s="34">
        <v>60060.963000000003</v>
      </c>
      <c r="G914" s="34">
        <v>363838.60399999999</v>
      </c>
      <c r="H914" s="34">
        <v>18.794</v>
      </c>
      <c r="I914" s="33" t="s">
        <v>85</v>
      </c>
      <c r="J914" s="33" t="s">
        <v>90</v>
      </c>
      <c r="K914" s="33">
        <v>15.3</v>
      </c>
      <c r="L914" s="33">
        <v>1025.9000000000001</v>
      </c>
      <c r="M914" s="33">
        <v>96</v>
      </c>
      <c r="N914" s="33"/>
      <c r="O914" s="93">
        <f>IFERROR(IF(Readings[[#This Row],[Obs. X]]="","-",Readings[[#This Row],[Obs. X]]-_xlfn.XLOOKUP(Readings[[#This Row],[Sensor ID]],Table_Baseline[Sensor ID],Table_Baseline[Easting '[m']],"-")),"-")</f>
        <v>0</v>
      </c>
      <c r="P914" s="93">
        <f>IFERROR(IF(Readings[[#This Row],[Obs. Y]]="","-",Readings[[#This Row],[Obs. Y]]-_xlfn.XLOOKUP(Readings[[#This Row],[Sensor ID]],Table_Baseline[Sensor ID],Table_Baseline[Northing '[m']],"-")),"-")</f>
        <v>2.9999999678693712E-3</v>
      </c>
      <c r="Q914" s="93">
        <f>IFERROR(IF(Readings[[#This Row],[Obs. Z]]="","-",Readings[[#This Row],[Obs. Z]]-_xlfn.XLOOKUP(Readings[[#This Row],[Sensor ID]],Table_Baseline[Sensor ID],Table_Baseline[Level '[m']],"-")),"-")</f>
        <v>-5.9999999999860165E-4</v>
      </c>
      <c r="R914" s="93">
        <f>IFERROR(IF(Readings[[#This Row],[Reference Angle]]="-","-",(Readings[[#This Row],[Diff E]]*COS(RADIANS(Readings[[#This Row],[Reference Angle]]))-Readings[[#This Row],[Diff N]]*SIN(RADIANS(Readings[[#This Row],[Reference Angle]])))),"-")</f>
        <v>0</v>
      </c>
      <c r="S914" s="93">
        <f>IFERROR(IF(Readings[[#This Row],[Reference Angle]]="-","-",(Readings[[#This Row],[Diff E]]*SIN(RADIANS(Readings[[#This Row],[Reference Angle]]))+Readings[[#This Row],[Diff N]]*COS(RADIANS(Readings[[#This Row],[Reference Angle]])))),"-")</f>
        <v>2.9999999678693712E-3</v>
      </c>
      <c r="T914" s="94">
        <f>IFERROR(VLOOKUP(Readings[[#This Row],[Sensor ID]],Table_Baseline[],COLUMNS(Table_Baseline[[#Headers],[Sensor ID]:[Reference Angle '[Deg']]]),FALSE),"-")</f>
        <v>0</v>
      </c>
      <c r="U914" s="95" t="str">
        <f>Readings[[#This Row],[Sensor ID]]&amp;"-"&amp;Readings[[#This Row],[Epoch]]</f>
        <v>250-RL-OP-11019-45833.2847222222</v>
      </c>
      <c r="V914" s="99">
        <f ca="1">IF(Readings[[#This Row],[Epoch]]=OFFSET(Readings[[#This Row],[Epoch]],-1,0),0,1)</f>
        <v>0</v>
      </c>
    </row>
    <row r="915" spans="4:22" x14ac:dyDescent="0.2">
      <c r="D915" s="32">
        <v>45833.284722222219</v>
      </c>
      <c r="E915" s="33" t="s">
        <v>189</v>
      </c>
      <c r="F915" s="34">
        <v>60060.639999999999</v>
      </c>
      <c r="G915" s="34">
        <v>363837.326</v>
      </c>
      <c r="H915" s="34">
        <v>18.782</v>
      </c>
      <c r="I915" s="33" t="s">
        <v>85</v>
      </c>
      <c r="J915" s="33" t="s">
        <v>90</v>
      </c>
      <c r="K915" s="33">
        <v>15.3</v>
      </c>
      <c r="L915" s="33">
        <v>1025.9000000000001</v>
      </c>
      <c r="M915" s="33">
        <v>96</v>
      </c>
      <c r="N915" s="33"/>
      <c r="O915" s="93">
        <f>IFERROR(IF(Readings[[#This Row],[Obs. X]]="","-",Readings[[#This Row],[Obs. X]]-_xlfn.XLOOKUP(Readings[[#This Row],[Sensor ID]],Table_Baseline[Sensor ID],Table_Baseline[Easting '[m']],"-")),"-")</f>
        <v>0</v>
      </c>
      <c r="P915" s="93">
        <f>IFERROR(IF(Readings[[#This Row],[Obs. Y]]="","-",Readings[[#This Row],[Obs. Y]]-_xlfn.XLOOKUP(Readings[[#This Row],[Sensor ID]],Table_Baseline[Sensor ID],Table_Baseline[Northing '[m']],"-")),"-")</f>
        <v>4.0000000153668225E-3</v>
      </c>
      <c r="Q915" s="93">
        <f>IFERROR(IF(Readings[[#This Row],[Obs. Z]]="","-",Readings[[#This Row],[Obs. Z]]-_xlfn.XLOOKUP(Readings[[#This Row],[Sensor ID]],Table_Baseline[Sensor ID],Table_Baseline[Level '[m']],"-")),"-")</f>
        <v>-1.5999999999998238E-3</v>
      </c>
      <c r="R915" s="93">
        <f>IFERROR(IF(Readings[[#This Row],[Reference Angle]]="-","-",(Readings[[#This Row],[Diff E]]*COS(RADIANS(Readings[[#This Row],[Reference Angle]]))-Readings[[#This Row],[Diff N]]*SIN(RADIANS(Readings[[#This Row],[Reference Angle]])))),"-")</f>
        <v>0</v>
      </c>
      <c r="S915" s="93">
        <f>IFERROR(IF(Readings[[#This Row],[Reference Angle]]="-","-",(Readings[[#This Row],[Diff E]]*SIN(RADIANS(Readings[[#This Row],[Reference Angle]]))+Readings[[#This Row],[Diff N]]*COS(RADIANS(Readings[[#This Row],[Reference Angle]])))),"-")</f>
        <v>4.0000000153668225E-3</v>
      </c>
      <c r="T915" s="94">
        <f>IFERROR(VLOOKUP(Readings[[#This Row],[Sensor ID]],Table_Baseline[],COLUMNS(Table_Baseline[[#Headers],[Sensor ID]:[Reference Angle '[Deg']]]),FALSE),"-")</f>
        <v>0</v>
      </c>
      <c r="U915" s="95" t="str">
        <f>Readings[[#This Row],[Sensor ID]]&amp;"-"&amp;Readings[[#This Row],[Epoch]]</f>
        <v>250-RL-OP-11020-45833.2847222222</v>
      </c>
      <c r="V915" s="99">
        <f ca="1">IF(Readings[[#This Row],[Epoch]]=OFFSET(Readings[[#This Row],[Epoch]],-1,0),0,1)</f>
        <v>0</v>
      </c>
    </row>
    <row r="916" spans="4:22" x14ac:dyDescent="0.2">
      <c r="D916" s="32">
        <v>45833.284722222219</v>
      </c>
      <c r="E916" s="33" t="s">
        <v>192</v>
      </c>
      <c r="F916" s="34">
        <v>60063.750999999997</v>
      </c>
      <c r="G916" s="34">
        <v>363837.92099999997</v>
      </c>
      <c r="H916" s="34">
        <v>18.808</v>
      </c>
      <c r="I916" s="33" t="s">
        <v>85</v>
      </c>
      <c r="J916" s="33" t="s">
        <v>90</v>
      </c>
      <c r="K916" s="33">
        <v>15.3</v>
      </c>
      <c r="L916" s="33">
        <v>1025.9000000000001</v>
      </c>
      <c r="M916" s="33">
        <v>96</v>
      </c>
      <c r="N916" s="33"/>
      <c r="O916" s="93">
        <f>IFERROR(IF(Readings[[#This Row],[Obs. X]]="","-",Readings[[#This Row],[Obs. X]]-_xlfn.XLOOKUP(Readings[[#This Row],[Sensor ID]],Table_Baseline[Sensor ID],Table_Baseline[Easting '[m']],"-")),"-")</f>
        <v>0</v>
      </c>
      <c r="P916" s="93">
        <f>IFERROR(IF(Readings[[#This Row],[Obs. Y]]="","-",Readings[[#This Row],[Obs. Y]]-_xlfn.XLOOKUP(Readings[[#This Row],[Sensor ID]],Table_Baseline[Sensor ID],Table_Baseline[Northing '[m']],"-")),"-")</f>
        <v>2.9999999678693712E-3</v>
      </c>
      <c r="Q916" s="93">
        <f>IFERROR(IF(Readings[[#This Row],[Obs. Z]]="","-",Readings[[#This Row],[Obs. Z]]-_xlfn.XLOOKUP(Readings[[#This Row],[Sensor ID]],Table_Baseline[Sensor ID],Table_Baseline[Level '[m']],"-")),"-")</f>
        <v>-1.0000000000012221E-3</v>
      </c>
      <c r="R916" s="93">
        <f>IFERROR(IF(Readings[[#This Row],[Reference Angle]]="-","-",(Readings[[#This Row],[Diff E]]*COS(RADIANS(Readings[[#This Row],[Reference Angle]]))-Readings[[#This Row],[Diff N]]*SIN(RADIANS(Readings[[#This Row],[Reference Angle]])))),"-")</f>
        <v>0</v>
      </c>
      <c r="S916" s="93">
        <f>IFERROR(IF(Readings[[#This Row],[Reference Angle]]="-","-",(Readings[[#This Row],[Diff E]]*SIN(RADIANS(Readings[[#This Row],[Reference Angle]]))+Readings[[#This Row],[Diff N]]*COS(RADIANS(Readings[[#This Row],[Reference Angle]])))),"-")</f>
        <v>2.9999999678693712E-3</v>
      </c>
      <c r="T916" s="94">
        <f>IFERROR(VLOOKUP(Readings[[#This Row],[Sensor ID]],Table_Baseline[],COLUMNS(Table_Baseline[[#Headers],[Sensor ID]:[Reference Angle '[Deg']]]),FALSE),"-")</f>
        <v>0</v>
      </c>
      <c r="U916" s="95" t="str">
        <f>Readings[[#This Row],[Sensor ID]]&amp;"-"&amp;Readings[[#This Row],[Epoch]]</f>
        <v>250-RL-OP-11021-45833.2847222222</v>
      </c>
      <c r="V916" s="99">
        <f ca="1">IF(Readings[[#This Row],[Epoch]]=OFFSET(Readings[[#This Row],[Epoch]],-1,0),0,1)</f>
        <v>0</v>
      </c>
    </row>
    <row r="917" spans="4:22" x14ac:dyDescent="0.2">
      <c r="D917" s="32">
        <v>45833.284722222219</v>
      </c>
      <c r="E917" s="33" t="s">
        <v>191</v>
      </c>
      <c r="F917" s="34">
        <v>60063.421999999999</v>
      </c>
      <c r="G917" s="34">
        <v>363836.64</v>
      </c>
      <c r="H917" s="34">
        <v>18.792999999999999</v>
      </c>
      <c r="I917" s="33" t="s">
        <v>85</v>
      </c>
      <c r="J917" s="33" t="s">
        <v>90</v>
      </c>
      <c r="K917" s="33">
        <v>15.3</v>
      </c>
      <c r="L917" s="33">
        <v>1025.9000000000001</v>
      </c>
      <c r="M917" s="33">
        <v>96</v>
      </c>
      <c r="N917" s="33"/>
      <c r="O917" s="93">
        <f>IFERROR(IF(Readings[[#This Row],[Obs. X]]="","-",Readings[[#This Row],[Obs. X]]-_xlfn.XLOOKUP(Readings[[#This Row],[Sensor ID]],Table_Baseline[Sensor ID],Table_Baseline[Easting '[m']],"-")),"-")</f>
        <v>0</v>
      </c>
      <c r="P917" s="93">
        <f>IFERROR(IF(Readings[[#This Row],[Obs. Y]]="","-",Readings[[#This Row],[Obs. Y]]-_xlfn.XLOOKUP(Readings[[#This Row],[Sensor ID]],Table_Baseline[Sensor ID],Table_Baseline[Northing '[m']],"-")),"-")</f>
        <v>4.0000000153668225E-3</v>
      </c>
      <c r="Q917" s="93">
        <f>IFERROR(IF(Readings[[#This Row],[Obs. Z]]="","-",Readings[[#This Row],[Obs. Z]]-_xlfn.XLOOKUP(Readings[[#This Row],[Sensor ID]],Table_Baseline[Sensor ID],Table_Baseline[Level '[m']],"-")),"-")</f>
        <v>-1.8999999999991246E-3</v>
      </c>
      <c r="R917" s="93">
        <f>IFERROR(IF(Readings[[#This Row],[Reference Angle]]="-","-",(Readings[[#This Row],[Diff E]]*COS(RADIANS(Readings[[#This Row],[Reference Angle]]))-Readings[[#This Row],[Diff N]]*SIN(RADIANS(Readings[[#This Row],[Reference Angle]])))),"-")</f>
        <v>0</v>
      </c>
      <c r="S917" s="93">
        <f>IFERROR(IF(Readings[[#This Row],[Reference Angle]]="-","-",(Readings[[#This Row],[Diff E]]*SIN(RADIANS(Readings[[#This Row],[Reference Angle]]))+Readings[[#This Row],[Diff N]]*COS(RADIANS(Readings[[#This Row],[Reference Angle]])))),"-")</f>
        <v>4.0000000153668225E-3</v>
      </c>
      <c r="T917" s="94">
        <f>IFERROR(VLOOKUP(Readings[[#This Row],[Sensor ID]],Table_Baseline[],COLUMNS(Table_Baseline[[#Headers],[Sensor ID]:[Reference Angle '[Deg']]]),FALSE),"-")</f>
        <v>0</v>
      </c>
      <c r="U917" s="95" t="str">
        <f>Readings[[#This Row],[Sensor ID]]&amp;"-"&amp;Readings[[#This Row],[Epoch]]</f>
        <v>250-RL-OP-11022-45833.2847222222</v>
      </c>
      <c r="V917" s="99">
        <f ca="1">IF(Readings[[#This Row],[Epoch]]=OFFSET(Readings[[#This Row],[Epoch]],-1,0),0,1)</f>
        <v>0</v>
      </c>
    </row>
    <row r="918" spans="4:22" x14ac:dyDescent="0.2">
      <c r="D918" s="32">
        <v>45833.284722222219</v>
      </c>
      <c r="E918" s="33" t="s">
        <v>165</v>
      </c>
      <c r="F918" s="34">
        <v>60034.538999999997</v>
      </c>
      <c r="G918" s="34">
        <v>363843.38099999999</v>
      </c>
      <c r="H918" s="34">
        <v>19.331</v>
      </c>
      <c r="I918" s="33" t="s">
        <v>85</v>
      </c>
      <c r="J918" s="33" t="s">
        <v>90</v>
      </c>
      <c r="K918" s="33">
        <v>15.3</v>
      </c>
      <c r="L918" s="33">
        <v>1025.9000000000001</v>
      </c>
      <c r="M918" s="33">
        <v>96</v>
      </c>
      <c r="N918" s="33"/>
      <c r="O918" s="93" t="str">
        <f>IFERROR(IF(Readings[[#This Row],[Obs. X]]="","-",Readings[[#This Row],[Obs. X]]-_xlfn.XLOOKUP(Readings[[#This Row],[Sensor ID]],Table_Baseline[Sensor ID],Table_Baseline[Easting '[m']],"-")),"-")</f>
        <v>-</v>
      </c>
      <c r="P918" s="93" t="str">
        <f>IFERROR(IF(Readings[[#This Row],[Obs. Y]]="","-",Readings[[#This Row],[Obs. Y]]-_xlfn.XLOOKUP(Readings[[#This Row],[Sensor ID]],Table_Baseline[Sensor ID],Table_Baseline[Northing '[m']],"-")),"-")</f>
        <v>-</v>
      </c>
      <c r="Q918" s="93" t="str">
        <f>IFERROR(IF(Readings[[#This Row],[Obs. Z]]="","-",Readings[[#This Row],[Obs. Z]]-_xlfn.XLOOKUP(Readings[[#This Row],[Sensor ID]],Table_Baseline[Sensor ID],Table_Baseline[Level '[m']],"-")),"-")</f>
        <v>-</v>
      </c>
      <c r="R918" s="93" t="str">
        <f>IFERROR(IF(Readings[[#This Row],[Reference Angle]]="-","-",(Readings[[#This Row],[Diff E]]*COS(RADIANS(Readings[[#This Row],[Reference Angle]]))-Readings[[#This Row],[Diff N]]*SIN(RADIANS(Readings[[#This Row],[Reference Angle]])))),"-")</f>
        <v>-</v>
      </c>
      <c r="S918" s="93" t="str">
        <f>IFERROR(IF(Readings[[#This Row],[Reference Angle]]="-","-",(Readings[[#This Row],[Diff E]]*SIN(RADIANS(Readings[[#This Row],[Reference Angle]]))+Readings[[#This Row],[Diff N]]*COS(RADIANS(Readings[[#This Row],[Reference Angle]])))),"-")</f>
        <v>-</v>
      </c>
      <c r="T918" s="94" t="str">
        <f>IFERROR(VLOOKUP(Readings[[#This Row],[Sensor ID]],Table_Baseline[],COLUMNS(Table_Baseline[[#Headers],[Sensor ID]:[Reference Angle '[Deg']]]),FALSE),"-")</f>
        <v>-</v>
      </c>
      <c r="U918" s="95" t="str">
        <f>Readings[[#This Row],[Sensor ID]]&amp;"-"&amp;Readings[[#This Row],[Epoch]]</f>
        <v>250-ST-OP-500-45833.2847222222</v>
      </c>
      <c r="V918" s="99">
        <f ca="1">IF(Readings[[#This Row],[Epoch]]=OFFSET(Readings[[#This Row],[Epoch]],-1,0),0,1)</f>
        <v>0</v>
      </c>
    </row>
    <row r="919" spans="4:22" x14ac:dyDescent="0.2">
      <c r="D919" s="32">
        <v>45833.284722222219</v>
      </c>
      <c r="E919" s="33" t="s">
        <v>166</v>
      </c>
      <c r="F919" s="34">
        <v>60040.286</v>
      </c>
      <c r="G919" s="34">
        <v>363841.73</v>
      </c>
      <c r="H919" s="34">
        <v>19.321000000000002</v>
      </c>
      <c r="I919" s="33" t="s">
        <v>85</v>
      </c>
      <c r="J919" s="33" t="s">
        <v>90</v>
      </c>
      <c r="K919" s="33">
        <v>15.3</v>
      </c>
      <c r="L919" s="33">
        <v>1025.9000000000001</v>
      </c>
      <c r="M919" s="33">
        <v>96</v>
      </c>
      <c r="N919" s="33"/>
      <c r="O919" s="93" t="str">
        <f>IFERROR(IF(Readings[[#This Row],[Obs. X]]="","-",Readings[[#This Row],[Obs. X]]-_xlfn.XLOOKUP(Readings[[#This Row],[Sensor ID]],Table_Baseline[Sensor ID],Table_Baseline[Easting '[m']],"-")),"-")</f>
        <v>-</v>
      </c>
      <c r="P919" s="93" t="str">
        <f>IFERROR(IF(Readings[[#This Row],[Obs. Y]]="","-",Readings[[#This Row],[Obs. Y]]-_xlfn.XLOOKUP(Readings[[#This Row],[Sensor ID]],Table_Baseline[Sensor ID],Table_Baseline[Northing '[m']],"-")),"-")</f>
        <v>-</v>
      </c>
      <c r="Q919" s="93" t="str">
        <f>IFERROR(IF(Readings[[#This Row],[Obs. Z]]="","-",Readings[[#This Row],[Obs. Z]]-_xlfn.XLOOKUP(Readings[[#This Row],[Sensor ID]],Table_Baseline[Sensor ID],Table_Baseline[Level '[m']],"-")),"-")</f>
        <v>-</v>
      </c>
      <c r="R919" s="93" t="str">
        <f>IFERROR(IF(Readings[[#This Row],[Reference Angle]]="-","-",(Readings[[#This Row],[Diff E]]*COS(RADIANS(Readings[[#This Row],[Reference Angle]]))-Readings[[#This Row],[Diff N]]*SIN(RADIANS(Readings[[#This Row],[Reference Angle]])))),"-")</f>
        <v>-</v>
      </c>
      <c r="S919" s="93" t="str">
        <f>IFERROR(IF(Readings[[#This Row],[Reference Angle]]="-","-",(Readings[[#This Row],[Diff E]]*SIN(RADIANS(Readings[[#This Row],[Reference Angle]]))+Readings[[#This Row],[Diff N]]*COS(RADIANS(Readings[[#This Row],[Reference Angle]])))),"-")</f>
        <v>-</v>
      </c>
      <c r="T919" s="94" t="str">
        <f>IFERROR(VLOOKUP(Readings[[#This Row],[Sensor ID]],Table_Baseline[],COLUMNS(Table_Baseline[[#Headers],[Sensor ID]:[Reference Angle '[Deg']]]),FALSE),"-")</f>
        <v>-</v>
      </c>
      <c r="U919" s="95" t="str">
        <f>Readings[[#This Row],[Sensor ID]]&amp;"-"&amp;Readings[[#This Row],[Epoch]]</f>
        <v>250-ST-OP-501-45833.2847222222</v>
      </c>
      <c r="V919" s="99">
        <f ca="1">IF(Readings[[#This Row],[Epoch]]=OFFSET(Readings[[#This Row],[Epoch]],-1,0),0,1)</f>
        <v>0</v>
      </c>
    </row>
    <row r="920" spans="4:22" x14ac:dyDescent="0.2">
      <c r="D920" s="32">
        <v>45833.284722222219</v>
      </c>
      <c r="E920" s="33" t="s">
        <v>167</v>
      </c>
      <c r="F920" s="34">
        <v>60045.921999999999</v>
      </c>
      <c r="G920" s="34">
        <v>363840.10100000002</v>
      </c>
      <c r="H920" s="34">
        <v>19.334</v>
      </c>
      <c r="I920" s="33" t="s">
        <v>85</v>
      </c>
      <c r="J920" s="33" t="s">
        <v>90</v>
      </c>
      <c r="K920" s="33">
        <v>15.3</v>
      </c>
      <c r="L920" s="33">
        <v>1025.9000000000001</v>
      </c>
      <c r="M920" s="33">
        <v>96</v>
      </c>
      <c r="N920" s="33"/>
      <c r="O920" s="93" t="str">
        <f>IFERROR(IF(Readings[[#This Row],[Obs. X]]="","-",Readings[[#This Row],[Obs. X]]-_xlfn.XLOOKUP(Readings[[#This Row],[Sensor ID]],Table_Baseline[Sensor ID],Table_Baseline[Easting '[m']],"-")),"-")</f>
        <v>-</v>
      </c>
      <c r="P920" s="93" t="str">
        <f>IFERROR(IF(Readings[[#This Row],[Obs. Y]]="","-",Readings[[#This Row],[Obs. Y]]-_xlfn.XLOOKUP(Readings[[#This Row],[Sensor ID]],Table_Baseline[Sensor ID],Table_Baseline[Northing '[m']],"-")),"-")</f>
        <v>-</v>
      </c>
      <c r="Q920" s="93" t="str">
        <f>IFERROR(IF(Readings[[#This Row],[Obs. Z]]="","-",Readings[[#This Row],[Obs. Z]]-_xlfn.XLOOKUP(Readings[[#This Row],[Sensor ID]],Table_Baseline[Sensor ID],Table_Baseline[Level '[m']],"-")),"-")</f>
        <v>-</v>
      </c>
      <c r="R920" s="93" t="str">
        <f>IFERROR(IF(Readings[[#This Row],[Reference Angle]]="-","-",(Readings[[#This Row],[Diff E]]*COS(RADIANS(Readings[[#This Row],[Reference Angle]]))-Readings[[#This Row],[Diff N]]*SIN(RADIANS(Readings[[#This Row],[Reference Angle]])))),"-")</f>
        <v>-</v>
      </c>
      <c r="S920" s="93" t="str">
        <f>IFERROR(IF(Readings[[#This Row],[Reference Angle]]="-","-",(Readings[[#This Row],[Diff E]]*SIN(RADIANS(Readings[[#This Row],[Reference Angle]]))+Readings[[#This Row],[Diff N]]*COS(RADIANS(Readings[[#This Row],[Reference Angle]])))),"-")</f>
        <v>-</v>
      </c>
      <c r="T920" s="94" t="str">
        <f>IFERROR(VLOOKUP(Readings[[#This Row],[Sensor ID]],Table_Baseline[],COLUMNS(Table_Baseline[[#Headers],[Sensor ID]:[Reference Angle '[Deg']]]),FALSE),"-")</f>
        <v>-</v>
      </c>
      <c r="U920" s="95" t="str">
        <f>Readings[[#This Row],[Sensor ID]]&amp;"-"&amp;Readings[[#This Row],[Epoch]]</f>
        <v>250-ST-OP-502-45833.2847222222</v>
      </c>
      <c r="V920" s="99">
        <f ca="1">IF(Readings[[#This Row],[Epoch]]=OFFSET(Readings[[#This Row],[Epoch]],-1,0),0,1)</f>
        <v>0</v>
      </c>
    </row>
    <row r="921" spans="4:22" x14ac:dyDescent="0.2">
      <c r="D921" s="32">
        <v>45833.284722222219</v>
      </c>
      <c r="E921" s="33" t="s">
        <v>168</v>
      </c>
      <c r="F921" s="34">
        <v>60049.767999999996</v>
      </c>
      <c r="G921" s="34">
        <v>363838.99400000001</v>
      </c>
      <c r="H921" s="34">
        <v>19.344999999999999</v>
      </c>
      <c r="I921" s="33" t="s">
        <v>85</v>
      </c>
      <c r="J921" s="33" t="s">
        <v>90</v>
      </c>
      <c r="K921" s="33">
        <v>15.3</v>
      </c>
      <c r="L921" s="33">
        <v>1025.9000000000001</v>
      </c>
      <c r="M921" s="33">
        <v>96</v>
      </c>
      <c r="N921" s="33"/>
      <c r="O921" s="93" t="str">
        <f>IFERROR(IF(Readings[[#This Row],[Obs. X]]="","-",Readings[[#This Row],[Obs. X]]-_xlfn.XLOOKUP(Readings[[#This Row],[Sensor ID]],Table_Baseline[Sensor ID],Table_Baseline[Easting '[m']],"-")),"-")</f>
        <v>-</v>
      </c>
      <c r="P921" s="93" t="str">
        <f>IFERROR(IF(Readings[[#This Row],[Obs. Y]]="","-",Readings[[#This Row],[Obs. Y]]-_xlfn.XLOOKUP(Readings[[#This Row],[Sensor ID]],Table_Baseline[Sensor ID],Table_Baseline[Northing '[m']],"-")),"-")</f>
        <v>-</v>
      </c>
      <c r="Q921" s="93" t="str">
        <f>IFERROR(IF(Readings[[#This Row],[Obs. Z]]="","-",Readings[[#This Row],[Obs. Z]]-_xlfn.XLOOKUP(Readings[[#This Row],[Sensor ID]],Table_Baseline[Sensor ID],Table_Baseline[Level '[m']],"-")),"-")</f>
        <v>-</v>
      </c>
      <c r="R921" s="93" t="str">
        <f>IFERROR(IF(Readings[[#This Row],[Reference Angle]]="-","-",(Readings[[#This Row],[Diff E]]*COS(RADIANS(Readings[[#This Row],[Reference Angle]]))-Readings[[#This Row],[Diff N]]*SIN(RADIANS(Readings[[#This Row],[Reference Angle]])))),"-")</f>
        <v>-</v>
      </c>
      <c r="S921" s="93" t="str">
        <f>IFERROR(IF(Readings[[#This Row],[Reference Angle]]="-","-",(Readings[[#This Row],[Diff E]]*SIN(RADIANS(Readings[[#This Row],[Reference Angle]]))+Readings[[#This Row],[Diff N]]*COS(RADIANS(Readings[[#This Row],[Reference Angle]])))),"-")</f>
        <v>-</v>
      </c>
      <c r="T921" s="94" t="str">
        <f>IFERROR(VLOOKUP(Readings[[#This Row],[Sensor ID]],Table_Baseline[],COLUMNS(Table_Baseline[[#Headers],[Sensor ID]:[Reference Angle '[Deg']]]),FALSE),"-")</f>
        <v>-</v>
      </c>
      <c r="U921" s="95" t="str">
        <f>Readings[[#This Row],[Sensor ID]]&amp;"-"&amp;Readings[[#This Row],[Epoch]]</f>
        <v>250-ST-OP-503-45833.2847222222</v>
      </c>
      <c r="V921" s="99">
        <f ca="1">IF(Readings[[#This Row],[Epoch]]=OFFSET(Readings[[#This Row],[Epoch]],-1,0),0,1)</f>
        <v>0</v>
      </c>
    </row>
    <row r="922" spans="4:22" x14ac:dyDescent="0.2">
      <c r="D922" s="32">
        <v>45833.284722222219</v>
      </c>
      <c r="E922" s="33" t="s">
        <v>169</v>
      </c>
      <c r="F922" s="34">
        <v>60053.608999999997</v>
      </c>
      <c r="G922" s="34">
        <v>363837.88300000003</v>
      </c>
      <c r="H922" s="34">
        <v>19.356000000000002</v>
      </c>
      <c r="I922" s="33" t="s">
        <v>85</v>
      </c>
      <c r="J922" s="33" t="s">
        <v>90</v>
      </c>
      <c r="K922" s="33">
        <v>15.3</v>
      </c>
      <c r="L922" s="33">
        <v>1025.9000000000001</v>
      </c>
      <c r="M922" s="33">
        <v>96</v>
      </c>
      <c r="N922" s="33"/>
      <c r="O922" s="93" t="str">
        <f>IFERROR(IF(Readings[[#This Row],[Obs. X]]="","-",Readings[[#This Row],[Obs. X]]-_xlfn.XLOOKUP(Readings[[#This Row],[Sensor ID]],Table_Baseline[Sensor ID],Table_Baseline[Easting '[m']],"-")),"-")</f>
        <v>-</v>
      </c>
      <c r="P922" s="93" t="str">
        <f>IFERROR(IF(Readings[[#This Row],[Obs. Y]]="","-",Readings[[#This Row],[Obs. Y]]-_xlfn.XLOOKUP(Readings[[#This Row],[Sensor ID]],Table_Baseline[Sensor ID],Table_Baseline[Northing '[m']],"-")),"-")</f>
        <v>-</v>
      </c>
      <c r="Q922" s="93" t="str">
        <f>IFERROR(IF(Readings[[#This Row],[Obs. Z]]="","-",Readings[[#This Row],[Obs. Z]]-_xlfn.XLOOKUP(Readings[[#This Row],[Sensor ID]],Table_Baseline[Sensor ID],Table_Baseline[Level '[m']],"-")),"-")</f>
        <v>-</v>
      </c>
      <c r="R922" s="93" t="str">
        <f>IFERROR(IF(Readings[[#This Row],[Reference Angle]]="-","-",(Readings[[#This Row],[Diff E]]*COS(RADIANS(Readings[[#This Row],[Reference Angle]]))-Readings[[#This Row],[Diff N]]*SIN(RADIANS(Readings[[#This Row],[Reference Angle]])))),"-")</f>
        <v>-</v>
      </c>
      <c r="S922" s="93" t="str">
        <f>IFERROR(IF(Readings[[#This Row],[Reference Angle]]="-","-",(Readings[[#This Row],[Diff E]]*SIN(RADIANS(Readings[[#This Row],[Reference Angle]]))+Readings[[#This Row],[Diff N]]*COS(RADIANS(Readings[[#This Row],[Reference Angle]])))),"-")</f>
        <v>-</v>
      </c>
      <c r="T922" s="94" t="str">
        <f>IFERROR(VLOOKUP(Readings[[#This Row],[Sensor ID]],Table_Baseline[],COLUMNS(Table_Baseline[[#Headers],[Sensor ID]:[Reference Angle '[Deg']]]),FALSE),"-")</f>
        <v>-</v>
      </c>
      <c r="U922" s="95" t="str">
        <f>Readings[[#This Row],[Sensor ID]]&amp;"-"&amp;Readings[[#This Row],[Epoch]]</f>
        <v>250-ST-OP-504-45833.2847222222</v>
      </c>
      <c r="V922" s="99">
        <f ca="1">IF(Readings[[#This Row],[Epoch]]=OFFSET(Readings[[#This Row],[Epoch]],-1,0),0,1)</f>
        <v>0</v>
      </c>
    </row>
    <row r="923" spans="4:22" x14ac:dyDescent="0.2">
      <c r="D923" s="204">
        <v>45833.284722222219</v>
      </c>
      <c r="E923" s="151" t="s">
        <v>170</v>
      </c>
      <c r="F923" s="152">
        <v>60060.065000000002</v>
      </c>
      <c r="G923" s="152">
        <v>363836.02399999998</v>
      </c>
      <c r="H923" s="152">
        <v>19.356000000000002</v>
      </c>
      <c r="I923" s="151" t="s">
        <v>85</v>
      </c>
      <c r="J923" s="151" t="s">
        <v>90</v>
      </c>
      <c r="K923" s="151">
        <v>15.3</v>
      </c>
      <c r="L923" s="151">
        <v>1025.9000000000001</v>
      </c>
      <c r="M923" s="151">
        <v>96</v>
      </c>
      <c r="N923" s="151"/>
      <c r="O923" s="96" t="str">
        <f>IFERROR(IF(Readings[[#This Row],[Obs. X]]="","-",Readings[[#This Row],[Obs. X]]-_xlfn.XLOOKUP(Readings[[#This Row],[Sensor ID]],Table_Baseline[Sensor ID],Table_Baseline[Easting '[m']],"-")),"-")</f>
        <v>-</v>
      </c>
      <c r="P923" s="96" t="str">
        <f>IFERROR(IF(Readings[[#This Row],[Obs. Y]]="","-",Readings[[#This Row],[Obs. Y]]-_xlfn.XLOOKUP(Readings[[#This Row],[Sensor ID]],Table_Baseline[Sensor ID],Table_Baseline[Northing '[m']],"-")),"-")</f>
        <v>-</v>
      </c>
      <c r="Q923" s="96" t="str">
        <f>IFERROR(IF(Readings[[#This Row],[Obs. Z]]="","-",Readings[[#This Row],[Obs. Z]]-_xlfn.XLOOKUP(Readings[[#This Row],[Sensor ID]],Table_Baseline[Sensor ID],Table_Baseline[Level '[m']],"-")),"-")</f>
        <v>-</v>
      </c>
      <c r="R923" s="96" t="str">
        <f>IFERROR(IF(Readings[[#This Row],[Reference Angle]]="-","-",(Readings[[#This Row],[Diff E]]*COS(RADIANS(Readings[[#This Row],[Reference Angle]]))-Readings[[#This Row],[Diff N]]*SIN(RADIANS(Readings[[#This Row],[Reference Angle]])))),"-")</f>
        <v>-</v>
      </c>
      <c r="S923" s="96" t="str">
        <f>IFERROR(IF(Readings[[#This Row],[Reference Angle]]="-","-",(Readings[[#This Row],[Diff E]]*SIN(RADIANS(Readings[[#This Row],[Reference Angle]]))+Readings[[#This Row],[Diff N]]*COS(RADIANS(Readings[[#This Row],[Reference Angle]])))),"-")</f>
        <v>-</v>
      </c>
      <c r="T923" s="97" t="str">
        <f>IFERROR(VLOOKUP(Readings[[#This Row],[Sensor ID]],Table_Baseline[],COLUMNS(Table_Baseline[[#Headers],[Sensor ID]:[Reference Angle '[Deg']]]),FALSE),"-")</f>
        <v>-</v>
      </c>
      <c r="U923" s="98" t="str">
        <f>Readings[[#This Row],[Sensor ID]]&amp;"-"&amp;Readings[[#This Row],[Epoch]]</f>
        <v>250-ST-OP-505-45833.2847222222</v>
      </c>
      <c r="V923" s="100">
        <f ca="1">IF(Readings[[#This Row],[Epoch]]=OFFSET(Readings[[#This Row],[Epoch]],-1,0),0,1)</f>
        <v>0</v>
      </c>
    </row>
    <row r="924" spans="4:22" x14ac:dyDescent="0.2">
      <c r="D924" s="32">
        <v>45839.243055555555</v>
      </c>
      <c r="E924" s="33" t="s">
        <v>165</v>
      </c>
      <c r="F924" s="34">
        <v>60034.538999999997</v>
      </c>
      <c r="G924" s="34">
        <v>363843.38099999999</v>
      </c>
      <c r="H924" s="34">
        <v>19.331</v>
      </c>
      <c r="I924" s="151" t="s">
        <v>85</v>
      </c>
      <c r="J924" s="151" t="s">
        <v>90</v>
      </c>
      <c r="K924" s="33">
        <v>12.7</v>
      </c>
      <c r="L924" s="33">
        <v>1013.3</v>
      </c>
      <c r="M924" s="33">
        <v>90</v>
      </c>
      <c r="N924" s="33"/>
      <c r="O924" s="93" t="str">
        <f>IFERROR(IF(Readings[[#This Row],[Obs. X]]="","-",Readings[[#This Row],[Obs. X]]-_xlfn.XLOOKUP(Readings[[#This Row],[Sensor ID]],Table_Baseline[Sensor ID],Table_Baseline[Easting '[m']],"-")),"-")</f>
        <v>-</v>
      </c>
      <c r="P924" s="93" t="str">
        <f>IFERROR(IF(Readings[[#This Row],[Obs. Y]]="","-",Readings[[#This Row],[Obs. Y]]-_xlfn.XLOOKUP(Readings[[#This Row],[Sensor ID]],Table_Baseline[Sensor ID],Table_Baseline[Northing '[m']],"-")),"-")</f>
        <v>-</v>
      </c>
      <c r="Q924" s="93" t="str">
        <f>IFERROR(IF(Readings[[#This Row],[Obs. Z]]="","-",Readings[[#This Row],[Obs. Z]]-_xlfn.XLOOKUP(Readings[[#This Row],[Sensor ID]],Table_Baseline[Sensor ID],Table_Baseline[Level '[m']],"-")),"-")</f>
        <v>-</v>
      </c>
      <c r="R924" s="93" t="str">
        <f>IFERROR(IF(Readings[[#This Row],[Reference Angle]]="-","-",(Readings[[#This Row],[Diff E]]*COS(RADIANS(Readings[[#This Row],[Reference Angle]]))-Readings[[#This Row],[Diff N]]*SIN(RADIANS(Readings[[#This Row],[Reference Angle]])))),"-")</f>
        <v>-</v>
      </c>
      <c r="S924" s="93" t="str">
        <f>IFERROR(IF(Readings[[#This Row],[Reference Angle]]="-","-",(Readings[[#This Row],[Diff E]]*SIN(RADIANS(Readings[[#This Row],[Reference Angle]]))+Readings[[#This Row],[Diff N]]*COS(RADIANS(Readings[[#This Row],[Reference Angle]])))),"-")</f>
        <v>-</v>
      </c>
      <c r="T924" s="94" t="str">
        <f>IFERROR(VLOOKUP(Readings[[#This Row],[Sensor ID]],Table_Baseline[],COLUMNS(Table_Baseline[[#Headers],[Sensor ID]:[Reference Angle '[Deg']]]),FALSE),"-")</f>
        <v>-</v>
      </c>
      <c r="U924" s="95" t="str">
        <f>Readings[[#This Row],[Sensor ID]]&amp;"-"&amp;Readings[[#This Row],[Epoch]]</f>
        <v>250-ST-OP-500-45839.2430555556</v>
      </c>
      <c r="V924" s="99">
        <f ca="1">IF(Readings[[#This Row],[Epoch]]=OFFSET(Readings[[#This Row],[Epoch]],-1,0),0,1)</f>
        <v>1</v>
      </c>
    </row>
    <row r="925" spans="4:22" x14ac:dyDescent="0.2">
      <c r="D925" s="32">
        <v>45839.243055555555</v>
      </c>
      <c r="E925" s="33" t="s">
        <v>166</v>
      </c>
      <c r="F925" s="34">
        <v>60040.286999999997</v>
      </c>
      <c r="G925" s="34">
        <v>363841.72899999999</v>
      </c>
      <c r="H925" s="34">
        <v>19.321999999999999</v>
      </c>
      <c r="I925" s="151" t="s">
        <v>85</v>
      </c>
      <c r="J925" s="151" t="s">
        <v>90</v>
      </c>
      <c r="K925" s="33">
        <v>12.7</v>
      </c>
      <c r="L925" s="33">
        <v>1013.3</v>
      </c>
      <c r="M925" s="33">
        <v>90</v>
      </c>
      <c r="N925" s="33"/>
      <c r="O925" s="93" t="str">
        <f>IFERROR(IF(Readings[[#This Row],[Obs. X]]="","-",Readings[[#This Row],[Obs. X]]-_xlfn.XLOOKUP(Readings[[#This Row],[Sensor ID]],Table_Baseline[Sensor ID],Table_Baseline[Easting '[m']],"-")),"-")</f>
        <v>-</v>
      </c>
      <c r="P925" s="93" t="str">
        <f>IFERROR(IF(Readings[[#This Row],[Obs. Y]]="","-",Readings[[#This Row],[Obs. Y]]-_xlfn.XLOOKUP(Readings[[#This Row],[Sensor ID]],Table_Baseline[Sensor ID],Table_Baseline[Northing '[m']],"-")),"-")</f>
        <v>-</v>
      </c>
      <c r="Q925" s="93" t="str">
        <f>IFERROR(IF(Readings[[#This Row],[Obs. Z]]="","-",Readings[[#This Row],[Obs. Z]]-_xlfn.XLOOKUP(Readings[[#This Row],[Sensor ID]],Table_Baseline[Sensor ID],Table_Baseline[Level '[m']],"-")),"-")</f>
        <v>-</v>
      </c>
      <c r="R925" s="93" t="str">
        <f>IFERROR(IF(Readings[[#This Row],[Reference Angle]]="-","-",(Readings[[#This Row],[Diff E]]*COS(RADIANS(Readings[[#This Row],[Reference Angle]]))-Readings[[#This Row],[Diff N]]*SIN(RADIANS(Readings[[#This Row],[Reference Angle]])))),"-")</f>
        <v>-</v>
      </c>
      <c r="S925" s="93" t="str">
        <f>IFERROR(IF(Readings[[#This Row],[Reference Angle]]="-","-",(Readings[[#This Row],[Diff E]]*SIN(RADIANS(Readings[[#This Row],[Reference Angle]]))+Readings[[#This Row],[Diff N]]*COS(RADIANS(Readings[[#This Row],[Reference Angle]])))),"-")</f>
        <v>-</v>
      </c>
      <c r="T925" s="94" t="str">
        <f>IFERROR(VLOOKUP(Readings[[#This Row],[Sensor ID]],Table_Baseline[],COLUMNS(Table_Baseline[[#Headers],[Sensor ID]:[Reference Angle '[Deg']]]),FALSE),"-")</f>
        <v>-</v>
      </c>
      <c r="U925" s="95" t="str">
        <f>Readings[[#This Row],[Sensor ID]]&amp;"-"&amp;Readings[[#This Row],[Epoch]]</f>
        <v>250-ST-OP-501-45839.2430555556</v>
      </c>
      <c r="V925" s="99">
        <f ca="1">IF(Readings[[#This Row],[Epoch]]=OFFSET(Readings[[#This Row],[Epoch]],-1,0),0,1)</f>
        <v>0</v>
      </c>
    </row>
    <row r="926" spans="4:22" x14ac:dyDescent="0.2">
      <c r="D926" s="32">
        <v>45839.243055555555</v>
      </c>
      <c r="E926" s="33" t="s">
        <v>167</v>
      </c>
      <c r="F926" s="34">
        <v>60045.921999999999</v>
      </c>
      <c r="G926" s="34">
        <v>363840.10100000002</v>
      </c>
      <c r="H926" s="34">
        <v>19.334</v>
      </c>
      <c r="I926" s="151" t="s">
        <v>85</v>
      </c>
      <c r="J926" s="151" t="s">
        <v>90</v>
      </c>
      <c r="K926" s="33">
        <v>12.7</v>
      </c>
      <c r="L926" s="33">
        <v>1013.3</v>
      </c>
      <c r="M926" s="33">
        <v>90</v>
      </c>
      <c r="N926" s="33"/>
      <c r="O926" s="93" t="str">
        <f>IFERROR(IF(Readings[[#This Row],[Obs. X]]="","-",Readings[[#This Row],[Obs. X]]-_xlfn.XLOOKUP(Readings[[#This Row],[Sensor ID]],Table_Baseline[Sensor ID],Table_Baseline[Easting '[m']],"-")),"-")</f>
        <v>-</v>
      </c>
      <c r="P926" s="93" t="str">
        <f>IFERROR(IF(Readings[[#This Row],[Obs. Y]]="","-",Readings[[#This Row],[Obs. Y]]-_xlfn.XLOOKUP(Readings[[#This Row],[Sensor ID]],Table_Baseline[Sensor ID],Table_Baseline[Northing '[m']],"-")),"-")</f>
        <v>-</v>
      </c>
      <c r="Q926" s="93" t="str">
        <f>IFERROR(IF(Readings[[#This Row],[Obs. Z]]="","-",Readings[[#This Row],[Obs. Z]]-_xlfn.XLOOKUP(Readings[[#This Row],[Sensor ID]],Table_Baseline[Sensor ID],Table_Baseline[Level '[m']],"-")),"-")</f>
        <v>-</v>
      </c>
      <c r="R926" s="93" t="str">
        <f>IFERROR(IF(Readings[[#This Row],[Reference Angle]]="-","-",(Readings[[#This Row],[Diff E]]*COS(RADIANS(Readings[[#This Row],[Reference Angle]]))-Readings[[#This Row],[Diff N]]*SIN(RADIANS(Readings[[#This Row],[Reference Angle]])))),"-")</f>
        <v>-</v>
      </c>
      <c r="S926" s="93" t="str">
        <f>IFERROR(IF(Readings[[#This Row],[Reference Angle]]="-","-",(Readings[[#This Row],[Diff E]]*SIN(RADIANS(Readings[[#This Row],[Reference Angle]]))+Readings[[#This Row],[Diff N]]*COS(RADIANS(Readings[[#This Row],[Reference Angle]])))),"-")</f>
        <v>-</v>
      </c>
      <c r="T926" s="94" t="str">
        <f>IFERROR(VLOOKUP(Readings[[#This Row],[Sensor ID]],Table_Baseline[],COLUMNS(Table_Baseline[[#Headers],[Sensor ID]:[Reference Angle '[Deg']]]),FALSE),"-")</f>
        <v>-</v>
      </c>
      <c r="U926" s="95" t="str">
        <f>Readings[[#This Row],[Sensor ID]]&amp;"-"&amp;Readings[[#This Row],[Epoch]]</f>
        <v>250-ST-OP-502-45839.2430555556</v>
      </c>
      <c r="V926" s="99">
        <f ca="1">IF(Readings[[#This Row],[Epoch]]=OFFSET(Readings[[#This Row],[Epoch]],-1,0),0,1)</f>
        <v>0</v>
      </c>
    </row>
    <row r="927" spans="4:22" x14ac:dyDescent="0.2">
      <c r="D927" s="32">
        <v>45839.243055555555</v>
      </c>
      <c r="E927" s="33" t="s">
        <v>168</v>
      </c>
      <c r="F927" s="34">
        <v>60049.767999999996</v>
      </c>
      <c r="G927" s="34">
        <v>363838.995</v>
      </c>
      <c r="H927" s="34">
        <v>19.344999999999999</v>
      </c>
      <c r="I927" s="151" t="s">
        <v>85</v>
      </c>
      <c r="J927" s="151" t="s">
        <v>90</v>
      </c>
      <c r="K927" s="33">
        <v>12.7</v>
      </c>
      <c r="L927" s="33">
        <v>1013.3</v>
      </c>
      <c r="M927" s="33">
        <v>90</v>
      </c>
      <c r="N927" s="33"/>
      <c r="O927" s="93" t="str">
        <f>IFERROR(IF(Readings[[#This Row],[Obs. X]]="","-",Readings[[#This Row],[Obs. X]]-_xlfn.XLOOKUP(Readings[[#This Row],[Sensor ID]],Table_Baseline[Sensor ID],Table_Baseline[Easting '[m']],"-")),"-")</f>
        <v>-</v>
      </c>
      <c r="P927" s="93" t="str">
        <f>IFERROR(IF(Readings[[#This Row],[Obs. Y]]="","-",Readings[[#This Row],[Obs. Y]]-_xlfn.XLOOKUP(Readings[[#This Row],[Sensor ID]],Table_Baseline[Sensor ID],Table_Baseline[Northing '[m']],"-")),"-")</f>
        <v>-</v>
      </c>
      <c r="Q927" s="93" t="str">
        <f>IFERROR(IF(Readings[[#This Row],[Obs. Z]]="","-",Readings[[#This Row],[Obs. Z]]-_xlfn.XLOOKUP(Readings[[#This Row],[Sensor ID]],Table_Baseline[Sensor ID],Table_Baseline[Level '[m']],"-")),"-")</f>
        <v>-</v>
      </c>
      <c r="R927" s="93" t="str">
        <f>IFERROR(IF(Readings[[#This Row],[Reference Angle]]="-","-",(Readings[[#This Row],[Diff E]]*COS(RADIANS(Readings[[#This Row],[Reference Angle]]))-Readings[[#This Row],[Diff N]]*SIN(RADIANS(Readings[[#This Row],[Reference Angle]])))),"-")</f>
        <v>-</v>
      </c>
      <c r="S927" s="93" t="str">
        <f>IFERROR(IF(Readings[[#This Row],[Reference Angle]]="-","-",(Readings[[#This Row],[Diff E]]*SIN(RADIANS(Readings[[#This Row],[Reference Angle]]))+Readings[[#This Row],[Diff N]]*COS(RADIANS(Readings[[#This Row],[Reference Angle]])))),"-")</f>
        <v>-</v>
      </c>
      <c r="T927" s="94" t="str">
        <f>IFERROR(VLOOKUP(Readings[[#This Row],[Sensor ID]],Table_Baseline[],COLUMNS(Table_Baseline[[#Headers],[Sensor ID]:[Reference Angle '[Deg']]]),FALSE),"-")</f>
        <v>-</v>
      </c>
      <c r="U927" s="95" t="str">
        <f>Readings[[#This Row],[Sensor ID]]&amp;"-"&amp;Readings[[#This Row],[Epoch]]</f>
        <v>250-ST-OP-503-45839.2430555556</v>
      </c>
      <c r="V927" s="99">
        <f ca="1">IF(Readings[[#This Row],[Epoch]]=OFFSET(Readings[[#This Row],[Epoch]],-1,0),0,1)</f>
        <v>0</v>
      </c>
    </row>
    <row r="928" spans="4:22" x14ac:dyDescent="0.2">
      <c r="D928" s="32">
        <v>45839.243055555555</v>
      </c>
      <c r="E928" s="33" t="s">
        <v>169</v>
      </c>
      <c r="F928" s="34">
        <v>60053.61</v>
      </c>
      <c r="G928" s="34">
        <v>363837.88399999996</v>
      </c>
      <c r="H928" s="34">
        <v>19.356000000000002</v>
      </c>
      <c r="I928" s="151" t="s">
        <v>85</v>
      </c>
      <c r="J928" s="151" t="s">
        <v>90</v>
      </c>
      <c r="K928" s="33">
        <v>12.7</v>
      </c>
      <c r="L928" s="33">
        <v>1013.3</v>
      </c>
      <c r="M928" s="33">
        <v>90</v>
      </c>
      <c r="N928" s="33"/>
      <c r="O928" s="93" t="str">
        <f>IFERROR(IF(Readings[[#This Row],[Obs. X]]="","-",Readings[[#This Row],[Obs. X]]-_xlfn.XLOOKUP(Readings[[#This Row],[Sensor ID]],Table_Baseline[Sensor ID],Table_Baseline[Easting '[m']],"-")),"-")</f>
        <v>-</v>
      </c>
      <c r="P928" s="93" t="str">
        <f>IFERROR(IF(Readings[[#This Row],[Obs. Y]]="","-",Readings[[#This Row],[Obs. Y]]-_xlfn.XLOOKUP(Readings[[#This Row],[Sensor ID]],Table_Baseline[Sensor ID],Table_Baseline[Northing '[m']],"-")),"-")</f>
        <v>-</v>
      </c>
      <c r="Q928" s="93" t="str">
        <f>IFERROR(IF(Readings[[#This Row],[Obs. Z]]="","-",Readings[[#This Row],[Obs. Z]]-_xlfn.XLOOKUP(Readings[[#This Row],[Sensor ID]],Table_Baseline[Sensor ID],Table_Baseline[Level '[m']],"-")),"-")</f>
        <v>-</v>
      </c>
      <c r="R928" s="93" t="str">
        <f>IFERROR(IF(Readings[[#This Row],[Reference Angle]]="-","-",(Readings[[#This Row],[Diff E]]*COS(RADIANS(Readings[[#This Row],[Reference Angle]]))-Readings[[#This Row],[Diff N]]*SIN(RADIANS(Readings[[#This Row],[Reference Angle]])))),"-")</f>
        <v>-</v>
      </c>
      <c r="S928" s="93" t="str">
        <f>IFERROR(IF(Readings[[#This Row],[Reference Angle]]="-","-",(Readings[[#This Row],[Diff E]]*SIN(RADIANS(Readings[[#This Row],[Reference Angle]]))+Readings[[#This Row],[Diff N]]*COS(RADIANS(Readings[[#This Row],[Reference Angle]])))),"-")</f>
        <v>-</v>
      </c>
      <c r="T928" s="94" t="str">
        <f>IFERROR(VLOOKUP(Readings[[#This Row],[Sensor ID]],Table_Baseline[],COLUMNS(Table_Baseline[[#Headers],[Sensor ID]:[Reference Angle '[Deg']]]),FALSE),"-")</f>
        <v>-</v>
      </c>
      <c r="U928" s="95" t="str">
        <f>Readings[[#This Row],[Sensor ID]]&amp;"-"&amp;Readings[[#This Row],[Epoch]]</f>
        <v>250-ST-OP-504-45839.2430555556</v>
      </c>
      <c r="V928" s="99">
        <f ca="1">IF(Readings[[#This Row],[Epoch]]=OFFSET(Readings[[#This Row],[Epoch]],-1,0),0,1)</f>
        <v>0</v>
      </c>
    </row>
    <row r="929" spans="4:22" x14ac:dyDescent="0.2">
      <c r="D929" s="32">
        <v>45839.243055555555</v>
      </c>
      <c r="E929" s="33" t="s">
        <v>170</v>
      </c>
      <c r="F929" s="34">
        <v>60060.065999999999</v>
      </c>
      <c r="G929" s="34">
        <v>363836.02500000002</v>
      </c>
      <c r="H929" s="34">
        <v>19.356000000000002</v>
      </c>
      <c r="I929" s="151" t="s">
        <v>85</v>
      </c>
      <c r="J929" s="151" t="s">
        <v>90</v>
      </c>
      <c r="K929" s="33">
        <v>12.7</v>
      </c>
      <c r="L929" s="33">
        <v>1013.3</v>
      </c>
      <c r="M929" s="33">
        <v>90</v>
      </c>
      <c r="N929" s="33"/>
      <c r="O929" s="93" t="str">
        <f>IFERROR(IF(Readings[[#This Row],[Obs. X]]="","-",Readings[[#This Row],[Obs. X]]-_xlfn.XLOOKUP(Readings[[#This Row],[Sensor ID]],Table_Baseline[Sensor ID],Table_Baseline[Easting '[m']],"-")),"-")</f>
        <v>-</v>
      </c>
      <c r="P929" s="93" t="str">
        <f>IFERROR(IF(Readings[[#This Row],[Obs. Y]]="","-",Readings[[#This Row],[Obs. Y]]-_xlfn.XLOOKUP(Readings[[#This Row],[Sensor ID]],Table_Baseline[Sensor ID],Table_Baseline[Northing '[m']],"-")),"-")</f>
        <v>-</v>
      </c>
      <c r="Q929" s="93" t="str">
        <f>IFERROR(IF(Readings[[#This Row],[Obs. Z]]="","-",Readings[[#This Row],[Obs. Z]]-_xlfn.XLOOKUP(Readings[[#This Row],[Sensor ID]],Table_Baseline[Sensor ID],Table_Baseline[Level '[m']],"-")),"-")</f>
        <v>-</v>
      </c>
      <c r="R929" s="93" t="str">
        <f>IFERROR(IF(Readings[[#This Row],[Reference Angle]]="-","-",(Readings[[#This Row],[Diff E]]*COS(RADIANS(Readings[[#This Row],[Reference Angle]]))-Readings[[#This Row],[Diff N]]*SIN(RADIANS(Readings[[#This Row],[Reference Angle]])))),"-")</f>
        <v>-</v>
      </c>
      <c r="S929" s="93" t="str">
        <f>IFERROR(IF(Readings[[#This Row],[Reference Angle]]="-","-",(Readings[[#This Row],[Diff E]]*SIN(RADIANS(Readings[[#This Row],[Reference Angle]]))+Readings[[#This Row],[Diff N]]*COS(RADIANS(Readings[[#This Row],[Reference Angle]])))),"-")</f>
        <v>-</v>
      </c>
      <c r="T929" s="94" t="str">
        <f>IFERROR(VLOOKUP(Readings[[#This Row],[Sensor ID]],Table_Baseline[],COLUMNS(Table_Baseline[[#Headers],[Sensor ID]:[Reference Angle '[Deg']]]),FALSE),"-")</f>
        <v>-</v>
      </c>
      <c r="U929" s="95" t="str">
        <f>Readings[[#This Row],[Sensor ID]]&amp;"-"&amp;Readings[[#This Row],[Epoch]]</f>
        <v>250-ST-OP-505-45839.2430555556</v>
      </c>
      <c r="V929" s="99">
        <f ca="1">IF(Readings[[#This Row],[Epoch]]=OFFSET(Readings[[#This Row],[Epoch]],-1,0),0,1)</f>
        <v>0</v>
      </c>
    </row>
    <row r="930" spans="4:22" x14ac:dyDescent="0.2">
      <c r="D930" s="32">
        <v>45839.243055555555</v>
      </c>
      <c r="E930" s="33" t="s">
        <v>172</v>
      </c>
      <c r="F930" s="34">
        <v>60035.339</v>
      </c>
      <c r="G930" s="34">
        <v>363845.73800000001</v>
      </c>
      <c r="H930" s="34">
        <v>18.782</v>
      </c>
      <c r="I930" s="151" t="s">
        <v>85</v>
      </c>
      <c r="J930" s="151" t="s">
        <v>90</v>
      </c>
      <c r="K930" s="33">
        <v>12.7</v>
      </c>
      <c r="L930" s="33">
        <v>1013.3</v>
      </c>
      <c r="M930" s="33">
        <v>90</v>
      </c>
      <c r="N930" s="33"/>
      <c r="O930" s="93">
        <f>IFERROR(IF(Readings[[#This Row],[Obs. X]]="","-",Readings[[#This Row],[Obs. X]]-_xlfn.XLOOKUP(Readings[[#This Row],[Sensor ID]],Table_Baseline[Sensor ID],Table_Baseline[Easting '[m']],"-")),"-")</f>
        <v>-9.9999999656574801E-4</v>
      </c>
      <c r="P930" s="93">
        <f>IFERROR(IF(Readings[[#This Row],[Obs. Y]]="","-",Readings[[#This Row],[Obs. Y]]-_xlfn.XLOOKUP(Readings[[#This Row],[Sensor ID]],Table_Baseline[Sensor ID],Table_Baseline[Northing '[m']],"-")),"-")</f>
        <v>-9.9999998928979039E-4</v>
      </c>
      <c r="Q930" s="93">
        <f>IFERROR(IF(Readings[[#This Row],[Obs. Z]]="","-",Readings[[#This Row],[Obs. Z]]-_xlfn.XLOOKUP(Readings[[#This Row],[Sensor ID]],Table_Baseline[Sensor ID],Table_Baseline[Level '[m']],"-")),"-")</f>
        <v>0</v>
      </c>
      <c r="R930" s="93">
        <f>IFERROR(IF(Readings[[#This Row],[Reference Angle]]="-","-",(Readings[[#This Row],[Diff E]]*COS(RADIANS(Readings[[#This Row],[Reference Angle]]))-Readings[[#This Row],[Diff N]]*SIN(RADIANS(Readings[[#This Row],[Reference Angle]])))),"-")</f>
        <v>-9.9999999656574801E-4</v>
      </c>
      <c r="S930" s="93">
        <f>IFERROR(IF(Readings[[#This Row],[Reference Angle]]="-","-",(Readings[[#This Row],[Diff E]]*SIN(RADIANS(Readings[[#This Row],[Reference Angle]]))+Readings[[#This Row],[Diff N]]*COS(RADIANS(Readings[[#This Row],[Reference Angle]])))),"-")</f>
        <v>-9.9999998928979039E-4</v>
      </c>
      <c r="T930" s="94">
        <f>IFERROR(VLOOKUP(Readings[[#This Row],[Sensor ID]],Table_Baseline[],COLUMNS(Table_Baseline[[#Headers],[Sensor ID]:[Reference Angle '[Deg']]]),FALSE),"-")</f>
        <v>0</v>
      </c>
      <c r="U930" s="95" t="str">
        <f>Readings[[#This Row],[Sensor ID]]&amp;"-"&amp;Readings[[#This Row],[Epoch]]</f>
        <v>250-RL-OP-11001-45839.2430555556</v>
      </c>
      <c r="V930" s="99">
        <f ca="1">IF(Readings[[#This Row],[Epoch]]=OFFSET(Readings[[#This Row],[Epoch]],-1,0),0,1)</f>
        <v>0</v>
      </c>
    </row>
    <row r="931" spans="4:22" x14ac:dyDescent="0.2">
      <c r="D931" s="32">
        <v>45839.243055555555</v>
      </c>
      <c r="E931" s="33" t="s">
        <v>171</v>
      </c>
      <c r="F931" s="34">
        <v>60034.959000000003</v>
      </c>
      <c r="G931" s="34">
        <v>363844.47</v>
      </c>
      <c r="H931" s="34">
        <v>18.777999999999999</v>
      </c>
      <c r="I931" s="151" t="s">
        <v>85</v>
      </c>
      <c r="J931" s="151" t="s">
        <v>90</v>
      </c>
      <c r="K931" s="33">
        <v>12.7</v>
      </c>
      <c r="L931" s="33">
        <v>1013.3</v>
      </c>
      <c r="M931" s="33">
        <v>90</v>
      </c>
      <c r="N931" s="33"/>
      <c r="O931" s="93">
        <f>IFERROR(IF(Readings[[#This Row],[Obs. X]]="","-",Readings[[#This Row],[Obs. X]]-_xlfn.XLOOKUP(Readings[[#This Row],[Sensor ID]],Table_Baseline[Sensor ID],Table_Baseline[Easting '[m']],"-")),"-")</f>
        <v>0</v>
      </c>
      <c r="P931" s="93">
        <f>IFERROR(IF(Readings[[#This Row],[Obs. Y]]="","-",Readings[[#This Row],[Obs. Y]]-_xlfn.XLOOKUP(Readings[[#This Row],[Sensor ID]],Table_Baseline[Sensor ID],Table_Baseline[Northing '[m']],"-")),"-")</f>
        <v>-1.0000000474974513E-3</v>
      </c>
      <c r="Q931" s="93">
        <f>IFERROR(IF(Readings[[#This Row],[Obs. Z]]="","-",Readings[[#This Row],[Obs. Z]]-_xlfn.XLOOKUP(Readings[[#This Row],[Sensor ID]],Table_Baseline[Sensor ID],Table_Baseline[Level '[m']],"-")),"-")</f>
        <v>-9.9999999999766942E-5</v>
      </c>
      <c r="R931" s="93">
        <f>IFERROR(IF(Readings[[#This Row],[Reference Angle]]="-","-",(Readings[[#This Row],[Diff E]]*COS(RADIANS(Readings[[#This Row],[Reference Angle]]))-Readings[[#This Row],[Diff N]]*SIN(RADIANS(Readings[[#This Row],[Reference Angle]])))),"-")</f>
        <v>0</v>
      </c>
      <c r="S931" s="93">
        <f>IFERROR(IF(Readings[[#This Row],[Reference Angle]]="-","-",(Readings[[#This Row],[Diff E]]*SIN(RADIANS(Readings[[#This Row],[Reference Angle]]))+Readings[[#This Row],[Diff N]]*COS(RADIANS(Readings[[#This Row],[Reference Angle]])))),"-")</f>
        <v>-1.0000000474974513E-3</v>
      </c>
      <c r="T931" s="94">
        <f>IFERROR(VLOOKUP(Readings[[#This Row],[Sensor ID]],Table_Baseline[],COLUMNS(Table_Baseline[[#Headers],[Sensor ID]:[Reference Angle '[Deg']]]),FALSE),"-")</f>
        <v>0</v>
      </c>
      <c r="U931" s="95" t="str">
        <f>Readings[[#This Row],[Sensor ID]]&amp;"-"&amp;Readings[[#This Row],[Epoch]]</f>
        <v>250-RL-OP-11002-45839.2430555556</v>
      </c>
      <c r="V931" s="99">
        <f ca="1">IF(Readings[[#This Row],[Epoch]]=OFFSET(Readings[[#This Row],[Epoch]],-1,0),0,1)</f>
        <v>0</v>
      </c>
    </row>
    <row r="932" spans="4:22" x14ac:dyDescent="0.2">
      <c r="D932" s="32">
        <v>45839.243055555555</v>
      </c>
      <c r="E932" s="33" t="s">
        <v>174</v>
      </c>
      <c r="F932" s="34">
        <v>60038.116999999998</v>
      </c>
      <c r="G932" s="34">
        <v>363844.94500000001</v>
      </c>
      <c r="H932" s="34">
        <v>18.777999999999999</v>
      </c>
      <c r="I932" s="151" t="s">
        <v>85</v>
      </c>
      <c r="J932" s="151" t="s">
        <v>90</v>
      </c>
      <c r="K932" s="33">
        <v>12.7</v>
      </c>
      <c r="L932" s="33">
        <v>1013.3</v>
      </c>
      <c r="M932" s="33">
        <v>90</v>
      </c>
      <c r="N932" s="33"/>
      <c r="O932" s="93">
        <f>IFERROR(IF(Readings[[#This Row],[Obs. X]]="","-",Readings[[#This Row],[Obs. X]]-_xlfn.XLOOKUP(Readings[[#This Row],[Sensor ID]],Table_Baseline[Sensor ID],Table_Baseline[Easting '[m']],"-")),"-")</f>
        <v>-1.0000000038417056E-3</v>
      </c>
      <c r="P932" s="93">
        <f>IFERROR(IF(Readings[[#This Row],[Obs. Y]]="","-",Readings[[#This Row],[Obs. Y]]-_xlfn.XLOOKUP(Readings[[#This Row],[Sensor ID]],Table_Baseline[Sensor ID],Table_Baseline[Northing '[m']],"-")),"-")</f>
        <v>0</v>
      </c>
      <c r="Q932" s="93">
        <f>IFERROR(IF(Readings[[#This Row],[Obs. Z]]="","-",Readings[[#This Row],[Obs. Z]]-_xlfn.XLOOKUP(Readings[[#This Row],[Sensor ID]],Table_Baseline[Sensor ID],Table_Baseline[Level '[m']],"-")),"-")</f>
        <v>-8.0000000000168825E-4</v>
      </c>
      <c r="R932" s="93">
        <f>IFERROR(IF(Readings[[#This Row],[Reference Angle]]="-","-",(Readings[[#This Row],[Diff E]]*COS(RADIANS(Readings[[#This Row],[Reference Angle]]))-Readings[[#This Row],[Diff N]]*SIN(RADIANS(Readings[[#This Row],[Reference Angle]])))),"-")</f>
        <v>-1.0000000038417056E-3</v>
      </c>
      <c r="S932" s="93">
        <f>IFERROR(IF(Readings[[#This Row],[Reference Angle]]="-","-",(Readings[[#This Row],[Diff E]]*SIN(RADIANS(Readings[[#This Row],[Reference Angle]]))+Readings[[#This Row],[Diff N]]*COS(RADIANS(Readings[[#This Row],[Reference Angle]])))),"-")</f>
        <v>0</v>
      </c>
      <c r="T932" s="94">
        <f>IFERROR(VLOOKUP(Readings[[#This Row],[Sensor ID]],Table_Baseline[],COLUMNS(Table_Baseline[[#Headers],[Sensor ID]:[Reference Angle '[Deg']]]),FALSE),"-")</f>
        <v>0</v>
      </c>
      <c r="U932" s="95" t="str">
        <f>Readings[[#This Row],[Sensor ID]]&amp;"-"&amp;Readings[[#This Row],[Epoch]]</f>
        <v>250-RL-OP-11003-45839.2430555556</v>
      </c>
      <c r="V932" s="99">
        <f ca="1">IF(Readings[[#This Row],[Epoch]]=OFFSET(Readings[[#This Row],[Epoch]],-1,0),0,1)</f>
        <v>0</v>
      </c>
    </row>
    <row r="933" spans="4:22" x14ac:dyDescent="0.2">
      <c r="D933" s="32">
        <v>45839.243055555555</v>
      </c>
      <c r="E933" s="33" t="s">
        <v>173</v>
      </c>
      <c r="F933" s="34">
        <v>60037.805</v>
      </c>
      <c r="G933" s="34">
        <v>363843.65700000001</v>
      </c>
      <c r="H933" s="34">
        <v>18.777999999999999</v>
      </c>
      <c r="I933" s="151" t="s">
        <v>85</v>
      </c>
      <c r="J933" s="151" t="s">
        <v>90</v>
      </c>
      <c r="K933" s="33">
        <v>12.7</v>
      </c>
      <c r="L933" s="33">
        <v>1013.3</v>
      </c>
      <c r="M933" s="33">
        <v>90</v>
      </c>
      <c r="N933" s="33"/>
      <c r="O933" s="93">
        <f>IFERROR(IF(Readings[[#This Row],[Obs. X]]="","-",Readings[[#This Row],[Obs. X]]-_xlfn.XLOOKUP(Readings[[#This Row],[Sensor ID]],Table_Baseline[Sensor ID],Table_Baseline[Easting '[m']],"-")),"-")</f>
        <v>0</v>
      </c>
      <c r="P933" s="93">
        <f>IFERROR(IF(Readings[[#This Row],[Obs. Y]]="","-",Readings[[#This Row],[Obs. Y]]-_xlfn.XLOOKUP(Readings[[#This Row],[Sensor ID]],Table_Baseline[Sensor ID],Table_Baseline[Northing '[m']],"-")),"-")</f>
        <v>0</v>
      </c>
      <c r="Q933" s="93">
        <f>IFERROR(IF(Readings[[#This Row],[Obs. Z]]="","-",Readings[[#This Row],[Obs. Z]]-_xlfn.XLOOKUP(Readings[[#This Row],[Sensor ID]],Table_Baseline[Sensor ID],Table_Baseline[Level '[m']],"-")),"-")</f>
        <v>-5.0000000000238742E-4</v>
      </c>
      <c r="R933" s="93">
        <f>IFERROR(IF(Readings[[#This Row],[Reference Angle]]="-","-",(Readings[[#This Row],[Diff E]]*COS(RADIANS(Readings[[#This Row],[Reference Angle]]))-Readings[[#This Row],[Diff N]]*SIN(RADIANS(Readings[[#This Row],[Reference Angle]])))),"-")</f>
        <v>0</v>
      </c>
      <c r="S933" s="93">
        <f>IFERROR(IF(Readings[[#This Row],[Reference Angle]]="-","-",(Readings[[#This Row],[Diff E]]*SIN(RADIANS(Readings[[#This Row],[Reference Angle]]))+Readings[[#This Row],[Diff N]]*COS(RADIANS(Readings[[#This Row],[Reference Angle]])))),"-")</f>
        <v>0</v>
      </c>
      <c r="T933" s="94">
        <f>IFERROR(VLOOKUP(Readings[[#This Row],[Sensor ID]],Table_Baseline[],COLUMNS(Table_Baseline[[#Headers],[Sensor ID]:[Reference Angle '[Deg']]]),FALSE),"-")</f>
        <v>0</v>
      </c>
      <c r="U933" s="95" t="str">
        <f>Readings[[#This Row],[Sensor ID]]&amp;"-"&amp;Readings[[#This Row],[Epoch]]</f>
        <v>250-RL-OP-11004-45839.2430555556</v>
      </c>
      <c r="V933" s="99">
        <f ca="1">IF(Readings[[#This Row],[Epoch]]=OFFSET(Readings[[#This Row],[Epoch]],-1,0),0,1)</f>
        <v>0</v>
      </c>
    </row>
    <row r="934" spans="4:22" x14ac:dyDescent="0.2">
      <c r="D934" s="32">
        <v>45839.243055555555</v>
      </c>
      <c r="E934" s="33" t="s">
        <v>176</v>
      </c>
      <c r="F934" s="34">
        <v>60040.968000000001</v>
      </c>
      <c r="G934" s="34">
        <v>363844.11699999997</v>
      </c>
      <c r="H934" s="34">
        <v>18.779</v>
      </c>
      <c r="I934" s="151" t="s">
        <v>85</v>
      </c>
      <c r="J934" s="151" t="s">
        <v>90</v>
      </c>
      <c r="K934" s="33">
        <v>12.7</v>
      </c>
      <c r="L934" s="33">
        <v>1013.3</v>
      </c>
      <c r="M934" s="33">
        <v>90</v>
      </c>
      <c r="N934" s="33"/>
      <c r="O934" s="93">
        <f>IFERROR(IF(Readings[[#This Row],[Obs. X]]="","-",Readings[[#This Row],[Obs. X]]-_xlfn.XLOOKUP(Readings[[#This Row],[Sensor ID]],Table_Baseline[Sensor ID],Table_Baseline[Easting '[m']],"-")),"-")</f>
        <v>-9.9999999656574801E-4</v>
      </c>
      <c r="P934" s="93">
        <f>IFERROR(IF(Readings[[#This Row],[Obs. Y]]="","-",Readings[[#This Row],[Obs. Y]]-_xlfn.XLOOKUP(Readings[[#This Row],[Sensor ID]],Table_Baseline[Sensor ID],Table_Baseline[Northing '[m']],"-")),"-")</f>
        <v>-1.0000000474974513E-3</v>
      </c>
      <c r="Q934" s="93">
        <f>IFERROR(IF(Readings[[#This Row],[Obs. Z]]="","-",Readings[[#This Row],[Obs. Z]]-_xlfn.XLOOKUP(Readings[[#This Row],[Sensor ID]],Table_Baseline[Sensor ID],Table_Baseline[Level '[m']],"-")),"-")</f>
        <v>0</v>
      </c>
      <c r="R934" s="93">
        <f>IFERROR(IF(Readings[[#This Row],[Reference Angle]]="-","-",(Readings[[#This Row],[Diff E]]*COS(RADIANS(Readings[[#This Row],[Reference Angle]]))-Readings[[#This Row],[Diff N]]*SIN(RADIANS(Readings[[#This Row],[Reference Angle]])))),"-")</f>
        <v>-9.9999999656574801E-4</v>
      </c>
      <c r="S934" s="93">
        <f>IFERROR(IF(Readings[[#This Row],[Reference Angle]]="-","-",(Readings[[#This Row],[Diff E]]*SIN(RADIANS(Readings[[#This Row],[Reference Angle]]))+Readings[[#This Row],[Diff N]]*COS(RADIANS(Readings[[#This Row],[Reference Angle]])))),"-")</f>
        <v>-1.0000000474974513E-3</v>
      </c>
      <c r="T934" s="94">
        <f>IFERROR(VLOOKUP(Readings[[#This Row],[Sensor ID]],Table_Baseline[],COLUMNS(Table_Baseline[[#Headers],[Sensor ID]:[Reference Angle '[Deg']]]),FALSE),"-")</f>
        <v>0</v>
      </c>
      <c r="U934" s="95" t="str">
        <f>Readings[[#This Row],[Sensor ID]]&amp;"-"&amp;Readings[[#This Row],[Epoch]]</f>
        <v>250-RL-OP-11005-45839.2430555556</v>
      </c>
      <c r="V934" s="99">
        <f ca="1">IF(Readings[[#This Row],[Epoch]]=OFFSET(Readings[[#This Row],[Epoch]],-1,0),0,1)</f>
        <v>0</v>
      </c>
    </row>
    <row r="935" spans="4:22" x14ac:dyDescent="0.2">
      <c r="D935" s="32">
        <v>45839.243055555555</v>
      </c>
      <c r="E935" s="33" t="s">
        <v>175</v>
      </c>
      <c r="F935" s="34">
        <v>60040.606</v>
      </c>
      <c r="G935" s="34">
        <v>363842.86100000003</v>
      </c>
      <c r="H935" s="34">
        <v>18.771999999999998</v>
      </c>
      <c r="I935" s="151" t="s">
        <v>85</v>
      </c>
      <c r="J935" s="151" t="s">
        <v>90</v>
      </c>
      <c r="K935" s="33">
        <v>12.7</v>
      </c>
      <c r="L935" s="33">
        <v>1013.3</v>
      </c>
      <c r="M935" s="33">
        <v>90</v>
      </c>
      <c r="N935" s="33"/>
      <c r="O935" s="93">
        <f>IFERROR(IF(Readings[[#This Row],[Obs. X]]="","-",Readings[[#This Row],[Obs. X]]-_xlfn.XLOOKUP(Readings[[#This Row],[Sensor ID]],Table_Baseline[Sensor ID],Table_Baseline[Easting '[m']],"-")),"-")</f>
        <v>-1.0000000038417056E-3</v>
      </c>
      <c r="P935" s="93">
        <f>IFERROR(IF(Readings[[#This Row],[Obs. Y]]="","-",Readings[[#This Row],[Obs. Y]]-_xlfn.XLOOKUP(Readings[[#This Row],[Sensor ID]],Table_Baseline[Sensor ID],Table_Baseline[Northing '[m']],"-")),"-")</f>
        <v>0</v>
      </c>
      <c r="Q935" s="93">
        <f>IFERROR(IF(Readings[[#This Row],[Obs. Z]]="","-",Readings[[#This Row],[Obs. Z]]-_xlfn.XLOOKUP(Readings[[#This Row],[Sensor ID]],Table_Baseline[Sensor ID],Table_Baseline[Level '[m']],"-")),"-")</f>
        <v>0</v>
      </c>
      <c r="R935" s="93">
        <f>IFERROR(IF(Readings[[#This Row],[Reference Angle]]="-","-",(Readings[[#This Row],[Diff E]]*COS(RADIANS(Readings[[#This Row],[Reference Angle]]))-Readings[[#This Row],[Diff N]]*SIN(RADIANS(Readings[[#This Row],[Reference Angle]])))),"-")</f>
        <v>-1.0000000038417056E-3</v>
      </c>
      <c r="S935" s="93">
        <f>IFERROR(IF(Readings[[#This Row],[Reference Angle]]="-","-",(Readings[[#This Row],[Diff E]]*SIN(RADIANS(Readings[[#This Row],[Reference Angle]]))+Readings[[#This Row],[Diff N]]*COS(RADIANS(Readings[[#This Row],[Reference Angle]])))),"-")</f>
        <v>0</v>
      </c>
      <c r="T935" s="94">
        <f>IFERROR(VLOOKUP(Readings[[#This Row],[Sensor ID]],Table_Baseline[],COLUMNS(Table_Baseline[[#Headers],[Sensor ID]:[Reference Angle '[Deg']]]),FALSE),"-")</f>
        <v>0</v>
      </c>
      <c r="U935" s="95" t="str">
        <f>Readings[[#This Row],[Sensor ID]]&amp;"-"&amp;Readings[[#This Row],[Epoch]]</f>
        <v>250-RL-OP-11006-45839.2430555556</v>
      </c>
      <c r="V935" s="99">
        <f ca="1">IF(Readings[[#This Row],[Epoch]]=OFFSET(Readings[[#This Row],[Epoch]],-1,0),0,1)</f>
        <v>0</v>
      </c>
    </row>
    <row r="936" spans="4:22" x14ac:dyDescent="0.2">
      <c r="D936" s="32">
        <v>45839.243055555555</v>
      </c>
      <c r="E936" s="33" t="s">
        <v>178</v>
      </c>
      <c r="F936" s="34">
        <v>60043.758000000002</v>
      </c>
      <c r="G936" s="34">
        <v>363843.315</v>
      </c>
      <c r="H936" s="34">
        <v>18.774000000000001</v>
      </c>
      <c r="I936" s="151" t="s">
        <v>85</v>
      </c>
      <c r="J936" s="151" t="s">
        <v>90</v>
      </c>
      <c r="K936" s="33">
        <v>12.7</v>
      </c>
      <c r="L936" s="33">
        <v>1013.3</v>
      </c>
      <c r="M936" s="33">
        <v>90</v>
      </c>
      <c r="N936" s="33"/>
      <c r="O936" s="93">
        <f>IFERROR(IF(Readings[[#This Row],[Obs. X]]="","-",Readings[[#This Row],[Obs. X]]-_xlfn.XLOOKUP(Readings[[#This Row],[Sensor ID]],Table_Baseline[Sensor ID],Table_Baseline[Easting '[m']],"-")),"-")</f>
        <v>-9.9999999656574801E-4</v>
      </c>
      <c r="P936" s="93">
        <f>IFERROR(IF(Readings[[#This Row],[Obs. Y]]="","-",Readings[[#This Row],[Obs. Y]]-_xlfn.XLOOKUP(Readings[[#This Row],[Sensor ID]],Table_Baseline[Sensor ID],Table_Baseline[Northing '[m']],"-")),"-")</f>
        <v>9.9999998928979039E-4</v>
      </c>
      <c r="Q936" s="93">
        <f>IFERROR(IF(Readings[[#This Row],[Obs. Z]]="","-",Readings[[#This Row],[Obs. Z]]-_xlfn.XLOOKUP(Readings[[#This Row],[Sensor ID]],Table_Baseline[Sensor ID],Table_Baseline[Level '[m']],"-")),"-")</f>
        <v>-9.9999999999766942E-5</v>
      </c>
      <c r="R936" s="93">
        <f>IFERROR(IF(Readings[[#This Row],[Reference Angle]]="-","-",(Readings[[#This Row],[Diff E]]*COS(RADIANS(Readings[[#This Row],[Reference Angle]]))-Readings[[#This Row],[Diff N]]*SIN(RADIANS(Readings[[#This Row],[Reference Angle]])))),"-")</f>
        <v>-9.9999999656574801E-4</v>
      </c>
      <c r="S936" s="93">
        <f>IFERROR(IF(Readings[[#This Row],[Reference Angle]]="-","-",(Readings[[#This Row],[Diff E]]*SIN(RADIANS(Readings[[#This Row],[Reference Angle]]))+Readings[[#This Row],[Diff N]]*COS(RADIANS(Readings[[#This Row],[Reference Angle]])))),"-")</f>
        <v>9.9999998928979039E-4</v>
      </c>
      <c r="T936" s="94">
        <f>IFERROR(VLOOKUP(Readings[[#This Row],[Sensor ID]],Table_Baseline[],COLUMNS(Table_Baseline[[#Headers],[Sensor ID]:[Reference Angle '[Deg']]]),FALSE),"-")</f>
        <v>0</v>
      </c>
      <c r="U936" s="95" t="str">
        <f>Readings[[#This Row],[Sensor ID]]&amp;"-"&amp;Readings[[#This Row],[Epoch]]</f>
        <v>250-RL-OP-11007-45839.2430555556</v>
      </c>
      <c r="V936" s="99">
        <f ca="1">IF(Readings[[#This Row],[Epoch]]=OFFSET(Readings[[#This Row],[Epoch]],-1,0),0,1)</f>
        <v>0</v>
      </c>
    </row>
    <row r="937" spans="4:22" x14ac:dyDescent="0.2">
      <c r="D937" s="32">
        <v>45839.243055555555</v>
      </c>
      <c r="E937" s="33" t="s">
        <v>177</v>
      </c>
      <c r="F937" s="34">
        <v>60043.440999999999</v>
      </c>
      <c r="G937" s="34">
        <v>363842.04099999997</v>
      </c>
      <c r="H937" s="34">
        <v>18.768000000000001</v>
      </c>
      <c r="I937" s="151" t="s">
        <v>85</v>
      </c>
      <c r="J937" s="151" t="s">
        <v>90</v>
      </c>
      <c r="K937" s="33">
        <v>12.7</v>
      </c>
      <c r="L937" s="33">
        <v>1013.3</v>
      </c>
      <c r="M937" s="33">
        <v>90</v>
      </c>
      <c r="N937" s="33"/>
      <c r="O937" s="93">
        <f>IFERROR(IF(Readings[[#This Row],[Obs. X]]="","-",Readings[[#This Row],[Obs. X]]-_xlfn.XLOOKUP(Readings[[#This Row],[Sensor ID]],Table_Baseline[Sensor ID],Table_Baseline[Easting '[m']],"-")),"-")</f>
        <v>0</v>
      </c>
      <c r="P937" s="93">
        <f>IFERROR(IF(Readings[[#This Row],[Obs. Y]]="","-",Readings[[#This Row],[Obs. Y]]-_xlfn.XLOOKUP(Readings[[#This Row],[Sensor ID]],Table_Baseline[Sensor ID],Table_Baseline[Northing '[m']],"-")),"-")</f>
        <v>9.9999993108212948E-4</v>
      </c>
      <c r="Q937" s="93">
        <f>IFERROR(IF(Readings[[#This Row],[Obs. Z]]="","-",Readings[[#This Row],[Obs. Z]]-_xlfn.XLOOKUP(Readings[[#This Row],[Sensor ID]],Table_Baseline[Sensor ID],Table_Baseline[Level '[m']],"-")),"-")</f>
        <v>-2.9999999999930083E-4</v>
      </c>
      <c r="R937" s="93">
        <f>IFERROR(IF(Readings[[#This Row],[Reference Angle]]="-","-",(Readings[[#This Row],[Diff E]]*COS(RADIANS(Readings[[#This Row],[Reference Angle]]))-Readings[[#This Row],[Diff N]]*SIN(RADIANS(Readings[[#This Row],[Reference Angle]])))),"-")</f>
        <v>0</v>
      </c>
      <c r="S937" s="93">
        <f>IFERROR(IF(Readings[[#This Row],[Reference Angle]]="-","-",(Readings[[#This Row],[Diff E]]*SIN(RADIANS(Readings[[#This Row],[Reference Angle]]))+Readings[[#This Row],[Diff N]]*COS(RADIANS(Readings[[#This Row],[Reference Angle]])))),"-")</f>
        <v>9.9999993108212948E-4</v>
      </c>
      <c r="T937" s="94">
        <f>IFERROR(VLOOKUP(Readings[[#This Row],[Sensor ID]],Table_Baseline[],COLUMNS(Table_Baseline[[#Headers],[Sensor ID]:[Reference Angle '[Deg']]]),FALSE),"-")</f>
        <v>0</v>
      </c>
      <c r="U937" s="95" t="str">
        <f>Readings[[#This Row],[Sensor ID]]&amp;"-"&amp;Readings[[#This Row],[Epoch]]</f>
        <v>250-RL-OP-11008-45839.2430555556</v>
      </c>
      <c r="V937" s="99">
        <f ca="1">IF(Readings[[#This Row],[Epoch]]=OFFSET(Readings[[#This Row],[Epoch]],-1,0),0,1)</f>
        <v>0</v>
      </c>
    </row>
    <row r="938" spans="4:22" x14ac:dyDescent="0.2">
      <c r="D938" s="32">
        <v>45839.243055555555</v>
      </c>
      <c r="E938" s="33" t="s">
        <v>180</v>
      </c>
      <c r="F938" s="34">
        <v>60046.633000000002</v>
      </c>
      <c r="G938" s="34">
        <v>363842.48600000003</v>
      </c>
      <c r="H938" s="34">
        <v>18.777000000000001</v>
      </c>
      <c r="I938" s="151" t="s">
        <v>85</v>
      </c>
      <c r="J938" s="151" t="s">
        <v>90</v>
      </c>
      <c r="K938" s="33">
        <v>12.7</v>
      </c>
      <c r="L938" s="33">
        <v>1013.3</v>
      </c>
      <c r="M938" s="33">
        <v>90</v>
      </c>
      <c r="N938" s="33"/>
      <c r="O938" s="93">
        <f>IFERROR(IF(Readings[[#This Row],[Obs. X]]="","-",Readings[[#This Row],[Obs. X]]-_xlfn.XLOOKUP(Readings[[#This Row],[Sensor ID]],Table_Baseline[Sensor ID],Table_Baseline[Easting '[m']],"-")),"-")</f>
        <v>0</v>
      </c>
      <c r="P938" s="93">
        <f>IFERROR(IF(Readings[[#This Row],[Obs. Y]]="","-",Readings[[#This Row],[Obs. Y]]-_xlfn.XLOOKUP(Readings[[#This Row],[Sensor ID]],Table_Baseline[Sensor ID],Table_Baseline[Northing '[m']],"-")),"-")</f>
        <v>1.0000000474974513E-3</v>
      </c>
      <c r="Q938" s="93">
        <f>IFERROR(IF(Readings[[#This Row],[Obs. Z]]="","-",Readings[[#This Row],[Obs. Z]]-_xlfn.XLOOKUP(Readings[[#This Row],[Sensor ID]],Table_Baseline[Sensor ID],Table_Baseline[Level '[m']],"-")),"-")</f>
        <v>-5.9999999999860165E-4</v>
      </c>
      <c r="R938" s="93">
        <f>IFERROR(IF(Readings[[#This Row],[Reference Angle]]="-","-",(Readings[[#This Row],[Diff E]]*COS(RADIANS(Readings[[#This Row],[Reference Angle]]))-Readings[[#This Row],[Diff N]]*SIN(RADIANS(Readings[[#This Row],[Reference Angle]])))),"-")</f>
        <v>0</v>
      </c>
      <c r="S938" s="93">
        <f>IFERROR(IF(Readings[[#This Row],[Reference Angle]]="-","-",(Readings[[#This Row],[Diff E]]*SIN(RADIANS(Readings[[#This Row],[Reference Angle]]))+Readings[[#This Row],[Diff N]]*COS(RADIANS(Readings[[#This Row],[Reference Angle]])))),"-")</f>
        <v>1.0000000474974513E-3</v>
      </c>
      <c r="T938" s="94">
        <f>IFERROR(VLOOKUP(Readings[[#This Row],[Sensor ID]],Table_Baseline[],COLUMNS(Table_Baseline[[#Headers],[Sensor ID]:[Reference Angle '[Deg']]]),FALSE),"-")</f>
        <v>0</v>
      </c>
      <c r="U938" s="95" t="str">
        <f>Readings[[#This Row],[Sensor ID]]&amp;"-"&amp;Readings[[#This Row],[Epoch]]</f>
        <v>250-RL-OP-11009-45839.2430555556</v>
      </c>
      <c r="V938" s="99">
        <f ca="1">IF(Readings[[#This Row],[Epoch]]=OFFSET(Readings[[#This Row],[Epoch]],-1,0),0,1)</f>
        <v>0</v>
      </c>
    </row>
    <row r="939" spans="4:22" x14ac:dyDescent="0.2">
      <c r="D939" s="32">
        <v>45839.243055555555</v>
      </c>
      <c r="E939" s="33" t="s">
        <v>179</v>
      </c>
      <c r="F939" s="34">
        <v>60046.25</v>
      </c>
      <c r="G939" s="34">
        <v>363841.22700000001</v>
      </c>
      <c r="H939" s="34">
        <v>18.77</v>
      </c>
      <c r="I939" s="151" t="s">
        <v>85</v>
      </c>
      <c r="J939" s="151" t="s">
        <v>90</v>
      </c>
      <c r="K939" s="33">
        <v>12.7</v>
      </c>
      <c r="L939" s="33">
        <v>1013.3</v>
      </c>
      <c r="M939" s="33">
        <v>90</v>
      </c>
      <c r="N939" s="33"/>
      <c r="O939" s="93">
        <f>IFERROR(IF(Readings[[#This Row],[Obs. X]]="","-",Readings[[#This Row],[Obs. X]]-_xlfn.XLOOKUP(Readings[[#This Row],[Sensor ID]],Table_Baseline[Sensor ID],Table_Baseline[Easting '[m']],"-")),"-")</f>
        <v>0</v>
      </c>
      <c r="P939" s="93">
        <f>IFERROR(IF(Readings[[#This Row],[Obs. Y]]="","-",Readings[[#This Row],[Obs. Y]]-_xlfn.XLOOKUP(Readings[[#This Row],[Sensor ID]],Table_Baseline[Sensor ID],Table_Baseline[Northing '[m']],"-")),"-")</f>
        <v>9.9999998928979039E-4</v>
      </c>
      <c r="Q939" s="93">
        <f>IFERROR(IF(Readings[[#This Row],[Obs. Z]]="","-",Readings[[#This Row],[Obs. Z]]-_xlfn.XLOOKUP(Readings[[#This Row],[Sensor ID]],Table_Baseline[Sensor ID],Table_Baseline[Level '[m']],"-")),"-")</f>
        <v>1.9999999999953388E-4</v>
      </c>
      <c r="R939" s="93">
        <f>IFERROR(IF(Readings[[#This Row],[Reference Angle]]="-","-",(Readings[[#This Row],[Diff E]]*COS(RADIANS(Readings[[#This Row],[Reference Angle]]))-Readings[[#This Row],[Diff N]]*SIN(RADIANS(Readings[[#This Row],[Reference Angle]])))),"-")</f>
        <v>0</v>
      </c>
      <c r="S939" s="93">
        <f>IFERROR(IF(Readings[[#This Row],[Reference Angle]]="-","-",(Readings[[#This Row],[Diff E]]*SIN(RADIANS(Readings[[#This Row],[Reference Angle]]))+Readings[[#This Row],[Diff N]]*COS(RADIANS(Readings[[#This Row],[Reference Angle]])))),"-")</f>
        <v>9.9999998928979039E-4</v>
      </c>
      <c r="T939" s="94">
        <f>IFERROR(VLOOKUP(Readings[[#This Row],[Sensor ID]],Table_Baseline[],COLUMNS(Table_Baseline[[#Headers],[Sensor ID]:[Reference Angle '[Deg']]]),FALSE),"-")</f>
        <v>0</v>
      </c>
      <c r="U939" s="95" t="str">
        <f>Readings[[#This Row],[Sensor ID]]&amp;"-"&amp;Readings[[#This Row],[Epoch]]</f>
        <v>250-RL-OP-11010-45839.2430555556</v>
      </c>
      <c r="V939" s="99">
        <f ca="1">IF(Readings[[#This Row],[Epoch]]=OFFSET(Readings[[#This Row],[Epoch]],-1,0),0,1)</f>
        <v>0</v>
      </c>
    </row>
    <row r="940" spans="4:22" x14ac:dyDescent="0.2">
      <c r="D940" s="32">
        <v>45839.243055555555</v>
      </c>
      <c r="E940" s="33" t="s">
        <v>182</v>
      </c>
      <c r="F940" s="34">
        <v>60049.398999999998</v>
      </c>
      <c r="G940" s="34">
        <v>363841.7</v>
      </c>
      <c r="H940" s="34">
        <v>18.777999999999999</v>
      </c>
      <c r="I940" s="151" t="s">
        <v>85</v>
      </c>
      <c r="J940" s="151" t="s">
        <v>90</v>
      </c>
      <c r="K940" s="33">
        <v>12.7</v>
      </c>
      <c r="L940" s="33">
        <v>1013.3</v>
      </c>
      <c r="M940" s="33">
        <v>90</v>
      </c>
      <c r="N940" s="33"/>
      <c r="O940" s="93">
        <f>IFERROR(IF(Readings[[#This Row],[Obs. X]]="","-",Readings[[#This Row],[Obs. X]]-_xlfn.XLOOKUP(Readings[[#This Row],[Sensor ID]],Table_Baseline[Sensor ID],Table_Baseline[Easting '[m']],"-")),"-")</f>
        <v>0</v>
      </c>
      <c r="P940" s="93">
        <f>IFERROR(IF(Readings[[#This Row],[Obs. Y]]="","-",Readings[[#This Row],[Obs. Y]]-_xlfn.XLOOKUP(Readings[[#This Row],[Sensor ID]],Table_Baseline[Sensor ID],Table_Baseline[Northing '[m']],"-")),"-")</f>
        <v>2.0000000367872417E-3</v>
      </c>
      <c r="Q940" s="93">
        <f>IFERROR(IF(Readings[[#This Row],[Obs. Z]]="","-",Readings[[#This Row],[Obs. Z]]-_xlfn.XLOOKUP(Readings[[#This Row],[Sensor ID]],Table_Baseline[Sensor ID],Table_Baseline[Level '[m']],"-")),"-")</f>
        <v>0</v>
      </c>
      <c r="R940" s="93">
        <f>IFERROR(IF(Readings[[#This Row],[Reference Angle]]="-","-",(Readings[[#This Row],[Diff E]]*COS(RADIANS(Readings[[#This Row],[Reference Angle]]))-Readings[[#This Row],[Diff N]]*SIN(RADIANS(Readings[[#This Row],[Reference Angle]])))),"-")</f>
        <v>0</v>
      </c>
      <c r="S940" s="93">
        <f>IFERROR(IF(Readings[[#This Row],[Reference Angle]]="-","-",(Readings[[#This Row],[Diff E]]*SIN(RADIANS(Readings[[#This Row],[Reference Angle]]))+Readings[[#This Row],[Diff N]]*COS(RADIANS(Readings[[#This Row],[Reference Angle]])))),"-")</f>
        <v>2.0000000367872417E-3</v>
      </c>
      <c r="T940" s="94">
        <f>IFERROR(VLOOKUP(Readings[[#This Row],[Sensor ID]],Table_Baseline[],COLUMNS(Table_Baseline[[#Headers],[Sensor ID]:[Reference Angle '[Deg']]]),FALSE),"-")</f>
        <v>0</v>
      </c>
      <c r="U940" s="95" t="str">
        <f>Readings[[#This Row],[Sensor ID]]&amp;"-"&amp;Readings[[#This Row],[Epoch]]</f>
        <v>250-RL-OP-11011-45839.2430555556</v>
      </c>
      <c r="V940" s="99">
        <f ca="1">IF(Readings[[#This Row],[Epoch]]=OFFSET(Readings[[#This Row],[Epoch]],-1,0),0,1)</f>
        <v>0</v>
      </c>
    </row>
    <row r="941" spans="4:22" x14ac:dyDescent="0.2">
      <c r="D941" s="32">
        <v>45839.243055555555</v>
      </c>
      <c r="E941" s="33" t="s">
        <v>181</v>
      </c>
      <c r="F941" s="34">
        <v>60049.040999999997</v>
      </c>
      <c r="G941" s="34">
        <v>363840.43599999999</v>
      </c>
      <c r="H941" s="34">
        <v>18.771000000000001</v>
      </c>
      <c r="I941" s="151" t="s">
        <v>85</v>
      </c>
      <c r="J941" s="151" t="s">
        <v>90</v>
      </c>
      <c r="K941" s="33">
        <v>12.7</v>
      </c>
      <c r="L941" s="33">
        <v>1013.3</v>
      </c>
      <c r="M941" s="33">
        <v>90</v>
      </c>
      <c r="N941" s="33"/>
      <c r="O941" s="93">
        <f>IFERROR(IF(Readings[[#This Row],[Obs. X]]="","-",Readings[[#This Row],[Obs. X]]-_xlfn.XLOOKUP(Readings[[#This Row],[Sensor ID]],Table_Baseline[Sensor ID],Table_Baseline[Easting '[m']],"-")),"-")</f>
        <v>0</v>
      </c>
      <c r="P941" s="93">
        <f>IFERROR(IF(Readings[[#This Row],[Obs. Y]]="","-",Readings[[#This Row],[Obs. Y]]-_xlfn.XLOOKUP(Readings[[#This Row],[Sensor ID]],Table_Baseline[Sensor ID],Table_Baseline[Northing '[m']],"-")),"-")</f>
        <v>3.0000000260770321E-3</v>
      </c>
      <c r="Q941" s="93">
        <f>IFERROR(IF(Readings[[#This Row],[Obs. Z]]="","-",Readings[[#This Row],[Obs. Z]]-_xlfn.XLOOKUP(Readings[[#This Row],[Sensor ID]],Table_Baseline[Sensor ID],Table_Baseline[Level '[m']],"-")),"-")</f>
        <v>-9.9999999999766942E-5</v>
      </c>
      <c r="R941" s="93">
        <f>IFERROR(IF(Readings[[#This Row],[Reference Angle]]="-","-",(Readings[[#This Row],[Diff E]]*COS(RADIANS(Readings[[#This Row],[Reference Angle]]))-Readings[[#This Row],[Diff N]]*SIN(RADIANS(Readings[[#This Row],[Reference Angle]])))),"-")</f>
        <v>0</v>
      </c>
      <c r="S941" s="93">
        <f>IFERROR(IF(Readings[[#This Row],[Reference Angle]]="-","-",(Readings[[#This Row],[Diff E]]*SIN(RADIANS(Readings[[#This Row],[Reference Angle]]))+Readings[[#This Row],[Diff N]]*COS(RADIANS(Readings[[#This Row],[Reference Angle]])))),"-")</f>
        <v>3.0000000260770321E-3</v>
      </c>
      <c r="T941" s="94">
        <f>IFERROR(VLOOKUP(Readings[[#This Row],[Sensor ID]],Table_Baseline[],COLUMNS(Table_Baseline[[#Headers],[Sensor ID]:[Reference Angle '[Deg']]]),FALSE),"-")</f>
        <v>0</v>
      </c>
      <c r="U941" s="95" t="str">
        <f>Readings[[#This Row],[Sensor ID]]&amp;"-"&amp;Readings[[#This Row],[Epoch]]</f>
        <v>250-RL-OP-11012-45839.2430555556</v>
      </c>
      <c r="V941" s="99">
        <f ca="1">IF(Readings[[#This Row],[Epoch]]=OFFSET(Readings[[#This Row],[Epoch]],-1,0),0,1)</f>
        <v>0</v>
      </c>
    </row>
    <row r="942" spans="4:22" x14ac:dyDescent="0.2">
      <c r="D942" s="32">
        <v>45839.243055555555</v>
      </c>
      <c r="E942" s="33" t="s">
        <v>184</v>
      </c>
      <c r="F942" s="34">
        <v>60052.292999999998</v>
      </c>
      <c r="G942" s="34">
        <v>363840.88800000004</v>
      </c>
      <c r="H942" s="34">
        <v>18.777999999999999</v>
      </c>
      <c r="I942" s="151" t="s">
        <v>85</v>
      </c>
      <c r="J942" s="151" t="s">
        <v>90</v>
      </c>
      <c r="K942" s="33">
        <v>12.7</v>
      </c>
      <c r="L942" s="33">
        <v>1013.3</v>
      </c>
      <c r="M942" s="33">
        <v>90</v>
      </c>
      <c r="N942" s="33"/>
      <c r="O942" s="93">
        <f>IFERROR(IF(Readings[[#This Row],[Obs. X]]="","-",Readings[[#This Row],[Obs. X]]-_xlfn.XLOOKUP(Readings[[#This Row],[Sensor ID]],Table_Baseline[Sensor ID],Table_Baseline[Easting '[m']],"-")),"-")</f>
        <v>0</v>
      </c>
      <c r="P942" s="93">
        <f>IFERROR(IF(Readings[[#This Row],[Obs. Y]]="","-",Readings[[#This Row],[Obs. Y]]-_xlfn.XLOOKUP(Readings[[#This Row],[Sensor ID]],Table_Baseline[Sensor ID],Table_Baseline[Northing '[m']],"-")),"-")</f>
        <v>3.0000000260770321E-3</v>
      </c>
      <c r="Q942" s="93">
        <f>IFERROR(IF(Readings[[#This Row],[Obs. Z]]="","-",Readings[[#This Row],[Obs. Z]]-_xlfn.XLOOKUP(Readings[[#This Row],[Sensor ID]],Table_Baseline[Sensor ID],Table_Baseline[Level '[m']],"-")),"-")</f>
        <v>-1.0000000000012221E-3</v>
      </c>
      <c r="R942" s="93">
        <f>IFERROR(IF(Readings[[#This Row],[Reference Angle]]="-","-",(Readings[[#This Row],[Diff E]]*COS(RADIANS(Readings[[#This Row],[Reference Angle]]))-Readings[[#This Row],[Diff N]]*SIN(RADIANS(Readings[[#This Row],[Reference Angle]])))),"-")</f>
        <v>0</v>
      </c>
      <c r="S942" s="93">
        <f>IFERROR(IF(Readings[[#This Row],[Reference Angle]]="-","-",(Readings[[#This Row],[Diff E]]*SIN(RADIANS(Readings[[#This Row],[Reference Angle]]))+Readings[[#This Row],[Diff N]]*COS(RADIANS(Readings[[#This Row],[Reference Angle]])))),"-")</f>
        <v>3.0000000260770321E-3</v>
      </c>
      <c r="T942" s="94">
        <f>IFERROR(VLOOKUP(Readings[[#This Row],[Sensor ID]],Table_Baseline[],COLUMNS(Table_Baseline[[#Headers],[Sensor ID]:[Reference Angle '[Deg']]]),FALSE),"-")</f>
        <v>0</v>
      </c>
      <c r="U942" s="95" t="str">
        <f>Readings[[#This Row],[Sensor ID]]&amp;"-"&amp;Readings[[#This Row],[Epoch]]</f>
        <v>250-RL-OP-11013-45839.2430555556</v>
      </c>
      <c r="V942" s="99">
        <f ca="1">IF(Readings[[#This Row],[Epoch]]=OFFSET(Readings[[#This Row],[Epoch]],-1,0),0,1)</f>
        <v>0</v>
      </c>
    </row>
    <row r="943" spans="4:22" x14ac:dyDescent="0.2">
      <c r="D943" s="32">
        <v>45839.243055555555</v>
      </c>
      <c r="E943" s="33" t="s">
        <v>183</v>
      </c>
      <c r="F943" s="34">
        <v>60051.989000000001</v>
      </c>
      <c r="G943" s="34">
        <v>363839.60699999996</v>
      </c>
      <c r="H943" s="34">
        <v>18.768999999999998</v>
      </c>
      <c r="I943" s="151" t="s">
        <v>85</v>
      </c>
      <c r="J943" s="151" t="s">
        <v>90</v>
      </c>
      <c r="K943" s="33">
        <v>12.7</v>
      </c>
      <c r="L943" s="33">
        <v>1013.3</v>
      </c>
      <c r="M943" s="33">
        <v>90</v>
      </c>
      <c r="N943" s="33"/>
      <c r="O943" s="93">
        <f>IFERROR(IF(Readings[[#This Row],[Obs. X]]="","-",Readings[[#This Row],[Obs. X]]-_xlfn.XLOOKUP(Readings[[#This Row],[Sensor ID]],Table_Baseline[Sensor ID],Table_Baseline[Easting '[m']],"-")),"-")</f>
        <v>0</v>
      </c>
      <c r="P943" s="93">
        <f>IFERROR(IF(Readings[[#This Row],[Obs. Y]]="","-",Readings[[#This Row],[Obs. Y]]-_xlfn.XLOOKUP(Readings[[#This Row],[Sensor ID]],Table_Baseline[Sensor ID],Table_Baseline[Northing '[m']],"-")),"-")</f>
        <v>3.9999999571591616E-3</v>
      </c>
      <c r="Q943" s="93">
        <f>IFERROR(IF(Readings[[#This Row],[Obs. Z]]="","-",Readings[[#This Row],[Obs. Z]]-_xlfn.XLOOKUP(Readings[[#This Row],[Sensor ID]],Table_Baseline[Sensor ID],Table_Baseline[Level '[m']],"-")),"-")</f>
        <v>-1.1000000000009891E-3</v>
      </c>
      <c r="R943" s="93">
        <f>IFERROR(IF(Readings[[#This Row],[Reference Angle]]="-","-",(Readings[[#This Row],[Diff E]]*COS(RADIANS(Readings[[#This Row],[Reference Angle]]))-Readings[[#This Row],[Diff N]]*SIN(RADIANS(Readings[[#This Row],[Reference Angle]])))),"-")</f>
        <v>0</v>
      </c>
      <c r="S943" s="93">
        <f>IFERROR(IF(Readings[[#This Row],[Reference Angle]]="-","-",(Readings[[#This Row],[Diff E]]*SIN(RADIANS(Readings[[#This Row],[Reference Angle]]))+Readings[[#This Row],[Diff N]]*COS(RADIANS(Readings[[#This Row],[Reference Angle]])))),"-")</f>
        <v>3.9999999571591616E-3</v>
      </c>
      <c r="T943" s="94">
        <f>IFERROR(VLOOKUP(Readings[[#This Row],[Sensor ID]],Table_Baseline[],COLUMNS(Table_Baseline[[#Headers],[Sensor ID]:[Reference Angle '[Deg']]]),FALSE),"-")</f>
        <v>0</v>
      </c>
      <c r="U943" s="95" t="str">
        <f>Readings[[#This Row],[Sensor ID]]&amp;"-"&amp;Readings[[#This Row],[Epoch]]</f>
        <v>250-RL-OP-11014-45839.2430555556</v>
      </c>
      <c r="V943" s="99">
        <f ca="1">IF(Readings[[#This Row],[Epoch]]=OFFSET(Readings[[#This Row],[Epoch]],-1,0),0,1)</f>
        <v>0</v>
      </c>
    </row>
    <row r="944" spans="4:22" x14ac:dyDescent="0.2">
      <c r="D944" s="32">
        <v>45839.243055555555</v>
      </c>
      <c r="E944" s="33" t="s">
        <v>186</v>
      </c>
      <c r="F944" s="34">
        <v>60055.196000000004</v>
      </c>
      <c r="G944" s="34">
        <v>363840.098</v>
      </c>
      <c r="H944" s="34">
        <v>18.78</v>
      </c>
      <c r="I944" s="151" t="s">
        <v>85</v>
      </c>
      <c r="J944" s="151" t="s">
        <v>90</v>
      </c>
      <c r="K944" s="33">
        <v>12.7</v>
      </c>
      <c r="L944" s="33">
        <v>1013.3</v>
      </c>
      <c r="M944" s="33">
        <v>90</v>
      </c>
      <c r="N944" s="33"/>
      <c r="O944" s="93">
        <f>IFERROR(IF(Readings[[#This Row],[Obs. X]]="","-",Readings[[#This Row],[Obs. X]]-_xlfn.XLOOKUP(Readings[[#This Row],[Sensor ID]],Table_Baseline[Sensor ID],Table_Baseline[Easting '[m']],"-")),"-")</f>
        <v>0</v>
      </c>
      <c r="P944" s="93">
        <f>IFERROR(IF(Readings[[#This Row],[Obs. Y]]="","-",Readings[[#This Row],[Obs. Y]]-_xlfn.XLOOKUP(Readings[[#This Row],[Sensor ID]],Table_Baseline[Sensor ID],Table_Baseline[Northing '[m']],"-")),"-")</f>
        <v>3.0000000260770321E-3</v>
      </c>
      <c r="Q944" s="93">
        <f>IFERROR(IF(Readings[[#This Row],[Obs. Z]]="","-",Readings[[#This Row],[Obs. Z]]-_xlfn.XLOOKUP(Readings[[#This Row],[Sensor ID]],Table_Baseline[Sensor ID],Table_Baseline[Level '[m']],"-")),"-")</f>
        <v>-8.9999999999790248E-4</v>
      </c>
      <c r="R944" s="93">
        <f>IFERROR(IF(Readings[[#This Row],[Reference Angle]]="-","-",(Readings[[#This Row],[Diff E]]*COS(RADIANS(Readings[[#This Row],[Reference Angle]]))-Readings[[#This Row],[Diff N]]*SIN(RADIANS(Readings[[#This Row],[Reference Angle]])))),"-")</f>
        <v>0</v>
      </c>
      <c r="S944" s="93">
        <f>IFERROR(IF(Readings[[#This Row],[Reference Angle]]="-","-",(Readings[[#This Row],[Diff E]]*SIN(RADIANS(Readings[[#This Row],[Reference Angle]]))+Readings[[#This Row],[Diff N]]*COS(RADIANS(Readings[[#This Row],[Reference Angle]])))),"-")</f>
        <v>3.0000000260770321E-3</v>
      </c>
      <c r="T944" s="94">
        <f>IFERROR(VLOOKUP(Readings[[#This Row],[Sensor ID]],Table_Baseline[],COLUMNS(Table_Baseline[[#Headers],[Sensor ID]:[Reference Angle '[Deg']]]),FALSE),"-")</f>
        <v>0</v>
      </c>
      <c r="U944" s="95" t="str">
        <f>Readings[[#This Row],[Sensor ID]]&amp;"-"&amp;Readings[[#This Row],[Epoch]]</f>
        <v>250-RL-OP-11015-45839.2430555556</v>
      </c>
      <c r="V944" s="99">
        <f ca="1">IF(Readings[[#This Row],[Epoch]]=OFFSET(Readings[[#This Row],[Epoch]],-1,0),0,1)</f>
        <v>0</v>
      </c>
    </row>
    <row r="945" spans="4:22" x14ac:dyDescent="0.2">
      <c r="D945" s="32">
        <v>45839.243055555555</v>
      </c>
      <c r="E945" s="33" t="s">
        <v>185</v>
      </c>
      <c r="F945" s="34">
        <v>60054.885000000002</v>
      </c>
      <c r="G945" s="34">
        <v>363838.80799999996</v>
      </c>
      <c r="H945" s="34">
        <v>18.771999999999998</v>
      </c>
      <c r="I945" s="151" t="s">
        <v>85</v>
      </c>
      <c r="J945" s="151" t="s">
        <v>90</v>
      </c>
      <c r="K945" s="33">
        <v>12.7</v>
      </c>
      <c r="L945" s="33">
        <v>1013.3</v>
      </c>
      <c r="M945" s="33">
        <v>90</v>
      </c>
      <c r="N945" s="33"/>
      <c r="O945" s="93">
        <f>IFERROR(IF(Readings[[#This Row],[Obs. X]]="","-",Readings[[#This Row],[Obs. X]]-_xlfn.XLOOKUP(Readings[[#This Row],[Sensor ID]],Table_Baseline[Sensor ID],Table_Baseline[Easting '[m']],"-")),"-")</f>
        <v>-9.9999999656574801E-4</v>
      </c>
      <c r="P945" s="93">
        <f>IFERROR(IF(Readings[[#This Row],[Obs. Y]]="","-",Readings[[#This Row],[Obs. Y]]-_xlfn.XLOOKUP(Readings[[#This Row],[Sensor ID]],Table_Baseline[Sensor ID],Table_Baseline[Northing '[m']],"-")),"-")</f>
        <v>2.9999999678693712E-3</v>
      </c>
      <c r="Q945" s="93">
        <f>IFERROR(IF(Readings[[#This Row],[Obs. Z]]="","-",Readings[[#This Row],[Obs. Z]]-_xlfn.XLOOKUP(Readings[[#This Row],[Sensor ID]],Table_Baseline[Sensor ID],Table_Baseline[Level '[m']],"-")),"-")</f>
        <v>-1.1000000000009891E-3</v>
      </c>
      <c r="R945" s="93">
        <f>IFERROR(IF(Readings[[#This Row],[Reference Angle]]="-","-",(Readings[[#This Row],[Diff E]]*COS(RADIANS(Readings[[#This Row],[Reference Angle]]))-Readings[[#This Row],[Diff N]]*SIN(RADIANS(Readings[[#This Row],[Reference Angle]])))),"-")</f>
        <v>-9.9999999656574801E-4</v>
      </c>
      <c r="S945" s="93">
        <f>IFERROR(IF(Readings[[#This Row],[Reference Angle]]="-","-",(Readings[[#This Row],[Diff E]]*SIN(RADIANS(Readings[[#This Row],[Reference Angle]]))+Readings[[#This Row],[Diff N]]*COS(RADIANS(Readings[[#This Row],[Reference Angle]])))),"-")</f>
        <v>2.9999999678693712E-3</v>
      </c>
      <c r="T945" s="94">
        <f>IFERROR(VLOOKUP(Readings[[#This Row],[Sensor ID]],Table_Baseline[],COLUMNS(Table_Baseline[[#Headers],[Sensor ID]:[Reference Angle '[Deg']]]),FALSE),"-")</f>
        <v>0</v>
      </c>
      <c r="U945" s="95" t="str">
        <f>Readings[[#This Row],[Sensor ID]]&amp;"-"&amp;Readings[[#This Row],[Epoch]]</f>
        <v>250-RL-OP-11016-45839.2430555556</v>
      </c>
      <c r="V945" s="99">
        <f ca="1">IF(Readings[[#This Row],[Epoch]]=OFFSET(Readings[[#This Row],[Epoch]],-1,0),0,1)</f>
        <v>0</v>
      </c>
    </row>
    <row r="946" spans="4:22" x14ac:dyDescent="0.2">
      <c r="D946" s="32">
        <v>45839.243055555555</v>
      </c>
      <c r="E946" s="33" t="s">
        <v>188</v>
      </c>
      <c r="F946" s="34">
        <v>60057.951999999997</v>
      </c>
      <c r="G946" s="34">
        <v>363839.36699999997</v>
      </c>
      <c r="H946" s="34">
        <v>18.785</v>
      </c>
      <c r="I946" s="151" t="s">
        <v>85</v>
      </c>
      <c r="J946" s="151" t="s">
        <v>90</v>
      </c>
      <c r="K946" s="33">
        <v>12.7</v>
      </c>
      <c r="L946" s="33">
        <v>1013.3</v>
      </c>
      <c r="M946" s="33">
        <v>90</v>
      </c>
      <c r="N946" s="33"/>
      <c r="O946" s="93">
        <f>IFERROR(IF(Readings[[#This Row],[Obs. X]]="","-",Readings[[#This Row],[Obs. X]]-_xlfn.XLOOKUP(Readings[[#This Row],[Sensor ID]],Table_Baseline[Sensor ID],Table_Baseline[Easting '[m']],"-")),"-")</f>
        <v>0</v>
      </c>
      <c r="P946" s="93">
        <f>IFERROR(IF(Readings[[#This Row],[Obs. Y]]="","-",Readings[[#This Row],[Obs. Y]]-_xlfn.XLOOKUP(Readings[[#This Row],[Sensor ID]],Table_Baseline[Sensor ID],Table_Baseline[Northing '[m']],"-")),"-")</f>
        <v>5.0000000046566129E-3</v>
      </c>
      <c r="Q946" s="93">
        <f>IFERROR(IF(Readings[[#This Row],[Obs. Z]]="","-",Readings[[#This Row],[Obs. Z]]-_xlfn.XLOOKUP(Readings[[#This Row],[Sensor ID]],Table_Baseline[Sensor ID],Table_Baseline[Level '[m']],"-")),"-")</f>
        <v>-1.0000000000012221E-3</v>
      </c>
      <c r="R946" s="93">
        <f>IFERROR(IF(Readings[[#This Row],[Reference Angle]]="-","-",(Readings[[#This Row],[Diff E]]*COS(RADIANS(Readings[[#This Row],[Reference Angle]]))-Readings[[#This Row],[Diff N]]*SIN(RADIANS(Readings[[#This Row],[Reference Angle]])))),"-")</f>
        <v>0</v>
      </c>
      <c r="S946" s="93">
        <f>IFERROR(IF(Readings[[#This Row],[Reference Angle]]="-","-",(Readings[[#This Row],[Diff E]]*SIN(RADIANS(Readings[[#This Row],[Reference Angle]]))+Readings[[#This Row],[Diff N]]*COS(RADIANS(Readings[[#This Row],[Reference Angle]])))),"-")</f>
        <v>5.0000000046566129E-3</v>
      </c>
      <c r="T946" s="94">
        <f>IFERROR(VLOOKUP(Readings[[#This Row],[Sensor ID]],Table_Baseline[],COLUMNS(Table_Baseline[[#Headers],[Sensor ID]:[Reference Angle '[Deg']]]),FALSE),"-")</f>
        <v>0</v>
      </c>
      <c r="U946" s="95" t="str">
        <f>Readings[[#This Row],[Sensor ID]]&amp;"-"&amp;Readings[[#This Row],[Epoch]]</f>
        <v>250-RL-OP-11017-45839.2430555556</v>
      </c>
      <c r="V946" s="99">
        <f ca="1">IF(Readings[[#This Row],[Epoch]]=OFFSET(Readings[[#This Row],[Epoch]],-1,0),0,1)</f>
        <v>0</v>
      </c>
    </row>
    <row r="947" spans="4:22" x14ac:dyDescent="0.2">
      <c r="D947" s="32">
        <v>45839.243055555555</v>
      </c>
      <c r="E947" s="33" t="s">
        <v>187</v>
      </c>
      <c r="F947" s="34">
        <v>60057.578999999998</v>
      </c>
      <c r="G947" s="34">
        <v>363838.10200000001</v>
      </c>
      <c r="H947" s="34">
        <v>18.774999999999999</v>
      </c>
      <c r="I947" s="151" t="s">
        <v>85</v>
      </c>
      <c r="J947" s="151" t="s">
        <v>90</v>
      </c>
      <c r="K947" s="33">
        <v>12.7</v>
      </c>
      <c r="L947" s="33">
        <v>1013.3</v>
      </c>
      <c r="M947" s="33">
        <v>90</v>
      </c>
      <c r="N947" s="33"/>
      <c r="O947" s="93">
        <f>IFERROR(IF(Readings[[#This Row],[Obs. X]]="","-",Readings[[#This Row],[Obs. X]]-_xlfn.XLOOKUP(Readings[[#This Row],[Sensor ID]],Table_Baseline[Sensor ID],Table_Baseline[Easting '[m']],"-")),"-")</f>
        <v>0</v>
      </c>
      <c r="P947" s="93">
        <f>IFERROR(IF(Readings[[#This Row],[Obs. Y]]="","-",Readings[[#This Row],[Obs. Y]]-_xlfn.XLOOKUP(Readings[[#This Row],[Sensor ID]],Table_Baseline[Sensor ID],Table_Baseline[Northing '[m']],"-")),"-")</f>
        <v>4.0000000153668225E-3</v>
      </c>
      <c r="Q947" s="93">
        <f>IFERROR(IF(Readings[[#This Row],[Obs. Z]]="","-",Readings[[#This Row],[Obs. Z]]-_xlfn.XLOOKUP(Readings[[#This Row],[Sensor ID]],Table_Baseline[Sensor ID],Table_Baseline[Level '[m']],"-")),"-")</f>
        <v>-1.0000000000012221E-3</v>
      </c>
      <c r="R947" s="93">
        <f>IFERROR(IF(Readings[[#This Row],[Reference Angle]]="-","-",(Readings[[#This Row],[Diff E]]*COS(RADIANS(Readings[[#This Row],[Reference Angle]]))-Readings[[#This Row],[Diff N]]*SIN(RADIANS(Readings[[#This Row],[Reference Angle]])))),"-")</f>
        <v>0</v>
      </c>
      <c r="S947" s="93">
        <f>IFERROR(IF(Readings[[#This Row],[Reference Angle]]="-","-",(Readings[[#This Row],[Diff E]]*SIN(RADIANS(Readings[[#This Row],[Reference Angle]]))+Readings[[#This Row],[Diff N]]*COS(RADIANS(Readings[[#This Row],[Reference Angle]])))),"-")</f>
        <v>4.0000000153668225E-3</v>
      </c>
      <c r="T947" s="94">
        <f>IFERROR(VLOOKUP(Readings[[#This Row],[Sensor ID]],Table_Baseline[],COLUMNS(Table_Baseline[[#Headers],[Sensor ID]:[Reference Angle '[Deg']]]),FALSE),"-")</f>
        <v>0</v>
      </c>
      <c r="U947" s="95" t="str">
        <f>Readings[[#This Row],[Sensor ID]]&amp;"-"&amp;Readings[[#This Row],[Epoch]]</f>
        <v>250-RL-OP-11018-45839.2430555556</v>
      </c>
      <c r="V947" s="99">
        <f ca="1">IF(Readings[[#This Row],[Epoch]]=OFFSET(Readings[[#This Row],[Epoch]],-1,0),0,1)</f>
        <v>0</v>
      </c>
    </row>
    <row r="948" spans="4:22" x14ac:dyDescent="0.2">
      <c r="D948" s="32">
        <v>45839.243055555555</v>
      </c>
      <c r="E948" s="33" t="s">
        <v>190</v>
      </c>
      <c r="F948" s="34">
        <v>60060.963000000003</v>
      </c>
      <c r="G948" s="34">
        <v>363838.60499999998</v>
      </c>
      <c r="H948" s="34">
        <v>18.794</v>
      </c>
      <c r="I948" s="151" t="s">
        <v>85</v>
      </c>
      <c r="J948" s="151" t="s">
        <v>90</v>
      </c>
      <c r="K948" s="33">
        <v>12.7</v>
      </c>
      <c r="L948" s="33">
        <v>1013.3</v>
      </c>
      <c r="M948" s="33">
        <v>90</v>
      </c>
      <c r="N948" s="33"/>
      <c r="O948" s="93">
        <f>IFERROR(IF(Readings[[#This Row],[Obs. X]]="","-",Readings[[#This Row],[Obs. X]]-_xlfn.XLOOKUP(Readings[[#This Row],[Sensor ID]],Table_Baseline[Sensor ID],Table_Baseline[Easting '[m']],"-")),"-")</f>
        <v>0</v>
      </c>
      <c r="P948" s="93">
        <f>IFERROR(IF(Readings[[#This Row],[Obs. Y]]="","-",Readings[[#This Row],[Obs. Y]]-_xlfn.XLOOKUP(Readings[[#This Row],[Sensor ID]],Table_Baseline[Sensor ID],Table_Baseline[Northing '[m']],"-")),"-")</f>
        <v>3.9999999571591616E-3</v>
      </c>
      <c r="Q948" s="93">
        <f>IFERROR(IF(Readings[[#This Row],[Obs. Z]]="","-",Readings[[#This Row],[Obs. Z]]-_xlfn.XLOOKUP(Readings[[#This Row],[Sensor ID]],Table_Baseline[Sensor ID],Table_Baseline[Level '[m']],"-")),"-")</f>
        <v>-5.9999999999860165E-4</v>
      </c>
      <c r="R948" s="93">
        <f>IFERROR(IF(Readings[[#This Row],[Reference Angle]]="-","-",(Readings[[#This Row],[Diff E]]*COS(RADIANS(Readings[[#This Row],[Reference Angle]]))-Readings[[#This Row],[Diff N]]*SIN(RADIANS(Readings[[#This Row],[Reference Angle]])))),"-")</f>
        <v>0</v>
      </c>
      <c r="S948" s="93">
        <f>IFERROR(IF(Readings[[#This Row],[Reference Angle]]="-","-",(Readings[[#This Row],[Diff E]]*SIN(RADIANS(Readings[[#This Row],[Reference Angle]]))+Readings[[#This Row],[Diff N]]*COS(RADIANS(Readings[[#This Row],[Reference Angle]])))),"-")</f>
        <v>3.9999999571591616E-3</v>
      </c>
      <c r="T948" s="94">
        <f>IFERROR(VLOOKUP(Readings[[#This Row],[Sensor ID]],Table_Baseline[],COLUMNS(Table_Baseline[[#Headers],[Sensor ID]:[Reference Angle '[Deg']]]),FALSE),"-")</f>
        <v>0</v>
      </c>
      <c r="U948" s="95" t="str">
        <f>Readings[[#This Row],[Sensor ID]]&amp;"-"&amp;Readings[[#This Row],[Epoch]]</f>
        <v>250-RL-OP-11019-45839.2430555556</v>
      </c>
      <c r="V948" s="99">
        <f ca="1">IF(Readings[[#This Row],[Epoch]]=OFFSET(Readings[[#This Row],[Epoch]],-1,0),0,1)</f>
        <v>0</v>
      </c>
    </row>
    <row r="949" spans="4:22" x14ac:dyDescent="0.2">
      <c r="D949" s="32">
        <v>45839.243055555555</v>
      </c>
      <c r="E949" s="33" t="s">
        <v>189</v>
      </c>
      <c r="F949" s="34">
        <v>60060.641000000003</v>
      </c>
      <c r="G949" s="34">
        <v>363837.32699999999</v>
      </c>
      <c r="H949" s="34">
        <v>18.782</v>
      </c>
      <c r="I949" s="151" t="s">
        <v>85</v>
      </c>
      <c r="J949" s="151" t="s">
        <v>90</v>
      </c>
      <c r="K949" s="33">
        <v>12.7</v>
      </c>
      <c r="L949" s="33">
        <v>1013.3</v>
      </c>
      <c r="M949" s="33">
        <v>90</v>
      </c>
      <c r="N949" s="33"/>
      <c r="O949" s="93">
        <f>IFERROR(IF(Readings[[#This Row],[Obs. X]]="","-",Readings[[#This Row],[Obs. X]]-_xlfn.XLOOKUP(Readings[[#This Row],[Sensor ID]],Table_Baseline[Sensor ID],Table_Baseline[Easting '[m']],"-")),"-")</f>
        <v>1.0000000038417056E-3</v>
      </c>
      <c r="P949" s="93">
        <f>IFERROR(IF(Readings[[#This Row],[Obs. Y]]="","-",Readings[[#This Row],[Obs. Y]]-_xlfn.XLOOKUP(Readings[[#This Row],[Sensor ID]],Table_Baseline[Sensor ID],Table_Baseline[Northing '[m']],"-")),"-")</f>
        <v>5.0000000046566129E-3</v>
      </c>
      <c r="Q949" s="93">
        <f>IFERROR(IF(Readings[[#This Row],[Obs. Z]]="","-",Readings[[#This Row],[Obs. Z]]-_xlfn.XLOOKUP(Readings[[#This Row],[Sensor ID]],Table_Baseline[Sensor ID],Table_Baseline[Level '[m']],"-")),"-")</f>
        <v>-1.5999999999998238E-3</v>
      </c>
      <c r="R949" s="93">
        <f>IFERROR(IF(Readings[[#This Row],[Reference Angle]]="-","-",(Readings[[#This Row],[Diff E]]*COS(RADIANS(Readings[[#This Row],[Reference Angle]]))-Readings[[#This Row],[Diff N]]*SIN(RADIANS(Readings[[#This Row],[Reference Angle]])))),"-")</f>
        <v>1.0000000038417056E-3</v>
      </c>
      <c r="S949" s="93">
        <f>IFERROR(IF(Readings[[#This Row],[Reference Angle]]="-","-",(Readings[[#This Row],[Diff E]]*SIN(RADIANS(Readings[[#This Row],[Reference Angle]]))+Readings[[#This Row],[Diff N]]*COS(RADIANS(Readings[[#This Row],[Reference Angle]])))),"-")</f>
        <v>5.0000000046566129E-3</v>
      </c>
      <c r="T949" s="94">
        <f>IFERROR(VLOOKUP(Readings[[#This Row],[Sensor ID]],Table_Baseline[],COLUMNS(Table_Baseline[[#Headers],[Sensor ID]:[Reference Angle '[Deg']]]),FALSE),"-")</f>
        <v>0</v>
      </c>
      <c r="U949" s="95" t="str">
        <f>Readings[[#This Row],[Sensor ID]]&amp;"-"&amp;Readings[[#This Row],[Epoch]]</f>
        <v>250-RL-OP-11020-45839.2430555556</v>
      </c>
      <c r="V949" s="99">
        <f ca="1">IF(Readings[[#This Row],[Epoch]]=OFFSET(Readings[[#This Row],[Epoch]],-1,0),0,1)</f>
        <v>0</v>
      </c>
    </row>
    <row r="950" spans="4:22" x14ac:dyDescent="0.2">
      <c r="D950" s="32">
        <v>45839.243055555555</v>
      </c>
      <c r="E950" s="33" t="s">
        <v>192</v>
      </c>
      <c r="F950" s="34">
        <v>60063.750999999997</v>
      </c>
      <c r="G950" s="34">
        <v>363837.92200000002</v>
      </c>
      <c r="H950" s="34">
        <v>18.808</v>
      </c>
      <c r="I950" s="151" t="s">
        <v>85</v>
      </c>
      <c r="J950" s="151" t="s">
        <v>90</v>
      </c>
      <c r="K950" s="33">
        <v>12.7</v>
      </c>
      <c r="L950" s="33">
        <v>1013.3</v>
      </c>
      <c r="M950" s="33">
        <v>90</v>
      </c>
      <c r="N950" s="33"/>
      <c r="O950" s="93">
        <f>IFERROR(IF(Readings[[#This Row],[Obs. X]]="","-",Readings[[#This Row],[Obs. X]]-_xlfn.XLOOKUP(Readings[[#This Row],[Sensor ID]],Table_Baseline[Sensor ID],Table_Baseline[Easting '[m']],"-")),"-")</f>
        <v>0</v>
      </c>
      <c r="P950" s="93">
        <f>IFERROR(IF(Readings[[#This Row],[Obs. Y]]="","-",Readings[[#This Row],[Obs. Y]]-_xlfn.XLOOKUP(Readings[[#This Row],[Sensor ID]],Table_Baseline[Sensor ID],Table_Baseline[Northing '[m']],"-")),"-")</f>
        <v>4.0000000153668225E-3</v>
      </c>
      <c r="Q950" s="93">
        <f>IFERROR(IF(Readings[[#This Row],[Obs. Z]]="","-",Readings[[#This Row],[Obs. Z]]-_xlfn.XLOOKUP(Readings[[#This Row],[Sensor ID]],Table_Baseline[Sensor ID],Table_Baseline[Level '[m']],"-")),"-")</f>
        <v>-1.0000000000012221E-3</v>
      </c>
      <c r="R950" s="93">
        <f>IFERROR(IF(Readings[[#This Row],[Reference Angle]]="-","-",(Readings[[#This Row],[Diff E]]*COS(RADIANS(Readings[[#This Row],[Reference Angle]]))-Readings[[#This Row],[Diff N]]*SIN(RADIANS(Readings[[#This Row],[Reference Angle]])))),"-")</f>
        <v>0</v>
      </c>
      <c r="S950" s="93">
        <f>IFERROR(IF(Readings[[#This Row],[Reference Angle]]="-","-",(Readings[[#This Row],[Diff E]]*SIN(RADIANS(Readings[[#This Row],[Reference Angle]]))+Readings[[#This Row],[Diff N]]*COS(RADIANS(Readings[[#This Row],[Reference Angle]])))),"-")</f>
        <v>4.0000000153668225E-3</v>
      </c>
      <c r="T950" s="94">
        <f>IFERROR(VLOOKUP(Readings[[#This Row],[Sensor ID]],Table_Baseline[],COLUMNS(Table_Baseline[[#Headers],[Sensor ID]:[Reference Angle '[Deg']]]),FALSE),"-")</f>
        <v>0</v>
      </c>
      <c r="U950" s="95" t="str">
        <f>Readings[[#This Row],[Sensor ID]]&amp;"-"&amp;Readings[[#This Row],[Epoch]]</f>
        <v>250-RL-OP-11021-45839.2430555556</v>
      </c>
      <c r="V950" s="99">
        <f ca="1">IF(Readings[[#This Row],[Epoch]]=OFFSET(Readings[[#This Row],[Epoch]],-1,0),0,1)</f>
        <v>0</v>
      </c>
    </row>
    <row r="951" spans="4:22" x14ac:dyDescent="0.2">
      <c r="D951" s="32">
        <v>45839.243055555555</v>
      </c>
      <c r="E951" s="151" t="s">
        <v>191</v>
      </c>
      <c r="F951" s="152">
        <v>60063.421999999999</v>
      </c>
      <c r="G951" s="152">
        <v>363836.64</v>
      </c>
      <c r="H951" s="152">
        <v>18.792999999999999</v>
      </c>
      <c r="I951" s="151" t="s">
        <v>85</v>
      </c>
      <c r="J951" s="151" t="s">
        <v>90</v>
      </c>
      <c r="K951" s="33">
        <v>12.7</v>
      </c>
      <c r="L951" s="33">
        <v>1013.3</v>
      </c>
      <c r="M951" s="33">
        <v>90</v>
      </c>
      <c r="N951" s="151"/>
      <c r="O951" s="96">
        <f>IFERROR(IF(Readings[[#This Row],[Obs. X]]="","-",Readings[[#This Row],[Obs. X]]-_xlfn.XLOOKUP(Readings[[#This Row],[Sensor ID]],Table_Baseline[Sensor ID],Table_Baseline[Easting '[m']],"-")),"-")</f>
        <v>0</v>
      </c>
      <c r="P951" s="96">
        <f>IFERROR(IF(Readings[[#This Row],[Obs. Y]]="","-",Readings[[#This Row],[Obs. Y]]-_xlfn.XLOOKUP(Readings[[#This Row],[Sensor ID]],Table_Baseline[Sensor ID],Table_Baseline[Northing '[m']],"-")),"-")</f>
        <v>4.0000000153668225E-3</v>
      </c>
      <c r="Q951" s="96">
        <f>IFERROR(IF(Readings[[#This Row],[Obs. Z]]="","-",Readings[[#This Row],[Obs. Z]]-_xlfn.XLOOKUP(Readings[[#This Row],[Sensor ID]],Table_Baseline[Sensor ID],Table_Baseline[Level '[m']],"-")),"-")</f>
        <v>-1.8999999999991246E-3</v>
      </c>
      <c r="R951" s="96">
        <f>IFERROR(IF(Readings[[#This Row],[Reference Angle]]="-","-",(Readings[[#This Row],[Diff E]]*COS(RADIANS(Readings[[#This Row],[Reference Angle]]))-Readings[[#This Row],[Diff N]]*SIN(RADIANS(Readings[[#This Row],[Reference Angle]])))),"-")</f>
        <v>0</v>
      </c>
      <c r="S951" s="96">
        <f>IFERROR(IF(Readings[[#This Row],[Reference Angle]]="-","-",(Readings[[#This Row],[Diff E]]*SIN(RADIANS(Readings[[#This Row],[Reference Angle]]))+Readings[[#This Row],[Diff N]]*COS(RADIANS(Readings[[#This Row],[Reference Angle]])))),"-")</f>
        <v>4.0000000153668225E-3</v>
      </c>
      <c r="T951" s="97">
        <f>IFERROR(VLOOKUP(Readings[[#This Row],[Sensor ID]],Table_Baseline[],COLUMNS(Table_Baseline[[#Headers],[Sensor ID]:[Reference Angle '[Deg']]]),FALSE),"-")</f>
        <v>0</v>
      </c>
      <c r="U951" s="98" t="str">
        <f>Readings[[#This Row],[Sensor ID]]&amp;"-"&amp;Readings[[#This Row],[Epoch]]</f>
        <v>250-RL-OP-11022-45839.2430555556</v>
      </c>
      <c r="V951" s="100">
        <f ca="1">IF(Readings[[#This Row],[Epoch]]=OFFSET(Readings[[#This Row],[Epoch]],-1,0),0,1)</f>
        <v>0</v>
      </c>
    </row>
    <row r="952" spans="4:22" x14ac:dyDescent="0.2">
      <c r="D952" s="32">
        <v>45841.243055555555</v>
      </c>
      <c r="E952" s="33" t="s">
        <v>165</v>
      </c>
      <c r="F952" s="34">
        <v>60034.538999999997</v>
      </c>
      <c r="G952" s="34">
        <v>363843.38</v>
      </c>
      <c r="H952" s="34">
        <v>19.331</v>
      </c>
      <c r="I952" s="151" t="s">
        <v>85</v>
      </c>
      <c r="J952" s="151" t="s">
        <v>90</v>
      </c>
      <c r="K952" s="33">
        <v>12.8</v>
      </c>
      <c r="L952" s="33">
        <v>1010.6</v>
      </c>
      <c r="M952" s="33">
        <v>52</v>
      </c>
      <c r="N952" s="33"/>
      <c r="O952" s="93" t="str">
        <f>IFERROR(IF(Readings[[#This Row],[Obs. X]]="","-",Readings[[#This Row],[Obs. X]]-_xlfn.XLOOKUP(Readings[[#This Row],[Sensor ID]],Table_Baseline[Sensor ID],Table_Baseline[Easting '[m']],"-")),"-")</f>
        <v>-</v>
      </c>
      <c r="P952" s="93" t="str">
        <f>IFERROR(IF(Readings[[#This Row],[Obs. Y]]="","-",Readings[[#This Row],[Obs. Y]]-_xlfn.XLOOKUP(Readings[[#This Row],[Sensor ID]],Table_Baseline[Sensor ID],Table_Baseline[Northing '[m']],"-")),"-")</f>
        <v>-</v>
      </c>
      <c r="Q952" s="93" t="str">
        <f>IFERROR(IF(Readings[[#This Row],[Obs. Z]]="","-",Readings[[#This Row],[Obs. Z]]-_xlfn.XLOOKUP(Readings[[#This Row],[Sensor ID]],Table_Baseline[Sensor ID],Table_Baseline[Level '[m']],"-")),"-")</f>
        <v>-</v>
      </c>
      <c r="R952" s="93" t="str">
        <f>IFERROR(IF(Readings[[#This Row],[Reference Angle]]="-","-",(Readings[[#This Row],[Diff E]]*COS(RADIANS(Readings[[#This Row],[Reference Angle]]))-Readings[[#This Row],[Diff N]]*SIN(RADIANS(Readings[[#This Row],[Reference Angle]])))),"-")</f>
        <v>-</v>
      </c>
      <c r="S952" s="93" t="str">
        <f>IFERROR(IF(Readings[[#This Row],[Reference Angle]]="-","-",(Readings[[#This Row],[Diff E]]*SIN(RADIANS(Readings[[#This Row],[Reference Angle]]))+Readings[[#This Row],[Diff N]]*COS(RADIANS(Readings[[#This Row],[Reference Angle]])))),"-")</f>
        <v>-</v>
      </c>
      <c r="T952" s="94" t="str">
        <f>IFERROR(VLOOKUP(Readings[[#This Row],[Sensor ID]],Table_Baseline[],COLUMNS(Table_Baseline[[#Headers],[Sensor ID]:[Reference Angle '[Deg']]]),FALSE),"-")</f>
        <v>-</v>
      </c>
      <c r="U952" s="95" t="str">
        <f>Readings[[#This Row],[Sensor ID]]&amp;"-"&amp;Readings[[#This Row],[Epoch]]</f>
        <v>250-ST-OP-500-45841.2430555556</v>
      </c>
      <c r="V952" s="99">
        <f ca="1">IF(Readings[[#This Row],[Epoch]]=OFFSET(Readings[[#This Row],[Epoch]],-1,0),0,1)</f>
        <v>1</v>
      </c>
    </row>
    <row r="953" spans="4:22" x14ac:dyDescent="0.2">
      <c r="D953" s="32">
        <v>45841.243055555555</v>
      </c>
      <c r="E953" s="33" t="s">
        <v>166</v>
      </c>
      <c r="F953" s="34">
        <v>60040.286999999997</v>
      </c>
      <c r="G953" s="34">
        <v>363841.72899999999</v>
      </c>
      <c r="H953" s="34">
        <v>19.321999999999999</v>
      </c>
      <c r="I953" s="151" t="s">
        <v>85</v>
      </c>
      <c r="J953" s="151" t="s">
        <v>90</v>
      </c>
      <c r="K953" s="33">
        <v>12.8</v>
      </c>
      <c r="L953" s="33">
        <v>1010.6</v>
      </c>
      <c r="M953" s="33">
        <v>52</v>
      </c>
      <c r="N953" s="33"/>
      <c r="O953" s="93" t="str">
        <f>IFERROR(IF(Readings[[#This Row],[Obs. X]]="","-",Readings[[#This Row],[Obs. X]]-_xlfn.XLOOKUP(Readings[[#This Row],[Sensor ID]],Table_Baseline[Sensor ID],Table_Baseline[Easting '[m']],"-")),"-")</f>
        <v>-</v>
      </c>
      <c r="P953" s="93" t="str">
        <f>IFERROR(IF(Readings[[#This Row],[Obs. Y]]="","-",Readings[[#This Row],[Obs. Y]]-_xlfn.XLOOKUP(Readings[[#This Row],[Sensor ID]],Table_Baseline[Sensor ID],Table_Baseline[Northing '[m']],"-")),"-")</f>
        <v>-</v>
      </c>
      <c r="Q953" s="93" t="str">
        <f>IFERROR(IF(Readings[[#This Row],[Obs. Z]]="","-",Readings[[#This Row],[Obs. Z]]-_xlfn.XLOOKUP(Readings[[#This Row],[Sensor ID]],Table_Baseline[Sensor ID],Table_Baseline[Level '[m']],"-")),"-")</f>
        <v>-</v>
      </c>
      <c r="R953" s="93" t="str">
        <f>IFERROR(IF(Readings[[#This Row],[Reference Angle]]="-","-",(Readings[[#This Row],[Diff E]]*COS(RADIANS(Readings[[#This Row],[Reference Angle]]))-Readings[[#This Row],[Diff N]]*SIN(RADIANS(Readings[[#This Row],[Reference Angle]])))),"-")</f>
        <v>-</v>
      </c>
      <c r="S953" s="93" t="str">
        <f>IFERROR(IF(Readings[[#This Row],[Reference Angle]]="-","-",(Readings[[#This Row],[Diff E]]*SIN(RADIANS(Readings[[#This Row],[Reference Angle]]))+Readings[[#This Row],[Diff N]]*COS(RADIANS(Readings[[#This Row],[Reference Angle]])))),"-")</f>
        <v>-</v>
      </c>
      <c r="T953" s="94" t="str">
        <f>IFERROR(VLOOKUP(Readings[[#This Row],[Sensor ID]],Table_Baseline[],COLUMNS(Table_Baseline[[#Headers],[Sensor ID]:[Reference Angle '[Deg']]]),FALSE),"-")</f>
        <v>-</v>
      </c>
      <c r="U953" s="95" t="str">
        <f>Readings[[#This Row],[Sensor ID]]&amp;"-"&amp;Readings[[#This Row],[Epoch]]</f>
        <v>250-ST-OP-501-45841.2430555556</v>
      </c>
      <c r="V953" s="99">
        <f ca="1">IF(Readings[[#This Row],[Epoch]]=OFFSET(Readings[[#This Row],[Epoch]],-1,0),0,1)</f>
        <v>0</v>
      </c>
    </row>
    <row r="954" spans="4:22" x14ac:dyDescent="0.2">
      <c r="D954" s="32">
        <v>45841.243055555555</v>
      </c>
      <c r="E954" s="33" t="s">
        <v>167</v>
      </c>
      <c r="F954" s="34">
        <v>60045.921999999999</v>
      </c>
      <c r="G954" s="34">
        <v>363840.10100000002</v>
      </c>
      <c r="H954" s="34">
        <v>19.334</v>
      </c>
      <c r="I954" s="151" t="s">
        <v>85</v>
      </c>
      <c r="J954" s="151" t="s">
        <v>90</v>
      </c>
      <c r="K954" s="33">
        <v>12.8</v>
      </c>
      <c r="L954" s="33">
        <v>1010.6</v>
      </c>
      <c r="M954" s="33">
        <v>52</v>
      </c>
      <c r="N954" s="33"/>
      <c r="O954" s="93" t="str">
        <f>IFERROR(IF(Readings[[#This Row],[Obs. X]]="","-",Readings[[#This Row],[Obs. X]]-_xlfn.XLOOKUP(Readings[[#This Row],[Sensor ID]],Table_Baseline[Sensor ID],Table_Baseline[Easting '[m']],"-")),"-")</f>
        <v>-</v>
      </c>
      <c r="P954" s="93" t="str">
        <f>IFERROR(IF(Readings[[#This Row],[Obs. Y]]="","-",Readings[[#This Row],[Obs. Y]]-_xlfn.XLOOKUP(Readings[[#This Row],[Sensor ID]],Table_Baseline[Sensor ID],Table_Baseline[Northing '[m']],"-")),"-")</f>
        <v>-</v>
      </c>
      <c r="Q954" s="93" t="str">
        <f>IFERROR(IF(Readings[[#This Row],[Obs. Z]]="","-",Readings[[#This Row],[Obs. Z]]-_xlfn.XLOOKUP(Readings[[#This Row],[Sensor ID]],Table_Baseline[Sensor ID],Table_Baseline[Level '[m']],"-")),"-")</f>
        <v>-</v>
      </c>
      <c r="R954" s="93" t="str">
        <f>IFERROR(IF(Readings[[#This Row],[Reference Angle]]="-","-",(Readings[[#This Row],[Diff E]]*COS(RADIANS(Readings[[#This Row],[Reference Angle]]))-Readings[[#This Row],[Diff N]]*SIN(RADIANS(Readings[[#This Row],[Reference Angle]])))),"-")</f>
        <v>-</v>
      </c>
      <c r="S954" s="93" t="str">
        <f>IFERROR(IF(Readings[[#This Row],[Reference Angle]]="-","-",(Readings[[#This Row],[Diff E]]*SIN(RADIANS(Readings[[#This Row],[Reference Angle]]))+Readings[[#This Row],[Diff N]]*COS(RADIANS(Readings[[#This Row],[Reference Angle]])))),"-")</f>
        <v>-</v>
      </c>
      <c r="T954" s="94" t="str">
        <f>IFERROR(VLOOKUP(Readings[[#This Row],[Sensor ID]],Table_Baseline[],COLUMNS(Table_Baseline[[#Headers],[Sensor ID]:[Reference Angle '[Deg']]]),FALSE),"-")</f>
        <v>-</v>
      </c>
      <c r="U954" s="95" t="str">
        <f>Readings[[#This Row],[Sensor ID]]&amp;"-"&amp;Readings[[#This Row],[Epoch]]</f>
        <v>250-ST-OP-502-45841.2430555556</v>
      </c>
      <c r="V954" s="99">
        <f ca="1">IF(Readings[[#This Row],[Epoch]]=OFFSET(Readings[[#This Row],[Epoch]],-1,0),0,1)</f>
        <v>0</v>
      </c>
    </row>
    <row r="955" spans="4:22" x14ac:dyDescent="0.2">
      <c r="D955" s="32">
        <v>45841.243055555555</v>
      </c>
      <c r="E955" s="33" t="s">
        <v>168</v>
      </c>
      <c r="F955" s="34">
        <v>60049.767999999996</v>
      </c>
      <c r="G955" s="34">
        <v>363838.995</v>
      </c>
      <c r="H955" s="34">
        <v>19.344999999999999</v>
      </c>
      <c r="I955" s="151" t="s">
        <v>85</v>
      </c>
      <c r="J955" s="151" t="s">
        <v>90</v>
      </c>
      <c r="K955" s="33">
        <v>12.8</v>
      </c>
      <c r="L955" s="33">
        <v>1010.6</v>
      </c>
      <c r="M955" s="33">
        <v>52</v>
      </c>
      <c r="N955" s="33"/>
      <c r="O955" s="93" t="str">
        <f>IFERROR(IF(Readings[[#This Row],[Obs. X]]="","-",Readings[[#This Row],[Obs. X]]-_xlfn.XLOOKUP(Readings[[#This Row],[Sensor ID]],Table_Baseline[Sensor ID],Table_Baseline[Easting '[m']],"-")),"-")</f>
        <v>-</v>
      </c>
      <c r="P955" s="93" t="str">
        <f>IFERROR(IF(Readings[[#This Row],[Obs. Y]]="","-",Readings[[#This Row],[Obs. Y]]-_xlfn.XLOOKUP(Readings[[#This Row],[Sensor ID]],Table_Baseline[Sensor ID],Table_Baseline[Northing '[m']],"-")),"-")</f>
        <v>-</v>
      </c>
      <c r="Q955" s="93" t="str">
        <f>IFERROR(IF(Readings[[#This Row],[Obs. Z]]="","-",Readings[[#This Row],[Obs. Z]]-_xlfn.XLOOKUP(Readings[[#This Row],[Sensor ID]],Table_Baseline[Sensor ID],Table_Baseline[Level '[m']],"-")),"-")</f>
        <v>-</v>
      </c>
      <c r="R955" s="93" t="str">
        <f>IFERROR(IF(Readings[[#This Row],[Reference Angle]]="-","-",(Readings[[#This Row],[Diff E]]*COS(RADIANS(Readings[[#This Row],[Reference Angle]]))-Readings[[#This Row],[Diff N]]*SIN(RADIANS(Readings[[#This Row],[Reference Angle]])))),"-")</f>
        <v>-</v>
      </c>
      <c r="S955" s="93" t="str">
        <f>IFERROR(IF(Readings[[#This Row],[Reference Angle]]="-","-",(Readings[[#This Row],[Diff E]]*SIN(RADIANS(Readings[[#This Row],[Reference Angle]]))+Readings[[#This Row],[Diff N]]*COS(RADIANS(Readings[[#This Row],[Reference Angle]])))),"-")</f>
        <v>-</v>
      </c>
      <c r="T955" s="94" t="str">
        <f>IFERROR(VLOOKUP(Readings[[#This Row],[Sensor ID]],Table_Baseline[],COLUMNS(Table_Baseline[[#Headers],[Sensor ID]:[Reference Angle '[Deg']]]),FALSE),"-")</f>
        <v>-</v>
      </c>
      <c r="U955" s="95" t="str">
        <f>Readings[[#This Row],[Sensor ID]]&amp;"-"&amp;Readings[[#This Row],[Epoch]]</f>
        <v>250-ST-OP-503-45841.2430555556</v>
      </c>
      <c r="V955" s="99">
        <f ca="1">IF(Readings[[#This Row],[Epoch]]=OFFSET(Readings[[#This Row],[Epoch]],-1,0),0,1)</f>
        <v>0</v>
      </c>
    </row>
    <row r="956" spans="4:22" x14ac:dyDescent="0.2">
      <c r="D956" s="32">
        <v>45841.243055555555</v>
      </c>
      <c r="E956" s="33" t="s">
        <v>169</v>
      </c>
      <c r="F956" s="34">
        <v>60053.608999999997</v>
      </c>
      <c r="G956" s="34">
        <v>363837.88300000003</v>
      </c>
      <c r="H956" s="34">
        <v>19.356000000000002</v>
      </c>
      <c r="I956" s="151" t="s">
        <v>85</v>
      </c>
      <c r="J956" s="151" t="s">
        <v>90</v>
      </c>
      <c r="K956" s="33">
        <v>12.8</v>
      </c>
      <c r="L956" s="33">
        <v>1010.6</v>
      </c>
      <c r="M956" s="33">
        <v>52</v>
      </c>
      <c r="N956" s="33"/>
      <c r="O956" s="93" t="str">
        <f>IFERROR(IF(Readings[[#This Row],[Obs. X]]="","-",Readings[[#This Row],[Obs. X]]-_xlfn.XLOOKUP(Readings[[#This Row],[Sensor ID]],Table_Baseline[Sensor ID],Table_Baseline[Easting '[m']],"-")),"-")</f>
        <v>-</v>
      </c>
      <c r="P956" s="93" t="str">
        <f>IFERROR(IF(Readings[[#This Row],[Obs. Y]]="","-",Readings[[#This Row],[Obs. Y]]-_xlfn.XLOOKUP(Readings[[#This Row],[Sensor ID]],Table_Baseline[Sensor ID],Table_Baseline[Northing '[m']],"-")),"-")</f>
        <v>-</v>
      </c>
      <c r="Q956" s="93" t="str">
        <f>IFERROR(IF(Readings[[#This Row],[Obs. Z]]="","-",Readings[[#This Row],[Obs. Z]]-_xlfn.XLOOKUP(Readings[[#This Row],[Sensor ID]],Table_Baseline[Sensor ID],Table_Baseline[Level '[m']],"-")),"-")</f>
        <v>-</v>
      </c>
      <c r="R956" s="93" t="str">
        <f>IFERROR(IF(Readings[[#This Row],[Reference Angle]]="-","-",(Readings[[#This Row],[Diff E]]*COS(RADIANS(Readings[[#This Row],[Reference Angle]]))-Readings[[#This Row],[Diff N]]*SIN(RADIANS(Readings[[#This Row],[Reference Angle]])))),"-")</f>
        <v>-</v>
      </c>
      <c r="S956" s="93" t="str">
        <f>IFERROR(IF(Readings[[#This Row],[Reference Angle]]="-","-",(Readings[[#This Row],[Diff E]]*SIN(RADIANS(Readings[[#This Row],[Reference Angle]]))+Readings[[#This Row],[Diff N]]*COS(RADIANS(Readings[[#This Row],[Reference Angle]])))),"-")</f>
        <v>-</v>
      </c>
      <c r="T956" s="94" t="str">
        <f>IFERROR(VLOOKUP(Readings[[#This Row],[Sensor ID]],Table_Baseline[],COLUMNS(Table_Baseline[[#Headers],[Sensor ID]:[Reference Angle '[Deg']]]),FALSE),"-")</f>
        <v>-</v>
      </c>
      <c r="U956" s="95" t="str">
        <f>Readings[[#This Row],[Sensor ID]]&amp;"-"&amp;Readings[[#This Row],[Epoch]]</f>
        <v>250-ST-OP-504-45841.2430555556</v>
      </c>
      <c r="V956" s="99">
        <f ca="1">IF(Readings[[#This Row],[Epoch]]=OFFSET(Readings[[#This Row],[Epoch]],-1,0),0,1)</f>
        <v>0</v>
      </c>
    </row>
    <row r="957" spans="4:22" x14ac:dyDescent="0.2">
      <c r="D957" s="32">
        <v>45841.243055555555</v>
      </c>
      <c r="E957" s="33" t="s">
        <v>170</v>
      </c>
      <c r="F957" s="34">
        <v>60060.065000000002</v>
      </c>
      <c r="G957" s="34">
        <v>363836.02500000002</v>
      </c>
      <c r="H957" s="34">
        <v>19.356000000000002</v>
      </c>
      <c r="I957" s="151" t="s">
        <v>85</v>
      </c>
      <c r="J957" s="151" t="s">
        <v>90</v>
      </c>
      <c r="K957" s="33">
        <v>12.8</v>
      </c>
      <c r="L957" s="33">
        <v>1010.6</v>
      </c>
      <c r="M957" s="33">
        <v>52</v>
      </c>
      <c r="N957" s="33"/>
      <c r="O957" s="93" t="str">
        <f>IFERROR(IF(Readings[[#This Row],[Obs. X]]="","-",Readings[[#This Row],[Obs. X]]-_xlfn.XLOOKUP(Readings[[#This Row],[Sensor ID]],Table_Baseline[Sensor ID],Table_Baseline[Easting '[m']],"-")),"-")</f>
        <v>-</v>
      </c>
      <c r="P957" s="93" t="str">
        <f>IFERROR(IF(Readings[[#This Row],[Obs. Y]]="","-",Readings[[#This Row],[Obs. Y]]-_xlfn.XLOOKUP(Readings[[#This Row],[Sensor ID]],Table_Baseline[Sensor ID],Table_Baseline[Northing '[m']],"-")),"-")</f>
        <v>-</v>
      </c>
      <c r="Q957" s="93" t="str">
        <f>IFERROR(IF(Readings[[#This Row],[Obs. Z]]="","-",Readings[[#This Row],[Obs. Z]]-_xlfn.XLOOKUP(Readings[[#This Row],[Sensor ID]],Table_Baseline[Sensor ID],Table_Baseline[Level '[m']],"-")),"-")</f>
        <v>-</v>
      </c>
      <c r="R957" s="93" t="str">
        <f>IFERROR(IF(Readings[[#This Row],[Reference Angle]]="-","-",(Readings[[#This Row],[Diff E]]*COS(RADIANS(Readings[[#This Row],[Reference Angle]]))-Readings[[#This Row],[Diff N]]*SIN(RADIANS(Readings[[#This Row],[Reference Angle]])))),"-")</f>
        <v>-</v>
      </c>
      <c r="S957" s="93" t="str">
        <f>IFERROR(IF(Readings[[#This Row],[Reference Angle]]="-","-",(Readings[[#This Row],[Diff E]]*SIN(RADIANS(Readings[[#This Row],[Reference Angle]]))+Readings[[#This Row],[Diff N]]*COS(RADIANS(Readings[[#This Row],[Reference Angle]])))),"-")</f>
        <v>-</v>
      </c>
      <c r="T957" s="94" t="str">
        <f>IFERROR(VLOOKUP(Readings[[#This Row],[Sensor ID]],Table_Baseline[],COLUMNS(Table_Baseline[[#Headers],[Sensor ID]:[Reference Angle '[Deg']]]),FALSE),"-")</f>
        <v>-</v>
      </c>
      <c r="U957" s="95" t="str">
        <f>Readings[[#This Row],[Sensor ID]]&amp;"-"&amp;Readings[[#This Row],[Epoch]]</f>
        <v>250-ST-OP-505-45841.2430555556</v>
      </c>
      <c r="V957" s="99">
        <f ca="1">IF(Readings[[#This Row],[Epoch]]=OFFSET(Readings[[#This Row],[Epoch]],-1,0),0,1)</f>
        <v>0</v>
      </c>
    </row>
    <row r="958" spans="4:22" x14ac:dyDescent="0.2">
      <c r="D958" s="32">
        <v>45841.243055555555</v>
      </c>
      <c r="E958" s="33" t="s">
        <v>172</v>
      </c>
      <c r="F958" s="34">
        <v>60035.339</v>
      </c>
      <c r="G958" s="34">
        <v>363845.73699999996</v>
      </c>
      <c r="H958" s="34">
        <v>18.782</v>
      </c>
      <c r="I958" s="151" t="s">
        <v>85</v>
      </c>
      <c r="J958" s="151" t="s">
        <v>90</v>
      </c>
      <c r="K958" s="33">
        <v>12.8</v>
      </c>
      <c r="L958" s="33">
        <v>1010.6</v>
      </c>
      <c r="M958" s="33">
        <v>52</v>
      </c>
      <c r="N958" s="33"/>
      <c r="O958" s="93">
        <f>IFERROR(IF(Readings[[#This Row],[Obs. X]]="","-",Readings[[#This Row],[Obs. X]]-_xlfn.XLOOKUP(Readings[[#This Row],[Sensor ID]],Table_Baseline[Sensor ID],Table_Baseline[Easting '[m']],"-")),"-")</f>
        <v>-9.9999999656574801E-4</v>
      </c>
      <c r="P958" s="93">
        <f>IFERROR(IF(Readings[[#This Row],[Obs. Y]]="","-",Readings[[#This Row],[Obs. Y]]-_xlfn.XLOOKUP(Readings[[#This Row],[Sensor ID]],Table_Baseline[Sensor ID],Table_Baseline[Northing '[m']],"-")),"-")</f>
        <v>-2.0000000367872417E-3</v>
      </c>
      <c r="Q958" s="93">
        <f>IFERROR(IF(Readings[[#This Row],[Obs. Z]]="","-",Readings[[#This Row],[Obs. Z]]-_xlfn.XLOOKUP(Readings[[#This Row],[Sensor ID]],Table_Baseline[Sensor ID],Table_Baseline[Level '[m']],"-")),"-")</f>
        <v>0</v>
      </c>
      <c r="R958" s="93">
        <f>IFERROR(IF(Readings[[#This Row],[Reference Angle]]="-","-",(Readings[[#This Row],[Diff E]]*COS(RADIANS(Readings[[#This Row],[Reference Angle]]))-Readings[[#This Row],[Diff N]]*SIN(RADIANS(Readings[[#This Row],[Reference Angle]])))),"-")</f>
        <v>-9.9999999656574801E-4</v>
      </c>
      <c r="S958" s="93">
        <f>IFERROR(IF(Readings[[#This Row],[Reference Angle]]="-","-",(Readings[[#This Row],[Diff E]]*SIN(RADIANS(Readings[[#This Row],[Reference Angle]]))+Readings[[#This Row],[Diff N]]*COS(RADIANS(Readings[[#This Row],[Reference Angle]])))),"-")</f>
        <v>-2.0000000367872417E-3</v>
      </c>
      <c r="T958" s="94">
        <f>IFERROR(VLOOKUP(Readings[[#This Row],[Sensor ID]],Table_Baseline[],COLUMNS(Table_Baseline[[#Headers],[Sensor ID]:[Reference Angle '[Deg']]]),FALSE),"-")</f>
        <v>0</v>
      </c>
      <c r="U958" s="95" t="str">
        <f>Readings[[#This Row],[Sensor ID]]&amp;"-"&amp;Readings[[#This Row],[Epoch]]</f>
        <v>250-RL-OP-11001-45841.2430555556</v>
      </c>
      <c r="V958" s="99">
        <f ca="1">IF(Readings[[#This Row],[Epoch]]=OFFSET(Readings[[#This Row],[Epoch]],-1,0),0,1)</f>
        <v>0</v>
      </c>
    </row>
    <row r="959" spans="4:22" x14ac:dyDescent="0.2">
      <c r="D959" s="32">
        <v>45841.243055555555</v>
      </c>
      <c r="E959" s="33" t="s">
        <v>171</v>
      </c>
      <c r="F959" s="34">
        <v>60034.959000000003</v>
      </c>
      <c r="G959" s="34">
        <v>363844.47</v>
      </c>
      <c r="H959" s="34">
        <v>18.777999999999999</v>
      </c>
      <c r="I959" s="151" t="s">
        <v>85</v>
      </c>
      <c r="J959" s="151" t="s">
        <v>90</v>
      </c>
      <c r="K959" s="33">
        <v>12.8</v>
      </c>
      <c r="L959" s="33">
        <v>1010.6</v>
      </c>
      <c r="M959" s="33">
        <v>52</v>
      </c>
      <c r="N959" s="33"/>
      <c r="O959" s="93">
        <f>IFERROR(IF(Readings[[#This Row],[Obs. X]]="","-",Readings[[#This Row],[Obs. X]]-_xlfn.XLOOKUP(Readings[[#This Row],[Sensor ID]],Table_Baseline[Sensor ID],Table_Baseline[Easting '[m']],"-")),"-")</f>
        <v>0</v>
      </c>
      <c r="P959" s="93">
        <f>IFERROR(IF(Readings[[#This Row],[Obs. Y]]="","-",Readings[[#This Row],[Obs. Y]]-_xlfn.XLOOKUP(Readings[[#This Row],[Sensor ID]],Table_Baseline[Sensor ID],Table_Baseline[Northing '[m']],"-")),"-")</f>
        <v>-1.0000000474974513E-3</v>
      </c>
      <c r="Q959" s="93">
        <f>IFERROR(IF(Readings[[#This Row],[Obs. Z]]="","-",Readings[[#This Row],[Obs. Z]]-_xlfn.XLOOKUP(Readings[[#This Row],[Sensor ID]],Table_Baseline[Sensor ID],Table_Baseline[Level '[m']],"-")),"-")</f>
        <v>-9.9999999999766942E-5</v>
      </c>
      <c r="R959" s="93">
        <f>IFERROR(IF(Readings[[#This Row],[Reference Angle]]="-","-",(Readings[[#This Row],[Diff E]]*COS(RADIANS(Readings[[#This Row],[Reference Angle]]))-Readings[[#This Row],[Diff N]]*SIN(RADIANS(Readings[[#This Row],[Reference Angle]])))),"-")</f>
        <v>0</v>
      </c>
      <c r="S959" s="93">
        <f>IFERROR(IF(Readings[[#This Row],[Reference Angle]]="-","-",(Readings[[#This Row],[Diff E]]*SIN(RADIANS(Readings[[#This Row],[Reference Angle]]))+Readings[[#This Row],[Diff N]]*COS(RADIANS(Readings[[#This Row],[Reference Angle]])))),"-")</f>
        <v>-1.0000000474974513E-3</v>
      </c>
      <c r="T959" s="94">
        <f>IFERROR(VLOOKUP(Readings[[#This Row],[Sensor ID]],Table_Baseline[],COLUMNS(Table_Baseline[[#Headers],[Sensor ID]:[Reference Angle '[Deg']]]),FALSE),"-")</f>
        <v>0</v>
      </c>
      <c r="U959" s="95" t="str">
        <f>Readings[[#This Row],[Sensor ID]]&amp;"-"&amp;Readings[[#This Row],[Epoch]]</f>
        <v>250-RL-OP-11002-45841.2430555556</v>
      </c>
      <c r="V959" s="99">
        <f ca="1">IF(Readings[[#This Row],[Epoch]]=OFFSET(Readings[[#This Row],[Epoch]],-1,0),0,1)</f>
        <v>0</v>
      </c>
    </row>
    <row r="960" spans="4:22" x14ac:dyDescent="0.2">
      <c r="D960" s="32">
        <v>45841.243055555555</v>
      </c>
      <c r="E960" s="33" t="s">
        <v>174</v>
      </c>
      <c r="F960" s="34">
        <v>60038.116999999998</v>
      </c>
      <c r="G960" s="34">
        <v>363844.94400000002</v>
      </c>
      <c r="H960" s="34">
        <v>18.777999999999999</v>
      </c>
      <c r="I960" s="151" t="s">
        <v>85</v>
      </c>
      <c r="J960" s="151" t="s">
        <v>90</v>
      </c>
      <c r="K960" s="33">
        <v>12.8</v>
      </c>
      <c r="L960" s="33">
        <v>1010.6</v>
      </c>
      <c r="M960" s="33">
        <v>52</v>
      </c>
      <c r="N960" s="33"/>
      <c r="O960" s="93">
        <f>IFERROR(IF(Readings[[#This Row],[Obs. X]]="","-",Readings[[#This Row],[Obs. X]]-_xlfn.XLOOKUP(Readings[[#This Row],[Sensor ID]],Table_Baseline[Sensor ID],Table_Baseline[Easting '[m']],"-")),"-")</f>
        <v>-1.0000000038417056E-3</v>
      </c>
      <c r="P960" s="93">
        <f>IFERROR(IF(Readings[[#This Row],[Obs. Y]]="","-",Readings[[#This Row],[Obs. Y]]-_xlfn.XLOOKUP(Readings[[#This Row],[Sensor ID]],Table_Baseline[Sensor ID],Table_Baseline[Northing '[m']],"-")),"-")</f>
        <v>-9.9999998928979039E-4</v>
      </c>
      <c r="Q960" s="93">
        <f>IFERROR(IF(Readings[[#This Row],[Obs. Z]]="","-",Readings[[#This Row],[Obs. Z]]-_xlfn.XLOOKUP(Readings[[#This Row],[Sensor ID]],Table_Baseline[Sensor ID],Table_Baseline[Level '[m']],"-")),"-")</f>
        <v>-8.0000000000168825E-4</v>
      </c>
      <c r="R960" s="93">
        <f>IFERROR(IF(Readings[[#This Row],[Reference Angle]]="-","-",(Readings[[#This Row],[Diff E]]*COS(RADIANS(Readings[[#This Row],[Reference Angle]]))-Readings[[#This Row],[Diff N]]*SIN(RADIANS(Readings[[#This Row],[Reference Angle]])))),"-")</f>
        <v>-1.0000000038417056E-3</v>
      </c>
      <c r="S960" s="93">
        <f>IFERROR(IF(Readings[[#This Row],[Reference Angle]]="-","-",(Readings[[#This Row],[Diff E]]*SIN(RADIANS(Readings[[#This Row],[Reference Angle]]))+Readings[[#This Row],[Diff N]]*COS(RADIANS(Readings[[#This Row],[Reference Angle]])))),"-")</f>
        <v>-9.9999998928979039E-4</v>
      </c>
      <c r="T960" s="94">
        <f>IFERROR(VLOOKUP(Readings[[#This Row],[Sensor ID]],Table_Baseline[],COLUMNS(Table_Baseline[[#Headers],[Sensor ID]:[Reference Angle '[Deg']]]),FALSE),"-")</f>
        <v>0</v>
      </c>
      <c r="U960" s="95" t="str">
        <f>Readings[[#This Row],[Sensor ID]]&amp;"-"&amp;Readings[[#This Row],[Epoch]]</f>
        <v>250-RL-OP-11003-45841.2430555556</v>
      </c>
      <c r="V960" s="99">
        <f ca="1">IF(Readings[[#This Row],[Epoch]]=OFFSET(Readings[[#This Row],[Epoch]],-1,0),0,1)</f>
        <v>0</v>
      </c>
    </row>
    <row r="961" spans="4:22" x14ac:dyDescent="0.2">
      <c r="D961" s="32">
        <v>45841.243055555555</v>
      </c>
      <c r="E961" s="33" t="s">
        <v>173</v>
      </c>
      <c r="F961" s="34">
        <v>60037.803999999996</v>
      </c>
      <c r="G961" s="34">
        <v>363843.65700000001</v>
      </c>
      <c r="H961" s="34">
        <v>18.777999999999999</v>
      </c>
      <c r="I961" s="151" t="s">
        <v>85</v>
      </c>
      <c r="J961" s="151" t="s">
        <v>90</v>
      </c>
      <c r="K961" s="33">
        <v>12.8</v>
      </c>
      <c r="L961" s="33">
        <v>1010.6</v>
      </c>
      <c r="M961" s="33">
        <v>52</v>
      </c>
      <c r="N961" s="33"/>
      <c r="O961" s="93">
        <f>IFERROR(IF(Readings[[#This Row],[Obs. X]]="","-",Readings[[#This Row],[Obs. X]]-_xlfn.XLOOKUP(Readings[[#This Row],[Sensor ID]],Table_Baseline[Sensor ID],Table_Baseline[Easting '[m']],"-")),"-")</f>
        <v>-1.0000000038417056E-3</v>
      </c>
      <c r="P961" s="93">
        <f>IFERROR(IF(Readings[[#This Row],[Obs. Y]]="","-",Readings[[#This Row],[Obs. Y]]-_xlfn.XLOOKUP(Readings[[#This Row],[Sensor ID]],Table_Baseline[Sensor ID],Table_Baseline[Northing '[m']],"-")),"-")</f>
        <v>0</v>
      </c>
      <c r="Q961" s="93">
        <f>IFERROR(IF(Readings[[#This Row],[Obs. Z]]="","-",Readings[[#This Row],[Obs. Z]]-_xlfn.XLOOKUP(Readings[[#This Row],[Sensor ID]],Table_Baseline[Sensor ID],Table_Baseline[Level '[m']],"-")),"-")</f>
        <v>-5.0000000000238742E-4</v>
      </c>
      <c r="R961" s="93">
        <f>IFERROR(IF(Readings[[#This Row],[Reference Angle]]="-","-",(Readings[[#This Row],[Diff E]]*COS(RADIANS(Readings[[#This Row],[Reference Angle]]))-Readings[[#This Row],[Diff N]]*SIN(RADIANS(Readings[[#This Row],[Reference Angle]])))),"-")</f>
        <v>-1.0000000038417056E-3</v>
      </c>
      <c r="S961" s="93">
        <f>IFERROR(IF(Readings[[#This Row],[Reference Angle]]="-","-",(Readings[[#This Row],[Diff E]]*SIN(RADIANS(Readings[[#This Row],[Reference Angle]]))+Readings[[#This Row],[Diff N]]*COS(RADIANS(Readings[[#This Row],[Reference Angle]])))),"-")</f>
        <v>0</v>
      </c>
      <c r="T961" s="94">
        <f>IFERROR(VLOOKUP(Readings[[#This Row],[Sensor ID]],Table_Baseline[],COLUMNS(Table_Baseline[[#Headers],[Sensor ID]:[Reference Angle '[Deg']]]),FALSE),"-")</f>
        <v>0</v>
      </c>
      <c r="U961" s="95" t="str">
        <f>Readings[[#This Row],[Sensor ID]]&amp;"-"&amp;Readings[[#This Row],[Epoch]]</f>
        <v>250-RL-OP-11004-45841.2430555556</v>
      </c>
      <c r="V961" s="99">
        <f ca="1">IF(Readings[[#This Row],[Epoch]]=OFFSET(Readings[[#This Row],[Epoch]],-1,0),0,1)</f>
        <v>0</v>
      </c>
    </row>
    <row r="962" spans="4:22" x14ac:dyDescent="0.2">
      <c r="D962" s="32">
        <v>45841.243055555555</v>
      </c>
      <c r="E962" s="33" t="s">
        <v>176</v>
      </c>
      <c r="F962" s="34">
        <v>60040.968000000001</v>
      </c>
      <c r="G962" s="34">
        <v>363844.11800000002</v>
      </c>
      <c r="H962" s="34">
        <v>18.779</v>
      </c>
      <c r="I962" s="151" t="s">
        <v>85</v>
      </c>
      <c r="J962" s="151" t="s">
        <v>90</v>
      </c>
      <c r="K962" s="33">
        <v>12.8</v>
      </c>
      <c r="L962" s="33">
        <v>1010.6</v>
      </c>
      <c r="M962" s="33">
        <v>52</v>
      </c>
      <c r="N962" s="33"/>
      <c r="O962" s="93">
        <f>IFERROR(IF(Readings[[#This Row],[Obs. X]]="","-",Readings[[#This Row],[Obs. X]]-_xlfn.XLOOKUP(Readings[[#This Row],[Sensor ID]],Table_Baseline[Sensor ID],Table_Baseline[Easting '[m']],"-")),"-")</f>
        <v>-9.9999999656574801E-4</v>
      </c>
      <c r="P962" s="93">
        <f>IFERROR(IF(Readings[[#This Row],[Obs. Y]]="","-",Readings[[#This Row],[Obs. Y]]-_xlfn.XLOOKUP(Readings[[#This Row],[Sensor ID]],Table_Baseline[Sensor ID],Table_Baseline[Northing '[m']],"-")),"-")</f>
        <v>0</v>
      </c>
      <c r="Q962" s="93">
        <f>IFERROR(IF(Readings[[#This Row],[Obs. Z]]="","-",Readings[[#This Row],[Obs. Z]]-_xlfn.XLOOKUP(Readings[[#This Row],[Sensor ID]],Table_Baseline[Sensor ID],Table_Baseline[Level '[m']],"-")),"-")</f>
        <v>0</v>
      </c>
      <c r="R962" s="93">
        <f>IFERROR(IF(Readings[[#This Row],[Reference Angle]]="-","-",(Readings[[#This Row],[Diff E]]*COS(RADIANS(Readings[[#This Row],[Reference Angle]]))-Readings[[#This Row],[Diff N]]*SIN(RADIANS(Readings[[#This Row],[Reference Angle]])))),"-")</f>
        <v>-9.9999999656574801E-4</v>
      </c>
      <c r="S962" s="93">
        <f>IFERROR(IF(Readings[[#This Row],[Reference Angle]]="-","-",(Readings[[#This Row],[Diff E]]*SIN(RADIANS(Readings[[#This Row],[Reference Angle]]))+Readings[[#This Row],[Diff N]]*COS(RADIANS(Readings[[#This Row],[Reference Angle]])))),"-")</f>
        <v>0</v>
      </c>
      <c r="T962" s="94">
        <f>IFERROR(VLOOKUP(Readings[[#This Row],[Sensor ID]],Table_Baseline[],COLUMNS(Table_Baseline[[#Headers],[Sensor ID]:[Reference Angle '[Deg']]]),FALSE),"-")</f>
        <v>0</v>
      </c>
      <c r="U962" s="95" t="str">
        <f>Readings[[#This Row],[Sensor ID]]&amp;"-"&amp;Readings[[#This Row],[Epoch]]</f>
        <v>250-RL-OP-11005-45841.2430555556</v>
      </c>
      <c r="V962" s="99">
        <f ca="1">IF(Readings[[#This Row],[Epoch]]=OFFSET(Readings[[#This Row],[Epoch]],-1,0),0,1)</f>
        <v>0</v>
      </c>
    </row>
    <row r="963" spans="4:22" x14ac:dyDescent="0.2">
      <c r="D963" s="32">
        <v>45841.243055555555</v>
      </c>
      <c r="E963" s="33" t="s">
        <v>175</v>
      </c>
      <c r="F963" s="34">
        <v>60040.606</v>
      </c>
      <c r="G963" s="34">
        <v>363842.86100000003</v>
      </c>
      <c r="H963" s="34">
        <v>18.771999999999998</v>
      </c>
      <c r="I963" s="151" t="s">
        <v>85</v>
      </c>
      <c r="J963" s="151" t="s">
        <v>90</v>
      </c>
      <c r="K963" s="33">
        <v>12.8</v>
      </c>
      <c r="L963" s="33">
        <v>1010.6</v>
      </c>
      <c r="M963" s="33">
        <v>52</v>
      </c>
      <c r="N963" s="33"/>
      <c r="O963" s="93">
        <f>IFERROR(IF(Readings[[#This Row],[Obs. X]]="","-",Readings[[#This Row],[Obs. X]]-_xlfn.XLOOKUP(Readings[[#This Row],[Sensor ID]],Table_Baseline[Sensor ID],Table_Baseline[Easting '[m']],"-")),"-")</f>
        <v>-1.0000000038417056E-3</v>
      </c>
      <c r="P963" s="93">
        <f>IFERROR(IF(Readings[[#This Row],[Obs. Y]]="","-",Readings[[#This Row],[Obs. Y]]-_xlfn.XLOOKUP(Readings[[#This Row],[Sensor ID]],Table_Baseline[Sensor ID],Table_Baseline[Northing '[m']],"-")),"-")</f>
        <v>0</v>
      </c>
      <c r="Q963" s="93">
        <f>IFERROR(IF(Readings[[#This Row],[Obs. Z]]="","-",Readings[[#This Row],[Obs. Z]]-_xlfn.XLOOKUP(Readings[[#This Row],[Sensor ID]],Table_Baseline[Sensor ID],Table_Baseline[Level '[m']],"-")),"-")</f>
        <v>0</v>
      </c>
      <c r="R963" s="93">
        <f>IFERROR(IF(Readings[[#This Row],[Reference Angle]]="-","-",(Readings[[#This Row],[Diff E]]*COS(RADIANS(Readings[[#This Row],[Reference Angle]]))-Readings[[#This Row],[Diff N]]*SIN(RADIANS(Readings[[#This Row],[Reference Angle]])))),"-")</f>
        <v>-1.0000000038417056E-3</v>
      </c>
      <c r="S963" s="93">
        <f>IFERROR(IF(Readings[[#This Row],[Reference Angle]]="-","-",(Readings[[#This Row],[Diff E]]*SIN(RADIANS(Readings[[#This Row],[Reference Angle]]))+Readings[[#This Row],[Diff N]]*COS(RADIANS(Readings[[#This Row],[Reference Angle]])))),"-")</f>
        <v>0</v>
      </c>
      <c r="T963" s="94">
        <f>IFERROR(VLOOKUP(Readings[[#This Row],[Sensor ID]],Table_Baseline[],COLUMNS(Table_Baseline[[#Headers],[Sensor ID]:[Reference Angle '[Deg']]]),FALSE),"-")</f>
        <v>0</v>
      </c>
      <c r="U963" s="95" t="str">
        <f>Readings[[#This Row],[Sensor ID]]&amp;"-"&amp;Readings[[#This Row],[Epoch]]</f>
        <v>250-RL-OP-11006-45841.2430555556</v>
      </c>
      <c r="V963" s="99">
        <f ca="1">IF(Readings[[#This Row],[Epoch]]=OFFSET(Readings[[#This Row],[Epoch]],-1,0),0,1)</f>
        <v>0</v>
      </c>
    </row>
    <row r="964" spans="4:22" x14ac:dyDescent="0.2">
      <c r="D964" s="32">
        <v>45841.243055555555</v>
      </c>
      <c r="E964" s="33" t="s">
        <v>178</v>
      </c>
      <c r="F964" s="34">
        <v>60043.758000000002</v>
      </c>
      <c r="G964" s="34">
        <v>363843.315</v>
      </c>
      <c r="H964" s="34">
        <v>18.774000000000001</v>
      </c>
      <c r="I964" s="151" t="s">
        <v>85</v>
      </c>
      <c r="J964" s="151" t="s">
        <v>90</v>
      </c>
      <c r="K964" s="33">
        <v>12.8</v>
      </c>
      <c r="L964" s="33">
        <v>1010.6</v>
      </c>
      <c r="M964" s="33">
        <v>52</v>
      </c>
      <c r="N964" s="33"/>
      <c r="O964" s="93">
        <f>IFERROR(IF(Readings[[#This Row],[Obs. X]]="","-",Readings[[#This Row],[Obs. X]]-_xlfn.XLOOKUP(Readings[[#This Row],[Sensor ID]],Table_Baseline[Sensor ID],Table_Baseline[Easting '[m']],"-")),"-")</f>
        <v>-9.9999999656574801E-4</v>
      </c>
      <c r="P964" s="93">
        <f>IFERROR(IF(Readings[[#This Row],[Obs. Y]]="","-",Readings[[#This Row],[Obs. Y]]-_xlfn.XLOOKUP(Readings[[#This Row],[Sensor ID]],Table_Baseline[Sensor ID],Table_Baseline[Northing '[m']],"-")),"-")</f>
        <v>9.9999998928979039E-4</v>
      </c>
      <c r="Q964" s="93">
        <f>IFERROR(IF(Readings[[#This Row],[Obs. Z]]="","-",Readings[[#This Row],[Obs. Z]]-_xlfn.XLOOKUP(Readings[[#This Row],[Sensor ID]],Table_Baseline[Sensor ID],Table_Baseline[Level '[m']],"-")),"-")</f>
        <v>-9.9999999999766942E-5</v>
      </c>
      <c r="R964" s="93">
        <f>IFERROR(IF(Readings[[#This Row],[Reference Angle]]="-","-",(Readings[[#This Row],[Diff E]]*COS(RADIANS(Readings[[#This Row],[Reference Angle]]))-Readings[[#This Row],[Diff N]]*SIN(RADIANS(Readings[[#This Row],[Reference Angle]])))),"-")</f>
        <v>-9.9999999656574801E-4</v>
      </c>
      <c r="S964" s="93">
        <f>IFERROR(IF(Readings[[#This Row],[Reference Angle]]="-","-",(Readings[[#This Row],[Diff E]]*SIN(RADIANS(Readings[[#This Row],[Reference Angle]]))+Readings[[#This Row],[Diff N]]*COS(RADIANS(Readings[[#This Row],[Reference Angle]])))),"-")</f>
        <v>9.9999998928979039E-4</v>
      </c>
      <c r="T964" s="94">
        <f>IFERROR(VLOOKUP(Readings[[#This Row],[Sensor ID]],Table_Baseline[],COLUMNS(Table_Baseline[[#Headers],[Sensor ID]:[Reference Angle '[Deg']]]),FALSE),"-")</f>
        <v>0</v>
      </c>
      <c r="U964" s="95" t="str">
        <f>Readings[[#This Row],[Sensor ID]]&amp;"-"&amp;Readings[[#This Row],[Epoch]]</f>
        <v>250-RL-OP-11007-45841.2430555556</v>
      </c>
      <c r="V964" s="99">
        <f ca="1">IF(Readings[[#This Row],[Epoch]]=OFFSET(Readings[[#This Row],[Epoch]],-1,0),0,1)</f>
        <v>0</v>
      </c>
    </row>
    <row r="965" spans="4:22" x14ac:dyDescent="0.2">
      <c r="D965" s="32">
        <v>45841.243055555555</v>
      </c>
      <c r="E965" s="33" t="s">
        <v>177</v>
      </c>
      <c r="F965" s="34">
        <v>60043.440999999999</v>
      </c>
      <c r="G965" s="34">
        <v>363842.04099999997</v>
      </c>
      <c r="H965" s="34">
        <v>18.768999999999998</v>
      </c>
      <c r="I965" s="151" t="s">
        <v>85</v>
      </c>
      <c r="J965" s="151" t="s">
        <v>90</v>
      </c>
      <c r="K965" s="33">
        <v>12.8</v>
      </c>
      <c r="L965" s="33">
        <v>1010.6</v>
      </c>
      <c r="M965" s="33">
        <v>52</v>
      </c>
      <c r="N965" s="33"/>
      <c r="O965" s="93">
        <f>IFERROR(IF(Readings[[#This Row],[Obs. X]]="","-",Readings[[#This Row],[Obs. X]]-_xlfn.XLOOKUP(Readings[[#This Row],[Sensor ID]],Table_Baseline[Sensor ID],Table_Baseline[Easting '[m']],"-")),"-")</f>
        <v>0</v>
      </c>
      <c r="P965" s="93">
        <f>IFERROR(IF(Readings[[#This Row],[Obs. Y]]="","-",Readings[[#This Row],[Obs. Y]]-_xlfn.XLOOKUP(Readings[[#This Row],[Sensor ID]],Table_Baseline[Sensor ID],Table_Baseline[Northing '[m']],"-")),"-")</f>
        <v>9.9999993108212948E-4</v>
      </c>
      <c r="Q965" s="93">
        <f>IFERROR(IF(Readings[[#This Row],[Obs. Z]]="","-",Readings[[#This Row],[Obs. Z]]-_xlfn.XLOOKUP(Readings[[#This Row],[Sensor ID]],Table_Baseline[Sensor ID],Table_Baseline[Level '[m']],"-")),"-")</f>
        <v>6.9999999999836859E-4</v>
      </c>
      <c r="R965" s="93">
        <f>IFERROR(IF(Readings[[#This Row],[Reference Angle]]="-","-",(Readings[[#This Row],[Diff E]]*COS(RADIANS(Readings[[#This Row],[Reference Angle]]))-Readings[[#This Row],[Diff N]]*SIN(RADIANS(Readings[[#This Row],[Reference Angle]])))),"-")</f>
        <v>0</v>
      </c>
      <c r="S965" s="93">
        <f>IFERROR(IF(Readings[[#This Row],[Reference Angle]]="-","-",(Readings[[#This Row],[Diff E]]*SIN(RADIANS(Readings[[#This Row],[Reference Angle]]))+Readings[[#This Row],[Diff N]]*COS(RADIANS(Readings[[#This Row],[Reference Angle]])))),"-")</f>
        <v>9.9999993108212948E-4</v>
      </c>
      <c r="T965" s="94">
        <f>IFERROR(VLOOKUP(Readings[[#This Row],[Sensor ID]],Table_Baseline[],COLUMNS(Table_Baseline[[#Headers],[Sensor ID]:[Reference Angle '[Deg']]]),FALSE),"-")</f>
        <v>0</v>
      </c>
      <c r="U965" s="95" t="str">
        <f>Readings[[#This Row],[Sensor ID]]&amp;"-"&amp;Readings[[#This Row],[Epoch]]</f>
        <v>250-RL-OP-11008-45841.2430555556</v>
      </c>
      <c r="V965" s="99">
        <f ca="1">IF(Readings[[#This Row],[Epoch]]=OFFSET(Readings[[#This Row],[Epoch]],-1,0),0,1)</f>
        <v>0</v>
      </c>
    </row>
    <row r="966" spans="4:22" x14ac:dyDescent="0.2">
      <c r="D966" s="32">
        <v>45841.243055555555</v>
      </c>
      <c r="E966" s="33" t="s">
        <v>180</v>
      </c>
      <c r="F966" s="34">
        <v>60046.633000000002</v>
      </c>
      <c r="G966" s="34">
        <v>363842.48600000003</v>
      </c>
      <c r="H966" s="34">
        <v>18.777000000000001</v>
      </c>
      <c r="I966" s="151" t="s">
        <v>85</v>
      </c>
      <c r="J966" s="151" t="s">
        <v>90</v>
      </c>
      <c r="K966" s="33">
        <v>12.8</v>
      </c>
      <c r="L966" s="33">
        <v>1010.6</v>
      </c>
      <c r="M966" s="33">
        <v>52</v>
      </c>
      <c r="N966" s="33"/>
      <c r="O966" s="93">
        <f>IFERROR(IF(Readings[[#This Row],[Obs. X]]="","-",Readings[[#This Row],[Obs. X]]-_xlfn.XLOOKUP(Readings[[#This Row],[Sensor ID]],Table_Baseline[Sensor ID],Table_Baseline[Easting '[m']],"-")),"-")</f>
        <v>0</v>
      </c>
      <c r="P966" s="93">
        <f>IFERROR(IF(Readings[[#This Row],[Obs. Y]]="","-",Readings[[#This Row],[Obs. Y]]-_xlfn.XLOOKUP(Readings[[#This Row],[Sensor ID]],Table_Baseline[Sensor ID],Table_Baseline[Northing '[m']],"-")),"-")</f>
        <v>1.0000000474974513E-3</v>
      </c>
      <c r="Q966" s="93">
        <f>IFERROR(IF(Readings[[#This Row],[Obs. Z]]="","-",Readings[[#This Row],[Obs. Z]]-_xlfn.XLOOKUP(Readings[[#This Row],[Sensor ID]],Table_Baseline[Sensor ID],Table_Baseline[Level '[m']],"-")),"-")</f>
        <v>-5.9999999999860165E-4</v>
      </c>
      <c r="R966" s="93">
        <f>IFERROR(IF(Readings[[#This Row],[Reference Angle]]="-","-",(Readings[[#This Row],[Diff E]]*COS(RADIANS(Readings[[#This Row],[Reference Angle]]))-Readings[[#This Row],[Diff N]]*SIN(RADIANS(Readings[[#This Row],[Reference Angle]])))),"-")</f>
        <v>0</v>
      </c>
      <c r="S966" s="93">
        <f>IFERROR(IF(Readings[[#This Row],[Reference Angle]]="-","-",(Readings[[#This Row],[Diff E]]*SIN(RADIANS(Readings[[#This Row],[Reference Angle]]))+Readings[[#This Row],[Diff N]]*COS(RADIANS(Readings[[#This Row],[Reference Angle]])))),"-")</f>
        <v>1.0000000474974513E-3</v>
      </c>
      <c r="T966" s="94">
        <f>IFERROR(VLOOKUP(Readings[[#This Row],[Sensor ID]],Table_Baseline[],COLUMNS(Table_Baseline[[#Headers],[Sensor ID]:[Reference Angle '[Deg']]]),FALSE),"-")</f>
        <v>0</v>
      </c>
      <c r="U966" s="95" t="str">
        <f>Readings[[#This Row],[Sensor ID]]&amp;"-"&amp;Readings[[#This Row],[Epoch]]</f>
        <v>250-RL-OP-11009-45841.2430555556</v>
      </c>
      <c r="V966" s="99">
        <f ca="1">IF(Readings[[#This Row],[Epoch]]=OFFSET(Readings[[#This Row],[Epoch]],-1,0),0,1)</f>
        <v>0</v>
      </c>
    </row>
    <row r="967" spans="4:22" x14ac:dyDescent="0.2">
      <c r="D967" s="32">
        <v>45841.243055555555</v>
      </c>
      <c r="E967" s="33" t="s">
        <v>179</v>
      </c>
      <c r="F967" s="34">
        <v>60046.25</v>
      </c>
      <c r="G967" s="34">
        <v>363841.22700000001</v>
      </c>
      <c r="H967" s="34">
        <v>18.77</v>
      </c>
      <c r="I967" s="151" t="s">
        <v>85</v>
      </c>
      <c r="J967" s="151" t="s">
        <v>90</v>
      </c>
      <c r="K967" s="33">
        <v>12.8</v>
      </c>
      <c r="L967" s="33">
        <v>1010.6</v>
      </c>
      <c r="M967" s="33">
        <v>52</v>
      </c>
      <c r="N967" s="33"/>
      <c r="O967" s="93">
        <f>IFERROR(IF(Readings[[#This Row],[Obs. X]]="","-",Readings[[#This Row],[Obs. X]]-_xlfn.XLOOKUP(Readings[[#This Row],[Sensor ID]],Table_Baseline[Sensor ID],Table_Baseline[Easting '[m']],"-")),"-")</f>
        <v>0</v>
      </c>
      <c r="P967" s="93">
        <f>IFERROR(IF(Readings[[#This Row],[Obs. Y]]="","-",Readings[[#This Row],[Obs. Y]]-_xlfn.XLOOKUP(Readings[[#This Row],[Sensor ID]],Table_Baseline[Sensor ID],Table_Baseline[Northing '[m']],"-")),"-")</f>
        <v>9.9999998928979039E-4</v>
      </c>
      <c r="Q967" s="93">
        <f>IFERROR(IF(Readings[[#This Row],[Obs. Z]]="","-",Readings[[#This Row],[Obs. Z]]-_xlfn.XLOOKUP(Readings[[#This Row],[Sensor ID]],Table_Baseline[Sensor ID],Table_Baseline[Level '[m']],"-")),"-")</f>
        <v>1.9999999999953388E-4</v>
      </c>
      <c r="R967" s="93">
        <f>IFERROR(IF(Readings[[#This Row],[Reference Angle]]="-","-",(Readings[[#This Row],[Diff E]]*COS(RADIANS(Readings[[#This Row],[Reference Angle]]))-Readings[[#This Row],[Diff N]]*SIN(RADIANS(Readings[[#This Row],[Reference Angle]])))),"-")</f>
        <v>0</v>
      </c>
      <c r="S967" s="93">
        <f>IFERROR(IF(Readings[[#This Row],[Reference Angle]]="-","-",(Readings[[#This Row],[Diff E]]*SIN(RADIANS(Readings[[#This Row],[Reference Angle]]))+Readings[[#This Row],[Diff N]]*COS(RADIANS(Readings[[#This Row],[Reference Angle]])))),"-")</f>
        <v>9.9999998928979039E-4</v>
      </c>
      <c r="T967" s="94">
        <f>IFERROR(VLOOKUP(Readings[[#This Row],[Sensor ID]],Table_Baseline[],COLUMNS(Table_Baseline[[#Headers],[Sensor ID]:[Reference Angle '[Deg']]]),FALSE),"-")</f>
        <v>0</v>
      </c>
      <c r="U967" s="95" t="str">
        <f>Readings[[#This Row],[Sensor ID]]&amp;"-"&amp;Readings[[#This Row],[Epoch]]</f>
        <v>250-RL-OP-11010-45841.2430555556</v>
      </c>
      <c r="V967" s="99">
        <f ca="1">IF(Readings[[#This Row],[Epoch]]=OFFSET(Readings[[#This Row],[Epoch]],-1,0),0,1)</f>
        <v>0</v>
      </c>
    </row>
    <row r="968" spans="4:22" x14ac:dyDescent="0.2">
      <c r="D968" s="32">
        <v>45841.243055555555</v>
      </c>
      <c r="E968" s="33" t="s">
        <v>182</v>
      </c>
      <c r="F968" s="34">
        <v>60049.398999999998</v>
      </c>
      <c r="G968" s="34">
        <v>363841.7</v>
      </c>
      <c r="H968" s="34">
        <v>18.777999999999999</v>
      </c>
      <c r="I968" s="151" t="s">
        <v>85</v>
      </c>
      <c r="J968" s="151" t="s">
        <v>90</v>
      </c>
      <c r="K968" s="33">
        <v>12.8</v>
      </c>
      <c r="L968" s="33">
        <v>1010.6</v>
      </c>
      <c r="M968" s="33">
        <v>52</v>
      </c>
      <c r="N968" s="33"/>
      <c r="O968" s="93">
        <f>IFERROR(IF(Readings[[#This Row],[Obs. X]]="","-",Readings[[#This Row],[Obs. X]]-_xlfn.XLOOKUP(Readings[[#This Row],[Sensor ID]],Table_Baseline[Sensor ID],Table_Baseline[Easting '[m']],"-")),"-")</f>
        <v>0</v>
      </c>
      <c r="P968" s="93">
        <f>IFERROR(IF(Readings[[#This Row],[Obs. Y]]="","-",Readings[[#This Row],[Obs. Y]]-_xlfn.XLOOKUP(Readings[[#This Row],[Sensor ID]],Table_Baseline[Sensor ID],Table_Baseline[Northing '[m']],"-")),"-")</f>
        <v>2.0000000367872417E-3</v>
      </c>
      <c r="Q968" s="93">
        <f>IFERROR(IF(Readings[[#This Row],[Obs. Z]]="","-",Readings[[#This Row],[Obs. Z]]-_xlfn.XLOOKUP(Readings[[#This Row],[Sensor ID]],Table_Baseline[Sensor ID],Table_Baseline[Level '[m']],"-")),"-")</f>
        <v>0</v>
      </c>
      <c r="R968" s="93">
        <f>IFERROR(IF(Readings[[#This Row],[Reference Angle]]="-","-",(Readings[[#This Row],[Diff E]]*COS(RADIANS(Readings[[#This Row],[Reference Angle]]))-Readings[[#This Row],[Diff N]]*SIN(RADIANS(Readings[[#This Row],[Reference Angle]])))),"-")</f>
        <v>0</v>
      </c>
      <c r="S968" s="93">
        <f>IFERROR(IF(Readings[[#This Row],[Reference Angle]]="-","-",(Readings[[#This Row],[Diff E]]*SIN(RADIANS(Readings[[#This Row],[Reference Angle]]))+Readings[[#This Row],[Diff N]]*COS(RADIANS(Readings[[#This Row],[Reference Angle]])))),"-")</f>
        <v>2.0000000367872417E-3</v>
      </c>
      <c r="T968" s="94">
        <f>IFERROR(VLOOKUP(Readings[[#This Row],[Sensor ID]],Table_Baseline[],COLUMNS(Table_Baseline[[#Headers],[Sensor ID]:[Reference Angle '[Deg']]]),FALSE),"-")</f>
        <v>0</v>
      </c>
      <c r="U968" s="95" t="str">
        <f>Readings[[#This Row],[Sensor ID]]&amp;"-"&amp;Readings[[#This Row],[Epoch]]</f>
        <v>250-RL-OP-11011-45841.2430555556</v>
      </c>
      <c r="V968" s="99">
        <f ca="1">IF(Readings[[#This Row],[Epoch]]=OFFSET(Readings[[#This Row],[Epoch]],-1,0),0,1)</f>
        <v>0</v>
      </c>
    </row>
    <row r="969" spans="4:22" x14ac:dyDescent="0.2">
      <c r="D969" s="32">
        <v>45841.243055555555</v>
      </c>
      <c r="E969" s="33" t="s">
        <v>181</v>
      </c>
      <c r="F969" s="34">
        <v>60049.040999999997</v>
      </c>
      <c r="G969" s="34">
        <v>363840.43599999999</v>
      </c>
      <c r="H969" s="34">
        <v>18.771000000000001</v>
      </c>
      <c r="I969" s="151" t="s">
        <v>85</v>
      </c>
      <c r="J969" s="151" t="s">
        <v>90</v>
      </c>
      <c r="K969" s="33">
        <v>12.8</v>
      </c>
      <c r="L969" s="33">
        <v>1010.6</v>
      </c>
      <c r="M969" s="33">
        <v>52</v>
      </c>
      <c r="N969" s="33"/>
      <c r="O969" s="93">
        <f>IFERROR(IF(Readings[[#This Row],[Obs. X]]="","-",Readings[[#This Row],[Obs. X]]-_xlfn.XLOOKUP(Readings[[#This Row],[Sensor ID]],Table_Baseline[Sensor ID],Table_Baseline[Easting '[m']],"-")),"-")</f>
        <v>0</v>
      </c>
      <c r="P969" s="93">
        <f>IFERROR(IF(Readings[[#This Row],[Obs. Y]]="","-",Readings[[#This Row],[Obs. Y]]-_xlfn.XLOOKUP(Readings[[#This Row],[Sensor ID]],Table_Baseline[Sensor ID],Table_Baseline[Northing '[m']],"-")),"-")</f>
        <v>3.0000000260770321E-3</v>
      </c>
      <c r="Q969" s="93">
        <f>IFERROR(IF(Readings[[#This Row],[Obs. Z]]="","-",Readings[[#This Row],[Obs. Z]]-_xlfn.XLOOKUP(Readings[[#This Row],[Sensor ID]],Table_Baseline[Sensor ID],Table_Baseline[Level '[m']],"-")),"-")</f>
        <v>-9.9999999999766942E-5</v>
      </c>
      <c r="R969" s="93">
        <f>IFERROR(IF(Readings[[#This Row],[Reference Angle]]="-","-",(Readings[[#This Row],[Diff E]]*COS(RADIANS(Readings[[#This Row],[Reference Angle]]))-Readings[[#This Row],[Diff N]]*SIN(RADIANS(Readings[[#This Row],[Reference Angle]])))),"-")</f>
        <v>0</v>
      </c>
      <c r="S969" s="93">
        <f>IFERROR(IF(Readings[[#This Row],[Reference Angle]]="-","-",(Readings[[#This Row],[Diff E]]*SIN(RADIANS(Readings[[#This Row],[Reference Angle]]))+Readings[[#This Row],[Diff N]]*COS(RADIANS(Readings[[#This Row],[Reference Angle]])))),"-")</f>
        <v>3.0000000260770321E-3</v>
      </c>
      <c r="T969" s="94">
        <f>IFERROR(VLOOKUP(Readings[[#This Row],[Sensor ID]],Table_Baseline[],COLUMNS(Table_Baseline[[#Headers],[Sensor ID]:[Reference Angle '[Deg']]]),FALSE),"-")</f>
        <v>0</v>
      </c>
      <c r="U969" s="95" t="str">
        <f>Readings[[#This Row],[Sensor ID]]&amp;"-"&amp;Readings[[#This Row],[Epoch]]</f>
        <v>250-RL-OP-11012-45841.2430555556</v>
      </c>
      <c r="V969" s="99">
        <f ca="1">IF(Readings[[#This Row],[Epoch]]=OFFSET(Readings[[#This Row],[Epoch]],-1,0),0,1)</f>
        <v>0</v>
      </c>
    </row>
    <row r="970" spans="4:22" x14ac:dyDescent="0.2">
      <c r="D970" s="32">
        <v>45841.243055555555</v>
      </c>
      <c r="E970" s="33" t="s">
        <v>184</v>
      </c>
      <c r="F970" s="34">
        <v>60052.292999999998</v>
      </c>
      <c r="G970" s="34">
        <v>363840.88800000004</v>
      </c>
      <c r="H970" s="34">
        <v>18.777999999999999</v>
      </c>
      <c r="I970" s="151" t="s">
        <v>85</v>
      </c>
      <c r="J970" s="151" t="s">
        <v>90</v>
      </c>
      <c r="K970" s="33">
        <v>12.8</v>
      </c>
      <c r="L970" s="33">
        <v>1010.6</v>
      </c>
      <c r="M970" s="33">
        <v>52</v>
      </c>
      <c r="N970" s="33"/>
      <c r="O970" s="93">
        <f>IFERROR(IF(Readings[[#This Row],[Obs. X]]="","-",Readings[[#This Row],[Obs. X]]-_xlfn.XLOOKUP(Readings[[#This Row],[Sensor ID]],Table_Baseline[Sensor ID],Table_Baseline[Easting '[m']],"-")),"-")</f>
        <v>0</v>
      </c>
      <c r="P970" s="93">
        <f>IFERROR(IF(Readings[[#This Row],[Obs. Y]]="","-",Readings[[#This Row],[Obs. Y]]-_xlfn.XLOOKUP(Readings[[#This Row],[Sensor ID]],Table_Baseline[Sensor ID],Table_Baseline[Northing '[m']],"-")),"-")</f>
        <v>3.0000000260770321E-3</v>
      </c>
      <c r="Q970" s="93">
        <f>IFERROR(IF(Readings[[#This Row],[Obs. Z]]="","-",Readings[[#This Row],[Obs. Z]]-_xlfn.XLOOKUP(Readings[[#This Row],[Sensor ID]],Table_Baseline[Sensor ID],Table_Baseline[Level '[m']],"-")),"-")</f>
        <v>-1.0000000000012221E-3</v>
      </c>
      <c r="R970" s="93">
        <f>IFERROR(IF(Readings[[#This Row],[Reference Angle]]="-","-",(Readings[[#This Row],[Diff E]]*COS(RADIANS(Readings[[#This Row],[Reference Angle]]))-Readings[[#This Row],[Diff N]]*SIN(RADIANS(Readings[[#This Row],[Reference Angle]])))),"-")</f>
        <v>0</v>
      </c>
      <c r="S970" s="93">
        <f>IFERROR(IF(Readings[[#This Row],[Reference Angle]]="-","-",(Readings[[#This Row],[Diff E]]*SIN(RADIANS(Readings[[#This Row],[Reference Angle]]))+Readings[[#This Row],[Diff N]]*COS(RADIANS(Readings[[#This Row],[Reference Angle]])))),"-")</f>
        <v>3.0000000260770321E-3</v>
      </c>
      <c r="T970" s="94">
        <f>IFERROR(VLOOKUP(Readings[[#This Row],[Sensor ID]],Table_Baseline[],COLUMNS(Table_Baseline[[#Headers],[Sensor ID]:[Reference Angle '[Deg']]]),FALSE),"-")</f>
        <v>0</v>
      </c>
      <c r="U970" s="95" t="str">
        <f>Readings[[#This Row],[Sensor ID]]&amp;"-"&amp;Readings[[#This Row],[Epoch]]</f>
        <v>250-RL-OP-11013-45841.2430555556</v>
      </c>
      <c r="V970" s="99">
        <f ca="1">IF(Readings[[#This Row],[Epoch]]=OFFSET(Readings[[#This Row],[Epoch]],-1,0),0,1)</f>
        <v>0</v>
      </c>
    </row>
    <row r="971" spans="4:22" x14ac:dyDescent="0.2">
      <c r="D971" s="32">
        <v>45841.243055555555</v>
      </c>
      <c r="E971" s="33" t="s">
        <v>183</v>
      </c>
      <c r="F971" s="34">
        <v>60051.989000000001</v>
      </c>
      <c r="G971" s="34">
        <v>363839.60699999996</v>
      </c>
      <c r="H971" s="34">
        <v>18.77</v>
      </c>
      <c r="I971" s="151" t="s">
        <v>85</v>
      </c>
      <c r="J971" s="151" t="s">
        <v>90</v>
      </c>
      <c r="K971" s="33">
        <v>12.8</v>
      </c>
      <c r="L971" s="33">
        <v>1010.6</v>
      </c>
      <c r="M971" s="33">
        <v>52</v>
      </c>
      <c r="N971" s="33"/>
      <c r="O971" s="93">
        <f>IFERROR(IF(Readings[[#This Row],[Obs. X]]="","-",Readings[[#This Row],[Obs. X]]-_xlfn.XLOOKUP(Readings[[#This Row],[Sensor ID]],Table_Baseline[Sensor ID],Table_Baseline[Easting '[m']],"-")),"-")</f>
        <v>0</v>
      </c>
      <c r="P971" s="93">
        <f>IFERROR(IF(Readings[[#This Row],[Obs. Y]]="","-",Readings[[#This Row],[Obs. Y]]-_xlfn.XLOOKUP(Readings[[#This Row],[Sensor ID]],Table_Baseline[Sensor ID],Table_Baseline[Northing '[m']],"-")),"-")</f>
        <v>3.9999999571591616E-3</v>
      </c>
      <c r="Q971" s="93">
        <f>IFERROR(IF(Readings[[#This Row],[Obs. Z]]="","-",Readings[[#This Row],[Obs. Z]]-_xlfn.XLOOKUP(Readings[[#This Row],[Sensor ID]],Table_Baseline[Sensor ID],Table_Baseline[Level '[m']],"-")),"-")</f>
        <v>-9.9999999999766942E-5</v>
      </c>
      <c r="R971" s="93">
        <f>IFERROR(IF(Readings[[#This Row],[Reference Angle]]="-","-",(Readings[[#This Row],[Diff E]]*COS(RADIANS(Readings[[#This Row],[Reference Angle]]))-Readings[[#This Row],[Diff N]]*SIN(RADIANS(Readings[[#This Row],[Reference Angle]])))),"-")</f>
        <v>0</v>
      </c>
      <c r="S971" s="93">
        <f>IFERROR(IF(Readings[[#This Row],[Reference Angle]]="-","-",(Readings[[#This Row],[Diff E]]*SIN(RADIANS(Readings[[#This Row],[Reference Angle]]))+Readings[[#This Row],[Diff N]]*COS(RADIANS(Readings[[#This Row],[Reference Angle]])))),"-")</f>
        <v>3.9999999571591616E-3</v>
      </c>
      <c r="T971" s="94">
        <f>IFERROR(VLOOKUP(Readings[[#This Row],[Sensor ID]],Table_Baseline[],COLUMNS(Table_Baseline[[#Headers],[Sensor ID]:[Reference Angle '[Deg']]]),FALSE),"-")</f>
        <v>0</v>
      </c>
      <c r="U971" s="95" t="str">
        <f>Readings[[#This Row],[Sensor ID]]&amp;"-"&amp;Readings[[#This Row],[Epoch]]</f>
        <v>250-RL-OP-11014-45841.2430555556</v>
      </c>
      <c r="V971" s="99">
        <f ca="1">IF(Readings[[#This Row],[Epoch]]=OFFSET(Readings[[#This Row],[Epoch]],-1,0),0,1)</f>
        <v>0</v>
      </c>
    </row>
    <row r="972" spans="4:22" x14ac:dyDescent="0.2">
      <c r="D972" s="32">
        <v>45841.243055555555</v>
      </c>
      <c r="E972" s="33" t="s">
        <v>186</v>
      </c>
      <c r="F972" s="34">
        <v>60055.196000000004</v>
      </c>
      <c r="G972" s="34">
        <v>363840.098</v>
      </c>
      <c r="H972" s="34">
        <v>18.78</v>
      </c>
      <c r="I972" s="151" t="s">
        <v>85</v>
      </c>
      <c r="J972" s="151" t="s">
        <v>90</v>
      </c>
      <c r="K972" s="33">
        <v>12.8</v>
      </c>
      <c r="L972" s="33">
        <v>1010.6</v>
      </c>
      <c r="M972" s="33">
        <v>52</v>
      </c>
      <c r="N972" s="33"/>
      <c r="O972" s="93">
        <f>IFERROR(IF(Readings[[#This Row],[Obs. X]]="","-",Readings[[#This Row],[Obs. X]]-_xlfn.XLOOKUP(Readings[[#This Row],[Sensor ID]],Table_Baseline[Sensor ID],Table_Baseline[Easting '[m']],"-")),"-")</f>
        <v>0</v>
      </c>
      <c r="P972" s="93">
        <f>IFERROR(IF(Readings[[#This Row],[Obs. Y]]="","-",Readings[[#This Row],[Obs. Y]]-_xlfn.XLOOKUP(Readings[[#This Row],[Sensor ID]],Table_Baseline[Sensor ID],Table_Baseline[Northing '[m']],"-")),"-")</f>
        <v>3.0000000260770321E-3</v>
      </c>
      <c r="Q972" s="93">
        <f>IFERROR(IF(Readings[[#This Row],[Obs. Z]]="","-",Readings[[#This Row],[Obs. Z]]-_xlfn.XLOOKUP(Readings[[#This Row],[Sensor ID]],Table_Baseline[Sensor ID],Table_Baseline[Level '[m']],"-")),"-")</f>
        <v>-8.9999999999790248E-4</v>
      </c>
      <c r="R972" s="93">
        <f>IFERROR(IF(Readings[[#This Row],[Reference Angle]]="-","-",(Readings[[#This Row],[Diff E]]*COS(RADIANS(Readings[[#This Row],[Reference Angle]]))-Readings[[#This Row],[Diff N]]*SIN(RADIANS(Readings[[#This Row],[Reference Angle]])))),"-")</f>
        <v>0</v>
      </c>
      <c r="S972" s="93">
        <f>IFERROR(IF(Readings[[#This Row],[Reference Angle]]="-","-",(Readings[[#This Row],[Diff E]]*SIN(RADIANS(Readings[[#This Row],[Reference Angle]]))+Readings[[#This Row],[Diff N]]*COS(RADIANS(Readings[[#This Row],[Reference Angle]])))),"-")</f>
        <v>3.0000000260770321E-3</v>
      </c>
      <c r="T972" s="94">
        <f>IFERROR(VLOOKUP(Readings[[#This Row],[Sensor ID]],Table_Baseline[],COLUMNS(Table_Baseline[[#Headers],[Sensor ID]:[Reference Angle '[Deg']]]),FALSE),"-")</f>
        <v>0</v>
      </c>
      <c r="U972" s="95" t="str">
        <f>Readings[[#This Row],[Sensor ID]]&amp;"-"&amp;Readings[[#This Row],[Epoch]]</f>
        <v>250-RL-OP-11015-45841.2430555556</v>
      </c>
      <c r="V972" s="99">
        <f ca="1">IF(Readings[[#This Row],[Epoch]]=OFFSET(Readings[[#This Row],[Epoch]],-1,0),0,1)</f>
        <v>0</v>
      </c>
    </row>
    <row r="973" spans="4:22" x14ac:dyDescent="0.2">
      <c r="D973" s="32">
        <v>45841.243055555555</v>
      </c>
      <c r="E973" s="33" t="s">
        <v>185</v>
      </c>
      <c r="F973" s="34">
        <v>60054.885000000002</v>
      </c>
      <c r="G973" s="34">
        <v>363838.80799999996</v>
      </c>
      <c r="H973" s="34">
        <v>18.771999999999998</v>
      </c>
      <c r="I973" s="151" t="s">
        <v>85</v>
      </c>
      <c r="J973" s="151" t="s">
        <v>90</v>
      </c>
      <c r="K973" s="33">
        <v>12.8</v>
      </c>
      <c r="L973" s="33">
        <v>1010.6</v>
      </c>
      <c r="M973" s="33">
        <v>52</v>
      </c>
      <c r="N973" s="33"/>
      <c r="O973" s="93">
        <f>IFERROR(IF(Readings[[#This Row],[Obs. X]]="","-",Readings[[#This Row],[Obs. X]]-_xlfn.XLOOKUP(Readings[[#This Row],[Sensor ID]],Table_Baseline[Sensor ID],Table_Baseline[Easting '[m']],"-")),"-")</f>
        <v>-9.9999999656574801E-4</v>
      </c>
      <c r="P973" s="93">
        <f>IFERROR(IF(Readings[[#This Row],[Obs. Y]]="","-",Readings[[#This Row],[Obs. Y]]-_xlfn.XLOOKUP(Readings[[#This Row],[Sensor ID]],Table_Baseline[Sensor ID],Table_Baseline[Northing '[m']],"-")),"-")</f>
        <v>2.9999999678693712E-3</v>
      </c>
      <c r="Q973" s="93">
        <f>IFERROR(IF(Readings[[#This Row],[Obs. Z]]="","-",Readings[[#This Row],[Obs. Z]]-_xlfn.XLOOKUP(Readings[[#This Row],[Sensor ID]],Table_Baseline[Sensor ID],Table_Baseline[Level '[m']],"-")),"-")</f>
        <v>-1.1000000000009891E-3</v>
      </c>
      <c r="R973" s="93">
        <f>IFERROR(IF(Readings[[#This Row],[Reference Angle]]="-","-",(Readings[[#This Row],[Diff E]]*COS(RADIANS(Readings[[#This Row],[Reference Angle]]))-Readings[[#This Row],[Diff N]]*SIN(RADIANS(Readings[[#This Row],[Reference Angle]])))),"-")</f>
        <v>-9.9999999656574801E-4</v>
      </c>
      <c r="S973" s="93">
        <f>IFERROR(IF(Readings[[#This Row],[Reference Angle]]="-","-",(Readings[[#This Row],[Diff E]]*SIN(RADIANS(Readings[[#This Row],[Reference Angle]]))+Readings[[#This Row],[Diff N]]*COS(RADIANS(Readings[[#This Row],[Reference Angle]])))),"-")</f>
        <v>2.9999999678693712E-3</v>
      </c>
      <c r="T973" s="94">
        <f>IFERROR(VLOOKUP(Readings[[#This Row],[Sensor ID]],Table_Baseline[],COLUMNS(Table_Baseline[[#Headers],[Sensor ID]:[Reference Angle '[Deg']]]),FALSE),"-")</f>
        <v>0</v>
      </c>
      <c r="U973" s="95" t="str">
        <f>Readings[[#This Row],[Sensor ID]]&amp;"-"&amp;Readings[[#This Row],[Epoch]]</f>
        <v>250-RL-OP-11016-45841.2430555556</v>
      </c>
      <c r="V973" s="99">
        <f ca="1">IF(Readings[[#This Row],[Epoch]]=OFFSET(Readings[[#This Row],[Epoch]],-1,0),0,1)</f>
        <v>0</v>
      </c>
    </row>
    <row r="974" spans="4:22" x14ac:dyDescent="0.2">
      <c r="D974" s="32">
        <v>45841.243055555555</v>
      </c>
      <c r="E974" s="33" t="s">
        <v>188</v>
      </c>
      <c r="F974" s="34">
        <v>60057.951999999997</v>
      </c>
      <c r="G974" s="34">
        <v>363839.36699999997</v>
      </c>
      <c r="H974" s="34">
        <v>18.785</v>
      </c>
      <c r="I974" s="151" t="s">
        <v>85</v>
      </c>
      <c r="J974" s="151" t="s">
        <v>90</v>
      </c>
      <c r="K974" s="33">
        <v>12.8</v>
      </c>
      <c r="L974" s="33">
        <v>1010.6</v>
      </c>
      <c r="M974" s="33">
        <v>52</v>
      </c>
      <c r="N974" s="33"/>
      <c r="O974" s="93">
        <f>IFERROR(IF(Readings[[#This Row],[Obs. X]]="","-",Readings[[#This Row],[Obs. X]]-_xlfn.XLOOKUP(Readings[[#This Row],[Sensor ID]],Table_Baseline[Sensor ID],Table_Baseline[Easting '[m']],"-")),"-")</f>
        <v>0</v>
      </c>
      <c r="P974" s="93">
        <f>IFERROR(IF(Readings[[#This Row],[Obs. Y]]="","-",Readings[[#This Row],[Obs. Y]]-_xlfn.XLOOKUP(Readings[[#This Row],[Sensor ID]],Table_Baseline[Sensor ID],Table_Baseline[Northing '[m']],"-")),"-")</f>
        <v>5.0000000046566129E-3</v>
      </c>
      <c r="Q974" s="93">
        <f>IFERROR(IF(Readings[[#This Row],[Obs. Z]]="","-",Readings[[#This Row],[Obs. Z]]-_xlfn.XLOOKUP(Readings[[#This Row],[Sensor ID]],Table_Baseline[Sensor ID],Table_Baseline[Level '[m']],"-")),"-")</f>
        <v>-1.0000000000012221E-3</v>
      </c>
      <c r="R974" s="93">
        <f>IFERROR(IF(Readings[[#This Row],[Reference Angle]]="-","-",(Readings[[#This Row],[Diff E]]*COS(RADIANS(Readings[[#This Row],[Reference Angle]]))-Readings[[#This Row],[Diff N]]*SIN(RADIANS(Readings[[#This Row],[Reference Angle]])))),"-")</f>
        <v>0</v>
      </c>
      <c r="S974" s="93">
        <f>IFERROR(IF(Readings[[#This Row],[Reference Angle]]="-","-",(Readings[[#This Row],[Diff E]]*SIN(RADIANS(Readings[[#This Row],[Reference Angle]]))+Readings[[#This Row],[Diff N]]*COS(RADIANS(Readings[[#This Row],[Reference Angle]])))),"-")</f>
        <v>5.0000000046566129E-3</v>
      </c>
      <c r="T974" s="94">
        <f>IFERROR(VLOOKUP(Readings[[#This Row],[Sensor ID]],Table_Baseline[],COLUMNS(Table_Baseline[[#Headers],[Sensor ID]:[Reference Angle '[Deg']]]),FALSE),"-")</f>
        <v>0</v>
      </c>
      <c r="U974" s="95" t="str">
        <f>Readings[[#This Row],[Sensor ID]]&amp;"-"&amp;Readings[[#This Row],[Epoch]]</f>
        <v>250-RL-OP-11017-45841.2430555556</v>
      </c>
      <c r="V974" s="99">
        <f ca="1">IF(Readings[[#This Row],[Epoch]]=OFFSET(Readings[[#This Row],[Epoch]],-1,0),0,1)</f>
        <v>0</v>
      </c>
    </row>
    <row r="975" spans="4:22" x14ac:dyDescent="0.2">
      <c r="D975" s="32">
        <v>45841.243055555555</v>
      </c>
      <c r="E975" s="33" t="s">
        <v>187</v>
      </c>
      <c r="F975" s="34">
        <v>60057.578999999998</v>
      </c>
      <c r="G975" s="34">
        <v>363838.10200000001</v>
      </c>
      <c r="H975" s="34">
        <v>18.774999999999999</v>
      </c>
      <c r="I975" s="151" t="s">
        <v>85</v>
      </c>
      <c r="J975" s="151" t="s">
        <v>90</v>
      </c>
      <c r="K975" s="33">
        <v>12.8</v>
      </c>
      <c r="L975" s="33">
        <v>1010.6</v>
      </c>
      <c r="M975" s="33">
        <v>52</v>
      </c>
      <c r="N975" s="33"/>
      <c r="O975" s="93">
        <f>IFERROR(IF(Readings[[#This Row],[Obs. X]]="","-",Readings[[#This Row],[Obs. X]]-_xlfn.XLOOKUP(Readings[[#This Row],[Sensor ID]],Table_Baseline[Sensor ID],Table_Baseline[Easting '[m']],"-")),"-")</f>
        <v>0</v>
      </c>
      <c r="P975" s="93">
        <f>IFERROR(IF(Readings[[#This Row],[Obs. Y]]="","-",Readings[[#This Row],[Obs. Y]]-_xlfn.XLOOKUP(Readings[[#This Row],[Sensor ID]],Table_Baseline[Sensor ID],Table_Baseline[Northing '[m']],"-")),"-")</f>
        <v>4.0000000153668225E-3</v>
      </c>
      <c r="Q975" s="93">
        <f>IFERROR(IF(Readings[[#This Row],[Obs. Z]]="","-",Readings[[#This Row],[Obs. Z]]-_xlfn.XLOOKUP(Readings[[#This Row],[Sensor ID]],Table_Baseline[Sensor ID],Table_Baseline[Level '[m']],"-")),"-")</f>
        <v>-1.0000000000012221E-3</v>
      </c>
      <c r="R975" s="93">
        <f>IFERROR(IF(Readings[[#This Row],[Reference Angle]]="-","-",(Readings[[#This Row],[Diff E]]*COS(RADIANS(Readings[[#This Row],[Reference Angle]]))-Readings[[#This Row],[Diff N]]*SIN(RADIANS(Readings[[#This Row],[Reference Angle]])))),"-")</f>
        <v>0</v>
      </c>
      <c r="S975" s="93">
        <f>IFERROR(IF(Readings[[#This Row],[Reference Angle]]="-","-",(Readings[[#This Row],[Diff E]]*SIN(RADIANS(Readings[[#This Row],[Reference Angle]]))+Readings[[#This Row],[Diff N]]*COS(RADIANS(Readings[[#This Row],[Reference Angle]])))),"-")</f>
        <v>4.0000000153668225E-3</v>
      </c>
      <c r="T975" s="94">
        <f>IFERROR(VLOOKUP(Readings[[#This Row],[Sensor ID]],Table_Baseline[],COLUMNS(Table_Baseline[[#Headers],[Sensor ID]:[Reference Angle '[Deg']]]),FALSE),"-")</f>
        <v>0</v>
      </c>
      <c r="U975" s="95" t="str">
        <f>Readings[[#This Row],[Sensor ID]]&amp;"-"&amp;Readings[[#This Row],[Epoch]]</f>
        <v>250-RL-OP-11018-45841.2430555556</v>
      </c>
      <c r="V975" s="99">
        <f ca="1">IF(Readings[[#This Row],[Epoch]]=OFFSET(Readings[[#This Row],[Epoch]],-1,0),0,1)</f>
        <v>0</v>
      </c>
    </row>
    <row r="976" spans="4:22" x14ac:dyDescent="0.2">
      <c r="D976" s="32">
        <v>45841.243055555555</v>
      </c>
      <c r="E976" s="33" t="s">
        <v>190</v>
      </c>
      <c r="F976" s="34">
        <v>60060.963000000003</v>
      </c>
      <c r="G976" s="34">
        <v>363838.60499999998</v>
      </c>
      <c r="H976" s="34">
        <v>18.794</v>
      </c>
      <c r="I976" s="151" t="s">
        <v>85</v>
      </c>
      <c r="J976" s="151" t="s">
        <v>90</v>
      </c>
      <c r="K976" s="33">
        <v>12.8</v>
      </c>
      <c r="L976" s="33">
        <v>1010.6</v>
      </c>
      <c r="M976" s="33">
        <v>52</v>
      </c>
      <c r="N976" s="33"/>
      <c r="O976" s="93">
        <f>IFERROR(IF(Readings[[#This Row],[Obs. X]]="","-",Readings[[#This Row],[Obs. X]]-_xlfn.XLOOKUP(Readings[[#This Row],[Sensor ID]],Table_Baseline[Sensor ID],Table_Baseline[Easting '[m']],"-")),"-")</f>
        <v>0</v>
      </c>
      <c r="P976" s="93">
        <f>IFERROR(IF(Readings[[#This Row],[Obs. Y]]="","-",Readings[[#This Row],[Obs. Y]]-_xlfn.XLOOKUP(Readings[[#This Row],[Sensor ID]],Table_Baseline[Sensor ID],Table_Baseline[Northing '[m']],"-")),"-")</f>
        <v>3.9999999571591616E-3</v>
      </c>
      <c r="Q976" s="93">
        <f>IFERROR(IF(Readings[[#This Row],[Obs. Z]]="","-",Readings[[#This Row],[Obs. Z]]-_xlfn.XLOOKUP(Readings[[#This Row],[Sensor ID]],Table_Baseline[Sensor ID],Table_Baseline[Level '[m']],"-")),"-")</f>
        <v>-5.9999999999860165E-4</v>
      </c>
      <c r="R976" s="93">
        <f>IFERROR(IF(Readings[[#This Row],[Reference Angle]]="-","-",(Readings[[#This Row],[Diff E]]*COS(RADIANS(Readings[[#This Row],[Reference Angle]]))-Readings[[#This Row],[Diff N]]*SIN(RADIANS(Readings[[#This Row],[Reference Angle]])))),"-")</f>
        <v>0</v>
      </c>
      <c r="S976" s="93">
        <f>IFERROR(IF(Readings[[#This Row],[Reference Angle]]="-","-",(Readings[[#This Row],[Diff E]]*SIN(RADIANS(Readings[[#This Row],[Reference Angle]]))+Readings[[#This Row],[Diff N]]*COS(RADIANS(Readings[[#This Row],[Reference Angle]])))),"-")</f>
        <v>3.9999999571591616E-3</v>
      </c>
      <c r="T976" s="94">
        <f>IFERROR(VLOOKUP(Readings[[#This Row],[Sensor ID]],Table_Baseline[],COLUMNS(Table_Baseline[[#Headers],[Sensor ID]:[Reference Angle '[Deg']]]),FALSE),"-")</f>
        <v>0</v>
      </c>
      <c r="U976" s="95" t="str">
        <f>Readings[[#This Row],[Sensor ID]]&amp;"-"&amp;Readings[[#This Row],[Epoch]]</f>
        <v>250-RL-OP-11019-45841.2430555556</v>
      </c>
      <c r="V976" s="99">
        <f ca="1">IF(Readings[[#This Row],[Epoch]]=OFFSET(Readings[[#This Row],[Epoch]],-1,0),0,1)</f>
        <v>0</v>
      </c>
    </row>
    <row r="977" spans="4:22" x14ac:dyDescent="0.2">
      <c r="D977" s="32">
        <v>45841.243055555555</v>
      </c>
      <c r="E977" s="33" t="s">
        <v>189</v>
      </c>
      <c r="F977" s="34">
        <v>60060.639999999999</v>
      </c>
      <c r="G977" s="34">
        <v>363837.32699999999</v>
      </c>
      <c r="H977" s="34">
        <v>18.782</v>
      </c>
      <c r="I977" s="151" t="s">
        <v>85</v>
      </c>
      <c r="J977" s="151" t="s">
        <v>90</v>
      </c>
      <c r="K977" s="33">
        <v>12.8</v>
      </c>
      <c r="L977" s="33">
        <v>1010.6</v>
      </c>
      <c r="M977" s="33">
        <v>52</v>
      </c>
      <c r="N977" s="33"/>
      <c r="O977" s="93">
        <f>IFERROR(IF(Readings[[#This Row],[Obs. X]]="","-",Readings[[#This Row],[Obs. X]]-_xlfn.XLOOKUP(Readings[[#This Row],[Sensor ID]],Table_Baseline[Sensor ID],Table_Baseline[Easting '[m']],"-")),"-")</f>
        <v>0</v>
      </c>
      <c r="P977" s="93">
        <f>IFERROR(IF(Readings[[#This Row],[Obs. Y]]="","-",Readings[[#This Row],[Obs. Y]]-_xlfn.XLOOKUP(Readings[[#This Row],[Sensor ID]],Table_Baseline[Sensor ID],Table_Baseline[Northing '[m']],"-")),"-")</f>
        <v>5.0000000046566129E-3</v>
      </c>
      <c r="Q977" s="93">
        <f>IFERROR(IF(Readings[[#This Row],[Obs. Z]]="","-",Readings[[#This Row],[Obs. Z]]-_xlfn.XLOOKUP(Readings[[#This Row],[Sensor ID]],Table_Baseline[Sensor ID],Table_Baseline[Level '[m']],"-")),"-")</f>
        <v>-1.5999999999998238E-3</v>
      </c>
      <c r="R977" s="93">
        <f>IFERROR(IF(Readings[[#This Row],[Reference Angle]]="-","-",(Readings[[#This Row],[Diff E]]*COS(RADIANS(Readings[[#This Row],[Reference Angle]]))-Readings[[#This Row],[Diff N]]*SIN(RADIANS(Readings[[#This Row],[Reference Angle]])))),"-")</f>
        <v>0</v>
      </c>
      <c r="S977" s="93">
        <f>IFERROR(IF(Readings[[#This Row],[Reference Angle]]="-","-",(Readings[[#This Row],[Diff E]]*SIN(RADIANS(Readings[[#This Row],[Reference Angle]]))+Readings[[#This Row],[Diff N]]*COS(RADIANS(Readings[[#This Row],[Reference Angle]])))),"-")</f>
        <v>5.0000000046566129E-3</v>
      </c>
      <c r="T977" s="94">
        <f>IFERROR(VLOOKUP(Readings[[#This Row],[Sensor ID]],Table_Baseline[],COLUMNS(Table_Baseline[[#Headers],[Sensor ID]:[Reference Angle '[Deg']]]),FALSE),"-")</f>
        <v>0</v>
      </c>
      <c r="U977" s="95" t="str">
        <f>Readings[[#This Row],[Sensor ID]]&amp;"-"&amp;Readings[[#This Row],[Epoch]]</f>
        <v>250-RL-OP-11020-45841.2430555556</v>
      </c>
      <c r="V977" s="99">
        <f ca="1">IF(Readings[[#This Row],[Epoch]]=OFFSET(Readings[[#This Row],[Epoch]],-1,0),0,1)</f>
        <v>0</v>
      </c>
    </row>
    <row r="978" spans="4:22" x14ac:dyDescent="0.2">
      <c r="D978" s="32">
        <v>45841.243055555555</v>
      </c>
      <c r="E978" s="33" t="s">
        <v>192</v>
      </c>
      <c r="F978" s="34">
        <v>60063.750999999997</v>
      </c>
      <c r="G978" s="34">
        <v>363837.92200000002</v>
      </c>
      <c r="H978" s="34">
        <v>18.808</v>
      </c>
      <c r="I978" s="151" t="s">
        <v>85</v>
      </c>
      <c r="J978" s="151" t="s">
        <v>90</v>
      </c>
      <c r="K978" s="33">
        <v>12.8</v>
      </c>
      <c r="L978" s="33">
        <v>1010.6</v>
      </c>
      <c r="M978" s="33">
        <v>52</v>
      </c>
      <c r="N978" s="33"/>
      <c r="O978" s="93">
        <f>IFERROR(IF(Readings[[#This Row],[Obs. X]]="","-",Readings[[#This Row],[Obs. X]]-_xlfn.XLOOKUP(Readings[[#This Row],[Sensor ID]],Table_Baseline[Sensor ID],Table_Baseline[Easting '[m']],"-")),"-")</f>
        <v>0</v>
      </c>
      <c r="P978" s="93">
        <f>IFERROR(IF(Readings[[#This Row],[Obs. Y]]="","-",Readings[[#This Row],[Obs. Y]]-_xlfn.XLOOKUP(Readings[[#This Row],[Sensor ID]],Table_Baseline[Sensor ID],Table_Baseline[Northing '[m']],"-")),"-")</f>
        <v>4.0000000153668225E-3</v>
      </c>
      <c r="Q978" s="93">
        <f>IFERROR(IF(Readings[[#This Row],[Obs. Z]]="","-",Readings[[#This Row],[Obs. Z]]-_xlfn.XLOOKUP(Readings[[#This Row],[Sensor ID]],Table_Baseline[Sensor ID],Table_Baseline[Level '[m']],"-")),"-")</f>
        <v>-1.0000000000012221E-3</v>
      </c>
      <c r="R978" s="93">
        <f>IFERROR(IF(Readings[[#This Row],[Reference Angle]]="-","-",(Readings[[#This Row],[Diff E]]*COS(RADIANS(Readings[[#This Row],[Reference Angle]]))-Readings[[#This Row],[Diff N]]*SIN(RADIANS(Readings[[#This Row],[Reference Angle]])))),"-")</f>
        <v>0</v>
      </c>
      <c r="S978" s="93">
        <f>IFERROR(IF(Readings[[#This Row],[Reference Angle]]="-","-",(Readings[[#This Row],[Diff E]]*SIN(RADIANS(Readings[[#This Row],[Reference Angle]]))+Readings[[#This Row],[Diff N]]*COS(RADIANS(Readings[[#This Row],[Reference Angle]])))),"-")</f>
        <v>4.0000000153668225E-3</v>
      </c>
      <c r="T978" s="94">
        <f>IFERROR(VLOOKUP(Readings[[#This Row],[Sensor ID]],Table_Baseline[],COLUMNS(Table_Baseline[[#Headers],[Sensor ID]:[Reference Angle '[Deg']]]),FALSE),"-")</f>
        <v>0</v>
      </c>
      <c r="U978" s="95" t="str">
        <f>Readings[[#This Row],[Sensor ID]]&amp;"-"&amp;Readings[[#This Row],[Epoch]]</f>
        <v>250-RL-OP-11021-45841.2430555556</v>
      </c>
      <c r="V978" s="99">
        <f ca="1">IF(Readings[[#This Row],[Epoch]]=OFFSET(Readings[[#This Row],[Epoch]],-1,0),0,1)</f>
        <v>0</v>
      </c>
    </row>
    <row r="979" spans="4:22" x14ac:dyDescent="0.2">
      <c r="D979" s="32">
        <v>45841.243055555555</v>
      </c>
      <c r="E979" s="151" t="s">
        <v>191</v>
      </c>
      <c r="F979" s="152">
        <v>60063.421999999999</v>
      </c>
      <c r="G979" s="152">
        <v>363836.641</v>
      </c>
      <c r="H979" s="152">
        <v>18.792999999999999</v>
      </c>
      <c r="I979" s="151" t="s">
        <v>85</v>
      </c>
      <c r="J979" s="151" t="s">
        <v>90</v>
      </c>
      <c r="K979" s="33">
        <v>12.8</v>
      </c>
      <c r="L979" s="33">
        <v>1010.6</v>
      </c>
      <c r="M979" s="33">
        <v>52</v>
      </c>
      <c r="N979" s="151"/>
      <c r="O979" s="96">
        <f>IFERROR(IF(Readings[[#This Row],[Obs. X]]="","-",Readings[[#This Row],[Obs. X]]-_xlfn.XLOOKUP(Readings[[#This Row],[Sensor ID]],Table_Baseline[Sensor ID],Table_Baseline[Easting '[m']],"-")),"-")</f>
        <v>0</v>
      </c>
      <c r="P979" s="96">
        <f>IFERROR(IF(Readings[[#This Row],[Obs. Y]]="","-",Readings[[#This Row],[Obs. Y]]-_xlfn.XLOOKUP(Readings[[#This Row],[Sensor ID]],Table_Baseline[Sensor ID],Table_Baseline[Northing '[m']],"-")),"-")</f>
        <v>5.0000000046566129E-3</v>
      </c>
      <c r="Q979" s="96">
        <f>IFERROR(IF(Readings[[#This Row],[Obs. Z]]="","-",Readings[[#This Row],[Obs. Z]]-_xlfn.XLOOKUP(Readings[[#This Row],[Sensor ID]],Table_Baseline[Sensor ID],Table_Baseline[Level '[m']],"-")),"-")</f>
        <v>-1.8999999999991246E-3</v>
      </c>
      <c r="R979" s="96">
        <f>IFERROR(IF(Readings[[#This Row],[Reference Angle]]="-","-",(Readings[[#This Row],[Diff E]]*COS(RADIANS(Readings[[#This Row],[Reference Angle]]))-Readings[[#This Row],[Diff N]]*SIN(RADIANS(Readings[[#This Row],[Reference Angle]])))),"-")</f>
        <v>0</v>
      </c>
      <c r="S979" s="96">
        <f>IFERROR(IF(Readings[[#This Row],[Reference Angle]]="-","-",(Readings[[#This Row],[Diff E]]*SIN(RADIANS(Readings[[#This Row],[Reference Angle]]))+Readings[[#This Row],[Diff N]]*COS(RADIANS(Readings[[#This Row],[Reference Angle]])))),"-")</f>
        <v>5.0000000046566129E-3</v>
      </c>
      <c r="T979" s="97">
        <f>IFERROR(VLOOKUP(Readings[[#This Row],[Sensor ID]],Table_Baseline[],COLUMNS(Table_Baseline[[#Headers],[Sensor ID]:[Reference Angle '[Deg']]]),FALSE),"-")</f>
        <v>0</v>
      </c>
      <c r="U979" s="98" t="str">
        <f>Readings[[#This Row],[Sensor ID]]&amp;"-"&amp;Readings[[#This Row],[Epoch]]</f>
        <v>250-RL-OP-11022-45841.2430555556</v>
      </c>
      <c r="V979" s="100">
        <f ca="1">IF(Readings[[#This Row],[Epoch]]=OFFSET(Readings[[#This Row],[Epoch]],-1,0),0,1)</f>
        <v>0</v>
      </c>
    </row>
    <row r="980" spans="4:22" x14ac:dyDescent="0.2">
      <c r="D980" s="32">
        <v>45848.291666666664</v>
      </c>
      <c r="E980" s="33" t="s">
        <v>172</v>
      </c>
      <c r="F980" s="34">
        <v>60035.339</v>
      </c>
      <c r="G980" s="34">
        <v>363845.739</v>
      </c>
      <c r="H980" s="34">
        <v>18.782</v>
      </c>
      <c r="I980" s="33" t="s">
        <v>516</v>
      </c>
      <c r="J980" s="33" t="s">
        <v>90</v>
      </c>
      <c r="K980" s="33">
        <v>12.8</v>
      </c>
      <c r="L980" s="33">
        <v>1010.6</v>
      </c>
      <c r="M980" s="33">
        <v>52</v>
      </c>
      <c r="N980" s="33"/>
      <c r="O980" s="93">
        <f>IFERROR(IF(Readings[[#This Row],[Obs. X]]="","-",Readings[[#This Row],[Obs. X]]-_xlfn.XLOOKUP(Readings[[#This Row],[Sensor ID]],Table_Baseline[Sensor ID],Table_Baseline[Easting '[m']],"-")),"-")</f>
        <v>-9.9999999656574801E-4</v>
      </c>
      <c r="P980" s="93">
        <f>IFERROR(IF(Readings[[#This Row],[Obs. Y]]="","-",Readings[[#This Row],[Obs. Y]]-_xlfn.XLOOKUP(Readings[[#This Row],[Sensor ID]],Table_Baseline[Sensor ID],Table_Baseline[Northing '[m']],"-")),"-")</f>
        <v>0</v>
      </c>
      <c r="Q980" s="93">
        <f>IFERROR(IF(Readings[[#This Row],[Obs. Z]]="","-",Readings[[#This Row],[Obs. Z]]-_xlfn.XLOOKUP(Readings[[#This Row],[Sensor ID]],Table_Baseline[Sensor ID],Table_Baseline[Level '[m']],"-")),"-")</f>
        <v>0</v>
      </c>
      <c r="R980" s="93">
        <f>IFERROR(IF(Readings[[#This Row],[Reference Angle]]="-","-",(Readings[[#This Row],[Diff E]]*COS(RADIANS(Readings[[#This Row],[Reference Angle]]))-Readings[[#This Row],[Diff N]]*SIN(RADIANS(Readings[[#This Row],[Reference Angle]])))),"-")</f>
        <v>-9.9999999656574801E-4</v>
      </c>
      <c r="S980" s="93">
        <f>IFERROR(IF(Readings[[#This Row],[Reference Angle]]="-","-",(Readings[[#This Row],[Diff E]]*SIN(RADIANS(Readings[[#This Row],[Reference Angle]]))+Readings[[#This Row],[Diff N]]*COS(RADIANS(Readings[[#This Row],[Reference Angle]])))),"-")</f>
        <v>0</v>
      </c>
      <c r="T980" s="94">
        <f>IFERROR(VLOOKUP(Readings[[#This Row],[Sensor ID]],Table_Baseline[],COLUMNS(Table_Baseline[[#Headers],[Sensor ID]:[Reference Angle '[Deg']]]),FALSE),"-")</f>
        <v>0</v>
      </c>
      <c r="U980" s="95" t="str">
        <f>Readings[[#This Row],[Sensor ID]]&amp;"-"&amp;Readings[[#This Row],[Epoch]]</f>
        <v>250-RL-OP-11001-45848.2916666667</v>
      </c>
      <c r="V980" s="99">
        <f ca="1">IF(Readings[[#This Row],[Epoch]]=OFFSET(Readings[[#This Row],[Epoch]],-1,0),0,1)</f>
        <v>1</v>
      </c>
    </row>
    <row r="981" spans="4:22" x14ac:dyDescent="0.2">
      <c r="D981" s="32">
        <v>45848.291666666664</v>
      </c>
      <c r="E981" s="33" t="s">
        <v>171</v>
      </c>
      <c r="F981" s="34">
        <v>60034.957999999999</v>
      </c>
      <c r="G981" s="34">
        <v>363844.47100000002</v>
      </c>
      <c r="H981" s="34">
        <v>18.777000000000001</v>
      </c>
      <c r="I981" s="33" t="s">
        <v>516</v>
      </c>
      <c r="J981" s="33" t="s">
        <v>90</v>
      </c>
      <c r="K981" s="33">
        <v>12.8</v>
      </c>
      <c r="L981" s="33">
        <v>1010.6</v>
      </c>
      <c r="M981" s="33">
        <v>52</v>
      </c>
      <c r="N981" s="33"/>
      <c r="O981" s="93">
        <f>IFERROR(IF(Readings[[#This Row],[Obs. X]]="","-",Readings[[#This Row],[Obs. X]]-_xlfn.XLOOKUP(Readings[[#This Row],[Sensor ID]],Table_Baseline[Sensor ID],Table_Baseline[Easting '[m']],"-")),"-")</f>
        <v>-1.0000000038417056E-3</v>
      </c>
      <c r="P981" s="93">
        <f>IFERROR(IF(Readings[[#This Row],[Obs. Y]]="","-",Readings[[#This Row],[Obs. Y]]-_xlfn.XLOOKUP(Readings[[#This Row],[Sensor ID]],Table_Baseline[Sensor ID],Table_Baseline[Northing '[m']],"-")),"-")</f>
        <v>0</v>
      </c>
      <c r="Q981" s="93">
        <f>IFERROR(IF(Readings[[#This Row],[Obs. Z]]="","-",Readings[[#This Row],[Obs. Z]]-_xlfn.XLOOKUP(Readings[[#This Row],[Sensor ID]],Table_Baseline[Sensor ID],Table_Baseline[Level '[m']],"-")),"-")</f>
        <v>-1.0999999999974364E-3</v>
      </c>
      <c r="R981" s="93">
        <f>IFERROR(IF(Readings[[#This Row],[Reference Angle]]="-","-",(Readings[[#This Row],[Diff E]]*COS(RADIANS(Readings[[#This Row],[Reference Angle]]))-Readings[[#This Row],[Diff N]]*SIN(RADIANS(Readings[[#This Row],[Reference Angle]])))),"-")</f>
        <v>-1.0000000038417056E-3</v>
      </c>
      <c r="S981" s="93">
        <f>IFERROR(IF(Readings[[#This Row],[Reference Angle]]="-","-",(Readings[[#This Row],[Diff E]]*SIN(RADIANS(Readings[[#This Row],[Reference Angle]]))+Readings[[#This Row],[Diff N]]*COS(RADIANS(Readings[[#This Row],[Reference Angle]])))),"-")</f>
        <v>0</v>
      </c>
      <c r="T981" s="94">
        <f>IFERROR(VLOOKUP(Readings[[#This Row],[Sensor ID]],Table_Baseline[],COLUMNS(Table_Baseline[[#Headers],[Sensor ID]:[Reference Angle '[Deg']]]),FALSE),"-")</f>
        <v>0</v>
      </c>
      <c r="U981" s="95" t="str">
        <f>Readings[[#This Row],[Sensor ID]]&amp;"-"&amp;Readings[[#This Row],[Epoch]]</f>
        <v>250-RL-OP-11002-45848.2916666667</v>
      </c>
      <c r="V981" s="99">
        <f ca="1">IF(Readings[[#This Row],[Epoch]]=OFFSET(Readings[[#This Row],[Epoch]],-1,0),0,1)</f>
        <v>0</v>
      </c>
    </row>
    <row r="982" spans="4:22" x14ac:dyDescent="0.2">
      <c r="D982" s="32">
        <v>45848.291666666664</v>
      </c>
      <c r="E982" s="33" t="s">
        <v>174</v>
      </c>
      <c r="F982" s="34">
        <v>60038.116999999998</v>
      </c>
      <c r="G982" s="34">
        <v>363844.94500000001</v>
      </c>
      <c r="H982" s="34">
        <v>18.777999999999999</v>
      </c>
      <c r="I982" s="33" t="s">
        <v>516</v>
      </c>
      <c r="J982" s="33" t="s">
        <v>90</v>
      </c>
      <c r="K982" s="33">
        <v>12.8</v>
      </c>
      <c r="L982" s="33">
        <v>1010.6</v>
      </c>
      <c r="M982" s="33">
        <v>52</v>
      </c>
      <c r="N982" s="33"/>
      <c r="O982" s="93">
        <f>IFERROR(IF(Readings[[#This Row],[Obs. X]]="","-",Readings[[#This Row],[Obs. X]]-_xlfn.XLOOKUP(Readings[[#This Row],[Sensor ID]],Table_Baseline[Sensor ID],Table_Baseline[Easting '[m']],"-")),"-")</f>
        <v>-1.0000000038417056E-3</v>
      </c>
      <c r="P982" s="93">
        <f>IFERROR(IF(Readings[[#This Row],[Obs. Y]]="","-",Readings[[#This Row],[Obs. Y]]-_xlfn.XLOOKUP(Readings[[#This Row],[Sensor ID]],Table_Baseline[Sensor ID],Table_Baseline[Northing '[m']],"-")),"-")</f>
        <v>0</v>
      </c>
      <c r="Q982" s="93">
        <f>IFERROR(IF(Readings[[#This Row],[Obs. Z]]="","-",Readings[[#This Row],[Obs. Z]]-_xlfn.XLOOKUP(Readings[[#This Row],[Sensor ID]],Table_Baseline[Sensor ID],Table_Baseline[Level '[m']],"-")),"-")</f>
        <v>-8.0000000000168825E-4</v>
      </c>
      <c r="R982" s="93">
        <f>IFERROR(IF(Readings[[#This Row],[Reference Angle]]="-","-",(Readings[[#This Row],[Diff E]]*COS(RADIANS(Readings[[#This Row],[Reference Angle]]))-Readings[[#This Row],[Diff N]]*SIN(RADIANS(Readings[[#This Row],[Reference Angle]])))),"-")</f>
        <v>-1.0000000038417056E-3</v>
      </c>
      <c r="S982" s="93">
        <f>IFERROR(IF(Readings[[#This Row],[Reference Angle]]="-","-",(Readings[[#This Row],[Diff E]]*SIN(RADIANS(Readings[[#This Row],[Reference Angle]]))+Readings[[#This Row],[Diff N]]*COS(RADIANS(Readings[[#This Row],[Reference Angle]])))),"-")</f>
        <v>0</v>
      </c>
      <c r="T982" s="94">
        <f>IFERROR(VLOOKUP(Readings[[#This Row],[Sensor ID]],Table_Baseline[],COLUMNS(Table_Baseline[[#Headers],[Sensor ID]:[Reference Angle '[Deg']]]),FALSE),"-")</f>
        <v>0</v>
      </c>
      <c r="U982" s="95" t="str">
        <f>Readings[[#This Row],[Sensor ID]]&amp;"-"&amp;Readings[[#This Row],[Epoch]]</f>
        <v>250-RL-OP-11003-45848.2916666667</v>
      </c>
      <c r="V982" s="99">
        <f ca="1">IF(Readings[[#This Row],[Epoch]]=OFFSET(Readings[[#This Row],[Epoch]],-1,0),0,1)</f>
        <v>0</v>
      </c>
    </row>
    <row r="983" spans="4:22" x14ac:dyDescent="0.2">
      <c r="D983" s="32">
        <v>45848.291666666664</v>
      </c>
      <c r="E983" s="33" t="s">
        <v>173</v>
      </c>
      <c r="F983" s="34">
        <v>60037.803999999996</v>
      </c>
      <c r="G983" s="34">
        <v>363843.658</v>
      </c>
      <c r="H983" s="34">
        <v>18.777999999999999</v>
      </c>
      <c r="I983" s="33" t="s">
        <v>516</v>
      </c>
      <c r="J983" s="33" t="s">
        <v>90</v>
      </c>
      <c r="K983" s="33">
        <v>12.8</v>
      </c>
      <c r="L983" s="33">
        <v>1010.6</v>
      </c>
      <c r="M983" s="33">
        <v>52</v>
      </c>
      <c r="N983" s="33"/>
      <c r="O983" s="93">
        <f>IFERROR(IF(Readings[[#This Row],[Obs. X]]="","-",Readings[[#This Row],[Obs. X]]-_xlfn.XLOOKUP(Readings[[#This Row],[Sensor ID]],Table_Baseline[Sensor ID],Table_Baseline[Easting '[m']],"-")),"-")</f>
        <v>-1.0000000038417056E-3</v>
      </c>
      <c r="P983" s="93">
        <f>IFERROR(IF(Readings[[#This Row],[Obs. Y]]="","-",Readings[[#This Row],[Obs. Y]]-_xlfn.XLOOKUP(Readings[[#This Row],[Sensor ID]],Table_Baseline[Sensor ID],Table_Baseline[Northing '[m']],"-")),"-")</f>
        <v>9.9999998928979039E-4</v>
      </c>
      <c r="Q983" s="93">
        <f>IFERROR(IF(Readings[[#This Row],[Obs. Z]]="","-",Readings[[#This Row],[Obs. Z]]-_xlfn.XLOOKUP(Readings[[#This Row],[Sensor ID]],Table_Baseline[Sensor ID],Table_Baseline[Level '[m']],"-")),"-")</f>
        <v>-5.0000000000238742E-4</v>
      </c>
      <c r="R983" s="93">
        <f>IFERROR(IF(Readings[[#This Row],[Reference Angle]]="-","-",(Readings[[#This Row],[Diff E]]*COS(RADIANS(Readings[[#This Row],[Reference Angle]]))-Readings[[#This Row],[Diff N]]*SIN(RADIANS(Readings[[#This Row],[Reference Angle]])))),"-")</f>
        <v>-1.0000000038417056E-3</v>
      </c>
      <c r="S983" s="93">
        <f>IFERROR(IF(Readings[[#This Row],[Reference Angle]]="-","-",(Readings[[#This Row],[Diff E]]*SIN(RADIANS(Readings[[#This Row],[Reference Angle]]))+Readings[[#This Row],[Diff N]]*COS(RADIANS(Readings[[#This Row],[Reference Angle]])))),"-")</f>
        <v>9.9999998928979039E-4</v>
      </c>
      <c r="T983" s="94">
        <f>IFERROR(VLOOKUP(Readings[[#This Row],[Sensor ID]],Table_Baseline[],COLUMNS(Table_Baseline[[#Headers],[Sensor ID]:[Reference Angle '[Deg']]]),FALSE),"-")</f>
        <v>0</v>
      </c>
      <c r="U983" s="95" t="str">
        <f>Readings[[#This Row],[Sensor ID]]&amp;"-"&amp;Readings[[#This Row],[Epoch]]</f>
        <v>250-RL-OP-11004-45848.2916666667</v>
      </c>
      <c r="V983" s="99">
        <f ca="1">IF(Readings[[#This Row],[Epoch]]=OFFSET(Readings[[#This Row],[Epoch]],-1,0),0,1)</f>
        <v>0</v>
      </c>
    </row>
    <row r="984" spans="4:22" x14ac:dyDescent="0.2">
      <c r="D984" s="32">
        <v>45848.291666666664</v>
      </c>
      <c r="E984" s="33" t="s">
        <v>176</v>
      </c>
      <c r="F984" s="34">
        <v>60040.968000000001</v>
      </c>
      <c r="G984" s="34">
        <v>363844.11800000002</v>
      </c>
      <c r="H984" s="34">
        <v>18.777999999999999</v>
      </c>
      <c r="I984" s="33" t="s">
        <v>516</v>
      </c>
      <c r="J984" s="33" t="s">
        <v>90</v>
      </c>
      <c r="K984" s="33">
        <v>12.8</v>
      </c>
      <c r="L984" s="33">
        <v>1010.6</v>
      </c>
      <c r="M984" s="33">
        <v>52</v>
      </c>
      <c r="N984" s="33"/>
      <c r="O984" s="93">
        <f>IFERROR(IF(Readings[[#This Row],[Obs. X]]="","-",Readings[[#This Row],[Obs. X]]-_xlfn.XLOOKUP(Readings[[#This Row],[Sensor ID]],Table_Baseline[Sensor ID],Table_Baseline[Easting '[m']],"-")),"-")</f>
        <v>-9.9999999656574801E-4</v>
      </c>
      <c r="P984" s="93">
        <f>IFERROR(IF(Readings[[#This Row],[Obs. Y]]="","-",Readings[[#This Row],[Obs. Y]]-_xlfn.XLOOKUP(Readings[[#This Row],[Sensor ID]],Table_Baseline[Sensor ID],Table_Baseline[Northing '[m']],"-")),"-")</f>
        <v>0</v>
      </c>
      <c r="Q984" s="93">
        <f>IFERROR(IF(Readings[[#This Row],[Obs. Z]]="","-",Readings[[#This Row],[Obs. Z]]-_xlfn.XLOOKUP(Readings[[#This Row],[Sensor ID]],Table_Baseline[Sensor ID],Table_Baseline[Level '[m']],"-")),"-")</f>
        <v>-1.0000000000012221E-3</v>
      </c>
      <c r="R984" s="93">
        <f>IFERROR(IF(Readings[[#This Row],[Reference Angle]]="-","-",(Readings[[#This Row],[Diff E]]*COS(RADIANS(Readings[[#This Row],[Reference Angle]]))-Readings[[#This Row],[Diff N]]*SIN(RADIANS(Readings[[#This Row],[Reference Angle]])))),"-")</f>
        <v>-9.9999999656574801E-4</v>
      </c>
      <c r="S984" s="93">
        <f>IFERROR(IF(Readings[[#This Row],[Reference Angle]]="-","-",(Readings[[#This Row],[Diff E]]*SIN(RADIANS(Readings[[#This Row],[Reference Angle]]))+Readings[[#This Row],[Diff N]]*COS(RADIANS(Readings[[#This Row],[Reference Angle]])))),"-")</f>
        <v>0</v>
      </c>
      <c r="T984" s="94">
        <f>IFERROR(VLOOKUP(Readings[[#This Row],[Sensor ID]],Table_Baseline[],COLUMNS(Table_Baseline[[#Headers],[Sensor ID]:[Reference Angle '[Deg']]]),FALSE),"-")</f>
        <v>0</v>
      </c>
      <c r="U984" s="95" t="str">
        <f>Readings[[#This Row],[Sensor ID]]&amp;"-"&amp;Readings[[#This Row],[Epoch]]</f>
        <v>250-RL-OP-11005-45848.2916666667</v>
      </c>
      <c r="V984" s="99">
        <f ca="1">IF(Readings[[#This Row],[Epoch]]=OFFSET(Readings[[#This Row],[Epoch]],-1,0),0,1)</f>
        <v>0</v>
      </c>
    </row>
    <row r="985" spans="4:22" x14ac:dyDescent="0.2">
      <c r="D985" s="32">
        <v>45848.291666666664</v>
      </c>
      <c r="E985" s="33" t="s">
        <v>175</v>
      </c>
      <c r="F985" s="34">
        <v>60040.606</v>
      </c>
      <c r="G985" s="34">
        <v>363842.86300000001</v>
      </c>
      <c r="H985" s="34">
        <v>18.771000000000001</v>
      </c>
      <c r="I985" s="33" t="s">
        <v>516</v>
      </c>
      <c r="J985" s="33" t="s">
        <v>90</v>
      </c>
      <c r="K985" s="33">
        <v>12.8</v>
      </c>
      <c r="L985" s="33">
        <v>1010.6</v>
      </c>
      <c r="M985" s="33">
        <v>52</v>
      </c>
      <c r="N985" s="33"/>
      <c r="O985" s="93">
        <f>IFERROR(IF(Readings[[#This Row],[Obs. X]]="","-",Readings[[#This Row],[Obs. X]]-_xlfn.XLOOKUP(Readings[[#This Row],[Sensor ID]],Table_Baseline[Sensor ID],Table_Baseline[Easting '[m']],"-")),"-")</f>
        <v>-1.0000000038417056E-3</v>
      </c>
      <c r="P985" s="93">
        <f>IFERROR(IF(Readings[[#This Row],[Obs. Y]]="","-",Readings[[#This Row],[Obs. Y]]-_xlfn.XLOOKUP(Readings[[#This Row],[Sensor ID]],Table_Baseline[Sensor ID],Table_Baseline[Northing '[m']],"-")),"-")</f>
        <v>1.9999999785795808E-3</v>
      </c>
      <c r="Q985" s="93">
        <f>IFERROR(IF(Readings[[#This Row],[Obs. Z]]="","-",Readings[[#This Row],[Obs. Z]]-_xlfn.XLOOKUP(Readings[[#This Row],[Sensor ID]],Table_Baseline[Sensor ID],Table_Baseline[Level '[m']],"-")),"-")</f>
        <v>-9.9999999999766942E-4</v>
      </c>
      <c r="R985" s="93">
        <f>IFERROR(IF(Readings[[#This Row],[Reference Angle]]="-","-",(Readings[[#This Row],[Diff E]]*COS(RADIANS(Readings[[#This Row],[Reference Angle]]))-Readings[[#This Row],[Diff N]]*SIN(RADIANS(Readings[[#This Row],[Reference Angle]])))),"-")</f>
        <v>-1.0000000038417056E-3</v>
      </c>
      <c r="S985" s="93">
        <f>IFERROR(IF(Readings[[#This Row],[Reference Angle]]="-","-",(Readings[[#This Row],[Diff E]]*SIN(RADIANS(Readings[[#This Row],[Reference Angle]]))+Readings[[#This Row],[Diff N]]*COS(RADIANS(Readings[[#This Row],[Reference Angle]])))),"-")</f>
        <v>1.9999999785795808E-3</v>
      </c>
      <c r="T985" s="94">
        <f>IFERROR(VLOOKUP(Readings[[#This Row],[Sensor ID]],Table_Baseline[],COLUMNS(Table_Baseline[[#Headers],[Sensor ID]:[Reference Angle '[Deg']]]),FALSE),"-")</f>
        <v>0</v>
      </c>
      <c r="U985" s="95" t="str">
        <f>Readings[[#This Row],[Sensor ID]]&amp;"-"&amp;Readings[[#This Row],[Epoch]]</f>
        <v>250-RL-OP-11006-45848.2916666667</v>
      </c>
      <c r="V985" s="99">
        <f ca="1">IF(Readings[[#This Row],[Epoch]]=OFFSET(Readings[[#This Row],[Epoch]],-1,0),0,1)</f>
        <v>0</v>
      </c>
    </row>
    <row r="986" spans="4:22" x14ac:dyDescent="0.2">
      <c r="D986" s="32">
        <v>45848.291666666664</v>
      </c>
      <c r="E986" s="33" t="s">
        <v>178</v>
      </c>
      <c r="F986" s="34">
        <v>60043.758000000002</v>
      </c>
      <c r="G986" s="34">
        <v>363843.31599999999</v>
      </c>
      <c r="H986" s="34">
        <v>18.773</v>
      </c>
      <c r="I986" s="33" t="s">
        <v>516</v>
      </c>
      <c r="J986" s="33" t="s">
        <v>90</v>
      </c>
      <c r="K986" s="33">
        <v>12.8</v>
      </c>
      <c r="L986" s="33">
        <v>1010.6</v>
      </c>
      <c r="M986" s="33">
        <v>52</v>
      </c>
      <c r="N986" s="33"/>
      <c r="O986" s="93">
        <f>IFERROR(IF(Readings[[#This Row],[Obs. X]]="","-",Readings[[#This Row],[Obs. X]]-_xlfn.XLOOKUP(Readings[[#This Row],[Sensor ID]],Table_Baseline[Sensor ID],Table_Baseline[Easting '[m']],"-")),"-")</f>
        <v>-9.9999999656574801E-4</v>
      </c>
      <c r="P986" s="93">
        <f>IFERROR(IF(Readings[[#This Row],[Obs. Y]]="","-",Readings[[#This Row],[Obs. Y]]-_xlfn.XLOOKUP(Readings[[#This Row],[Sensor ID]],Table_Baseline[Sensor ID],Table_Baseline[Northing '[m']],"-")),"-")</f>
        <v>1.9999999785795808E-3</v>
      </c>
      <c r="Q986" s="93">
        <f>IFERROR(IF(Readings[[#This Row],[Obs. Z]]="","-",Readings[[#This Row],[Obs. Z]]-_xlfn.XLOOKUP(Readings[[#This Row],[Sensor ID]],Table_Baseline[Sensor ID],Table_Baseline[Level '[m']],"-")),"-")</f>
        <v>-1.1000000000009891E-3</v>
      </c>
      <c r="R986" s="93">
        <f>IFERROR(IF(Readings[[#This Row],[Reference Angle]]="-","-",(Readings[[#This Row],[Diff E]]*COS(RADIANS(Readings[[#This Row],[Reference Angle]]))-Readings[[#This Row],[Diff N]]*SIN(RADIANS(Readings[[#This Row],[Reference Angle]])))),"-")</f>
        <v>-9.9999999656574801E-4</v>
      </c>
      <c r="S986" s="93">
        <f>IFERROR(IF(Readings[[#This Row],[Reference Angle]]="-","-",(Readings[[#This Row],[Diff E]]*SIN(RADIANS(Readings[[#This Row],[Reference Angle]]))+Readings[[#This Row],[Diff N]]*COS(RADIANS(Readings[[#This Row],[Reference Angle]])))),"-")</f>
        <v>1.9999999785795808E-3</v>
      </c>
      <c r="T986" s="94">
        <f>IFERROR(VLOOKUP(Readings[[#This Row],[Sensor ID]],Table_Baseline[],COLUMNS(Table_Baseline[[#Headers],[Sensor ID]:[Reference Angle '[Deg']]]),FALSE),"-")</f>
        <v>0</v>
      </c>
      <c r="U986" s="95" t="str">
        <f>Readings[[#This Row],[Sensor ID]]&amp;"-"&amp;Readings[[#This Row],[Epoch]]</f>
        <v>250-RL-OP-11007-45848.2916666667</v>
      </c>
      <c r="V986" s="99">
        <f ca="1">IF(Readings[[#This Row],[Epoch]]=OFFSET(Readings[[#This Row],[Epoch]],-1,0),0,1)</f>
        <v>0</v>
      </c>
    </row>
    <row r="987" spans="4:22" x14ac:dyDescent="0.2">
      <c r="D987" s="32">
        <v>45848.291666666664</v>
      </c>
      <c r="E987" s="33" t="s">
        <v>177</v>
      </c>
      <c r="F987" s="34">
        <v>60043.440999999999</v>
      </c>
      <c r="G987" s="34">
        <v>363842.04200000002</v>
      </c>
      <c r="H987" s="34">
        <v>18.768000000000001</v>
      </c>
      <c r="I987" s="33" t="s">
        <v>516</v>
      </c>
      <c r="J987" s="33" t="s">
        <v>90</v>
      </c>
      <c r="K987" s="33">
        <v>12.8</v>
      </c>
      <c r="L987" s="33">
        <v>1010.6</v>
      </c>
      <c r="M987" s="33">
        <v>52</v>
      </c>
      <c r="N987" s="33"/>
      <c r="O987" s="93">
        <f>IFERROR(IF(Readings[[#This Row],[Obs. X]]="","-",Readings[[#This Row],[Obs. X]]-_xlfn.XLOOKUP(Readings[[#This Row],[Sensor ID]],Table_Baseline[Sensor ID],Table_Baseline[Easting '[m']],"-")),"-")</f>
        <v>0</v>
      </c>
      <c r="P987" s="93">
        <f>IFERROR(IF(Readings[[#This Row],[Obs. Y]]="","-",Readings[[#This Row],[Obs. Y]]-_xlfn.XLOOKUP(Readings[[#This Row],[Sensor ID]],Table_Baseline[Sensor ID],Table_Baseline[Northing '[m']],"-")),"-")</f>
        <v>1.9999999785795808E-3</v>
      </c>
      <c r="Q987" s="93">
        <f>IFERROR(IF(Readings[[#This Row],[Obs. Z]]="","-",Readings[[#This Row],[Obs. Z]]-_xlfn.XLOOKUP(Readings[[#This Row],[Sensor ID]],Table_Baseline[Sensor ID],Table_Baseline[Level '[m']],"-")),"-")</f>
        <v>-2.9999999999930083E-4</v>
      </c>
      <c r="R987" s="93">
        <f>IFERROR(IF(Readings[[#This Row],[Reference Angle]]="-","-",(Readings[[#This Row],[Diff E]]*COS(RADIANS(Readings[[#This Row],[Reference Angle]]))-Readings[[#This Row],[Diff N]]*SIN(RADIANS(Readings[[#This Row],[Reference Angle]])))),"-")</f>
        <v>0</v>
      </c>
      <c r="S987" s="93">
        <f>IFERROR(IF(Readings[[#This Row],[Reference Angle]]="-","-",(Readings[[#This Row],[Diff E]]*SIN(RADIANS(Readings[[#This Row],[Reference Angle]]))+Readings[[#This Row],[Diff N]]*COS(RADIANS(Readings[[#This Row],[Reference Angle]])))),"-")</f>
        <v>1.9999999785795808E-3</v>
      </c>
      <c r="T987" s="94">
        <f>IFERROR(VLOOKUP(Readings[[#This Row],[Sensor ID]],Table_Baseline[],COLUMNS(Table_Baseline[[#Headers],[Sensor ID]:[Reference Angle '[Deg']]]),FALSE),"-")</f>
        <v>0</v>
      </c>
      <c r="U987" s="95" t="str">
        <f>Readings[[#This Row],[Sensor ID]]&amp;"-"&amp;Readings[[#This Row],[Epoch]]</f>
        <v>250-RL-OP-11008-45848.2916666667</v>
      </c>
      <c r="V987" s="99">
        <f ca="1">IF(Readings[[#This Row],[Epoch]]=OFFSET(Readings[[#This Row],[Epoch]],-1,0),0,1)</f>
        <v>0</v>
      </c>
    </row>
    <row r="988" spans="4:22" x14ac:dyDescent="0.2">
      <c r="D988" s="32">
        <v>45848.291666666664</v>
      </c>
      <c r="E988" s="33" t="s">
        <v>180</v>
      </c>
      <c r="F988" s="34">
        <v>60046.633000000002</v>
      </c>
      <c r="G988" s="34">
        <v>363842.48699999996</v>
      </c>
      <c r="H988" s="34">
        <v>18.777000000000001</v>
      </c>
      <c r="I988" s="33" t="s">
        <v>516</v>
      </c>
      <c r="J988" s="33" t="s">
        <v>90</v>
      </c>
      <c r="K988" s="33">
        <v>12.8</v>
      </c>
      <c r="L988" s="33">
        <v>1010.6</v>
      </c>
      <c r="M988" s="33">
        <v>52</v>
      </c>
      <c r="N988" s="33"/>
      <c r="O988" s="93">
        <f>IFERROR(IF(Readings[[#This Row],[Obs. X]]="","-",Readings[[#This Row],[Obs. X]]-_xlfn.XLOOKUP(Readings[[#This Row],[Sensor ID]],Table_Baseline[Sensor ID],Table_Baseline[Easting '[m']],"-")),"-")</f>
        <v>0</v>
      </c>
      <c r="P988" s="93">
        <f>IFERROR(IF(Readings[[#This Row],[Obs. Y]]="","-",Readings[[#This Row],[Obs. Y]]-_xlfn.XLOOKUP(Readings[[#This Row],[Sensor ID]],Table_Baseline[Sensor ID],Table_Baseline[Northing '[m']],"-")),"-")</f>
        <v>1.9999999785795808E-3</v>
      </c>
      <c r="Q988" s="93">
        <f>IFERROR(IF(Readings[[#This Row],[Obs. Z]]="","-",Readings[[#This Row],[Obs. Z]]-_xlfn.XLOOKUP(Readings[[#This Row],[Sensor ID]],Table_Baseline[Sensor ID],Table_Baseline[Level '[m']],"-")),"-")</f>
        <v>-5.9999999999860165E-4</v>
      </c>
      <c r="R988" s="93">
        <f>IFERROR(IF(Readings[[#This Row],[Reference Angle]]="-","-",(Readings[[#This Row],[Diff E]]*COS(RADIANS(Readings[[#This Row],[Reference Angle]]))-Readings[[#This Row],[Diff N]]*SIN(RADIANS(Readings[[#This Row],[Reference Angle]])))),"-")</f>
        <v>0</v>
      </c>
      <c r="S988" s="93">
        <f>IFERROR(IF(Readings[[#This Row],[Reference Angle]]="-","-",(Readings[[#This Row],[Diff E]]*SIN(RADIANS(Readings[[#This Row],[Reference Angle]]))+Readings[[#This Row],[Diff N]]*COS(RADIANS(Readings[[#This Row],[Reference Angle]])))),"-")</f>
        <v>1.9999999785795808E-3</v>
      </c>
      <c r="T988" s="94">
        <f>IFERROR(VLOOKUP(Readings[[#This Row],[Sensor ID]],Table_Baseline[],COLUMNS(Table_Baseline[[#Headers],[Sensor ID]:[Reference Angle '[Deg']]]),FALSE),"-")</f>
        <v>0</v>
      </c>
      <c r="U988" s="95" t="str">
        <f>Readings[[#This Row],[Sensor ID]]&amp;"-"&amp;Readings[[#This Row],[Epoch]]</f>
        <v>250-RL-OP-11009-45848.2916666667</v>
      </c>
      <c r="V988" s="99">
        <f ca="1">IF(Readings[[#This Row],[Epoch]]=OFFSET(Readings[[#This Row],[Epoch]],-1,0),0,1)</f>
        <v>0</v>
      </c>
    </row>
    <row r="989" spans="4:22" x14ac:dyDescent="0.2">
      <c r="D989" s="32">
        <v>45848.291666666664</v>
      </c>
      <c r="E989" s="33" t="s">
        <v>179</v>
      </c>
      <c r="F989" s="34">
        <v>60046.249000000003</v>
      </c>
      <c r="G989" s="34">
        <v>363841.228</v>
      </c>
      <c r="H989" s="34">
        <v>18.768999999999998</v>
      </c>
      <c r="I989" s="33" t="s">
        <v>516</v>
      </c>
      <c r="J989" s="33" t="s">
        <v>90</v>
      </c>
      <c r="K989" s="33">
        <v>12.8</v>
      </c>
      <c r="L989" s="33">
        <v>1010.6</v>
      </c>
      <c r="M989" s="33">
        <v>52</v>
      </c>
      <c r="N989" s="33"/>
      <c r="O989" s="93">
        <f>IFERROR(IF(Readings[[#This Row],[Obs. X]]="","-",Readings[[#This Row],[Obs. X]]-_xlfn.XLOOKUP(Readings[[#This Row],[Sensor ID]],Table_Baseline[Sensor ID],Table_Baseline[Easting '[m']],"-")),"-")</f>
        <v>-9.9999999656574801E-4</v>
      </c>
      <c r="P989" s="93">
        <f>IFERROR(IF(Readings[[#This Row],[Obs. Y]]="","-",Readings[[#This Row],[Obs. Y]]-_xlfn.XLOOKUP(Readings[[#This Row],[Sensor ID]],Table_Baseline[Sensor ID],Table_Baseline[Northing '[m']],"-")),"-")</f>
        <v>1.9999999785795808E-3</v>
      </c>
      <c r="Q989" s="93">
        <f>IFERROR(IF(Readings[[#This Row],[Obs. Z]]="","-",Readings[[#This Row],[Obs. Z]]-_xlfn.XLOOKUP(Readings[[#This Row],[Sensor ID]],Table_Baseline[Sensor ID],Table_Baseline[Level '[m']],"-")),"-")</f>
        <v>-8.0000000000168825E-4</v>
      </c>
      <c r="R989" s="93">
        <f>IFERROR(IF(Readings[[#This Row],[Reference Angle]]="-","-",(Readings[[#This Row],[Diff E]]*COS(RADIANS(Readings[[#This Row],[Reference Angle]]))-Readings[[#This Row],[Diff N]]*SIN(RADIANS(Readings[[#This Row],[Reference Angle]])))),"-")</f>
        <v>-9.9999999656574801E-4</v>
      </c>
      <c r="S989" s="93">
        <f>IFERROR(IF(Readings[[#This Row],[Reference Angle]]="-","-",(Readings[[#This Row],[Diff E]]*SIN(RADIANS(Readings[[#This Row],[Reference Angle]]))+Readings[[#This Row],[Diff N]]*COS(RADIANS(Readings[[#This Row],[Reference Angle]])))),"-")</f>
        <v>1.9999999785795808E-3</v>
      </c>
      <c r="T989" s="94">
        <f>IFERROR(VLOOKUP(Readings[[#This Row],[Sensor ID]],Table_Baseline[],COLUMNS(Table_Baseline[[#Headers],[Sensor ID]:[Reference Angle '[Deg']]]),FALSE),"-")</f>
        <v>0</v>
      </c>
      <c r="U989" s="95" t="str">
        <f>Readings[[#This Row],[Sensor ID]]&amp;"-"&amp;Readings[[#This Row],[Epoch]]</f>
        <v>250-RL-OP-11010-45848.2916666667</v>
      </c>
      <c r="V989" s="99">
        <f ca="1">IF(Readings[[#This Row],[Epoch]]=OFFSET(Readings[[#This Row],[Epoch]],-1,0),0,1)</f>
        <v>0</v>
      </c>
    </row>
    <row r="990" spans="4:22" x14ac:dyDescent="0.2">
      <c r="D990" s="32">
        <v>45848.291666666664</v>
      </c>
      <c r="E990" s="33" t="s">
        <v>182</v>
      </c>
      <c r="F990" s="34">
        <v>60049.398000000001</v>
      </c>
      <c r="G990" s="34">
        <v>363841.7</v>
      </c>
      <c r="H990" s="34">
        <v>18.777000000000001</v>
      </c>
      <c r="I990" s="33" t="s">
        <v>516</v>
      </c>
      <c r="J990" s="33" t="s">
        <v>90</v>
      </c>
      <c r="K990" s="33">
        <v>12.8</v>
      </c>
      <c r="L990" s="33">
        <v>1010.6</v>
      </c>
      <c r="M990" s="33">
        <v>52</v>
      </c>
      <c r="N990" s="33"/>
      <c r="O990" s="93">
        <f>IFERROR(IF(Readings[[#This Row],[Obs. X]]="","-",Readings[[#This Row],[Obs. X]]-_xlfn.XLOOKUP(Readings[[#This Row],[Sensor ID]],Table_Baseline[Sensor ID],Table_Baseline[Easting '[m']],"-")),"-")</f>
        <v>-9.9999999656574801E-4</v>
      </c>
      <c r="P990" s="93">
        <f>IFERROR(IF(Readings[[#This Row],[Obs. Y]]="","-",Readings[[#This Row],[Obs. Y]]-_xlfn.XLOOKUP(Readings[[#This Row],[Sensor ID]],Table_Baseline[Sensor ID],Table_Baseline[Northing '[m']],"-")),"-")</f>
        <v>2.0000000367872417E-3</v>
      </c>
      <c r="Q990" s="93">
        <f>IFERROR(IF(Readings[[#This Row],[Obs. Z]]="","-",Readings[[#This Row],[Obs. Z]]-_xlfn.XLOOKUP(Readings[[#This Row],[Sensor ID]],Table_Baseline[Sensor ID],Table_Baseline[Level '[m']],"-")),"-")</f>
        <v>-9.9999999999766942E-4</v>
      </c>
      <c r="R990" s="93">
        <f>IFERROR(IF(Readings[[#This Row],[Reference Angle]]="-","-",(Readings[[#This Row],[Diff E]]*COS(RADIANS(Readings[[#This Row],[Reference Angle]]))-Readings[[#This Row],[Diff N]]*SIN(RADIANS(Readings[[#This Row],[Reference Angle]])))),"-")</f>
        <v>-9.9999999656574801E-4</v>
      </c>
      <c r="S990" s="93">
        <f>IFERROR(IF(Readings[[#This Row],[Reference Angle]]="-","-",(Readings[[#This Row],[Diff E]]*SIN(RADIANS(Readings[[#This Row],[Reference Angle]]))+Readings[[#This Row],[Diff N]]*COS(RADIANS(Readings[[#This Row],[Reference Angle]])))),"-")</f>
        <v>2.0000000367872417E-3</v>
      </c>
      <c r="T990" s="94">
        <f>IFERROR(VLOOKUP(Readings[[#This Row],[Sensor ID]],Table_Baseline[],COLUMNS(Table_Baseline[[#Headers],[Sensor ID]:[Reference Angle '[Deg']]]),FALSE),"-")</f>
        <v>0</v>
      </c>
      <c r="U990" s="95" t="str">
        <f>Readings[[#This Row],[Sensor ID]]&amp;"-"&amp;Readings[[#This Row],[Epoch]]</f>
        <v>250-RL-OP-11011-45848.2916666667</v>
      </c>
      <c r="V990" s="99">
        <f ca="1">IF(Readings[[#This Row],[Epoch]]=OFFSET(Readings[[#This Row],[Epoch]],-1,0),0,1)</f>
        <v>0</v>
      </c>
    </row>
    <row r="991" spans="4:22" x14ac:dyDescent="0.2">
      <c r="D991" s="32">
        <v>45848.291666666664</v>
      </c>
      <c r="E991" s="33" t="s">
        <v>181</v>
      </c>
      <c r="F991" s="34">
        <v>60049.04</v>
      </c>
      <c r="G991" s="34">
        <v>363840.43700000003</v>
      </c>
      <c r="H991" s="34">
        <v>18.771000000000001</v>
      </c>
      <c r="I991" s="33" t="s">
        <v>516</v>
      </c>
      <c r="J991" s="33" t="s">
        <v>90</v>
      </c>
      <c r="K991" s="33">
        <v>12.8</v>
      </c>
      <c r="L991" s="33">
        <v>1010.6</v>
      </c>
      <c r="M991" s="33">
        <v>52</v>
      </c>
      <c r="N991" s="33"/>
      <c r="O991" s="93">
        <f>IFERROR(IF(Readings[[#This Row],[Obs. X]]="","-",Readings[[#This Row],[Obs. X]]-_xlfn.XLOOKUP(Readings[[#This Row],[Sensor ID]],Table_Baseline[Sensor ID],Table_Baseline[Easting '[m']],"-")),"-")</f>
        <v>-9.9999999656574801E-4</v>
      </c>
      <c r="P991" s="93">
        <f>IFERROR(IF(Readings[[#This Row],[Obs. Y]]="","-",Readings[[#This Row],[Obs. Y]]-_xlfn.XLOOKUP(Readings[[#This Row],[Sensor ID]],Table_Baseline[Sensor ID],Table_Baseline[Northing '[m']],"-")),"-")</f>
        <v>4.0000000735744834E-3</v>
      </c>
      <c r="Q991" s="93">
        <f>IFERROR(IF(Readings[[#This Row],[Obs. Z]]="","-",Readings[[#This Row],[Obs. Z]]-_xlfn.XLOOKUP(Readings[[#This Row],[Sensor ID]],Table_Baseline[Sensor ID],Table_Baseline[Level '[m']],"-")),"-")</f>
        <v>-9.9999999999766942E-5</v>
      </c>
      <c r="R991" s="93">
        <f>IFERROR(IF(Readings[[#This Row],[Reference Angle]]="-","-",(Readings[[#This Row],[Diff E]]*COS(RADIANS(Readings[[#This Row],[Reference Angle]]))-Readings[[#This Row],[Diff N]]*SIN(RADIANS(Readings[[#This Row],[Reference Angle]])))),"-")</f>
        <v>-9.9999999656574801E-4</v>
      </c>
      <c r="S991" s="93">
        <f>IFERROR(IF(Readings[[#This Row],[Reference Angle]]="-","-",(Readings[[#This Row],[Diff E]]*SIN(RADIANS(Readings[[#This Row],[Reference Angle]]))+Readings[[#This Row],[Diff N]]*COS(RADIANS(Readings[[#This Row],[Reference Angle]])))),"-")</f>
        <v>4.0000000735744834E-3</v>
      </c>
      <c r="T991" s="94">
        <f>IFERROR(VLOOKUP(Readings[[#This Row],[Sensor ID]],Table_Baseline[],COLUMNS(Table_Baseline[[#Headers],[Sensor ID]:[Reference Angle '[Deg']]]),FALSE),"-")</f>
        <v>0</v>
      </c>
      <c r="U991" s="95" t="str">
        <f>Readings[[#This Row],[Sensor ID]]&amp;"-"&amp;Readings[[#This Row],[Epoch]]</f>
        <v>250-RL-OP-11012-45848.2916666667</v>
      </c>
      <c r="V991" s="99">
        <f ca="1">IF(Readings[[#This Row],[Epoch]]=OFFSET(Readings[[#This Row],[Epoch]],-1,0),0,1)</f>
        <v>0</v>
      </c>
    </row>
    <row r="992" spans="4:22" x14ac:dyDescent="0.2">
      <c r="D992" s="32">
        <v>45848.291666666664</v>
      </c>
      <c r="E992" s="33" t="s">
        <v>184</v>
      </c>
      <c r="F992" s="34">
        <v>60052.292999999998</v>
      </c>
      <c r="G992" s="34">
        <v>363840.88800000004</v>
      </c>
      <c r="H992" s="34">
        <v>18.777999999999999</v>
      </c>
      <c r="I992" s="33" t="s">
        <v>516</v>
      </c>
      <c r="J992" s="33" t="s">
        <v>90</v>
      </c>
      <c r="K992" s="33">
        <v>12.8</v>
      </c>
      <c r="L992" s="33">
        <v>1010.6</v>
      </c>
      <c r="M992" s="33">
        <v>52</v>
      </c>
      <c r="N992" s="33"/>
      <c r="O992" s="93">
        <f>IFERROR(IF(Readings[[#This Row],[Obs. X]]="","-",Readings[[#This Row],[Obs. X]]-_xlfn.XLOOKUP(Readings[[#This Row],[Sensor ID]],Table_Baseline[Sensor ID],Table_Baseline[Easting '[m']],"-")),"-")</f>
        <v>0</v>
      </c>
      <c r="P992" s="93">
        <f>IFERROR(IF(Readings[[#This Row],[Obs. Y]]="","-",Readings[[#This Row],[Obs. Y]]-_xlfn.XLOOKUP(Readings[[#This Row],[Sensor ID]],Table_Baseline[Sensor ID],Table_Baseline[Northing '[m']],"-")),"-")</f>
        <v>3.0000000260770321E-3</v>
      </c>
      <c r="Q992" s="93">
        <f>IFERROR(IF(Readings[[#This Row],[Obs. Z]]="","-",Readings[[#This Row],[Obs. Z]]-_xlfn.XLOOKUP(Readings[[#This Row],[Sensor ID]],Table_Baseline[Sensor ID],Table_Baseline[Level '[m']],"-")),"-")</f>
        <v>-1.0000000000012221E-3</v>
      </c>
      <c r="R992" s="93">
        <f>IFERROR(IF(Readings[[#This Row],[Reference Angle]]="-","-",(Readings[[#This Row],[Diff E]]*COS(RADIANS(Readings[[#This Row],[Reference Angle]]))-Readings[[#This Row],[Diff N]]*SIN(RADIANS(Readings[[#This Row],[Reference Angle]])))),"-")</f>
        <v>0</v>
      </c>
      <c r="S992" s="93">
        <f>IFERROR(IF(Readings[[#This Row],[Reference Angle]]="-","-",(Readings[[#This Row],[Diff E]]*SIN(RADIANS(Readings[[#This Row],[Reference Angle]]))+Readings[[#This Row],[Diff N]]*COS(RADIANS(Readings[[#This Row],[Reference Angle]])))),"-")</f>
        <v>3.0000000260770321E-3</v>
      </c>
      <c r="T992" s="94">
        <f>IFERROR(VLOOKUP(Readings[[#This Row],[Sensor ID]],Table_Baseline[],COLUMNS(Table_Baseline[[#Headers],[Sensor ID]:[Reference Angle '[Deg']]]),FALSE),"-")</f>
        <v>0</v>
      </c>
      <c r="U992" s="95" t="str">
        <f>Readings[[#This Row],[Sensor ID]]&amp;"-"&amp;Readings[[#This Row],[Epoch]]</f>
        <v>250-RL-OP-11013-45848.2916666667</v>
      </c>
      <c r="V992" s="99">
        <f ca="1">IF(Readings[[#This Row],[Epoch]]=OFFSET(Readings[[#This Row],[Epoch]],-1,0),0,1)</f>
        <v>0</v>
      </c>
    </row>
    <row r="993" spans="4:22" x14ac:dyDescent="0.2">
      <c r="D993" s="32">
        <v>45848.291666666664</v>
      </c>
      <c r="E993" s="33" t="s">
        <v>183</v>
      </c>
      <c r="F993" s="34">
        <v>60051.989000000001</v>
      </c>
      <c r="G993" s="34">
        <v>363839.60699999996</v>
      </c>
      <c r="H993" s="34">
        <v>18.768999999999998</v>
      </c>
      <c r="I993" s="33" t="s">
        <v>516</v>
      </c>
      <c r="J993" s="33" t="s">
        <v>90</v>
      </c>
      <c r="K993" s="33">
        <v>12.8</v>
      </c>
      <c r="L993" s="33">
        <v>1010.6</v>
      </c>
      <c r="M993" s="33">
        <v>52</v>
      </c>
      <c r="N993" s="33"/>
      <c r="O993" s="93">
        <f>IFERROR(IF(Readings[[#This Row],[Obs. X]]="","-",Readings[[#This Row],[Obs. X]]-_xlfn.XLOOKUP(Readings[[#This Row],[Sensor ID]],Table_Baseline[Sensor ID],Table_Baseline[Easting '[m']],"-")),"-")</f>
        <v>0</v>
      </c>
      <c r="P993" s="93">
        <f>IFERROR(IF(Readings[[#This Row],[Obs. Y]]="","-",Readings[[#This Row],[Obs. Y]]-_xlfn.XLOOKUP(Readings[[#This Row],[Sensor ID]],Table_Baseline[Sensor ID],Table_Baseline[Northing '[m']],"-")),"-")</f>
        <v>3.9999999571591616E-3</v>
      </c>
      <c r="Q993" s="93">
        <f>IFERROR(IF(Readings[[#This Row],[Obs. Z]]="","-",Readings[[#This Row],[Obs. Z]]-_xlfn.XLOOKUP(Readings[[#This Row],[Sensor ID]],Table_Baseline[Sensor ID],Table_Baseline[Level '[m']],"-")),"-")</f>
        <v>-1.1000000000009891E-3</v>
      </c>
      <c r="R993" s="93">
        <f>IFERROR(IF(Readings[[#This Row],[Reference Angle]]="-","-",(Readings[[#This Row],[Diff E]]*COS(RADIANS(Readings[[#This Row],[Reference Angle]]))-Readings[[#This Row],[Diff N]]*SIN(RADIANS(Readings[[#This Row],[Reference Angle]])))),"-")</f>
        <v>0</v>
      </c>
      <c r="S993" s="93">
        <f>IFERROR(IF(Readings[[#This Row],[Reference Angle]]="-","-",(Readings[[#This Row],[Diff E]]*SIN(RADIANS(Readings[[#This Row],[Reference Angle]]))+Readings[[#This Row],[Diff N]]*COS(RADIANS(Readings[[#This Row],[Reference Angle]])))),"-")</f>
        <v>3.9999999571591616E-3</v>
      </c>
      <c r="T993" s="94">
        <f>IFERROR(VLOOKUP(Readings[[#This Row],[Sensor ID]],Table_Baseline[],COLUMNS(Table_Baseline[[#Headers],[Sensor ID]:[Reference Angle '[Deg']]]),FALSE),"-")</f>
        <v>0</v>
      </c>
      <c r="U993" s="95" t="str">
        <f>Readings[[#This Row],[Sensor ID]]&amp;"-"&amp;Readings[[#This Row],[Epoch]]</f>
        <v>250-RL-OP-11014-45848.2916666667</v>
      </c>
      <c r="V993" s="99">
        <f ca="1">IF(Readings[[#This Row],[Epoch]]=OFFSET(Readings[[#This Row],[Epoch]],-1,0),0,1)</f>
        <v>0</v>
      </c>
    </row>
    <row r="994" spans="4:22" x14ac:dyDescent="0.2">
      <c r="D994" s="32">
        <v>45848.291666666664</v>
      </c>
      <c r="E994" s="33" t="s">
        <v>186</v>
      </c>
      <c r="F994" s="34">
        <v>60055.196000000004</v>
      </c>
      <c r="G994" s="34">
        <v>363840.09899999999</v>
      </c>
      <c r="H994" s="34">
        <v>18.78</v>
      </c>
      <c r="I994" s="33" t="s">
        <v>516</v>
      </c>
      <c r="J994" s="33" t="s">
        <v>90</v>
      </c>
      <c r="K994" s="33">
        <v>12.8</v>
      </c>
      <c r="L994" s="33">
        <v>1010.6</v>
      </c>
      <c r="M994" s="33">
        <v>52</v>
      </c>
      <c r="N994" s="33"/>
      <c r="O994" s="93">
        <f>IFERROR(IF(Readings[[#This Row],[Obs. X]]="","-",Readings[[#This Row],[Obs. X]]-_xlfn.XLOOKUP(Readings[[#This Row],[Sensor ID]],Table_Baseline[Sensor ID],Table_Baseline[Easting '[m']],"-")),"-")</f>
        <v>0</v>
      </c>
      <c r="P994" s="93">
        <f>IFERROR(IF(Readings[[#This Row],[Obs. Y]]="","-",Readings[[#This Row],[Obs. Y]]-_xlfn.XLOOKUP(Readings[[#This Row],[Sensor ID]],Table_Baseline[Sensor ID],Table_Baseline[Northing '[m']],"-")),"-")</f>
        <v>4.0000000153668225E-3</v>
      </c>
      <c r="Q994" s="93">
        <f>IFERROR(IF(Readings[[#This Row],[Obs. Z]]="","-",Readings[[#This Row],[Obs. Z]]-_xlfn.XLOOKUP(Readings[[#This Row],[Sensor ID]],Table_Baseline[Sensor ID],Table_Baseline[Level '[m']],"-")),"-")</f>
        <v>-8.9999999999790248E-4</v>
      </c>
      <c r="R994" s="93">
        <f>IFERROR(IF(Readings[[#This Row],[Reference Angle]]="-","-",(Readings[[#This Row],[Diff E]]*COS(RADIANS(Readings[[#This Row],[Reference Angle]]))-Readings[[#This Row],[Diff N]]*SIN(RADIANS(Readings[[#This Row],[Reference Angle]])))),"-")</f>
        <v>0</v>
      </c>
      <c r="S994" s="93">
        <f>IFERROR(IF(Readings[[#This Row],[Reference Angle]]="-","-",(Readings[[#This Row],[Diff E]]*SIN(RADIANS(Readings[[#This Row],[Reference Angle]]))+Readings[[#This Row],[Diff N]]*COS(RADIANS(Readings[[#This Row],[Reference Angle]])))),"-")</f>
        <v>4.0000000153668225E-3</v>
      </c>
      <c r="T994" s="94">
        <f>IFERROR(VLOOKUP(Readings[[#This Row],[Sensor ID]],Table_Baseline[],COLUMNS(Table_Baseline[[#Headers],[Sensor ID]:[Reference Angle '[Deg']]]),FALSE),"-")</f>
        <v>0</v>
      </c>
      <c r="U994" s="95" t="str">
        <f>Readings[[#This Row],[Sensor ID]]&amp;"-"&amp;Readings[[#This Row],[Epoch]]</f>
        <v>250-RL-OP-11015-45848.2916666667</v>
      </c>
      <c r="V994" s="99">
        <f ca="1">IF(Readings[[#This Row],[Epoch]]=OFFSET(Readings[[#This Row],[Epoch]],-1,0),0,1)</f>
        <v>0</v>
      </c>
    </row>
    <row r="995" spans="4:22" x14ac:dyDescent="0.2">
      <c r="D995" s="32">
        <v>45848.291666666664</v>
      </c>
      <c r="E995" s="33" t="s">
        <v>185</v>
      </c>
      <c r="F995" s="34">
        <v>60054.885000000002</v>
      </c>
      <c r="G995" s="34">
        <v>363838.80900000001</v>
      </c>
      <c r="H995" s="34">
        <v>18.771999999999998</v>
      </c>
      <c r="I995" s="33" t="s">
        <v>516</v>
      </c>
      <c r="J995" s="33" t="s">
        <v>90</v>
      </c>
      <c r="K995" s="33">
        <v>12.8</v>
      </c>
      <c r="L995" s="33">
        <v>1010.6</v>
      </c>
      <c r="M995" s="33">
        <v>52</v>
      </c>
      <c r="N995" s="33"/>
      <c r="O995" s="93">
        <f>IFERROR(IF(Readings[[#This Row],[Obs. X]]="","-",Readings[[#This Row],[Obs. X]]-_xlfn.XLOOKUP(Readings[[#This Row],[Sensor ID]],Table_Baseline[Sensor ID],Table_Baseline[Easting '[m']],"-")),"-")</f>
        <v>-9.9999999656574801E-4</v>
      </c>
      <c r="P995" s="93">
        <f>IFERROR(IF(Readings[[#This Row],[Obs. Y]]="","-",Readings[[#This Row],[Obs. Y]]-_xlfn.XLOOKUP(Readings[[#This Row],[Sensor ID]],Table_Baseline[Sensor ID],Table_Baseline[Northing '[m']],"-")),"-")</f>
        <v>4.0000000153668225E-3</v>
      </c>
      <c r="Q995" s="93">
        <f>IFERROR(IF(Readings[[#This Row],[Obs. Z]]="","-",Readings[[#This Row],[Obs. Z]]-_xlfn.XLOOKUP(Readings[[#This Row],[Sensor ID]],Table_Baseline[Sensor ID],Table_Baseline[Level '[m']],"-")),"-")</f>
        <v>-1.1000000000009891E-3</v>
      </c>
      <c r="R995" s="93">
        <f>IFERROR(IF(Readings[[#This Row],[Reference Angle]]="-","-",(Readings[[#This Row],[Diff E]]*COS(RADIANS(Readings[[#This Row],[Reference Angle]]))-Readings[[#This Row],[Diff N]]*SIN(RADIANS(Readings[[#This Row],[Reference Angle]])))),"-")</f>
        <v>-9.9999999656574801E-4</v>
      </c>
      <c r="S995" s="93">
        <f>IFERROR(IF(Readings[[#This Row],[Reference Angle]]="-","-",(Readings[[#This Row],[Diff E]]*SIN(RADIANS(Readings[[#This Row],[Reference Angle]]))+Readings[[#This Row],[Diff N]]*COS(RADIANS(Readings[[#This Row],[Reference Angle]])))),"-")</f>
        <v>4.0000000153668225E-3</v>
      </c>
      <c r="T995" s="94">
        <f>IFERROR(VLOOKUP(Readings[[#This Row],[Sensor ID]],Table_Baseline[],COLUMNS(Table_Baseline[[#Headers],[Sensor ID]:[Reference Angle '[Deg']]]),FALSE),"-")</f>
        <v>0</v>
      </c>
      <c r="U995" s="95" t="str">
        <f>Readings[[#This Row],[Sensor ID]]&amp;"-"&amp;Readings[[#This Row],[Epoch]]</f>
        <v>250-RL-OP-11016-45848.2916666667</v>
      </c>
      <c r="V995" s="99">
        <f ca="1">IF(Readings[[#This Row],[Epoch]]=OFFSET(Readings[[#This Row],[Epoch]],-1,0),0,1)</f>
        <v>0</v>
      </c>
    </row>
    <row r="996" spans="4:22" x14ac:dyDescent="0.2">
      <c r="D996" s="32">
        <v>45848.291666666664</v>
      </c>
      <c r="E996" s="33" t="s">
        <v>188</v>
      </c>
      <c r="F996" s="34">
        <v>60057.951999999997</v>
      </c>
      <c r="G996" s="34">
        <v>363839.36699999997</v>
      </c>
      <c r="H996" s="34">
        <v>18.785</v>
      </c>
      <c r="I996" s="33" t="s">
        <v>516</v>
      </c>
      <c r="J996" s="33" t="s">
        <v>90</v>
      </c>
      <c r="K996" s="33">
        <v>12.8</v>
      </c>
      <c r="L996" s="33">
        <v>1010.6</v>
      </c>
      <c r="M996" s="33">
        <v>52</v>
      </c>
      <c r="N996" s="33"/>
      <c r="O996" s="93">
        <f>IFERROR(IF(Readings[[#This Row],[Obs. X]]="","-",Readings[[#This Row],[Obs. X]]-_xlfn.XLOOKUP(Readings[[#This Row],[Sensor ID]],Table_Baseline[Sensor ID],Table_Baseline[Easting '[m']],"-")),"-")</f>
        <v>0</v>
      </c>
      <c r="P996" s="93">
        <f>IFERROR(IF(Readings[[#This Row],[Obs. Y]]="","-",Readings[[#This Row],[Obs. Y]]-_xlfn.XLOOKUP(Readings[[#This Row],[Sensor ID]],Table_Baseline[Sensor ID],Table_Baseline[Northing '[m']],"-")),"-")</f>
        <v>5.0000000046566129E-3</v>
      </c>
      <c r="Q996" s="93">
        <f>IFERROR(IF(Readings[[#This Row],[Obs. Z]]="","-",Readings[[#This Row],[Obs. Z]]-_xlfn.XLOOKUP(Readings[[#This Row],[Sensor ID]],Table_Baseline[Sensor ID],Table_Baseline[Level '[m']],"-")),"-")</f>
        <v>-1.0000000000012221E-3</v>
      </c>
      <c r="R996" s="93">
        <f>IFERROR(IF(Readings[[#This Row],[Reference Angle]]="-","-",(Readings[[#This Row],[Diff E]]*COS(RADIANS(Readings[[#This Row],[Reference Angle]]))-Readings[[#This Row],[Diff N]]*SIN(RADIANS(Readings[[#This Row],[Reference Angle]])))),"-")</f>
        <v>0</v>
      </c>
      <c r="S996" s="93">
        <f>IFERROR(IF(Readings[[#This Row],[Reference Angle]]="-","-",(Readings[[#This Row],[Diff E]]*SIN(RADIANS(Readings[[#This Row],[Reference Angle]]))+Readings[[#This Row],[Diff N]]*COS(RADIANS(Readings[[#This Row],[Reference Angle]])))),"-")</f>
        <v>5.0000000046566129E-3</v>
      </c>
      <c r="T996" s="94">
        <f>IFERROR(VLOOKUP(Readings[[#This Row],[Sensor ID]],Table_Baseline[],COLUMNS(Table_Baseline[[#Headers],[Sensor ID]:[Reference Angle '[Deg']]]),FALSE),"-")</f>
        <v>0</v>
      </c>
      <c r="U996" s="95" t="str">
        <f>Readings[[#This Row],[Sensor ID]]&amp;"-"&amp;Readings[[#This Row],[Epoch]]</f>
        <v>250-RL-OP-11017-45848.2916666667</v>
      </c>
      <c r="V996" s="99">
        <f ca="1">IF(Readings[[#This Row],[Epoch]]=OFFSET(Readings[[#This Row],[Epoch]],-1,0),0,1)</f>
        <v>0</v>
      </c>
    </row>
    <row r="997" spans="4:22" x14ac:dyDescent="0.2">
      <c r="D997" s="32">
        <v>45848.291666666664</v>
      </c>
      <c r="E997" s="33" t="s">
        <v>187</v>
      </c>
      <c r="F997" s="34">
        <v>60057.578000000001</v>
      </c>
      <c r="G997" s="34">
        <v>363838.103</v>
      </c>
      <c r="H997" s="34">
        <v>18.774999999999999</v>
      </c>
      <c r="I997" s="33" t="s">
        <v>516</v>
      </c>
      <c r="J997" s="33" t="s">
        <v>90</v>
      </c>
      <c r="K997" s="33">
        <v>12.8</v>
      </c>
      <c r="L997" s="33">
        <v>1010.6</v>
      </c>
      <c r="M997" s="33">
        <v>52</v>
      </c>
      <c r="N997" s="33"/>
      <c r="O997" s="93">
        <f>IFERROR(IF(Readings[[#This Row],[Obs. X]]="","-",Readings[[#This Row],[Obs. X]]-_xlfn.XLOOKUP(Readings[[#This Row],[Sensor ID]],Table_Baseline[Sensor ID],Table_Baseline[Easting '[m']],"-")),"-")</f>
        <v>-9.9999999656574801E-4</v>
      </c>
      <c r="P997" s="93">
        <f>IFERROR(IF(Readings[[#This Row],[Obs. Y]]="","-",Readings[[#This Row],[Obs. Y]]-_xlfn.XLOOKUP(Readings[[#This Row],[Sensor ID]],Table_Baseline[Sensor ID],Table_Baseline[Northing '[m']],"-")),"-")</f>
        <v>5.0000000046566129E-3</v>
      </c>
      <c r="Q997" s="93">
        <f>IFERROR(IF(Readings[[#This Row],[Obs. Z]]="","-",Readings[[#This Row],[Obs. Z]]-_xlfn.XLOOKUP(Readings[[#This Row],[Sensor ID]],Table_Baseline[Sensor ID],Table_Baseline[Level '[m']],"-")),"-")</f>
        <v>-1.0000000000012221E-3</v>
      </c>
      <c r="R997" s="93">
        <f>IFERROR(IF(Readings[[#This Row],[Reference Angle]]="-","-",(Readings[[#This Row],[Diff E]]*COS(RADIANS(Readings[[#This Row],[Reference Angle]]))-Readings[[#This Row],[Diff N]]*SIN(RADIANS(Readings[[#This Row],[Reference Angle]])))),"-")</f>
        <v>-9.9999999656574801E-4</v>
      </c>
      <c r="S997" s="93">
        <f>IFERROR(IF(Readings[[#This Row],[Reference Angle]]="-","-",(Readings[[#This Row],[Diff E]]*SIN(RADIANS(Readings[[#This Row],[Reference Angle]]))+Readings[[#This Row],[Diff N]]*COS(RADIANS(Readings[[#This Row],[Reference Angle]])))),"-")</f>
        <v>5.0000000046566129E-3</v>
      </c>
      <c r="T997" s="94">
        <f>IFERROR(VLOOKUP(Readings[[#This Row],[Sensor ID]],Table_Baseline[],COLUMNS(Table_Baseline[[#Headers],[Sensor ID]:[Reference Angle '[Deg']]]),FALSE),"-")</f>
        <v>0</v>
      </c>
      <c r="U997" s="95" t="str">
        <f>Readings[[#This Row],[Sensor ID]]&amp;"-"&amp;Readings[[#This Row],[Epoch]]</f>
        <v>250-RL-OP-11018-45848.2916666667</v>
      </c>
      <c r="V997" s="99">
        <f ca="1">IF(Readings[[#This Row],[Epoch]]=OFFSET(Readings[[#This Row],[Epoch]],-1,0),0,1)</f>
        <v>0</v>
      </c>
    </row>
    <row r="998" spans="4:22" x14ac:dyDescent="0.2">
      <c r="D998" s="32">
        <v>45848.291666666664</v>
      </c>
      <c r="E998" s="33" t="s">
        <v>190</v>
      </c>
      <c r="F998" s="34">
        <v>60060.963000000003</v>
      </c>
      <c r="G998" s="34">
        <v>363838.60499999998</v>
      </c>
      <c r="H998" s="34">
        <v>18.792999999999999</v>
      </c>
      <c r="I998" s="33" t="s">
        <v>516</v>
      </c>
      <c r="J998" s="33" t="s">
        <v>90</v>
      </c>
      <c r="K998" s="33">
        <v>12.8</v>
      </c>
      <c r="L998" s="33">
        <v>1010.6</v>
      </c>
      <c r="M998" s="33">
        <v>52</v>
      </c>
      <c r="N998" s="33"/>
      <c r="O998" s="93">
        <f>IFERROR(IF(Readings[[#This Row],[Obs. X]]="","-",Readings[[#This Row],[Obs. X]]-_xlfn.XLOOKUP(Readings[[#This Row],[Sensor ID]],Table_Baseline[Sensor ID],Table_Baseline[Easting '[m']],"-")),"-")</f>
        <v>0</v>
      </c>
      <c r="P998" s="93">
        <f>IFERROR(IF(Readings[[#This Row],[Obs. Y]]="","-",Readings[[#This Row],[Obs. Y]]-_xlfn.XLOOKUP(Readings[[#This Row],[Sensor ID]],Table_Baseline[Sensor ID],Table_Baseline[Northing '[m']],"-")),"-")</f>
        <v>3.9999999571591616E-3</v>
      </c>
      <c r="Q998" s="93">
        <f>IFERROR(IF(Readings[[#This Row],[Obs. Z]]="","-",Readings[[#This Row],[Obs. Z]]-_xlfn.XLOOKUP(Readings[[#This Row],[Sensor ID]],Table_Baseline[Sensor ID],Table_Baseline[Level '[m']],"-")),"-")</f>
        <v>-1.5999999999998238E-3</v>
      </c>
      <c r="R998" s="93">
        <f>IFERROR(IF(Readings[[#This Row],[Reference Angle]]="-","-",(Readings[[#This Row],[Diff E]]*COS(RADIANS(Readings[[#This Row],[Reference Angle]]))-Readings[[#This Row],[Diff N]]*SIN(RADIANS(Readings[[#This Row],[Reference Angle]])))),"-")</f>
        <v>0</v>
      </c>
      <c r="S998" s="93">
        <f>IFERROR(IF(Readings[[#This Row],[Reference Angle]]="-","-",(Readings[[#This Row],[Diff E]]*SIN(RADIANS(Readings[[#This Row],[Reference Angle]]))+Readings[[#This Row],[Diff N]]*COS(RADIANS(Readings[[#This Row],[Reference Angle]])))),"-")</f>
        <v>3.9999999571591616E-3</v>
      </c>
      <c r="T998" s="94">
        <f>IFERROR(VLOOKUP(Readings[[#This Row],[Sensor ID]],Table_Baseline[],COLUMNS(Table_Baseline[[#Headers],[Sensor ID]:[Reference Angle '[Deg']]]),FALSE),"-")</f>
        <v>0</v>
      </c>
      <c r="U998" s="95" t="str">
        <f>Readings[[#This Row],[Sensor ID]]&amp;"-"&amp;Readings[[#This Row],[Epoch]]</f>
        <v>250-RL-OP-11019-45848.2916666667</v>
      </c>
      <c r="V998" s="99">
        <f ca="1">IF(Readings[[#This Row],[Epoch]]=OFFSET(Readings[[#This Row],[Epoch]],-1,0),0,1)</f>
        <v>0</v>
      </c>
    </row>
    <row r="999" spans="4:22" x14ac:dyDescent="0.2">
      <c r="D999" s="32">
        <v>45848.291666666664</v>
      </c>
      <c r="E999" s="33" t="s">
        <v>189</v>
      </c>
      <c r="F999" s="34">
        <v>60060.639999999999</v>
      </c>
      <c r="G999" s="34">
        <v>363837.32699999999</v>
      </c>
      <c r="H999" s="34">
        <v>18.782</v>
      </c>
      <c r="I999" s="33" t="s">
        <v>516</v>
      </c>
      <c r="J999" s="33" t="s">
        <v>90</v>
      </c>
      <c r="K999" s="33">
        <v>12.8</v>
      </c>
      <c r="L999" s="33">
        <v>1010.6</v>
      </c>
      <c r="M999" s="33">
        <v>52</v>
      </c>
      <c r="N999" s="33"/>
      <c r="O999" s="93">
        <f>IFERROR(IF(Readings[[#This Row],[Obs. X]]="","-",Readings[[#This Row],[Obs. X]]-_xlfn.XLOOKUP(Readings[[#This Row],[Sensor ID]],Table_Baseline[Sensor ID],Table_Baseline[Easting '[m']],"-")),"-")</f>
        <v>0</v>
      </c>
      <c r="P999" s="93">
        <f>IFERROR(IF(Readings[[#This Row],[Obs. Y]]="","-",Readings[[#This Row],[Obs. Y]]-_xlfn.XLOOKUP(Readings[[#This Row],[Sensor ID]],Table_Baseline[Sensor ID],Table_Baseline[Northing '[m']],"-")),"-")</f>
        <v>5.0000000046566129E-3</v>
      </c>
      <c r="Q999" s="93">
        <f>IFERROR(IF(Readings[[#This Row],[Obs. Z]]="","-",Readings[[#This Row],[Obs. Z]]-_xlfn.XLOOKUP(Readings[[#This Row],[Sensor ID]],Table_Baseline[Sensor ID],Table_Baseline[Level '[m']],"-")),"-")</f>
        <v>-1.5999999999998238E-3</v>
      </c>
      <c r="R999" s="93">
        <f>IFERROR(IF(Readings[[#This Row],[Reference Angle]]="-","-",(Readings[[#This Row],[Diff E]]*COS(RADIANS(Readings[[#This Row],[Reference Angle]]))-Readings[[#This Row],[Diff N]]*SIN(RADIANS(Readings[[#This Row],[Reference Angle]])))),"-")</f>
        <v>0</v>
      </c>
      <c r="S999" s="93">
        <f>IFERROR(IF(Readings[[#This Row],[Reference Angle]]="-","-",(Readings[[#This Row],[Diff E]]*SIN(RADIANS(Readings[[#This Row],[Reference Angle]]))+Readings[[#This Row],[Diff N]]*COS(RADIANS(Readings[[#This Row],[Reference Angle]])))),"-")</f>
        <v>5.0000000046566129E-3</v>
      </c>
      <c r="T999" s="94">
        <f>IFERROR(VLOOKUP(Readings[[#This Row],[Sensor ID]],Table_Baseline[],COLUMNS(Table_Baseline[[#Headers],[Sensor ID]:[Reference Angle '[Deg']]]),FALSE),"-")</f>
        <v>0</v>
      </c>
      <c r="U999" s="95" t="str">
        <f>Readings[[#This Row],[Sensor ID]]&amp;"-"&amp;Readings[[#This Row],[Epoch]]</f>
        <v>250-RL-OP-11020-45848.2916666667</v>
      </c>
      <c r="V999" s="99">
        <f ca="1">IF(Readings[[#This Row],[Epoch]]=OFFSET(Readings[[#This Row],[Epoch]],-1,0),0,1)</f>
        <v>0</v>
      </c>
    </row>
    <row r="1000" spans="4:22" x14ac:dyDescent="0.2">
      <c r="D1000" s="32">
        <v>45848.291666666664</v>
      </c>
      <c r="E1000" s="33" t="s">
        <v>192</v>
      </c>
      <c r="F1000" s="34">
        <v>60063.75</v>
      </c>
      <c r="G1000" s="34">
        <v>363837.92200000002</v>
      </c>
      <c r="H1000" s="34">
        <v>18.806999999999999</v>
      </c>
      <c r="I1000" s="33" t="s">
        <v>516</v>
      </c>
      <c r="J1000" s="33" t="s">
        <v>90</v>
      </c>
      <c r="K1000" s="33">
        <v>12.8</v>
      </c>
      <c r="L1000" s="33">
        <v>1010.6</v>
      </c>
      <c r="M1000" s="33">
        <v>52</v>
      </c>
      <c r="N1000" s="33"/>
      <c r="O1000" s="93">
        <f>IFERROR(IF(Readings[[#This Row],[Obs. X]]="","-",Readings[[#This Row],[Obs. X]]-_xlfn.XLOOKUP(Readings[[#This Row],[Sensor ID]],Table_Baseline[Sensor ID],Table_Baseline[Easting '[m']],"-")),"-")</f>
        <v>-9.9999999656574801E-4</v>
      </c>
      <c r="P1000" s="93">
        <f>IFERROR(IF(Readings[[#This Row],[Obs. Y]]="","-",Readings[[#This Row],[Obs. Y]]-_xlfn.XLOOKUP(Readings[[#This Row],[Sensor ID]],Table_Baseline[Sensor ID],Table_Baseline[Northing '[m']],"-")),"-")</f>
        <v>4.0000000153668225E-3</v>
      </c>
      <c r="Q1000" s="93">
        <f>IFERROR(IF(Readings[[#This Row],[Obs. Z]]="","-",Readings[[#This Row],[Obs. Z]]-_xlfn.XLOOKUP(Readings[[#This Row],[Sensor ID]],Table_Baseline[Sensor ID],Table_Baseline[Level '[m']],"-")),"-")</f>
        <v>-2.0000000000024443E-3</v>
      </c>
      <c r="R1000" s="93">
        <f>IFERROR(IF(Readings[[#This Row],[Reference Angle]]="-","-",(Readings[[#This Row],[Diff E]]*COS(RADIANS(Readings[[#This Row],[Reference Angle]]))-Readings[[#This Row],[Diff N]]*SIN(RADIANS(Readings[[#This Row],[Reference Angle]])))),"-")</f>
        <v>-9.9999999656574801E-4</v>
      </c>
      <c r="S1000" s="93">
        <f>IFERROR(IF(Readings[[#This Row],[Reference Angle]]="-","-",(Readings[[#This Row],[Diff E]]*SIN(RADIANS(Readings[[#This Row],[Reference Angle]]))+Readings[[#This Row],[Diff N]]*COS(RADIANS(Readings[[#This Row],[Reference Angle]])))),"-")</f>
        <v>4.0000000153668225E-3</v>
      </c>
      <c r="T1000" s="94">
        <f>IFERROR(VLOOKUP(Readings[[#This Row],[Sensor ID]],Table_Baseline[],COLUMNS(Table_Baseline[[#Headers],[Sensor ID]:[Reference Angle '[Deg']]]),FALSE),"-")</f>
        <v>0</v>
      </c>
      <c r="U1000" s="95" t="str">
        <f>Readings[[#This Row],[Sensor ID]]&amp;"-"&amp;Readings[[#This Row],[Epoch]]</f>
        <v>250-RL-OP-11021-45848.2916666667</v>
      </c>
      <c r="V1000" s="99">
        <f ca="1">IF(Readings[[#This Row],[Epoch]]=OFFSET(Readings[[#This Row],[Epoch]],-1,0),0,1)</f>
        <v>0</v>
      </c>
    </row>
    <row r="1001" spans="4:22" x14ac:dyDescent="0.2">
      <c r="D1001" s="204">
        <v>45848.291666666664</v>
      </c>
      <c r="E1001" s="151" t="s">
        <v>191</v>
      </c>
      <c r="F1001" s="152">
        <v>60063.421000000002</v>
      </c>
      <c r="G1001" s="152">
        <v>363836.641</v>
      </c>
      <c r="H1001" s="152">
        <v>18.792999999999999</v>
      </c>
      <c r="I1001" s="151" t="s">
        <v>516</v>
      </c>
      <c r="J1001" s="151" t="s">
        <v>90</v>
      </c>
      <c r="K1001" s="151">
        <v>12.8</v>
      </c>
      <c r="L1001" s="151">
        <v>1010.6</v>
      </c>
      <c r="M1001" s="151">
        <v>52</v>
      </c>
      <c r="N1001" s="151"/>
      <c r="O1001" s="96">
        <f>IFERROR(IF(Readings[[#This Row],[Obs. X]]="","-",Readings[[#This Row],[Obs. X]]-_xlfn.XLOOKUP(Readings[[#This Row],[Sensor ID]],Table_Baseline[Sensor ID],Table_Baseline[Easting '[m']],"-")),"-")</f>
        <v>-9.9999999656574801E-4</v>
      </c>
      <c r="P1001" s="96">
        <f>IFERROR(IF(Readings[[#This Row],[Obs. Y]]="","-",Readings[[#This Row],[Obs. Y]]-_xlfn.XLOOKUP(Readings[[#This Row],[Sensor ID]],Table_Baseline[Sensor ID],Table_Baseline[Northing '[m']],"-")),"-")</f>
        <v>5.0000000046566129E-3</v>
      </c>
      <c r="Q1001" s="96">
        <f>IFERROR(IF(Readings[[#This Row],[Obs. Z]]="","-",Readings[[#This Row],[Obs. Z]]-_xlfn.XLOOKUP(Readings[[#This Row],[Sensor ID]],Table_Baseline[Sensor ID],Table_Baseline[Level '[m']],"-")),"-")</f>
        <v>-1.8999999999991246E-3</v>
      </c>
      <c r="R1001" s="96">
        <f>IFERROR(IF(Readings[[#This Row],[Reference Angle]]="-","-",(Readings[[#This Row],[Diff E]]*COS(RADIANS(Readings[[#This Row],[Reference Angle]]))-Readings[[#This Row],[Diff N]]*SIN(RADIANS(Readings[[#This Row],[Reference Angle]])))),"-")</f>
        <v>-9.9999999656574801E-4</v>
      </c>
      <c r="S1001" s="96">
        <f>IFERROR(IF(Readings[[#This Row],[Reference Angle]]="-","-",(Readings[[#This Row],[Diff E]]*SIN(RADIANS(Readings[[#This Row],[Reference Angle]]))+Readings[[#This Row],[Diff N]]*COS(RADIANS(Readings[[#This Row],[Reference Angle]])))),"-")</f>
        <v>5.0000000046566129E-3</v>
      </c>
      <c r="T1001" s="97">
        <f>IFERROR(VLOOKUP(Readings[[#This Row],[Sensor ID]],Table_Baseline[],COLUMNS(Table_Baseline[[#Headers],[Sensor ID]:[Reference Angle '[Deg']]]),FALSE),"-")</f>
        <v>0</v>
      </c>
      <c r="U1001" s="98" t="str">
        <f>Readings[[#This Row],[Sensor ID]]&amp;"-"&amp;Readings[[#This Row],[Epoch]]</f>
        <v>250-RL-OP-11022-45848.2916666667</v>
      </c>
      <c r="V1001" s="100">
        <f ca="1">IF(Readings[[#This Row],[Epoch]]=OFFSET(Readings[[#This Row],[Epoch]],-1,0),0,1)</f>
        <v>0</v>
      </c>
    </row>
    <row r="1002" spans="4:22" x14ac:dyDescent="0.2">
      <c r="D1002" s="204">
        <v>45848.291666666664</v>
      </c>
      <c r="E1002" s="151" t="s">
        <v>165</v>
      </c>
      <c r="F1002" s="152">
        <v>60034.538999999997</v>
      </c>
      <c r="G1002" s="152">
        <v>363843.38199999998</v>
      </c>
      <c r="H1002" s="152">
        <v>19.331</v>
      </c>
      <c r="I1002" s="151" t="s">
        <v>516</v>
      </c>
      <c r="J1002" s="151" t="s">
        <v>90</v>
      </c>
      <c r="K1002" s="151">
        <v>12.8</v>
      </c>
      <c r="L1002" s="151">
        <v>1010.6</v>
      </c>
      <c r="M1002" s="151">
        <v>52</v>
      </c>
      <c r="N1002" s="151"/>
      <c r="O1002" s="96" t="str">
        <f>IFERROR(IF(Readings[[#This Row],[Obs. X]]="","-",Readings[[#This Row],[Obs. X]]-_xlfn.XLOOKUP(Readings[[#This Row],[Sensor ID]],Table_Baseline[Sensor ID],Table_Baseline[Easting '[m']],"-")),"-")</f>
        <v>-</v>
      </c>
      <c r="P1002" s="96" t="str">
        <f>IFERROR(IF(Readings[[#This Row],[Obs. Y]]="","-",Readings[[#This Row],[Obs. Y]]-_xlfn.XLOOKUP(Readings[[#This Row],[Sensor ID]],Table_Baseline[Sensor ID],Table_Baseline[Northing '[m']],"-")),"-")</f>
        <v>-</v>
      </c>
      <c r="Q1002" s="96" t="str">
        <f>IFERROR(IF(Readings[[#This Row],[Obs. Z]]="","-",Readings[[#This Row],[Obs. Z]]-_xlfn.XLOOKUP(Readings[[#This Row],[Sensor ID]],Table_Baseline[Sensor ID],Table_Baseline[Level '[m']],"-")),"-")</f>
        <v>-</v>
      </c>
      <c r="R1002" s="96" t="str">
        <f>IFERROR(IF(Readings[[#This Row],[Reference Angle]]="-","-",(Readings[[#This Row],[Diff E]]*COS(RADIANS(Readings[[#This Row],[Reference Angle]]))-Readings[[#This Row],[Diff N]]*SIN(RADIANS(Readings[[#This Row],[Reference Angle]])))),"-")</f>
        <v>-</v>
      </c>
      <c r="S1002" s="96" t="str">
        <f>IFERROR(IF(Readings[[#This Row],[Reference Angle]]="-","-",(Readings[[#This Row],[Diff E]]*SIN(RADIANS(Readings[[#This Row],[Reference Angle]]))+Readings[[#This Row],[Diff N]]*COS(RADIANS(Readings[[#This Row],[Reference Angle]])))),"-")</f>
        <v>-</v>
      </c>
      <c r="T1002" s="97" t="str">
        <f>IFERROR(VLOOKUP(Readings[[#This Row],[Sensor ID]],Table_Baseline[],COLUMNS(Table_Baseline[[#Headers],[Sensor ID]:[Reference Angle '[Deg']]]),FALSE),"-")</f>
        <v>-</v>
      </c>
      <c r="U1002" s="98" t="str">
        <f>Readings[[#This Row],[Sensor ID]]&amp;"-"&amp;Readings[[#This Row],[Epoch]]</f>
        <v>250-ST-OP-500-45848.2916666667</v>
      </c>
      <c r="V1002" s="100">
        <f ca="1">IF(Readings[[#This Row],[Epoch]]=OFFSET(Readings[[#This Row],[Epoch]],-1,0),0,1)</f>
        <v>0</v>
      </c>
    </row>
    <row r="1003" spans="4:22" x14ac:dyDescent="0.2">
      <c r="D1003" s="32">
        <v>45848.291666666664</v>
      </c>
      <c r="E1003" s="33" t="s">
        <v>166</v>
      </c>
      <c r="F1003" s="34">
        <v>60040.286999999997</v>
      </c>
      <c r="G1003" s="34">
        <v>363841.73</v>
      </c>
      <c r="H1003" s="34">
        <v>19.321000000000002</v>
      </c>
      <c r="I1003" s="33" t="s">
        <v>516</v>
      </c>
      <c r="J1003" s="33" t="s">
        <v>90</v>
      </c>
      <c r="K1003" s="33">
        <v>12.8</v>
      </c>
      <c r="L1003" s="33">
        <v>1010.6</v>
      </c>
      <c r="M1003" s="33">
        <v>52</v>
      </c>
      <c r="N1003" s="33"/>
      <c r="O1003" s="93" t="str">
        <f>IFERROR(IF(Readings[[#This Row],[Obs. X]]="","-",Readings[[#This Row],[Obs. X]]-_xlfn.XLOOKUP(Readings[[#This Row],[Sensor ID]],Table_Baseline[Sensor ID],Table_Baseline[Easting '[m']],"-")),"-")</f>
        <v>-</v>
      </c>
      <c r="P1003" s="93" t="str">
        <f>IFERROR(IF(Readings[[#This Row],[Obs. Y]]="","-",Readings[[#This Row],[Obs. Y]]-_xlfn.XLOOKUP(Readings[[#This Row],[Sensor ID]],Table_Baseline[Sensor ID],Table_Baseline[Northing '[m']],"-")),"-")</f>
        <v>-</v>
      </c>
      <c r="Q1003" s="93" t="str">
        <f>IFERROR(IF(Readings[[#This Row],[Obs. Z]]="","-",Readings[[#This Row],[Obs. Z]]-_xlfn.XLOOKUP(Readings[[#This Row],[Sensor ID]],Table_Baseline[Sensor ID],Table_Baseline[Level '[m']],"-")),"-")</f>
        <v>-</v>
      </c>
      <c r="R1003" s="93" t="str">
        <f>IFERROR(IF(Readings[[#This Row],[Reference Angle]]="-","-",(Readings[[#This Row],[Diff E]]*COS(RADIANS(Readings[[#This Row],[Reference Angle]]))-Readings[[#This Row],[Diff N]]*SIN(RADIANS(Readings[[#This Row],[Reference Angle]])))),"-")</f>
        <v>-</v>
      </c>
      <c r="S1003" s="93" t="str">
        <f>IFERROR(IF(Readings[[#This Row],[Reference Angle]]="-","-",(Readings[[#This Row],[Diff E]]*SIN(RADIANS(Readings[[#This Row],[Reference Angle]]))+Readings[[#This Row],[Diff N]]*COS(RADIANS(Readings[[#This Row],[Reference Angle]])))),"-")</f>
        <v>-</v>
      </c>
      <c r="T1003" s="94" t="str">
        <f>IFERROR(VLOOKUP(Readings[[#This Row],[Sensor ID]],Table_Baseline[],COLUMNS(Table_Baseline[[#Headers],[Sensor ID]:[Reference Angle '[Deg']]]),FALSE),"-")</f>
        <v>-</v>
      </c>
      <c r="U1003" s="95" t="str">
        <f>Readings[[#This Row],[Sensor ID]]&amp;"-"&amp;Readings[[#This Row],[Epoch]]</f>
        <v>250-ST-OP-501-45848.2916666667</v>
      </c>
      <c r="V1003" s="99">
        <f ca="1">IF(Readings[[#This Row],[Epoch]]=OFFSET(Readings[[#This Row],[Epoch]],-1,0),0,1)</f>
        <v>0</v>
      </c>
    </row>
    <row r="1004" spans="4:22" x14ac:dyDescent="0.2">
      <c r="D1004" s="32">
        <v>45848.291666666664</v>
      </c>
      <c r="E1004" s="33" t="s">
        <v>167</v>
      </c>
      <c r="F1004" s="34">
        <v>60045.921999999999</v>
      </c>
      <c r="G1004" s="34">
        <v>363840.10200000001</v>
      </c>
      <c r="H1004" s="34">
        <v>19.334</v>
      </c>
      <c r="I1004" s="33" t="s">
        <v>516</v>
      </c>
      <c r="J1004" s="33" t="s">
        <v>90</v>
      </c>
      <c r="K1004" s="33">
        <v>12.8</v>
      </c>
      <c r="L1004" s="33">
        <v>1010.6</v>
      </c>
      <c r="M1004" s="33">
        <v>52</v>
      </c>
      <c r="N1004" s="33"/>
      <c r="O1004" s="93" t="str">
        <f>IFERROR(IF(Readings[[#This Row],[Obs. X]]="","-",Readings[[#This Row],[Obs. X]]-_xlfn.XLOOKUP(Readings[[#This Row],[Sensor ID]],Table_Baseline[Sensor ID],Table_Baseline[Easting '[m']],"-")),"-")</f>
        <v>-</v>
      </c>
      <c r="P1004" s="93" t="str">
        <f>IFERROR(IF(Readings[[#This Row],[Obs. Y]]="","-",Readings[[#This Row],[Obs. Y]]-_xlfn.XLOOKUP(Readings[[#This Row],[Sensor ID]],Table_Baseline[Sensor ID],Table_Baseline[Northing '[m']],"-")),"-")</f>
        <v>-</v>
      </c>
      <c r="Q1004" s="93" t="str">
        <f>IFERROR(IF(Readings[[#This Row],[Obs. Z]]="","-",Readings[[#This Row],[Obs. Z]]-_xlfn.XLOOKUP(Readings[[#This Row],[Sensor ID]],Table_Baseline[Sensor ID],Table_Baseline[Level '[m']],"-")),"-")</f>
        <v>-</v>
      </c>
      <c r="R1004" s="93" t="str">
        <f>IFERROR(IF(Readings[[#This Row],[Reference Angle]]="-","-",(Readings[[#This Row],[Diff E]]*COS(RADIANS(Readings[[#This Row],[Reference Angle]]))-Readings[[#This Row],[Diff N]]*SIN(RADIANS(Readings[[#This Row],[Reference Angle]])))),"-")</f>
        <v>-</v>
      </c>
      <c r="S1004" s="93" t="str">
        <f>IFERROR(IF(Readings[[#This Row],[Reference Angle]]="-","-",(Readings[[#This Row],[Diff E]]*SIN(RADIANS(Readings[[#This Row],[Reference Angle]]))+Readings[[#This Row],[Diff N]]*COS(RADIANS(Readings[[#This Row],[Reference Angle]])))),"-")</f>
        <v>-</v>
      </c>
      <c r="T1004" s="94" t="str">
        <f>IFERROR(VLOOKUP(Readings[[#This Row],[Sensor ID]],Table_Baseline[],COLUMNS(Table_Baseline[[#Headers],[Sensor ID]:[Reference Angle '[Deg']]]),FALSE),"-")</f>
        <v>-</v>
      </c>
      <c r="U1004" s="95" t="str">
        <f>Readings[[#This Row],[Sensor ID]]&amp;"-"&amp;Readings[[#This Row],[Epoch]]</f>
        <v>250-ST-OP-502-45848.2916666667</v>
      </c>
      <c r="V1004" s="99">
        <f ca="1">IF(Readings[[#This Row],[Epoch]]=OFFSET(Readings[[#This Row],[Epoch]],-1,0),0,1)</f>
        <v>0</v>
      </c>
    </row>
    <row r="1005" spans="4:22" x14ac:dyDescent="0.2">
      <c r="D1005" s="32">
        <v>45848.291666666664</v>
      </c>
      <c r="E1005" s="33" t="s">
        <v>168</v>
      </c>
      <c r="F1005" s="34">
        <v>60049.767999999996</v>
      </c>
      <c r="G1005" s="34">
        <v>363838.995</v>
      </c>
      <c r="H1005" s="34">
        <v>19.344999999999999</v>
      </c>
      <c r="I1005" s="33" t="s">
        <v>516</v>
      </c>
      <c r="J1005" s="33" t="s">
        <v>90</v>
      </c>
      <c r="K1005" s="33">
        <v>12.8</v>
      </c>
      <c r="L1005" s="33">
        <v>1010.6</v>
      </c>
      <c r="M1005" s="33">
        <v>52</v>
      </c>
      <c r="N1005" s="33"/>
      <c r="O1005" s="93" t="str">
        <f>IFERROR(IF(Readings[[#This Row],[Obs. X]]="","-",Readings[[#This Row],[Obs. X]]-_xlfn.XLOOKUP(Readings[[#This Row],[Sensor ID]],Table_Baseline[Sensor ID],Table_Baseline[Easting '[m']],"-")),"-")</f>
        <v>-</v>
      </c>
      <c r="P1005" s="93" t="str">
        <f>IFERROR(IF(Readings[[#This Row],[Obs. Y]]="","-",Readings[[#This Row],[Obs. Y]]-_xlfn.XLOOKUP(Readings[[#This Row],[Sensor ID]],Table_Baseline[Sensor ID],Table_Baseline[Northing '[m']],"-")),"-")</f>
        <v>-</v>
      </c>
      <c r="Q1005" s="93" t="str">
        <f>IFERROR(IF(Readings[[#This Row],[Obs. Z]]="","-",Readings[[#This Row],[Obs. Z]]-_xlfn.XLOOKUP(Readings[[#This Row],[Sensor ID]],Table_Baseline[Sensor ID],Table_Baseline[Level '[m']],"-")),"-")</f>
        <v>-</v>
      </c>
      <c r="R1005" s="93" t="str">
        <f>IFERROR(IF(Readings[[#This Row],[Reference Angle]]="-","-",(Readings[[#This Row],[Diff E]]*COS(RADIANS(Readings[[#This Row],[Reference Angle]]))-Readings[[#This Row],[Diff N]]*SIN(RADIANS(Readings[[#This Row],[Reference Angle]])))),"-")</f>
        <v>-</v>
      </c>
      <c r="S1005" s="93" t="str">
        <f>IFERROR(IF(Readings[[#This Row],[Reference Angle]]="-","-",(Readings[[#This Row],[Diff E]]*SIN(RADIANS(Readings[[#This Row],[Reference Angle]]))+Readings[[#This Row],[Diff N]]*COS(RADIANS(Readings[[#This Row],[Reference Angle]])))),"-")</f>
        <v>-</v>
      </c>
      <c r="T1005" s="94" t="str">
        <f>IFERROR(VLOOKUP(Readings[[#This Row],[Sensor ID]],Table_Baseline[],COLUMNS(Table_Baseline[[#Headers],[Sensor ID]:[Reference Angle '[Deg']]]),FALSE),"-")</f>
        <v>-</v>
      </c>
      <c r="U1005" s="95" t="str">
        <f>Readings[[#This Row],[Sensor ID]]&amp;"-"&amp;Readings[[#This Row],[Epoch]]</f>
        <v>250-ST-OP-503-45848.2916666667</v>
      </c>
      <c r="V1005" s="99">
        <f ca="1">IF(Readings[[#This Row],[Epoch]]=OFFSET(Readings[[#This Row],[Epoch]],-1,0),0,1)</f>
        <v>0</v>
      </c>
    </row>
    <row r="1006" spans="4:22" x14ac:dyDescent="0.2">
      <c r="D1006" s="32">
        <v>45848.291666666664</v>
      </c>
      <c r="E1006" s="33" t="s">
        <v>169</v>
      </c>
      <c r="F1006" s="34">
        <v>60053.608999999997</v>
      </c>
      <c r="G1006" s="34">
        <v>363837.88399999996</v>
      </c>
      <c r="H1006" s="34">
        <v>19.356000000000002</v>
      </c>
      <c r="I1006" s="33" t="s">
        <v>516</v>
      </c>
      <c r="J1006" s="33" t="s">
        <v>90</v>
      </c>
      <c r="K1006" s="33">
        <v>12.8</v>
      </c>
      <c r="L1006" s="33">
        <v>1010.6</v>
      </c>
      <c r="M1006" s="33">
        <v>52</v>
      </c>
      <c r="N1006" s="33"/>
      <c r="O1006" s="93" t="str">
        <f>IFERROR(IF(Readings[[#This Row],[Obs. X]]="","-",Readings[[#This Row],[Obs. X]]-_xlfn.XLOOKUP(Readings[[#This Row],[Sensor ID]],Table_Baseline[Sensor ID],Table_Baseline[Easting '[m']],"-")),"-")</f>
        <v>-</v>
      </c>
      <c r="P1006" s="93" t="str">
        <f>IFERROR(IF(Readings[[#This Row],[Obs. Y]]="","-",Readings[[#This Row],[Obs. Y]]-_xlfn.XLOOKUP(Readings[[#This Row],[Sensor ID]],Table_Baseline[Sensor ID],Table_Baseline[Northing '[m']],"-")),"-")</f>
        <v>-</v>
      </c>
      <c r="Q1006" s="93" t="str">
        <f>IFERROR(IF(Readings[[#This Row],[Obs. Z]]="","-",Readings[[#This Row],[Obs. Z]]-_xlfn.XLOOKUP(Readings[[#This Row],[Sensor ID]],Table_Baseline[Sensor ID],Table_Baseline[Level '[m']],"-")),"-")</f>
        <v>-</v>
      </c>
      <c r="R1006" s="93" t="str">
        <f>IFERROR(IF(Readings[[#This Row],[Reference Angle]]="-","-",(Readings[[#This Row],[Diff E]]*COS(RADIANS(Readings[[#This Row],[Reference Angle]]))-Readings[[#This Row],[Diff N]]*SIN(RADIANS(Readings[[#This Row],[Reference Angle]])))),"-")</f>
        <v>-</v>
      </c>
      <c r="S1006" s="93" t="str">
        <f>IFERROR(IF(Readings[[#This Row],[Reference Angle]]="-","-",(Readings[[#This Row],[Diff E]]*SIN(RADIANS(Readings[[#This Row],[Reference Angle]]))+Readings[[#This Row],[Diff N]]*COS(RADIANS(Readings[[#This Row],[Reference Angle]])))),"-")</f>
        <v>-</v>
      </c>
      <c r="T1006" s="94" t="str">
        <f>IFERROR(VLOOKUP(Readings[[#This Row],[Sensor ID]],Table_Baseline[],COLUMNS(Table_Baseline[[#Headers],[Sensor ID]:[Reference Angle '[Deg']]]),FALSE),"-")</f>
        <v>-</v>
      </c>
      <c r="U1006" s="95" t="str">
        <f>Readings[[#This Row],[Sensor ID]]&amp;"-"&amp;Readings[[#This Row],[Epoch]]</f>
        <v>250-ST-OP-504-45848.2916666667</v>
      </c>
      <c r="V1006" s="99">
        <f ca="1">IF(Readings[[#This Row],[Epoch]]=OFFSET(Readings[[#This Row],[Epoch]],-1,0),0,1)</f>
        <v>0</v>
      </c>
    </row>
    <row r="1007" spans="4:22" x14ac:dyDescent="0.2">
      <c r="D1007" s="204">
        <v>45848.291666666664</v>
      </c>
      <c r="E1007" s="151" t="s">
        <v>170</v>
      </c>
      <c r="F1007" s="152">
        <v>60060.065000000002</v>
      </c>
      <c r="G1007" s="152">
        <v>363836.02500000002</v>
      </c>
      <c r="H1007" s="152">
        <v>19.356000000000002</v>
      </c>
      <c r="I1007" s="151" t="s">
        <v>516</v>
      </c>
      <c r="J1007" s="151" t="s">
        <v>90</v>
      </c>
      <c r="K1007" s="151">
        <v>12.8</v>
      </c>
      <c r="L1007" s="151">
        <v>1010.6</v>
      </c>
      <c r="M1007" s="151">
        <v>52</v>
      </c>
      <c r="N1007" s="151"/>
      <c r="O1007" s="96" t="str">
        <f>IFERROR(IF(Readings[[#This Row],[Obs. X]]="","-",Readings[[#This Row],[Obs. X]]-_xlfn.XLOOKUP(Readings[[#This Row],[Sensor ID]],Table_Baseline[Sensor ID],Table_Baseline[Easting '[m']],"-")),"-")</f>
        <v>-</v>
      </c>
      <c r="P1007" s="96" t="str">
        <f>IFERROR(IF(Readings[[#This Row],[Obs. Y]]="","-",Readings[[#This Row],[Obs. Y]]-_xlfn.XLOOKUP(Readings[[#This Row],[Sensor ID]],Table_Baseline[Sensor ID],Table_Baseline[Northing '[m']],"-")),"-")</f>
        <v>-</v>
      </c>
      <c r="Q1007" s="96" t="str">
        <f>IFERROR(IF(Readings[[#This Row],[Obs. Z]]="","-",Readings[[#This Row],[Obs. Z]]-_xlfn.XLOOKUP(Readings[[#This Row],[Sensor ID]],Table_Baseline[Sensor ID],Table_Baseline[Level '[m']],"-")),"-")</f>
        <v>-</v>
      </c>
      <c r="R1007" s="96" t="str">
        <f>IFERROR(IF(Readings[[#This Row],[Reference Angle]]="-","-",(Readings[[#This Row],[Diff E]]*COS(RADIANS(Readings[[#This Row],[Reference Angle]]))-Readings[[#This Row],[Diff N]]*SIN(RADIANS(Readings[[#This Row],[Reference Angle]])))),"-")</f>
        <v>-</v>
      </c>
      <c r="S1007" s="96" t="str">
        <f>IFERROR(IF(Readings[[#This Row],[Reference Angle]]="-","-",(Readings[[#This Row],[Diff E]]*SIN(RADIANS(Readings[[#This Row],[Reference Angle]]))+Readings[[#This Row],[Diff N]]*COS(RADIANS(Readings[[#This Row],[Reference Angle]])))),"-")</f>
        <v>-</v>
      </c>
      <c r="T1007" s="97" t="str">
        <f>IFERROR(VLOOKUP(Readings[[#This Row],[Sensor ID]],Table_Baseline[],COLUMNS(Table_Baseline[[#Headers],[Sensor ID]:[Reference Angle '[Deg']]]),FALSE),"-")</f>
        <v>-</v>
      </c>
      <c r="U1007" s="98" t="str">
        <f>Readings[[#This Row],[Sensor ID]]&amp;"-"&amp;Readings[[#This Row],[Epoch]]</f>
        <v>250-ST-OP-505-45848.2916666667</v>
      </c>
      <c r="V1007" s="100">
        <f ca="1">IF(Readings[[#This Row],[Epoch]]=OFFSET(Readings[[#This Row],[Epoch]],-1,0),0,1)</f>
        <v>0</v>
      </c>
    </row>
    <row r="1008" spans="4:22" x14ac:dyDescent="0.2">
      <c r="D1008" s="32">
        <v>45852.541666666664</v>
      </c>
      <c r="E1008" s="33" t="s">
        <v>172</v>
      </c>
      <c r="F1008" s="34">
        <v>60035.339</v>
      </c>
      <c r="G1008" s="34">
        <v>363845.73699999996</v>
      </c>
      <c r="H1008" s="34">
        <v>18.782</v>
      </c>
      <c r="I1008" s="33" t="s">
        <v>85</v>
      </c>
      <c r="J1008" s="33" t="s">
        <v>90</v>
      </c>
      <c r="K1008" s="33">
        <v>18</v>
      </c>
      <c r="L1008" s="33">
        <v>1016</v>
      </c>
      <c r="M1008" s="33">
        <v>37</v>
      </c>
      <c r="N1008" s="33"/>
      <c r="O1008" s="93">
        <f>IFERROR(IF(Readings[[#This Row],[Obs. X]]="","-",Readings[[#This Row],[Obs. X]]-_xlfn.XLOOKUP(Readings[[#This Row],[Sensor ID]],Table_Baseline[Sensor ID],Table_Baseline[Easting '[m']],"-")),"-")</f>
        <v>-9.9999999656574801E-4</v>
      </c>
      <c r="P1008" s="93">
        <f>IFERROR(IF(Readings[[#This Row],[Obs. Y]]="","-",Readings[[#This Row],[Obs. Y]]-_xlfn.XLOOKUP(Readings[[#This Row],[Sensor ID]],Table_Baseline[Sensor ID],Table_Baseline[Northing '[m']],"-")),"-")</f>
        <v>-2.0000000367872417E-3</v>
      </c>
      <c r="Q1008" s="93">
        <f>IFERROR(IF(Readings[[#This Row],[Obs. Z]]="","-",Readings[[#This Row],[Obs. Z]]-_xlfn.XLOOKUP(Readings[[#This Row],[Sensor ID]],Table_Baseline[Sensor ID],Table_Baseline[Level '[m']],"-")),"-")</f>
        <v>0</v>
      </c>
      <c r="R1008" s="93">
        <f>IFERROR(IF(Readings[[#This Row],[Reference Angle]]="-","-",(Readings[[#This Row],[Diff E]]*COS(RADIANS(Readings[[#This Row],[Reference Angle]]))-Readings[[#This Row],[Diff N]]*SIN(RADIANS(Readings[[#This Row],[Reference Angle]])))),"-")</f>
        <v>-9.9999999656574801E-4</v>
      </c>
      <c r="S1008" s="93">
        <f>IFERROR(IF(Readings[[#This Row],[Reference Angle]]="-","-",(Readings[[#This Row],[Diff E]]*SIN(RADIANS(Readings[[#This Row],[Reference Angle]]))+Readings[[#This Row],[Diff N]]*COS(RADIANS(Readings[[#This Row],[Reference Angle]])))),"-")</f>
        <v>-2.0000000367872417E-3</v>
      </c>
      <c r="T1008" s="94">
        <f>IFERROR(VLOOKUP(Readings[[#This Row],[Sensor ID]],Table_Baseline[],COLUMNS(Table_Baseline[[#Headers],[Sensor ID]:[Reference Angle '[Deg']]]),FALSE),"-")</f>
        <v>0</v>
      </c>
      <c r="U1008" s="95" t="str">
        <f>Readings[[#This Row],[Sensor ID]]&amp;"-"&amp;Readings[[#This Row],[Epoch]]</f>
        <v>250-RL-OP-11001-45852.5416666667</v>
      </c>
      <c r="V1008" s="99">
        <f ca="1">IF(Readings[[#This Row],[Epoch]]=OFFSET(Readings[[#This Row],[Epoch]],-1,0),0,1)</f>
        <v>1</v>
      </c>
    </row>
    <row r="1009" spans="4:22" x14ac:dyDescent="0.2">
      <c r="D1009" s="32">
        <v>45852.541666666664</v>
      </c>
      <c r="E1009" s="33" t="s">
        <v>171</v>
      </c>
      <c r="F1009" s="34">
        <v>60034.957999999999</v>
      </c>
      <c r="G1009" s="34">
        <v>363844.47</v>
      </c>
      <c r="H1009" s="34">
        <v>18.777999999999999</v>
      </c>
      <c r="I1009" s="33" t="s">
        <v>85</v>
      </c>
      <c r="J1009" s="33" t="s">
        <v>90</v>
      </c>
      <c r="K1009" s="33">
        <v>18</v>
      </c>
      <c r="L1009" s="33">
        <v>1016</v>
      </c>
      <c r="M1009" s="33">
        <v>37</v>
      </c>
      <c r="N1009" s="33"/>
      <c r="O1009" s="93">
        <f>IFERROR(IF(Readings[[#This Row],[Obs. X]]="","-",Readings[[#This Row],[Obs. X]]-_xlfn.XLOOKUP(Readings[[#This Row],[Sensor ID]],Table_Baseline[Sensor ID],Table_Baseline[Easting '[m']],"-")),"-")</f>
        <v>-1.0000000038417056E-3</v>
      </c>
      <c r="P1009" s="93">
        <f>IFERROR(IF(Readings[[#This Row],[Obs. Y]]="","-",Readings[[#This Row],[Obs. Y]]-_xlfn.XLOOKUP(Readings[[#This Row],[Sensor ID]],Table_Baseline[Sensor ID],Table_Baseline[Northing '[m']],"-")),"-")</f>
        <v>-1.0000000474974513E-3</v>
      </c>
      <c r="Q1009" s="93">
        <f>IFERROR(IF(Readings[[#This Row],[Obs. Z]]="","-",Readings[[#This Row],[Obs. Z]]-_xlfn.XLOOKUP(Readings[[#This Row],[Sensor ID]],Table_Baseline[Sensor ID],Table_Baseline[Level '[m']],"-")),"-")</f>
        <v>-9.9999999999766942E-5</v>
      </c>
      <c r="R1009" s="93">
        <f>IFERROR(IF(Readings[[#This Row],[Reference Angle]]="-","-",(Readings[[#This Row],[Diff E]]*COS(RADIANS(Readings[[#This Row],[Reference Angle]]))-Readings[[#This Row],[Diff N]]*SIN(RADIANS(Readings[[#This Row],[Reference Angle]])))),"-")</f>
        <v>-1.0000000038417056E-3</v>
      </c>
      <c r="S1009" s="93">
        <f>IFERROR(IF(Readings[[#This Row],[Reference Angle]]="-","-",(Readings[[#This Row],[Diff E]]*SIN(RADIANS(Readings[[#This Row],[Reference Angle]]))+Readings[[#This Row],[Diff N]]*COS(RADIANS(Readings[[#This Row],[Reference Angle]])))),"-")</f>
        <v>-1.0000000474974513E-3</v>
      </c>
      <c r="T1009" s="94">
        <f>IFERROR(VLOOKUP(Readings[[#This Row],[Sensor ID]],Table_Baseline[],COLUMNS(Table_Baseline[[#Headers],[Sensor ID]:[Reference Angle '[Deg']]]),FALSE),"-")</f>
        <v>0</v>
      </c>
      <c r="U1009" s="95" t="str">
        <f>Readings[[#This Row],[Sensor ID]]&amp;"-"&amp;Readings[[#This Row],[Epoch]]</f>
        <v>250-RL-OP-11002-45852.5416666667</v>
      </c>
      <c r="V1009" s="99">
        <f ca="1">IF(Readings[[#This Row],[Epoch]]=OFFSET(Readings[[#This Row],[Epoch]],-1,0),0,1)</f>
        <v>0</v>
      </c>
    </row>
    <row r="1010" spans="4:22" x14ac:dyDescent="0.2">
      <c r="D1010" s="32">
        <v>45852.541666666664</v>
      </c>
      <c r="E1010" s="33" t="s">
        <v>174</v>
      </c>
      <c r="F1010" s="34">
        <v>60038.116000000002</v>
      </c>
      <c r="G1010" s="34">
        <v>363844.94500000001</v>
      </c>
      <c r="H1010" s="34">
        <v>18.777999999999999</v>
      </c>
      <c r="I1010" s="33" t="s">
        <v>85</v>
      </c>
      <c r="J1010" s="33" t="s">
        <v>90</v>
      </c>
      <c r="K1010" s="33">
        <v>18</v>
      </c>
      <c r="L1010" s="33">
        <v>1016</v>
      </c>
      <c r="M1010" s="33">
        <v>37</v>
      </c>
      <c r="N1010" s="33"/>
      <c r="O1010" s="93">
        <f>IFERROR(IF(Readings[[#This Row],[Obs. X]]="","-",Readings[[#This Row],[Obs. X]]-_xlfn.XLOOKUP(Readings[[#This Row],[Sensor ID]],Table_Baseline[Sensor ID],Table_Baseline[Easting '[m']],"-")),"-")</f>
        <v>-2.0000000004074536E-3</v>
      </c>
      <c r="P1010" s="93">
        <f>IFERROR(IF(Readings[[#This Row],[Obs. Y]]="","-",Readings[[#This Row],[Obs. Y]]-_xlfn.XLOOKUP(Readings[[#This Row],[Sensor ID]],Table_Baseline[Sensor ID],Table_Baseline[Northing '[m']],"-")),"-")</f>
        <v>0</v>
      </c>
      <c r="Q1010" s="93">
        <f>IFERROR(IF(Readings[[#This Row],[Obs. Z]]="","-",Readings[[#This Row],[Obs. Z]]-_xlfn.XLOOKUP(Readings[[#This Row],[Sensor ID]],Table_Baseline[Sensor ID],Table_Baseline[Level '[m']],"-")),"-")</f>
        <v>-8.0000000000168825E-4</v>
      </c>
      <c r="R1010" s="93">
        <f>IFERROR(IF(Readings[[#This Row],[Reference Angle]]="-","-",(Readings[[#This Row],[Diff E]]*COS(RADIANS(Readings[[#This Row],[Reference Angle]]))-Readings[[#This Row],[Diff N]]*SIN(RADIANS(Readings[[#This Row],[Reference Angle]])))),"-")</f>
        <v>-2.0000000004074536E-3</v>
      </c>
      <c r="S1010" s="93">
        <f>IFERROR(IF(Readings[[#This Row],[Reference Angle]]="-","-",(Readings[[#This Row],[Diff E]]*SIN(RADIANS(Readings[[#This Row],[Reference Angle]]))+Readings[[#This Row],[Diff N]]*COS(RADIANS(Readings[[#This Row],[Reference Angle]])))),"-")</f>
        <v>0</v>
      </c>
      <c r="T1010" s="94">
        <f>IFERROR(VLOOKUP(Readings[[#This Row],[Sensor ID]],Table_Baseline[],COLUMNS(Table_Baseline[[#Headers],[Sensor ID]:[Reference Angle '[Deg']]]),FALSE),"-")</f>
        <v>0</v>
      </c>
      <c r="U1010" s="95" t="str">
        <f>Readings[[#This Row],[Sensor ID]]&amp;"-"&amp;Readings[[#This Row],[Epoch]]</f>
        <v>250-RL-OP-11003-45852.5416666667</v>
      </c>
      <c r="V1010" s="99">
        <f ca="1">IF(Readings[[#This Row],[Epoch]]=OFFSET(Readings[[#This Row],[Epoch]],-1,0),0,1)</f>
        <v>0</v>
      </c>
    </row>
    <row r="1011" spans="4:22" x14ac:dyDescent="0.2">
      <c r="D1011" s="32">
        <v>45852.541666666664</v>
      </c>
      <c r="E1011" s="33" t="s">
        <v>173</v>
      </c>
      <c r="F1011" s="34">
        <v>60037.803999999996</v>
      </c>
      <c r="G1011" s="34">
        <v>363843.65700000001</v>
      </c>
      <c r="H1011" s="34">
        <v>18.777999999999999</v>
      </c>
      <c r="I1011" s="33" t="s">
        <v>85</v>
      </c>
      <c r="J1011" s="33" t="s">
        <v>90</v>
      </c>
      <c r="K1011" s="33">
        <v>18</v>
      </c>
      <c r="L1011" s="33">
        <v>1016</v>
      </c>
      <c r="M1011" s="33">
        <v>37</v>
      </c>
      <c r="N1011" s="33"/>
      <c r="O1011" s="93">
        <f>IFERROR(IF(Readings[[#This Row],[Obs. X]]="","-",Readings[[#This Row],[Obs. X]]-_xlfn.XLOOKUP(Readings[[#This Row],[Sensor ID]],Table_Baseline[Sensor ID],Table_Baseline[Easting '[m']],"-")),"-")</f>
        <v>-1.0000000038417056E-3</v>
      </c>
      <c r="P1011" s="93">
        <f>IFERROR(IF(Readings[[#This Row],[Obs. Y]]="","-",Readings[[#This Row],[Obs. Y]]-_xlfn.XLOOKUP(Readings[[#This Row],[Sensor ID]],Table_Baseline[Sensor ID],Table_Baseline[Northing '[m']],"-")),"-")</f>
        <v>0</v>
      </c>
      <c r="Q1011" s="93">
        <f>IFERROR(IF(Readings[[#This Row],[Obs. Z]]="","-",Readings[[#This Row],[Obs. Z]]-_xlfn.XLOOKUP(Readings[[#This Row],[Sensor ID]],Table_Baseline[Sensor ID],Table_Baseline[Level '[m']],"-")),"-")</f>
        <v>-5.0000000000238742E-4</v>
      </c>
      <c r="R1011" s="93">
        <f>IFERROR(IF(Readings[[#This Row],[Reference Angle]]="-","-",(Readings[[#This Row],[Diff E]]*COS(RADIANS(Readings[[#This Row],[Reference Angle]]))-Readings[[#This Row],[Diff N]]*SIN(RADIANS(Readings[[#This Row],[Reference Angle]])))),"-")</f>
        <v>-1.0000000038417056E-3</v>
      </c>
      <c r="S1011" s="93">
        <f>IFERROR(IF(Readings[[#This Row],[Reference Angle]]="-","-",(Readings[[#This Row],[Diff E]]*SIN(RADIANS(Readings[[#This Row],[Reference Angle]]))+Readings[[#This Row],[Diff N]]*COS(RADIANS(Readings[[#This Row],[Reference Angle]])))),"-")</f>
        <v>0</v>
      </c>
      <c r="T1011" s="94">
        <f>IFERROR(VLOOKUP(Readings[[#This Row],[Sensor ID]],Table_Baseline[],COLUMNS(Table_Baseline[[#Headers],[Sensor ID]:[Reference Angle '[Deg']]]),FALSE),"-")</f>
        <v>0</v>
      </c>
      <c r="U1011" s="95" t="str">
        <f>Readings[[#This Row],[Sensor ID]]&amp;"-"&amp;Readings[[#This Row],[Epoch]]</f>
        <v>250-RL-OP-11004-45852.5416666667</v>
      </c>
      <c r="V1011" s="99">
        <f ca="1">IF(Readings[[#This Row],[Epoch]]=OFFSET(Readings[[#This Row],[Epoch]],-1,0),0,1)</f>
        <v>0</v>
      </c>
    </row>
    <row r="1012" spans="4:22" x14ac:dyDescent="0.2">
      <c r="D1012" s="32">
        <v>45852.541666666664</v>
      </c>
      <c r="E1012" s="33" t="s">
        <v>176</v>
      </c>
      <c r="F1012" s="34">
        <v>60040.968000000001</v>
      </c>
      <c r="G1012" s="34">
        <v>363844.11800000002</v>
      </c>
      <c r="H1012" s="34">
        <v>18.779</v>
      </c>
      <c r="I1012" s="33" t="s">
        <v>85</v>
      </c>
      <c r="J1012" s="33" t="s">
        <v>90</v>
      </c>
      <c r="K1012" s="33">
        <v>18</v>
      </c>
      <c r="L1012" s="33">
        <v>1016</v>
      </c>
      <c r="M1012" s="33">
        <v>37</v>
      </c>
      <c r="N1012" s="33"/>
      <c r="O1012" s="93">
        <f>IFERROR(IF(Readings[[#This Row],[Obs. X]]="","-",Readings[[#This Row],[Obs. X]]-_xlfn.XLOOKUP(Readings[[#This Row],[Sensor ID]],Table_Baseline[Sensor ID],Table_Baseline[Easting '[m']],"-")),"-")</f>
        <v>-9.9999999656574801E-4</v>
      </c>
      <c r="P1012" s="93">
        <f>IFERROR(IF(Readings[[#This Row],[Obs. Y]]="","-",Readings[[#This Row],[Obs. Y]]-_xlfn.XLOOKUP(Readings[[#This Row],[Sensor ID]],Table_Baseline[Sensor ID],Table_Baseline[Northing '[m']],"-")),"-")</f>
        <v>0</v>
      </c>
      <c r="Q1012" s="93">
        <f>IFERROR(IF(Readings[[#This Row],[Obs. Z]]="","-",Readings[[#This Row],[Obs. Z]]-_xlfn.XLOOKUP(Readings[[#This Row],[Sensor ID]],Table_Baseline[Sensor ID],Table_Baseline[Level '[m']],"-")),"-")</f>
        <v>0</v>
      </c>
      <c r="R1012" s="93">
        <f>IFERROR(IF(Readings[[#This Row],[Reference Angle]]="-","-",(Readings[[#This Row],[Diff E]]*COS(RADIANS(Readings[[#This Row],[Reference Angle]]))-Readings[[#This Row],[Diff N]]*SIN(RADIANS(Readings[[#This Row],[Reference Angle]])))),"-")</f>
        <v>-9.9999999656574801E-4</v>
      </c>
      <c r="S1012" s="93">
        <f>IFERROR(IF(Readings[[#This Row],[Reference Angle]]="-","-",(Readings[[#This Row],[Diff E]]*SIN(RADIANS(Readings[[#This Row],[Reference Angle]]))+Readings[[#This Row],[Diff N]]*COS(RADIANS(Readings[[#This Row],[Reference Angle]])))),"-")</f>
        <v>0</v>
      </c>
      <c r="T1012" s="94">
        <f>IFERROR(VLOOKUP(Readings[[#This Row],[Sensor ID]],Table_Baseline[],COLUMNS(Table_Baseline[[#Headers],[Sensor ID]:[Reference Angle '[Deg']]]),FALSE),"-")</f>
        <v>0</v>
      </c>
      <c r="U1012" s="95" t="str">
        <f>Readings[[#This Row],[Sensor ID]]&amp;"-"&amp;Readings[[#This Row],[Epoch]]</f>
        <v>250-RL-OP-11005-45852.5416666667</v>
      </c>
      <c r="V1012" s="99">
        <f ca="1">IF(Readings[[#This Row],[Epoch]]=OFFSET(Readings[[#This Row],[Epoch]],-1,0),0,1)</f>
        <v>0</v>
      </c>
    </row>
    <row r="1013" spans="4:22" x14ac:dyDescent="0.2">
      <c r="D1013" s="32">
        <v>45852.541666666664</v>
      </c>
      <c r="E1013" s="33" t="s">
        <v>175</v>
      </c>
      <c r="F1013" s="34">
        <v>60040.606</v>
      </c>
      <c r="G1013" s="34">
        <v>363842.86100000003</v>
      </c>
      <c r="H1013" s="34">
        <v>18.771999999999998</v>
      </c>
      <c r="I1013" s="33" t="s">
        <v>85</v>
      </c>
      <c r="J1013" s="33" t="s">
        <v>90</v>
      </c>
      <c r="K1013" s="33">
        <v>18</v>
      </c>
      <c r="L1013" s="33">
        <v>1016</v>
      </c>
      <c r="M1013" s="33">
        <v>37</v>
      </c>
      <c r="N1013" s="33"/>
      <c r="O1013" s="93">
        <f>IFERROR(IF(Readings[[#This Row],[Obs. X]]="","-",Readings[[#This Row],[Obs. X]]-_xlfn.XLOOKUP(Readings[[#This Row],[Sensor ID]],Table_Baseline[Sensor ID],Table_Baseline[Easting '[m']],"-")),"-")</f>
        <v>-1.0000000038417056E-3</v>
      </c>
      <c r="P1013" s="93">
        <f>IFERROR(IF(Readings[[#This Row],[Obs. Y]]="","-",Readings[[#This Row],[Obs. Y]]-_xlfn.XLOOKUP(Readings[[#This Row],[Sensor ID]],Table_Baseline[Sensor ID],Table_Baseline[Northing '[m']],"-")),"-")</f>
        <v>0</v>
      </c>
      <c r="Q1013" s="93">
        <f>IFERROR(IF(Readings[[#This Row],[Obs. Z]]="","-",Readings[[#This Row],[Obs. Z]]-_xlfn.XLOOKUP(Readings[[#This Row],[Sensor ID]],Table_Baseline[Sensor ID],Table_Baseline[Level '[m']],"-")),"-")</f>
        <v>0</v>
      </c>
      <c r="R1013" s="93">
        <f>IFERROR(IF(Readings[[#This Row],[Reference Angle]]="-","-",(Readings[[#This Row],[Diff E]]*COS(RADIANS(Readings[[#This Row],[Reference Angle]]))-Readings[[#This Row],[Diff N]]*SIN(RADIANS(Readings[[#This Row],[Reference Angle]])))),"-")</f>
        <v>-1.0000000038417056E-3</v>
      </c>
      <c r="S1013" s="93">
        <f>IFERROR(IF(Readings[[#This Row],[Reference Angle]]="-","-",(Readings[[#This Row],[Diff E]]*SIN(RADIANS(Readings[[#This Row],[Reference Angle]]))+Readings[[#This Row],[Diff N]]*COS(RADIANS(Readings[[#This Row],[Reference Angle]])))),"-")</f>
        <v>0</v>
      </c>
      <c r="T1013" s="94">
        <f>IFERROR(VLOOKUP(Readings[[#This Row],[Sensor ID]],Table_Baseline[],COLUMNS(Table_Baseline[[#Headers],[Sensor ID]:[Reference Angle '[Deg']]]),FALSE),"-")</f>
        <v>0</v>
      </c>
      <c r="U1013" s="95" t="str">
        <f>Readings[[#This Row],[Sensor ID]]&amp;"-"&amp;Readings[[#This Row],[Epoch]]</f>
        <v>250-RL-OP-11006-45852.5416666667</v>
      </c>
      <c r="V1013" s="99">
        <f ca="1">IF(Readings[[#This Row],[Epoch]]=OFFSET(Readings[[#This Row],[Epoch]],-1,0),0,1)</f>
        <v>0</v>
      </c>
    </row>
    <row r="1014" spans="4:22" x14ac:dyDescent="0.2">
      <c r="D1014" s="32">
        <v>45852.541666666664</v>
      </c>
      <c r="E1014" s="33" t="s">
        <v>178</v>
      </c>
      <c r="F1014" s="34">
        <v>60043.758000000002</v>
      </c>
      <c r="G1014" s="34">
        <v>363843.315</v>
      </c>
      <c r="H1014" s="34">
        <v>18.774000000000001</v>
      </c>
      <c r="I1014" s="33" t="s">
        <v>85</v>
      </c>
      <c r="J1014" s="33" t="s">
        <v>90</v>
      </c>
      <c r="K1014" s="33">
        <v>18</v>
      </c>
      <c r="L1014" s="33">
        <v>1016</v>
      </c>
      <c r="M1014" s="33">
        <v>37</v>
      </c>
      <c r="N1014" s="33"/>
      <c r="O1014" s="93">
        <f>IFERROR(IF(Readings[[#This Row],[Obs. X]]="","-",Readings[[#This Row],[Obs. X]]-_xlfn.XLOOKUP(Readings[[#This Row],[Sensor ID]],Table_Baseline[Sensor ID],Table_Baseline[Easting '[m']],"-")),"-")</f>
        <v>-9.9999999656574801E-4</v>
      </c>
      <c r="P1014" s="93">
        <f>IFERROR(IF(Readings[[#This Row],[Obs. Y]]="","-",Readings[[#This Row],[Obs. Y]]-_xlfn.XLOOKUP(Readings[[#This Row],[Sensor ID]],Table_Baseline[Sensor ID],Table_Baseline[Northing '[m']],"-")),"-")</f>
        <v>9.9999998928979039E-4</v>
      </c>
      <c r="Q1014" s="93">
        <f>IFERROR(IF(Readings[[#This Row],[Obs. Z]]="","-",Readings[[#This Row],[Obs. Z]]-_xlfn.XLOOKUP(Readings[[#This Row],[Sensor ID]],Table_Baseline[Sensor ID],Table_Baseline[Level '[m']],"-")),"-")</f>
        <v>-9.9999999999766942E-5</v>
      </c>
      <c r="R1014" s="93">
        <f>IFERROR(IF(Readings[[#This Row],[Reference Angle]]="-","-",(Readings[[#This Row],[Diff E]]*COS(RADIANS(Readings[[#This Row],[Reference Angle]]))-Readings[[#This Row],[Diff N]]*SIN(RADIANS(Readings[[#This Row],[Reference Angle]])))),"-")</f>
        <v>-9.9999999656574801E-4</v>
      </c>
      <c r="S1014" s="93">
        <f>IFERROR(IF(Readings[[#This Row],[Reference Angle]]="-","-",(Readings[[#This Row],[Diff E]]*SIN(RADIANS(Readings[[#This Row],[Reference Angle]]))+Readings[[#This Row],[Diff N]]*COS(RADIANS(Readings[[#This Row],[Reference Angle]])))),"-")</f>
        <v>9.9999998928979039E-4</v>
      </c>
      <c r="T1014" s="94">
        <f>IFERROR(VLOOKUP(Readings[[#This Row],[Sensor ID]],Table_Baseline[],COLUMNS(Table_Baseline[[#Headers],[Sensor ID]:[Reference Angle '[Deg']]]),FALSE),"-")</f>
        <v>0</v>
      </c>
      <c r="U1014" s="95" t="str">
        <f>Readings[[#This Row],[Sensor ID]]&amp;"-"&amp;Readings[[#This Row],[Epoch]]</f>
        <v>250-RL-OP-11007-45852.5416666667</v>
      </c>
      <c r="V1014" s="99">
        <f ca="1">IF(Readings[[#This Row],[Epoch]]=OFFSET(Readings[[#This Row],[Epoch]],-1,0),0,1)</f>
        <v>0</v>
      </c>
    </row>
    <row r="1015" spans="4:22" x14ac:dyDescent="0.2">
      <c r="D1015" s="32">
        <v>45852.541666666664</v>
      </c>
      <c r="E1015" s="33" t="s">
        <v>177</v>
      </c>
      <c r="F1015" s="34">
        <v>60043.440999999999</v>
      </c>
      <c r="G1015" s="34">
        <v>363842.04099999997</v>
      </c>
      <c r="H1015" s="34">
        <v>18.768000000000001</v>
      </c>
      <c r="I1015" s="33" t="s">
        <v>85</v>
      </c>
      <c r="J1015" s="33" t="s">
        <v>90</v>
      </c>
      <c r="K1015" s="33">
        <v>18</v>
      </c>
      <c r="L1015" s="33">
        <v>1016</v>
      </c>
      <c r="M1015" s="33">
        <v>37</v>
      </c>
      <c r="N1015" s="33"/>
      <c r="O1015" s="93">
        <f>IFERROR(IF(Readings[[#This Row],[Obs. X]]="","-",Readings[[#This Row],[Obs. X]]-_xlfn.XLOOKUP(Readings[[#This Row],[Sensor ID]],Table_Baseline[Sensor ID],Table_Baseline[Easting '[m']],"-")),"-")</f>
        <v>0</v>
      </c>
      <c r="P1015" s="93">
        <f>IFERROR(IF(Readings[[#This Row],[Obs. Y]]="","-",Readings[[#This Row],[Obs. Y]]-_xlfn.XLOOKUP(Readings[[#This Row],[Sensor ID]],Table_Baseline[Sensor ID],Table_Baseline[Northing '[m']],"-")),"-")</f>
        <v>9.9999993108212948E-4</v>
      </c>
      <c r="Q1015" s="93">
        <f>IFERROR(IF(Readings[[#This Row],[Obs. Z]]="","-",Readings[[#This Row],[Obs. Z]]-_xlfn.XLOOKUP(Readings[[#This Row],[Sensor ID]],Table_Baseline[Sensor ID],Table_Baseline[Level '[m']],"-")),"-")</f>
        <v>-2.9999999999930083E-4</v>
      </c>
      <c r="R1015" s="93">
        <f>IFERROR(IF(Readings[[#This Row],[Reference Angle]]="-","-",(Readings[[#This Row],[Diff E]]*COS(RADIANS(Readings[[#This Row],[Reference Angle]]))-Readings[[#This Row],[Diff N]]*SIN(RADIANS(Readings[[#This Row],[Reference Angle]])))),"-")</f>
        <v>0</v>
      </c>
      <c r="S1015" s="93">
        <f>IFERROR(IF(Readings[[#This Row],[Reference Angle]]="-","-",(Readings[[#This Row],[Diff E]]*SIN(RADIANS(Readings[[#This Row],[Reference Angle]]))+Readings[[#This Row],[Diff N]]*COS(RADIANS(Readings[[#This Row],[Reference Angle]])))),"-")</f>
        <v>9.9999993108212948E-4</v>
      </c>
      <c r="T1015" s="94">
        <f>IFERROR(VLOOKUP(Readings[[#This Row],[Sensor ID]],Table_Baseline[],COLUMNS(Table_Baseline[[#Headers],[Sensor ID]:[Reference Angle '[Deg']]]),FALSE),"-")</f>
        <v>0</v>
      </c>
      <c r="U1015" s="95" t="str">
        <f>Readings[[#This Row],[Sensor ID]]&amp;"-"&amp;Readings[[#This Row],[Epoch]]</f>
        <v>250-RL-OP-11008-45852.5416666667</v>
      </c>
      <c r="V1015" s="99">
        <f ca="1">IF(Readings[[#This Row],[Epoch]]=OFFSET(Readings[[#This Row],[Epoch]],-1,0),0,1)</f>
        <v>0</v>
      </c>
    </row>
    <row r="1016" spans="4:22" x14ac:dyDescent="0.2">
      <c r="D1016" s="32">
        <v>45852.541666666664</v>
      </c>
      <c r="E1016" s="33" t="s">
        <v>180</v>
      </c>
      <c r="F1016" s="34">
        <v>60046.631999999998</v>
      </c>
      <c r="G1016" s="34">
        <v>363842.48600000003</v>
      </c>
      <c r="H1016" s="34">
        <v>18.777000000000001</v>
      </c>
      <c r="I1016" s="33" t="s">
        <v>85</v>
      </c>
      <c r="J1016" s="33" t="s">
        <v>90</v>
      </c>
      <c r="K1016" s="33">
        <v>18</v>
      </c>
      <c r="L1016" s="33">
        <v>1016</v>
      </c>
      <c r="M1016" s="33">
        <v>37</v>
      </c>
      <c r="N1016" s="33"/>
      <c r="O1016" s="93">
        <f>IFERROR(IF(Readings[[#This Row],[Obs. X]]="","-",Readings[[#This Row],[Obs. X]]-_xlfn.XLOOKUP(Readings[[#This Row],[Sensor ID]],Table_Baseline[Sensor ID],Table_Baseline[Easting '[m']],"-")),"-")</f>
        <v>-1.0000000038417056E-3</v>
      </c>
      <c r="P1016" s="93">
        <f>IFERROR(IF(Readings[[#This Row],[Obs. Y]]="","-",Readings[[#This Row],[Obs. Y]]-_xlfn.XLOOKUP(Readings[[#This Row],[Sensor ID]],Table_Baseline[Sensor ID],Table_Baseline[Northing '[m']],"-")),"-")</f>
        <v>1.0000000474974513E-3</v>
      </c>
      <c r="Q1016" s="93">
        <f>IFERROR(IF(Readings[[#This Row],[Obs. Z]]="","-",Readings[[#This Row],[Obs. Z]]-_xlfn.XLOOKUP(Readings[[#This Row],[Sensor ID]],Table_Baseline[Sensor ID],Table_Baseline[Level '[m']],"-")),"-")</f>
        <v>-5.9999999999860165E-4</v>
      </c>
      <c r="R1016" s="93">
        <f>IFERROR(IF(Readings[[#This Row],[Reference Angle]]="-","-",(Readings[[#This Row],[Diff E]]*COS(RADIANS(Readings[[#This Row],[Reference Angle]]))-Readings[[#This Row],[Diff N]]*SIN(RADIANS(Readings[[#This Row],[Reference Angle]])))),"-")</f>
        <v>-1.0000000038417056E-3</v>
      </c>
      <c r="S1016" s="93">
        <f>IFERROR(IF(Readings[[#This Row],[Reference Angle]]="-","-",(Readings[[#This Row],[Diff E]]*SIN(RADIANS(Readings[[#This Row],[Reference Angle]]))+Readings[[#This Row],[Diff N]]*COS(RADIANS(Readings[[#This Row],[Reference Angle]])))),"-")</f>
        <v>1.0000000474974513E-3</v>
      </c>
      <c r="T1016" s="94">
        <f>IFERROR(VLOOKUP(Readings[[#This Row],[Sensor ID]],Table_Baseline[],COLUMNS(Table_Baseline[[#Headers],[Sensor ID]:[Reference Angle '[Deg']]]),FALSE),"-")</f>
        <v>0</v>
      </c>
      <c r="U1016" s="95" t="str">
        <f>Readings[[#This Row],[Sensor ID]]&amp;"-"&amp;Readings[[#This Row],[Epoch]]</f>
        <v>250-RL-OP-11009-45852.5416666667</v>
      </c>
      <c r="V1016" s="99">
        <f ca="1">IF(Readings[[#This Row],[Epoch]]=OFFSET(Readings[[#This Row],[Epoch]],-1,0),0,1)</f>
        <v>0</v>
      </c>
    </row>
    <row r="1017" spans="4:22" x14ac:dyDescent="0.2">
      <c r="D1017" s="32">
        <v>45852.541666666664</v>
      </c>
      <c r="E1017" s="33" t="s">
        <v>179</v>
      </c>
      <c r="F1017" s="34">
        <v>60046.249000000003</v>
      </c>
      <c r="G1017" s="34">
        <v>363841.22700000001</v>
      </c>
      <c r="H1017" s="34">
        <v>18.77</v>
      </c>
      <c r="I1017" s="33" t="s">
        <v>85</v>
      </c>
      <c r="J1017" s="33" t="s">
        <v>90</v>
      </c>
      <c r="K1017" s="33">
        <v>18</v>
      </c>
      <c r="L1017" s="33">
        <v>1016</v>
      </c>
      <c r="M1017" s="33">
        <v>37</v>
      </c>
      <c r="N1017" s="33"/>
      <c r="O1017" s="93">
        <f>IFERROR(IF(Readings[[#This Row],[Obs. X]]="","-",Readings[[#This Row],[Obs. X]]-_xlfn.XLOOKUP(Readings[[#This Row],[Sensor ID]],Table_Baseline[Sensor ID],Table_Baseline[Easting '[m']],"-")),"-")</f>
        <v>-9.9999999656574801E-4</v>
      </c>
      <c r="P1017" s="93">
        <f>IFERROR(IF(Readings[[#This Row],[Obs. Y]]="","-",Readings[[#This Row],[Obs. Y]]-_xlfn.XLOOKUP(Readings[[#This Row],[Sensor ID]],Table_Baseline[Sensor ID],Table_Baseline[Northing '[m']],"-")),"-")</f>
        <v>9.9999998928979039E-4</v>
      </c>
      <c r="Q1017" s="93">
        <f>IFERROR(IF(Readings[[#This Row],[Obs. Z]]="","-",Readings[[#This Row],[Obs. Z]]-_xlfn.XLOOKUP(Readings[[#This Row],[Sensor ID]],Table_Baseline[Sensor ID],Table_Baseline[Level '[m']],"-")),"-")</f>
        <v>1.9999999999953388E-4</v>
      </c>
      <c r="R1017" s="93">
        <f>IFERROR(IF(Readings[[#This Row],[Reference Angle]]="-","-",(Readings[[#This Row],[Diff E]]*COS(RADIANS(Readings[[#This Row],[Reference Angle]]))-Readings[[#This Row],[Diff N]]*SIN(RADIANS(Readings[[#This Row],[Reference Angle]])))),"-")</f>
        <v>-9.9999999656574801E-4</v>
      </c>
      <c r="S1017" s="93">
        <f>IFERROR(IF(Readings[[#This Row],[Reference Angle]]="-","-",(Readings[[#This Row],[Diff E]]*SIN(RADIANS(Readings[[#This Row],[Reference Angle]]))+Readings[[#This Row],[Diff N]]*COS(RADIANS(Readings[[#This Row],[Reference Angle]])))),"-")</f>
        <v>9.9999998928979039E-4</v>
      </c>
      <c r="T1017" s="94">
        <f>IFERROR(VLOOKUP(Readings[[#This Row],[Sensor ID]],Table_Baseline[],COLUMNS(Table_Baseline[[#Headers],[Sensor ID]:[Reference Angle '[Deg']]]),FALSE),"-")</f>
        <v>0</v>
      </c>
      <c r="U1017" s="95" t="str">
        <f>Readings[[#This Row],[Sensor ID]]&amp;"-"&amp;Readings[[#This Row],[Epoch]]</f>
        <v>250-RL-OP-11010-45852.5416666667</v>
      </c>
      <c r="V1017" s="99">
        <f ca="1">IF(Readings[[#This Row],[Epoch]]=OFFSET(Readings[[#This Row],[Epoch]],-1,0),0,1)</f>
        <v>0</v>
      </c>
    </row>
    <row r="1018" spans="4:22" x14ac:dyDescent="0.2">
      <c r="D1018" s="32">
        <v>45852.541666666664</v>
      </c>
      <c r="E1018" s="33" t="s">
        <v>182</v>
      </c>
      <c r="F1018" s="34">
        <v>60049.398000000001</v>
      </c>
      <c r="G1018" s="34">
        <v>363841.7</v>
      </c>
      <c r="H1018" s="34">
        <v>18.777999999999999</v>
      </c>
      <c r="I1018" s="33" t="s">
        <v>85</v>
      </c>
      <c r="J1018" s="33" t="s">
        <v>90</v>
      </c>
      <c r="K1018" s="33">
        <v>18</v>
      </c>
      <c r="L1018" s="33">
        <v>1016</v>
      </c>
      <c r="M1018" s="33">
        <v>37</v>
      </c>
      <c r="N1018" s="33"/>
      <c r="O1018" s="93">
        <f>IFERROR(IF(Readings[[#This Row],[Obs. X]]="","-",Readings[[#This Row],[Obs. X]]-_xlfn.XLOOKUP(Readings[[#This Row],[Sensor ID]],Table_Baseline[Sensor ID],Table_Baseline[Easting '[m']],"-")),"-")</f>
        <v>-9.9999999656574801E-4</v>
      </c>
      <c r="P1018" s="93">
        <f>IFERROR(IF(Readings[[#This Row],[Obs. Y]]="","-",Readings[[#This Row],[Obs. Y]]-_xlfn.XLOOKUP(Readings[[#This Row],[Sensor ID]],Table_Baseline[Sensor ID],Table_Baseline[Northing '[m']],"-")),"-")</f>
        <v>2.0000000367872417E-3</v>
      </c>
      <c r="Q1018" s="93">
        <f>IFERROR(IF(Readings[[#This Row],[Obs. Z]]="","-",Readings[[#This Row],[Obs. Z]]-_xlfn.XLOOKUP(Readings[[#This Row],[Sensor ID]],Table_Baseline[Sensor ID],Table_Baseline[Level '[m']],"-")),"-")</f>
        <v>0</v>
      </c>
      <c r="R1018" s="93">
        <f>IFERROR(IF(Readings[[#This Row],[Reference Angle]]="-","-",(Readings[[#This Row],[Diff E]]*COS(RADIANS(Readings[[#This Row],[Reference Angle]]))-Readings[[#This Row],[Diff N]]*SIN(RADIANS(Readings[[#This Row],[Reference Angle]])))),"-")</f>
        <v>-9.9999999656574801E-4</v>
      </c>
      <c r="S1018" s="93">
        <f>IFERROR(IF(Readings[[#This Row],[Reference Angle]]="-","-",(Readings[[#This Row],[Diff E]]*SIN(RADIANS(Readings[[#This Row],[Reference Angle]]))+Readings[[#This Row],[Diff N]]*COS(RADIANS(Readings[[#This Row],[Reference Angle]])))),"-")</f>
        <v>2.0000000367872417E-3</v>
      </c>
      <c r="T1018" s="94">
        <f>IFERROR(VLOOKUP(Readings[[#This Row],[Sensor ID]],Table_Baseline[],COLUMNS(Table_Baseline[[#Headers],[Sensor ID]:[Reference Angle '[Deg']]]),FALSE),"-")</f>
        <v>0</v>
      </c>
      <c r="U1018" s="95" t="str">
        <f>Readings[[#This Row],[Sensor ID]]&amp;"-"&amp;Readings[[#This Row],[Epoch]]</f>
        <v>250-RL-OP-11011-45852.5416666667</v>
      </c>
      <c r="V1018" s="99">
        <f ca="1">IF(Readings[[#This Row],[Epoch]]=OFFSET(Readings[[#This Row],[Epoch]],-1,0),0,1)</f>
        <v>0</v>
      </c>
    </row>
    <row r="1019" spans="4:22" x14ac:dyDescent="0.2">
      <c r="D1019" s="32">
        <v>45852.541666666664</v>
      </c>
      <c r="E1019" s="33" t="s">
        <v>181</v>
      </c>
      <c r="F1019" s="34">
        <v>60049.040999999997</v>
      </c>
      <c r="G1019" s="34">
        <v>363840.43599999999</v>
      </c>
      <c r="H1019" s="34">
        <v>18.771000000000001</v>
      </c>
      <c r="I1019" s="33" t="s">
        <v>85</v>
      </c>
      <c r="J1019" s="33" t="s">
        <v>90</v>
      </c>
      <c r="K1019" s="33">
        <v>18</v>
      </c>
      <c r="L1019" s="33">
        <v>1016</v>
      </c>
      <c r="M1019" s="33">
        <v>37</v>
      </c>
      <c r="N1019" s="33"/>
      <c r="O1019" s="93">
        <f>IFERROR(IF(Readings[[#This Row],[Obs. X]]="","-",Readings[[#This Row],[Obs. X]]-_xlfn.XLOOKUP(Readings[[#This Row],[Sensor ID]],Table_Baseline[Sensor ID],Table_Baseline[Easting '[m']],"-")),"-")</f>
        <v>0</v>
      </c>
      <c r="P1019" s="93">
        <f>IFERROR(IF(Readings[[#This Row],[Obs. Y]]="","-",Readings[[#This Row],[Obs. Y]]-_xlfn.XLOOKUP(Readings[[#This Row],[Sensor ID]],Table_Baseline[Sensor ID],Table_Baseline[Northing '[m']],"-")),"-")</f>
        <v>3.0000000260770321E-3</v>
      </c>
      <c r="Q1019" s="93">
        <f>IFERROR(IF(Readings[[#This Row],[Obs. Z]]="","-",Readings[[#This Row],[Obs. Z]]-_xlfn.XLOOKUP(Readings[[#This Row],[Sensor ID]],Table_Baseline[Sensor ID],Table_Baseline[Level '[m']],"-")),"-")</f>
        <v>-9.9999999999766942E-5</v>
      </c>
      <c r="R1019" s="93">
        <f>IFERROR(IF(Readings[[#This Row],[Reference Angle]]="-","-",(Readings[[#This Row],[Diff E]]*COS(RADIANS(Readings[[#This Row],[Reference Angle]]))-Readings[[#This Row],[Diff N]]*SIN(RADIANS(Readings[[#This Row],[Reference Angle]])))),"-")</f>
        <v>0</v>
      </c>
      <c r="S1019" s="93">
        <f>IFERROR(IF(Readings[[#This Row],[Reference Angle]]="-","-",(Readings[[#This Row],[Diff E]]*SIN(RADIANS(Readings[[#This Row],[Reference Angle]]))+Readings[[#This Row],[Diff N]]*COS(RADIANS(Readings[[#This Row],[Reference Angle]])))),"-")</f>
        <v>3.0000000260770321E-3</v>
      </c>
      <c r="T1019" s="94">
        <f>IFERROR(VLOOKUP(Readings[[#This Row],[Sensor ID]],Table_Baseline[],COLUMNS(Table_Baseline[[#Headers],[Sensor ID]:[Reference Angle '[Deg']]]),FALSE),"-")</f>
        <v>0</v>
      </c>
      <c r="U1019" s="95" t="str">
        <f>Readings[[#This Row],[Sensor ID]]&amp;"-"&amp;Readings[[#This Row],[Epoch]]</f>
        <v>250-RL-OP-11012-45852.5416666667</v>
      </c>
      <c r="V1019" s="99">
        <f ca="1">IF(Readings[[#This Row],[Epoch]]=OFFSET(Readings[[#This Row],[Epoch]],-1,0),0,1)</f>
        <v>0</v>
      </c>
    </row>
    <row r="1020" spans="4:22" x14ac:dyDescent="0.2">
      <c r="D1020" s="32">
        <v>45852.541666666664</v>
      </c>
      <c r="E1020" s="33" t="s">
        <v>184</v>
      </c>
      <c r="F1020" s="34">
        <v>60052.292000000001</v>
      </c>
      <c r="G1020" s="34">
        <v>363840.88800000004</v>
      </c>
      <c r="H1020" s="34">
        <v>18.779</v>
      </c>
      <c r="I1020" s="33" t="s">
        <v>85</v>
      </c>
      <c r="J1020" s="33" t="s">
        <v>90</v>
      </c>
      <c r="K1020" s="33">
        <v>18</v>
      </c>
      <c r="L1020" s="33">
        <v>1016</v>
      </c>
      <c r="M1020" s="33">
        <v>37</v>
      </c>
      <c r="N1020" s="33"/>
      <c r="O1020" s="93">
        <f>IFERROR(IF(Readings[[#This Row],[Obs. X]]="","-",Readings[[#This Row],[Obs. X]]-_xlfn.XLOOKUP(Readings[[#This Row],[Sensor ID]],Table_Baseline[Sensor ID],Table_Baseline[Easting '[m']],"-")),"-")</f>
        <v>-9.9999999656574801E-4</v>
      </c>
      <c r="P1020" s="93">
        <f>IFERROR(IF(Readings[[#This Row],[Obs. Y]]="","-",Readings[[#This Row],[Obs. Y]]-_xlfn.XLOOKUP(Readings[[#This Row],[Sensor ID]],Table_Baseline[Sensor ID],Table_Baseline[Northing '[m']],"-")),"-")</f>
        <v>3.0000000260770321E-3</v>
      </c>
      <c r="Q1020" s="93">
        <f>IFERROR(IF(Readings[[#This Row],[Obs. Z]]="","-",Readings[[#This Row],[Obs. Z]]-_xlfn.XLOOKUP(Readings[[#This Row],[Sensor ID]],Table_Baseline[Sensor ID],Table_Baseline[Level '[m']],"-")),"-")</f>
        <v>0</v>
      </c>
      <c r="R1020" s="93">
        <f>IFERROR(IF(Readings[[#This Row],[Reference Angle]]="-","-",(Readings[[#This Row],[Diff E]]*COS(RADIANS(Readings[[#This Row],[Reference Angle]]))-Readings[[#This Row],[Diff N]]*SIN(RADIANS(Readings[[#This Row],[Reference Angle]])))),"-")</f>
        <v>-9.9999999656574801E-4</v>
      </c>
      <c r="S1020" s="93">
        <f>IFERROR(IF(Readings[[#This Row],[Reference Angle]]="-","-",(Readings[[#This Row],[Diff E]]*SIN(RADIANS(Readings[[#This Row],[Reference Angle]]))+Readings[[#This Row],[Diff N]]*COS(RADIANS(Readings[[#This Row],[Reference Angle]])))),"-")</f>
        <v>3.0000000260770321E-3</v>
      </c>
      <c r="T1020" s="94">
        <f>IFERROR(VLOOKUP(Readings[[#This Row],[Sensor ID]],Table_Baseline[],COLUMNS(Table_Baseline[[#Headers],[Sensor ID]:[Reference Angle '[Deg']]]),FALSE),"-")</f>
        <v>0</v>
      </c>
      <c r="U1020" s="95" t="str">
        <f>Readings[[#This Row],[Sensor ID]]&amp;"-"&amp;Readings[[#This Row],[Epoch]]</f>
        <v>250-RL-OP-11013-45852.5416666667</v>
      </c>
      <c r="V1020" s="99">
        <f ca="1">IF(Readings[[#This Row],[Epoch]]=OFFSET(Readings[[#This Row],[Epoch]],-1,0),0,1)</f>
        <v>0</v>
      </c>
    </row>
    <row r="1021" spans="4:22" x14ac:dyDescent="0.2">
      <c r="D1021" s="32">
        <v>45852.541666666664</v>
      </c>
      <c r="E1021" s="33" t="s">
        <v>183</v>
      </c>
      <c r="F1021" s="34">
        <v>60051.989000000001</v>
      </c>
      <c r="G1021" s="34">
        <v>363839.60600000003</v>
      </c>
      <c r="H1021" s="34">
        <v>18.77</v>
      </c>
      <c r="I1021" s="33" t="s">
        <v>85</v>
      </c>
      <c r="J1021" s="33" t="s">
        <v>90</v>
      </c>
      <c r="K1021" s="33">
        <v>18</v>
      </c>
      <c r="L1021" s="33">
        <v>1016</v>
      </c>
      <c r="M1021" s="33">
        <v>37</v>
      </c>
      <c r="N1021" s="33"/>
      <c r="O1021" s="93">
        <f>IFERROR(IF(Readings[[#This Row],[Obs. X]]="","-",Readings[[#This Row],[Obs. X]]-_xlfn.XLOOKUP(Readings[[#This Row],[Sensor ID]],Table_Baseline[Sensor ID],Table_Baseline[Easting '[m']],"-")),"-")</f>
        <v>0</v>
      </c>
      <c r="P1021" s="93">
        <f>IFERROR(IF(Readings[[#This Row],[Obs. Y]]="","-",Readings[[#This Row],[Obs. Y]]-_xlfn.XLOOKUP(Readings[[#This Row],[Sensor ID]],Table_Baseline[Sensor ID],Table_Baseline[Northing '[m']],"-")),"-")</f>
        <v>3.0000000260770321E-3</v>
      </c>
      <c r="Q1021" s="93">
        <f>IFERROR(IF(Readings[[#This Row],[Obs. Z]]="","-",Readings[[#This Row],[Obs. Z]]-_xlfn.XLOOKUP(Readings[[#This Row],[Sensor ID]],Table_Baseline[Sensor ID],Table_Baseline[Level '[m']],"-")),"-")</f>
        <v>-9.9999999999766942E-5</v>
      </c>
      <c r="R1021" s="93">
        <f>IFERROR(IF(Readings[[#This Row],[Reference Angle]]="-","-",(Readings[[#This Row],[Diff E]]*COS(RADIANS(Readings[[#This Row],[Reference Angle]]))-Readings[[#This Row],[Diff N]]*SIN(RADIANS(Readings[[#This Row],[Reference Angle]])))),"-")</f>
        <v>0</v>
      </c>
      <c r="S1021" s="93">
        <f>IFERROR(IF(Readings[[#This Row],[Reference Angle]]="-","-",(Readings[[#This Row],[Diff E]]*SIN(RADIANS(Readings[[#This Row],[Reference Angle]]))+Readings[[#This Row],[Diff N]]*COS(RADIANS(Readings[[#This Row],[Reference Angle]])))),"-")</f>
        <v>3.0000000260770321E-3</v>
      </c>
      <c r="T1021" s="94">
        <f>IFERROR(VLOOKUP(Readings[[#This Row],[Sensor ID]],Table_Baseline[],COLUMNS(Table_Baseline[[#Headers],[Sensor ID]:[Reference Angle '[Deg']]]),FALSE),"-")</f>
        <v>0</v>
      </c>
      <c r="U1021" s="95" t="str">
        <f>Readings[[#This Row],[Sensor ID]]&amp;"-"&amp;Readings[[#This Row],[Epoch]]</f>
        <v>250-RL-OP-11014-45852.5416666667</v>
      </c>
      <c r="V1021" s="99">
        <f ca="1">IF(Readings[[#This Row],[Epoch]]=OFFSET(Readings[[#This Row],[Epoch]],-1,0),0,1)</f>
        <v>0</v>
      </c>
    </row>
    <row r="1022" spans="4:22" x14ac:dyDescent="0.2">
      <c r="D1022" s="32">
        <v>45852.541666666664</v>
      </c>
      <c r="E1022" s="33" t="s">
        <v>186</v>
      </c>
      <c r="F1022" s="34">
        <v>60055.195</v>
      </c>
      <c r="G1022" s="34">
        <v>363840.098</v>
      </c>
      <c r="H1022" s="34">
        <v>18.78</v>
      </c>
      <c r="I1022" s="33" t="s">
        <v>85</v>
      </c>
      <c r="J1022" s="33" t="s">
        <v>90</v>
      </c>
      <c r="K1022" s="33">
        <v>18</v>
      </c>
      <c r="L1022" s="33">
        <v>1016</v>
      </c>
      <c r="M1022" s="33">
        <v>37</v>
      </c>
      <c r="N1022" s="33"/>
      <c r="O1022" s="93">
        <f>IFERROR(IF(Readings[[#This Row],[Obs. X]]="","-",Readings[[#This Row],[Obs. X]]-_xlfn.XLOOKUP(Readings[[#This Row],[Sensor ID]],Table_Baseline[Sensor ID],Table_Baseline[Easting '[m']],"-")),"-")</f>
        <v>-1.0000000038417056E-3</v>
      </c>
      <c r="P1022" s="93">
        <f>IFERROR(IF(Readings[[#This Row],[Obs. Y]]="","-",Readings[[#This Row],[Obs. Y]]-_xlfn.XLOOKUP(Readings[[#This Row],[Sensor ID]],Table_Baseline[Sensor ID],Table_Baseline[Northing '[m']],"-")),"-")</f>
        <v>3.0000000260770321E-3</v>
      </c>
      <c r="Q1022" s="93">
        <f>IFERROR(IF(Readings[[#This Row],[Obs. Z]]="","-",Readings[[#This Row],[Obs. Z]]-_xlfn.XLOOKUP(Readings[[#This Row],[Sensor ID]],Table_Baseline[Sensor ID],Table_Baseline[Level '[m']],"-")),"-")</f>
        <v>-8.9999999999790248E-4</v>
      </c>
      <c r="R1022" s="93">
        <f>IFERROR(IF(Readings[[#This Row],[Reference Angle]]="-","-",(Readings[[#This Row],[Diff E]]*COS(RADIANS(Readings[[#This Row],[Reference Angle]]))-Readings[[#This Row],[Diff N]]*SIN(RADIANS(Readings[[#This Row],[Reference Angle]])))),"-")</f>
        <v>-1.0000000038417056E-3</v>
      </c>
      <c r="S1022" s="93">
        <f>IFERROR(IF(Readings[[#This Row],[Reference Angle]]="-","-",(Readings[[#This Row],[Diff E]]*SIN(RADIANS(Readings[[#This Row],[Reference Angle]]))+Readings[[#This Row],[Diff N]]*COS(RADIANS(Readings[[#This Row],[Reference Angle]])))),"-")</f>
        <v>3.0000000260770321E-3</v>
      </c>
      <c r="T1022" s="94">
        <f>IFERROR(VLOOKUP(Readings[[#This Row],[Sensor ID]],Table_Baseline[],COLUMNS(Table_Baseline[[#Headers],[Sensor ID]:[Reference Angle '[Deg']]]),FALSE),"-")</f>
        <v>0</v>
      </c>
      <c r="U1022" s="95" t="str">
        <f>Readings[[#This Row],[Sensor ID]]&amp;"-"&amp;Readings[[#This Row],[Epoch]]</f>
        <v>250-RL-OP-11015-45852.5416666667</v>
      </c>
      <c r="V1022" s="99">
        <f ca="1">IF(Readings[[#This Row],[Epoch]]=OFFSET(Readings[[#This Row],[Epoch]],-1,0),0,1)</f>
        <v>0</v>
      </c>
    </row>
    <row r="1023" spans="4:22" x14ac:dyDescent="0.2">
      <c r="D1023" s="32">
        <v>45852.541666666664</v>
      </c>
      <c r="E1023" s="33" t="s">
        <v>185</v>
      </c>
      <c r="F1023" s="34">
        <v>60054.885000000002</v>
      </c>
      <c r="G1023" s="34">
        <v>363838.80799999996</v>
      </c>
      <c r="H1023" s="34">
        <v>18.773</v>
      </c>
      <c r="I1023" s="33" t="s">
        <v>85</v>
      </c>
      <c r="J1023" s="33" t="s">
        <v>90</v>
      </c>
      <c r="K1023" s="33">
        <v>18</v>
      </c>
      <c r="L1023" s="33">
        <v>1016</v>
      </c>
      <c r="M1023" s="33">
        <v>37</v>
      </c>
      <c r="N1023" s="33"/>
      <c r="O1023" s="93">
        <f>IFERROR(IF(Readings[[#This Row],[Obs. X]]="","-",Readings[[#This Row],[Obs. X]]-_xlfn.XLOOKUP(Readings[[#This Row],[Sensor ID]],Table_Baseline[Sensor ID],Table_Baseline[Easting '[m']],"-")),"-")</f>
        <v>-9.9999999656574801E-4</v>
      </c>
      <c r="P1023" s="93">
        <f>IFERROR(IF(Readings[[#This Row],[Obs. Y]]="","-",Readings[[#This Row],[Obs. Y]]-_xlfn.XLOOKUP(Readings[[#This Row],[Sensor ID]],Table_Baseline[Sensor ID],Table_Baseline[Northing '[m']],"-")),"-")</f>
        <v>2.9999999678693712E-3</v>
      </c>
      <c r="Q1023" s="93">
        <f>IFERROR(IF(Readings[[#This Row],[Obs. Z]]="","-",Readings[[#This Row],[Obs. Z]]-_xlfn.XLOOKUP(Readings[[#This Row],[Sensor ID]],Table_Baseline[Sensor ID],Table_Baseline[Level '[m']],"-")),"-")</f>
        <v>-9.9999999999766942E-5</v>
      </c>
      <c r="R1023" s="93">
        <f>IFERROR(IF(Readings[[#This Row],[Reference Angle]]="-","-",(Readings[[#This Row],[Diff E]]*COS(RADIANS(Readings[[#This Row],[Reference Angle]]))-Readings[[#This Row],[Diff N]]*SIN(RADIANS(Readings[[#This Row],[Reference Angle]])))),"-")</f>
        <v>-9.9999999656574801E-4</v>
      </c>
      <c r="S1023" s="93">
        <f>IFERROR(IF(Readings[[#This Row],[Reference Angle]]="-","-",(Readings[[#This Row],[Diff E]]*SIN(RADIANS(Readings[[#This Row],[Reference Angle]]))+Readings[[#This Row],[Diff N]]*COS(RADIANS(Readings[[#This Row],[Reference Angle]])))),"-")</f>
        <v>2.9999999678693712E-3</v>
      </c>
      <c r="T1023" s="94">
        <f>IFERROR(VLOOKUP(Readings[[#This Row],[Sensor ID]],Table_Baseline[],COLUMNS(Table_Baseline[[#Headers],[Sensor ID]:[Reference Angle '[Deg']]]),FALSE),"-")</f>
        <v>0</v>
      </c>
      <c r="U1023" s="95" t="str">
        <f>Readings[[#This Row],[Sensor ID]]&amp;"-"&amp;Readings[[#This Row],[Epoch]]</f>
        <v>250-RL-OP-11016-45852.5416666667</v>
      </c>
      <c r="V1023" s="99">
        <f ca="1">IF(Readings[[#This Row],[Epoch]]=OFFSET(Readings[[#This Row],[Epoch]],-1,0),0,1)</f>
        <v>0</v>
      </c>
    </row>
    <row r="1024" spans="4:22" x14ac:dyDescent="0.2">
      <c r="D1024" s="32">
        <v>45852.541666666664</v>
      </c>
      <c r="E1024" s="33" t="s">
        <v>188</v>
      </c>
      <c r="F1024" s="34">
        <v>60057.951000000001</v>
      </c>
      <c r="G1024" s="34">
        <v>363839.36600000004</v>
      </c>
      <c r="H1024" s="34">
        <v>18.785</v>
      </c>
      <c r="I1024" s="33" t="s">
        <v>85</v>
      </c>
      <c r="J1024" s="33" t="s">
        <v>90</v>
      </c>
      <c r="K1024" s="33">
        <v>18</v>
      </c>
      <c r="L1024" s="33">
        <v>1016</v>
      </c>
      <c r="M1024" s="33">
        <v>37</v>
      </c>
      <c r="N1024" s="33"/>
      <c r="O1024" s="93">
        <f>IFERROR(IF(Readings[[#This Row],[Obs. X]]="","-",Readings[[#This Row],[Obs. X]]-_xlfn.XLOOKUP(Readings[[#This Row],[Sensor ID]],Table_Baseline[Sensor ID],Table_Baseline[Easting '[m']],"-")),"-")</f>
        <v>-9.9999999656574801E-4</v>
      </c>
      <c r="P1024" s="93">
        <f>IFERROR(IF(Readings[[#This Row],[Obs. Y]]="","-",Readings[[#This Row],[Obs. Y]]-_xlfn.XLOOKUP(Readings[[#This Row],[Sensor ID]],Table_Baseline[Sensor ID],Table_Baseline[Northing '[m']],"-")),"-")</f>
        <v>4.0000000735744834E-3</v>
      </c>
      <c r="Q1024" s="93">
        <f>IFERROR(IF(Readings[[#This Row],[Obs. Z]]="","-",Readings[[#This Row],[Obs. Z]]-_xlfn.XLOOKUP(Readings[[#This Row],[Sensor ID]],Table_Baseline[Sensor ID],Table_Baseline[Level '[m']],"-")),"-")</f>
        <v>-1.0000000000012221E-3</v>
      </c>
      <c r="R1024" s="93">
        <f>IFERROR(IF(Readings[[#This Row],[Reference Angle]]="-","-",(Readings[[#This Row],[Diff E]]*COS(RADIANS(Readings[[#This Row],[Reference Angle]]))-Readings[[#This Row],[Diff N]]*SIN(RADIANS(Readings[[#This Row],[Reference Angle]])))),"-")</f>
        <v>-9.9999999656574801E-4</v>
      </c>
      <c r="S1024" s="93">
        <f>IFERROR(IF(Readings[[#This Row],[Reference Angle]]="-","-",(Readings[[#This Row],[Diff E]]*SIN(RADIANS(Readings[[#This Row],[Reference Angle]]))+Readings[[#This Row],[Diff N]]*COS(RADIANS(Readings[[#This Row],[Reference Angle]])))),"-")</f>
        <v>4.0000000735744834E-3</v>
      </c>
      <c r="T1024" s="94">
        <f>IFERROR(VLOOKUP(Readings[[#This Row],[Sensor ID]],Table_Baseline[],COLUMNS(Table_Baseline[[#Headers],[Sensor ID]:[Reference Angle '[Deg']]]),FALSE),"-")</f>
        <v>0</v>
      </c>
      <c r="U1024" s="95" t="str">
        <f>Readings[[#This Row],[Sensor ID]]&amp;"-"&amp;Readings[[#This Row],[Epoch]]</f>
        <v>250-RL-OP-11017-45852.5416666667</v>
      </c>
      <c r="V1024" s="99">
        <f ca="1">IF(Readings[[#This Row],[Epoch]]=OFFSET(Readings[[#This Row],[Epoch]],-1,0),0,1)</f>
        <v>0</v>
      </c>
    </row>
    <row r="1025" spans="4:22" x14ac:dyDescent="0.2">
      <c r="D1025" s="32">
        <v>45852.541666666664</v>
      </c>
      <c r="E1025" s="33" t="s">
        <v>187</v>
      </c>
      <c r="F1025" s="34">
        <v>60057.578999999998</v>
      </c>
      <c r="G1025" s="34">
        <v>363838.10100000002</v>
      </c>
      <c r="H1025" s="34">
        <v>18.774999999999999</v>
      </c>
      <c r="I1025" s="33" t="s">
        <v>85</v>
      </c>
      <c r="J1025" s="33" t="s">
        <v>90</v>
      </c>
      <c r="K1025" s="33">
        <v>18</v>
      </c>
      <c r="L1025" s="33">
        <v>1016</v>
      </c>
      <c r="M1025" s="33">
        <v>37</v>
      </c>
      <c r="N1025" s="33"/>
      <c r="O1025" s="93">
        <f>IFERROR(IF(Readings[[#This Row],[Obs. X]]="","-",Readings[[#This Row],[Obs. X]]-_xlfn.XLOOKUP(Readings[[#This Row],[Sensor ID]],Table_Baseline[Sensor ID],Table_Baseline[Easting '[m']],"-")),"-")</f>
        <v>0</v>
      </c>
      <c r="P1025" s="93">
        <f>IFERROR(IF(Readings[[#This Row],[Obs. Y]]="","-",Readings[[#This Row],[Obs. Y]]-_xlfn.XLOOKUP(Readings[[#This Row],[Sensor ID]],Table_Baseline[Sensor ID],Table_Baseline[Northing '[m']],"-")),"-")</f>
        <v>3.0000000260770321E-3</v>
      </c>
      <c r="Q1025" s="93">
        <f>IFERROR(IF(Readings[[#This Row],[Obs. Z]]="","-",Readings[[#This Row],[Obs. Z]]-_xlfn.XLOOKUP(Readings[[#This Row],[Sensor ID]],Table_Baseline[Sensor ID],Table_Baseline[Level '[m']],"-")),"-")</f>
        <v>-1.0000000000012221E-3</v>
      </c>
      <c r="R1025" s="93">
        <f>IFERROR(IF(Readings[[#This Row],[Reference Angle]]="-","-",(Readings[[#This Row],[Diff E]]*COS(RADIANS(Readings[[#This Row],[Reference Angle]]))-Readings[[#This Row],[Diff N]]*SIN(RADIANS(Readings[[#This Row],[Reference Angle]])))),"-")</f>
        <v>0</v>
      </c>
      <c r="S1025" s="93">
        <f>IFERROR(IF(Readings[[#This Row],[Reference Angle]]="-","-",(Readings[[#This Row],[Diff E]]*SIN(RADIANS(Readings[[#This Row],[Reference Angle]]))+Readings[[#This Row],[Diff N]]*COS(RADIANS(Readings[[#This Row],[Reference Angle]])))),"-")</f>
        <v>3.0000000260770321E-3</v>
      </c>
      <c r="T1025" s="94">
        <f>IFERROR(VLOOKUP(Readings[[#This Row],[Sensor ID]],Table_Baseline[],COLUMNS(Table_Baseline[[#Headers],[Sensor ID]:[Reference Angle '[Deg']]]),FALSE),"-")</f>
        <v>0</v>
      </c>
      <c r="U1025" s="95" t="str">
        <f>Readings[[#This Row],[Sensor ID]]&amp;"-"&amp;Readings[[#This Row],[Epoch]]</f>
        <v>250-RL-OP-11018-45852.5416666667</v>
      </c>
      <c r="V1025" s="99">
        <f ca="1">IF(Readings[[#This Row],[Epoch]]=OFFSET(Readings[[#This Row],[Epoch]],-1,0),0,1)</f>
        <v>0</v>
      </c>
    </row>
    <row r="1026" spans="4:22" x14ac:dyDescent="0.2">
      <c r="D1026" s="32">
        <v>45852.541666666664</v>
      </c>
      <c r="E1026" s="33" t="s">
        <v>190</v>
      </c>
      <c r="F1026" s="34">
        <v>60060.962</v>
      </c>
      <c r="G1026" s="34">
        <v>363838.60499999998</v>
      </c>
      <c r="H1026" s="34">
        <v>18.794</v>
      </c>
      <c r="I1026" s="33" t="s">
        <v>85</v>
      </c>
      <c r="J1026" s="33" t="s">
        <v>90</v>
      </c>
      <c r="K1026" s="33">
        <v>18</v>
      </c>
      <c r="L1026" s="33">
        <v>1016</v>
      </c>
      <c r="M1026" s="33">
        <v>37</v>
      </c>
      <c r="N1026" s="33"/>
      <c r="O1026" s="93">
        <f>IFERROR(IF(Readings[[#This Row],[Obs. X]]="","-",Readings[[#This Row],[Obs. X]]-_xlfn.XLOOKUP(Readings[[#This Row],[Sensor ID]],Table_Baseline[Sensor ID],Table_Baseline[Easting '[m']],"-")),"-")</f>
        <v>-1.0000000038417056E-3</v>
      </c>
      <c r="P1026" s="93">
        <f>IFERROR(IF(Readings[[#This Row],[Obs. Y]]="","-",Readings[[#This Row],[Obs. Y]]-_xlfn.XLOOKUP(Readings[[#This Row],[Sensor ID]],Table_Baseline[Sensor ID],Table_Baseline[Northing '[m']],"-")),"-")</f>
        <v>3.9999999571591616E-3</v>
      </c>
      <c r="Q1026" s="93">
        <f>IFERROR(IF(Readings[[#This Row],[Obs. Z]]="","-",Readings[[#This Row],[Obs. Z]]-_xlfn.XLOOKUP(Readings[[#This Row],[Sensor ID]],Table_Baseline[Sensor ID],Table_Baseline[Level '[m']],"-")),"-")</f>
        <v>-5.9999999999860165E-4</v>
      </c>
      <c r="R1026" s="93">
        <f>IFERROR(IF(Readings[[#This Row],[Reference Angle]]="-","-",(Readings[[#This Row],[Diff E]]*COS(RADIANS(Readings[[#This Row],[Reference Angle]]))-Readings[[#This Row],[Diff N]]*SIN(RADIANS(Readings[[#This Row],[Reference Angle]])))),"-")</f>
        <v>-1.0000000038417056E-3</v>
      </c>
      <c r="S1026" s="93">
        <f>IFERROR(IF(Readings[[#This Row],[Reference Angle]]="-","-",(Readings[[#This Row],[Diff E]]*SIN(RADIANS(Readings[[#This Row],[Reference Angle]]))+Readings[[#This Row],[Diff N]]*COS(RADIANS(Readings[[#This Row],[Reference Angle]])))),"-")</f>
        <v>3.9999999571591616E-3</v>
      </c>
      <c r="T1026" s="94">
        <f>IFERROR(VLOOKUP(Readings[[#This Row],[Sensor ID]],Table_Baseline[],COLUMNS(Table_Baseline[[#Headers],[Sensor ID]:[Reference Angle '[Deg']]]),FALSE),"-")</f>
        <v>0</v>
      </c>
      <c r="U1026" s="95" t="str">
        <f>Readings[[#This Row],[Sensor ID]]&amp;"-"&amp;Readings[[#This Row],[Epoch]]</f>
        <v>250-RL-OP-11019-45852.5416666667</v>
      </c>
      <c r="V1026" s="99">
        <f ca="1">IF(Readings[[#This Row],[Epoch]]=OFFSET(Readings[[#This Row],[Epoch]],-1,0),0,1)</f>
        <v>0</v>
      </c>
    </row>
    <row r="1027" spans="4:22" x14ac:dyDescent="0.2">
      <c r="D1027" s="32">
        <v>45852.541666666664</v>
      </c>
      <c r="E1027" s="33" t="s">
        <v>189</v>
      </c>
      <c r="F1027" s="34">
        <v>60060.641000000003</v>
      </c>
      <c r="G1027" s="34">
        <v>363837.326</v>
      </c>
      <c r="H1027" s="34">
        <v>18.783000000000001</v>
      </c>
      <c r="I1027" s="33" t="s">
        <v>85</v>
      </c>
      <c r="J1027" s="33" t="s">
        <v>90</v>
      </c>
      <c r="K1027" s="33">
        <v>18</v>
      </c>
      <c r="L1027" s="33">
        <v>1016</v>
      </c>
      <c r="M1027" s="33">
        <v>37</v>
      </c>
      <c r="N1027" s="33"/>
      <c r="O1027" s="93">
        <f>IFERROR(IF(Readings[[#This Row],[Obs. X]]="","-",Readings[[#This Row],[Obs. X]]-_xlfn.XLOOKUP(Readings[[#This Row],[Sensor ID]],Table_Baseline[Sensor ID],Table_Baseline[Easting '[m']],"-")),"-")</f>
        <v>1.0000000038417056E-3</v>
      </c>
      <c r="P1027" s="93">
        <f>IFERROR(IF(Readings[[#This Row],[Obs. Y]]="","-",Readings[[#This Row],[Obs. Y]]-_xlfn.XLOOKUP(Readings[[#This Row],[Sensor ID]],Table_Baseline[Sensor ID],Table_Baseline[Northing '[m']],"-")),"-")</f>
        <v>4.0000000153668225E-3</v>
      </c>
      <c r="Q1027" s="93">
        <f>IFERROR(IF(Readings[[#This Row],[Obs. Z]]="","-",Readings[[#This Row],[Obs. Z]]-_xlfn.XLOOKUP(Readings[[#This Row],[Sensor ID]],Table_Baseline[Sensor ID],Table_Baseline[Level '[m']],"-")),"-")</f>
        <v>-5.9999999999860165E-4</v>
      </c>
      <c r="R1027" s="93">
        <f>IFERROR(IF(Readings[[#This Row],[Reference Angle]]="-","-",(Readings[[#This Row],[Diff E]]*COS(RADIANS(Readings[[#This Row],[Reference Angle]]))-Readings[[#This Row],[Diff N]]*SIN(RADIANS(Readings[[#This Row],[Reference Angle]])))),"-")</f>
        <v>1.0000000038417056E-3</v>
      </c>
      <c r="S1027" s="93">
        <f>IFERROR(IF(Readings[[#This Row],[Reference Angle]]="-","-",(Readings[[#This Row],[Diff E]]*SIN(RADIANS(Readings[[#This Row],[Reference Angle]]))+Readings[[#This Row],[Diff N]]*COS(RADIANS(Readings[[#This Row],[Reference Angle]])))),"-")</f>
        <v>4.0000000153668225E-3</v>
      </c>
      <c r="T1027" s="94">
        <f>IFERROR(VLOOKUP(Readings[[#This Row],[Sensor ID]],Table_Baseline[],COLUMNS(Table_Baseline[[#Headers],[Sensor ID]:[Reference Angle '[Deg']]]),FALSE),"-")</f>
        <v>0</v>
      </c>
      <c r="U1027" s="95" t="str">
        <f>Readings[[#This Row],[Sensor ID]]&amp;"-"&amp;Readings[[#This Row],[Epoch]]</f>
        <v>250-RL-OP-11020-45852.5416666667</v>
      </c>
      <c r="V1027" s="99">
        <f ca="1">IF(Readings[[#This Row],[Epoch]]=OFFSET(Readings[[#This Row],[Epoch]],-1,0),0,1)</f>
        <v>0</v>
      </c>
    </row>
    <row r="1028" spans="4:22" x14ac:dyDescent="0.2">
      <c r="D1028" s="32">
        <v>45852.541666666664</v>
      </c>
      <c r="E1028" s="33" t="s">
        <v>192</v>
      </c>
      <c r="F1028" s="34">
        <v>60063.75</v>
      </c>
      <c r="G1028" s="34">
        <v>363837.92200000002</v>
      </c>
      <c r="H1028" s="34">
        <v>18.808</v>
      </c>
      <c r="I1028" s="33" t="s">
        <v>85</v>
      </c>
      <c r="J1028" s="33" t="s">
        <v>90</v>
      </c>
      <c r="K1028" s="33">
        <v>18</v>
      </c>
      <c r="L1028" s="33">
        <v>1016</v>
      </c>
      <c r="M1028" s="33">
        <v>37</v>
      </c>
      <c r="N1028" s="33"/>
      <c r="O1028" s="93">
        <f>IFERROR(IF(Readings[[#This Row],[Obs. X]]="","-",Readings[[#This Row],[Obs. X]]-_xlfn.XLOOKUP(Readings[[#This Row],[Sensor ID]],Table_Baseline[Sensor ID],Table_Baseline[Easting '[m']],"-")),"-")</f>
        <v>-9.9999999656574801E-4</v>
      </c>
      <c r="P1028" s="93">
        <f>IFERROR(IF(Readings[[#This Row],[Obs. Y]]="","-",Readings[[#This Row],[Obs. Y]]-_xlfn.XLOOKUP(Readings[[#This Row],[Sensor ID]],Table_Baseline[Sensor ID],Table_Baseline[Northing '[m']],"-")),"-")</f>
        <v>4.0000000153668225E-3</v>
      </c>
      <c r="Q1028" s="93">
        <f>IFERROR(IF(Readings[[#This Row],[Obs. Z]]="","-",Readings[[#This Row],[Obs. Z]]-_xlfn.XLOOKUP(Readings[[#This Row],[Sensor ID]],Table_Baseline[Sensor ID],Table_Baseline[Level '[m']],"-")),"-")</f>
        <v>-1.0000000000012221E-3</v>
      </c>
      <c r="R1028" s="93">
        <f>IFERROR(IF(Readings[[#This Row],[Reference Angle]]="-","-",(Readings[[#This Row],[Diff E]]*COS(RADIANS(Readings[[#This Row],[Reference Angle]]))-Readings[[#This Row],[Diff N]]*SIN(RADIANS(Readings[[#This Row],[Reference Angle]])))),"-")</f>
        <v>-9.9999999656574801E-4</v>
      </c>
      <c r="S1028" s="93">
        <f>IFERROR(IF(Readings[[#This Row],[Reference Angle]]="-","-",(Readings[[#This Row],[Diff E]]*SIN(RADIANS(Readings[[#This Row],[Reference Angle]]))+Readings[[#This Row],[Diff N]]*COS(RADIANS(Readings[[#This Row],[Reference Angle]])))),"-")</f>
        <v>4.0000000153668225E-3</v>
      </c>
      <c r="T1028" s="94">
        <f>IFERROR(VLOOKUP(Readings[[#This Row],[Sensor ID]],Table_Baseline[],COLUMNS(Table_Baseline[[#Headers],[Sensor ID]:[Reference Angle '[Deg']]]),FALSE),"-")</f>
        <v>0</v>
      </c>
      <c r="U1028" s="95" t="str">
        <f>Readings[[#This Row],[Sensor ID]]&amp;"-"&amp;Readings[[#This Row],[Epoch]]</f>
        <v>250-RL-OP-11021-45852.5416666667</v>
      </c>
      <c r="V1028" s="99">
        <f ca="1">IF(Readings[[#This Row],[Epoch]]=OFFSET(Readings[[#This Row],[Epoch]],-1,0),0,1)</f>
        <v>0</v>
      </c>
    </row>
    <row r="1029" spans="4:22" x14ac:dyDescent="0.2">
      <c r="D1029" s="32">
        <v>45852.541666666664</v>
      </c>
      <c r="E1029" s="33" t="s">
        <v>191</v>
      </c>
      <c r="F1029" s="34">
        <v>60063.421999999999</v>
      </c>
      <c r="G1029" s="34">
        <v>363836.64</v>
      </c>
      <c r="H1029" s="34">
        <v>18.794</v>
      </c>
      <c r="I1029" s="33" t="s">
        <v>85</v>
      </c>
      <c r="J1029" s="33" t="s">
        <v>90</v>
      </c>
      <c r="K1029" s="33">
        <v>18</v>
      </c>
      <c r="L1029" s="33">
        <v>1016</v>
      </c>
      <c r="M1029" s="33">
        <v>37</v>
      </c>
      <c r="N1029" s="33"/>
      <c r="O1029" s="93">
        <f>IFERROR(IF(Readings[[#This Row],[Obs. X]]="","-",Readings[[#This Row],[Obs. X]]-_xlfn.XLOOKUP(Readings[[#This Row],[Sensor ID]],Table_Baseline[Sensor ID],Table_Baseline[Easting '[m']],"-")),"-")</f>
        <v>0</v>
      </c>
      <c r="P1029" s="93">
        <f>IFERROR(IF(Readings[[#This Row],[Obs. Y]]="","-",Readings[[#This Row],[Obs. Y]]-_xlfn.XLOOKUP(Readings[[#This Row],[Sensor ID]],Table_Baseline[Sensor ID],Table_Baseline[Northing '[m']],"-")),"-")</f>
        <v>4.0000000153668225E-3</v>
      </c>
      <c r="Q1029" s="93">
        <f>IFERROR(IF(Readings[[#This Row],[Obs. Z]]="","-",Readings[[#This Row],[Obs. Z]]-_xlfn.XLOOKUP(Readings[[#This Row],[Sensor ID]],Table_Baseline[Sensor ID],Table_Baseline[Level '[m']],"-")),"-")</f>
        <v>-8.9999999999790248E-4</v>
      </c>
      <c r="R1029" s="93">
        <f>IFERROR(IF(Readings[[#This Row],[Reference Angle]]="-","-",(Readings[[#This Row],[Diff E]]*COS(RADIANS(Readings[[#This Row],[Reference Angle]]))-Readings[[#This Row],[Diff N]]*SIN(RADIANS(Readings[[#This Row],[Reference Angle]])))),"-")</f>
        <v>0</v>
      </c>
      <c r="S1029" s="93">
        <f>IFERROR(IF(Readings[[#This Row],[Reference Angle]]="-","-",(Readings[[#This Row],[Diff E]]*SIN(RADIANS(Readings[[#This Row],[Reference Angle]]))+Readings[[#This Row],[Diff N]]*COS(RADIANS(Readings[[#This Row],[Reference Angle]])))),"-")</f>
        <v>4.0000000153668225E-3</v>
      </c>
      <c r="T1029" s="94">
        <f>IFERROR(VLOOKUP(Readings[[#This Row],[Sensor ID]],Table_Baseline[],COLUMNS(Table_Baseline[[#Headers],[Sensor ID]:[Reference Angle '[Deg']]]),FALSE),"-")</f>
        <v>0</v>
      </c>
      <c r="U1029" s="95" t="str">
        <f>Readings[[#This Row],[Sensor ID]]&amp;"-"&amp;Readings[[#This Row],[Epoch]]</f>
        <v>250-RL-OP-11022-45852.5416666667</v>
      </c>
      <c r="V1029" s="99">
        <f ca="1">IF(Readings[[#This Row],[Epoch]]=OFFSET(Readings[[#This Row],[Epoch]],-1,0),0,1)</f>
        <v>0</v>
      </c>
    </row>
    <row r="1030" spans="4:22" x14ac:dyDescent="0.2">
      <c r="D1030" s="32">
        <v>45852.541666666664</v>
      </c>
      <c r="E1030" s="33" t="s">
        <v>165</v>
      </c>
      <c r="F1030" s="34">
        <v>60034.538999999997</v>
      </c>
      <c r="G1030" s="34">
        <v>363843.38099999999</v>
      </c>
      <c r="H1030" s="34">
        <v>19.331</v>
      </c>
      <c r="I1030" s="33" t="s">
        <v>85</v>
      </c>
      <c r="J1030" s="33" t="s">
        <v>90</v>
      </c>
      <c r="K1030" s="33">
        <v>18</v>
      </c>
      <c r="L1030" s="33">
        <v>1016</v>
      </c>
      <c r="M1030" s="33">
        <v>37</v>
      </c>
      <c r="N1030" s="33"/>
      <c r="O1030" s="93" t="str">
        <f>IFERROR(IF(Readings[[#This Row],[Obs. X]]="","-",Readings[[#This Row],[Obs. X]]-_xlfn.XLOOKUP(Readings[[#This Row],[Sensor ID]],Table_Baseline[Sensor ID],Table_Baseline[Easting '[m']],"-")),"-")</f>
        <v>-</v>
      </c>
      <c r="P1030" s="93" t="str">
        <f>IFERROR(IF(Readings[[#This Row],[Obs. Y]]="","-",Readings[[#This Row],[Obs. Y]]-_xlfn.XLOOKUP(Readings[[#This Row],[Sensor ID]],Table_Baseline[Sensor ID],Table_Baseline[Northing '[m']],"-")),"-")</f>
        <v>-</v>
      </c>
      <c r="Q1030" s="93" t="str">
        <f>IFERROR(IF(Readings[[#This Row],[Obs. Z]]="","-",Readings[[#This Row],[Obs. Z]]-_xlfn.XLOOKUP(Readings[[#This Row],[Sensor ID]],Table_Baseline[Sensor ID],Table_Baseline[Level '[m']],"-")),"-")</f>
        <v>-</v>
      </c>
      <c r="R1030" s="93" t="str">
        <f>IFERROR(IF(Readings[[#This Row],[Reference Angle]]="-","-",(Readings[[#This Row],[Diff E]]*COS(RADIANS(Readings[[#This Row],[Reference Angle]]))-Readings[[#This Row],[Diff N]]*SIN(RADIANS(Readings[[#This Row],[Reference Angle]])))),"-")</f>
        <v>-</v>
      </c>
      <c r="S1030" s="93" t="str">
        <f>IFERROR(IF(Readings[[#This Row],[Reference Angle]]="-","-",(Readings[[#This Row],[Diff E]]*SIN(RADIANS(Readings[[#This Row],[Reference Angle]]))+Readings[[#This Row],[Diff N]]*COS(RADIANS(Readings[[#This Row],[Reference Angle]])))),"-")</f>
        <v>-</v>
      </c>
      <c r="T1030" s="94" t="str">
        <f>IFERROR(VLOOKUP(Readings[[#This Row],[Sensor ID]],Table_Baseline[],COLUMNS(Table_Baseline[[#Headers],[Sensor ID]:[Reference Angle '[Deg']]]),FALSE),"-")</f>
        <v>-</v>
      </c>
      <c r="U1030" s="95" t="str">
        <f>Readings[[#This Row],[Sensor ID]]&amp;"-"&amp;Readings[[#This Row],[Epoch]]</f>
        <v>250-ST-OP-500-45852.5416666667</v>
      </c>
      <c r="V1030" s="99">
        <f ca="1">IF(Readings[[#This Row],[Epoch]]=OFFSET(Readings[[#This Row],[Epoch]],-1,0),0,1)</f>
        <v>0</v>
      </c>
    </row>
    <row r="1031" spans="4:22" x14ac:dyDescent="0.2">
      <c r="D1031" s="32">
        <v>45852.541666666664</v>
      </c>
      <c r="E1031" s="33" t="s">
        <v>166</v>
      </c>
      <c r="F1031" s="34">
        <v>60040.286</v>
      </c>
      <c r="G1031" s="34">
        <v>363841.73</v>
      </c>
      <c r="H1031" s="34">
        <v>19.321000000000002</v>
      </c>
      <c r="I1031" s="33" t="s">
        <v>85</v>
      </c>
      <c r="J1031" s="33" t="s">
        <v>90</v>
      </c>
      <c r="K1031" s="33">
        <v>18</v>
      </c>
      <c r="L1031" s="33">
        <v>1016</v>
      </c>
      <c r="M1031" s="33">
        <v>37</v>
      </c>
      <c r="N1031" s="33"/>
      <c r="O1031" s="93" t="str">
        <f>IFERROR(IF(Readings[[#This Row],[Obs. X]]="","-",Readings[[#This Row],[Obs. X]]-_xlfn.XLOOKUP(Readings[[#This Row],[Sensor ID]],Table_Baseline[Sensor ID],Table_Baseline[Easting '[m']],"-")),"-")</f>
        <v>-</v>
      </c>
      <c r="P1031" s="93" t="str">
        <f>IFERROR(IF(Readings[[#This Row],[Obs. Y]]="","-",Readings[[#This Row],[Obs. Y]]-_xlfn.XLOOKUP(Readings[[#This Row],[Sensor ID]],Table_Baseline[Sensor ID],Table_Baseline[Northing '[m']],"-")),"-")</f>
        <v>-</v>
      </c>
      <c r="Q1031" s="93" t="str">
        <f>IFERROR(IF(Readings[[#This Row],[Obs. Z]]="","-",Readings[[#This Row],[Obs. Z]]-_xlfn.XLOOKUP(Readings[[#This Row],[Sensor ID]],Table_Baseline[Sensor ID],Table_Baseline[Level '[m']],"-")),"-")</f>
        <v>-</v>
      </c>
      <c r="R1031" s="93" t="str">
        <f>IFERROR(IF(Readings[[#This Row],[Reference Angle]]="-","-",(Readings[[#This Row],[Diff E]]*COS(RADIANS(Readings[[#This Row],[Reference Angle]]))-Readings[[#This Row],[Diff N]]*SIN(RADIANS(Readings[[#This Row],[Reference Angle]])))),"-")</f>
        <v>-</v>
      </c>
      <c r="S1031" s="93" t="str">
        <f>IFERROR(IF(Readings[[#This Row],[Reference Angle]]="-","-",(Readings[[#This Row],[Diff E]]*SIN(RADIANS(Readings[[#This Row],[Reference Angle]]))+Readings[[#This Row],[Diff N]]*COS(RADIANS(Readings[[#This Row],[Reference Angle]])))),"-")</f>
        <v>-</v>
      </c>
      <c r="T1031" s="94" t="str">
        <f>IFERROR(VLOOKUP(Readings[[#This Row],[Sensor ID]],Table_Baseline[],COLUMNS(Table_Baseline[[#Headers],[Sensor ID]:[Reference Angle '[Deg']]]),FALSE),"-")</f>
        <v>-</v>
      </c>
      <c r="U1031" s="95" t="str">
        <f>Readings[[#This Row],[Sensor ID]]&amp;"-"&amp;Readings[[#This Row],[Epoch]]</f>
        <v>250-ST-OP-501-45852.5416666667</v>
      </c>
      <c r="V1031" s="99">
        <f ca="1">IF(Readings[[#This Row],[Epoch]]=OFFSET(Readings[[#This Row],[Epoch]],-1,0),0,1)</f>
        <v>0</v>
      </c>
    </row>
    <row r="1032" spans="4:22" x14ac:dyDescent="0.2">
      <c r="D1032" s="32">
        <v>45852.541666666664</v>
      </c>
      <c r="E1032" s="33" t="s">
        <v>167</v>
      </c>
      <c r="F1032" s="34">
        <v>60045.921000000002</v>
      </c>
      <c r="G1032" s="34">
        <v>363840.10200000001</v>
      </c>
      <c r="H1032" s="34">
        <v>19.334</v>
      </c>
      <c r="I1032" s="33" t="s">
        <v>85</v>
      </c>
      <c r="J1032" s="33" t="s">
        <v>90</v>
      </c>
      <c r="K1032" s="33">
        <v>18</v>
      </c>
      <c r="L1032" s="33">
        <v>1016</v>
      </c>
      <c r="M1032" s="33">
        <v>37</v>
      </c>
      <c r="N1032" s="33"/>
      <c r="O1032" s="93" t="str">
        <f>IFERROR(IF(Readings[[#This Row],[Obs. X]]="","-",Readings[[#This Row],[Obs. X]]-_xlfn.XLOOKUP(Readings[[#This Row],[Sensor ID]],Table_Baseline[Sensor ID],Table_Baseline[Easting '[m']],"-")),"-")</f>
        <v>-</v>
      </c>
      <c r="P1032" s="93" t="str">
        <f>IFERROR(IF(Readings[[#This Row],[Obs. Y]]="","-",Readings[[#This Row],[Obs. Y]]-_xlfn.XLOOKUP(Readings[[#This Row],[Sensor ID]],Table_Baseline[Sensor ID],Table_Baseline[Northing '[m']],"-")),"-")</f>
        <v>-</v>
      </c>
      <c r="Q1032" s="93" t="str">
        <f>IFERROR(IF(Readings[[#This Row],[Obs. Z]]="","-",Readings[[#This Row],[Obs. Z]]-_xlfn.XLOOKUP(Readings[[#This Row],[Sensor ID]],Table_Baseline[Sensor ID],Table_Baseline[Level '[m']],"-")),"-")</f>
        <v>-</v>
      </c>
      <c r="R1032" s="93" t="str">
        <f>IFERROR(IF(Readings[[#This Row],[Reference Angle]]="-","-",(Readings[[#This Row],[Diff E]]*COS(RADIANS(Readings[[#This Row],[Reference Angle]]))-Readings[[#This Row],[Diff N]]*SIN(RADIANS(Readings[[#This Row],[Reference Angle]])))),"-")</f>
        <v>-</v>
      </c>
      <c r="S1032" s="93" t="str">
        <f>IFERROR(IF(Readings[[#This Row],[Reference Angle]]="-","-",(Readings[[#This Row],[Diff E]]*SIN(RADIANS(Readings[[#This Row],[Reference Angle]]))+Readings[[#This Row],[Diff N]]*COS(RADIANS(Readings[[#This Row],[Reference Angle]])))),"-")</f>
        <v>-</v>
      </c>
      <c r="T1032" s="94" t="str">
        <f>IFERROR(VLOOKUP(Readings[[#This Row],[Sensor ID]],Table_Baseline[],COLUMNS(Table_Baseline[[#Headers],[Sensor ID]:[Reference Angle '[Deg']]]),FALSE),"-")</f>
        <v>-</v>
      </c>
      <c r="U1032" s="95" t="str">
        <f>Readings[[#This Row],[Sensor ID]]&amp;"-"&amp;Readings[[#This Row],[Epoch]]</f>
        <v>250-ST-OP-502-45852.5416666667</v>
      </c>
      <c r="V1032" s="99">
        <f ca="1">IF(Readings[[#This Row],[Epoch]]=OFFSET(Readings[[#This Row],[Epoch]],-1,0),0,1)</f>
        <v>0</v>
      </c>
    </row>
    <row r="1033" spans="4:22" x14ac:dyDescent="0.2">
      <c r="D1033" s="32">
        <v>45852.541666666664</v>
      </c>
      <c r="E1033" s="33" t="s">
        <v>168</v>
      </c>
      <c r="F1033" s="34">
        <v>60049.767999999996</v>
      </c>
      <c r="G1033" s="34">
        <v>363838.995</v>
      </c>
      <c r="H1033" s="34">
        <v>19.344999999999999</v>
      </c>
      <c r="I1033" s="33" t="s">
        <v>85</v>
      </c>
      <c r="J1033" s="33" t="s">
        <v>90</v>
      </c>
      <c r="K1033" s="33">
        <v>18</v>
      </c>
      <c r="L1033" s="33">
        <v>1016</v>
      </c>
      <c r="M1033" s="33">
        <v>37</v>
      </c>
      <c r="N1033" s="33"/>
      <c r="O1033" s="93" t="str">
        <f>IFERROR(IF(Readings[[#This Row],[Obs. X]]="","-",Readings[[#This Row],[Obs. X]]-_xlfn.XLOOKUP(Readings[[#This Row],[Sensor ID]],Table_Baseline[Sensor ID],Table_Baseline[Easting '[m']],"-")),"-")</f>
        <v>-</v>
      </c>
      <c r="P1033" s="93" t="str">
        <f>IFERROR(IF(Readings[[#This Row],[Obs. Y]]="","-",Readings[[#This Row],[Obs. Y]]-_xlfn.XLOOKUP(Readings[[#This Row],[Sensor ID]],Table_Baseline[Sensor ID],Table_Baseline[Northing '[m']],"-")),"-")</f>
        <v>-</v>
      </c>
      <c r="Q1033" s="93" t="str">
        <f>IFERROR(IF(Readings[[#This Row],[Obs. Z]]="","-",Readings[[#This Row],[Obs. Z]]-_xlfn.XLOOKUP(Readings[[#This Row],[Sensor ID]],Table_Baseline[Sensor ID],Table_Baseline[Level '[m']],"-")),"-")</f>
        <v>-</v>
      </c>
      <c r="R1033" s="93" t="str">
        <f>IFERROR(IF(Readings[[#This Row],[Reference Angle]]="-","-",(Readings[[#This Row],[Diff E]]*COS(RADIANS(Readings[[#This Row],[Reference Angle]]))-Readings[[#This Row],[Diff N]]*SIN(RADIANS(Readings[[#This Row],[Reference Angle]])))),"-")</f>
        <v>-</v>
      </c>
      <c r="S1033" s="93" t="str">
        <f>IFERROR(IF(Readings[[#This Row],[Reference Angle]]="-","-",(Readings[[#This Row],[Diff E]]*SIN(RADIANS(Readings[[#This Row],[Reference Angle]]))+Readings[[#This Row],[Diff N]]*COS(RADIANS(Readings[[#This Row],[Reference Angle]])))),"-")</f>
        <v>-</v>
      </c>
      <c r="T1033" s="94" t="str">
        <f>IFERROR(VLOOKUP(Readings[[#This Row],[Sensor ID]],Table_Baseline[],COLUMNS(Table_Baseline[[#Headers],[Sensor ID]:[Reference Angle '[Deg']]]),FALSE),"-")</f>
        <v>-</v>
      </c>
      <c r="U1033" s="95" t="str">
        <f>Readings[[#This Row],[Sensor ID]]&amp;"-"&amp;Readings[[#This Row],[Epoch]]</f>
        <v>250-ST-OP-503-45852.5416666667</v>
      </c>
      <c r="V1033" s="99">
        <f ca="1">IF(Readings[[#This Row],[Epoch]]=OFFSET(Readings[[#This Row],[Epoch]],-1,0),0,1)</f>
        <v>0</v>
      </c>
    </row>
    <row r="1034" spans="4:22" x14ac:dyDescent="0.2">
      <c r="D1034" s="32">
        <v>45852.541666666664</v>
      </c>
      <c r="E1034" s="33" t="s">
        <v>169</v>
      </c>
      <c r="F1034" s="34">
        <v>60053.608999999997</v>
      </c>
      <c r="G1034" s="34">
        <v>363837.88399999996</v>
      </c>
      <c r="H1034" s="34">
        <v>19.356000000000002</v>
      </c>
      <c r="I1034" s="33" t="s">
        <v>85</v>
      </c>
      <c r="J1034" s="33" t="s">
        <v>90</v>
      </c>
      <c r="K1034" s="33">
        <v>18</v>
      </c>
      <c r="L1034" s="33">
        <v>1016</v>
      </c>
      <c r="M1034" s="33">
        <v>37</v>
      </c>
      <c r="N1034" s="33"/>
      <c r="O1034" s="93" t="str">
        <f>IFERROR(IF(Readings[[#This Row],[Obs. X]]="","-",Readings[[#This Row],[Obs. X]]-_xlfn.XLOOKUP(Readings[[#This Row],[Sensor ID]],Table_Baseline[Sensor ID],Table_Baseline[Easting '[m']],"-")),"-")</f>
        <v>-</v>
      </c>
      <c r="P1034" s="93" t="str">
        <f>IFERROR(IF(Readings[[#This Row],[Obs. Y]]="","-",Readings[[#This Row],[Obs. Y]]-_xlfn.XLOOKUP(Readings[[#This Row],[Sensor ID]],Table_Baseline[Sensor ID],Table_Baseline[Northing '[m']],"-")),"-")</f>
        <v>-</v>
      </c>
      <c r="Q1034" s="93" t="str">
        <f>IFERROR(IF(Readings[[#This Row],[Obs. Z]]="","-",Readings[[#This Row],[Obs. Z]]-_xlfn.XLOOKUP(Readings[[#This Row],[Sensor ID]],Table_Baseline[Sensor ID],Table_Baseline[Level '[m']],"-")),"-")</f>
        <v>-</v>
      </c>
      <c r="R1034" s="93" t="str">
        <f>IFERROR(IF(Readings[[#This Row],[Reference Angle]]="-","-",(Readings[[#This Row],[Diff E]]*COS(RADIANS(Readings[[#This Row],[Reference Angle]]))-Readings[[#This Row],[Diff N]]*SIN(RADIANS(Readings[[#This Row],[Reference Angle]])))),"-")</f>
        <v>-</v>
      </c>
      <c r="S1034" s="93" t="str">
        <f>IFERROR(IF(Readings[[#This Row],[Reference Angle]]="-","-",(Readings[[#This Row],[Diff E]]*SIN(RADIANS(Readings[[#This Row],[Reference Angle]]))+Readings[[#This Row],[Diff N]]*COS(RADIANS(Readings[[#This Row],[Reference Angle]])))),"-")</f>
        <v>-</v>
      </c>
      <c r="T1034" s="94" t="str">
        <f>IFERROR(VLOOKUP(Readings[[#This Row],[Sensor ID]],Table_Baseline[],COLUMNS(Table_Baseline[[#Headers],[Sensor ID]:[Reference Angle '[Deg']]]),FALSE),"-")</f>
        <v>-</v>
      </c>
      <c r="U1034" s="95" t="str">
        <f>Readings[[#This Row],[Sensor ID]]&amp;"-"&amp;Readings[[#This Row],[Epoch]]</f>
        <v>250-ST-OP-504-45852.5416666667</v>
      </c>
      <c r="V1034" s="99">
        <f ca="1">IF(Readings[[#This Row],[Epoch]]=OFFSET(Readings[[#This Row],[Epoch]],-1,0),0,1)</f>
        <v>0</v>
      </c>
    </row>
    <row r="1035" spans="4:22" x14ac:dyDescent="0.2">
      <c r="D1035" s="204">
        <v>45852.541666666664</v>
      </c>
      <c r="E1035" s="151" t="s">
        <v>170</v>
      </c>
      <c r="F1035" s="152">
        <v>60060.065000000002</v>
      </c>
      <c r="G1035" s="152">
        <v>363836.02600000001</v>
      </c>
      <c r="H1035" s="152">
        <v>19.356000000000002</v>
      </c>
      <c r="I1035" s="151" t="s">
        <v>85</v>
      </c>
      <c r="J1035" s="151" t="s">
        <v>90</v>
      </c>
      <c r="K1035" s="151">
        <v>18</v>
      </c>
      <c r="L1035" s="151">
        <v>1016</v>
      </c>
      <c r="M1035" s="151">
        <v>37</v>
      </c>
      <c r="N1035" s="151"/>
      <c r="O1035" s="96" t="str">
        <f>IFERROR(IF(Readings[[#This Row],[Obs. X]]="","-",Readings[[#This Row],[Obs. X]]-_xlfn.XLOOKUP(Readings[[#This Row],[Sensor ID]],Table_Baseline[Sensor ID],Table_Baseline[Easting '[m']],"-")),"-")</f>
        <v>-</v>
      </c>
      <c r="P1035" s="96" t="str">
        <f>IFERROR(IF(Readings[[#This Row],[Obs. Y]]="","-",Readings[[#This Row],[Obs. Y]]-_xlfn.XLOOKUP(Readings[[#This Row],[Sensor ID]],Table_Baseline[Sensor ID],Table_Baseline[Northing '[m']],"-")),"-")</f>
        <v>-</v>
      </c>
      <c r="Q1035" s="96" t="str">
        <f>IFERROR(IF(Readings[[#This Row],[Obs. Z]]="","-",Readings[[#This Row],[Obs. Z]]-_xlfn.XLOOKUP(Readings[[#This Row],[Sensor ID]],Table_Baseline[Sensor ID],Table_Baseline[Level '[m']],"-")),"-")</f>
        <v>-</v>
      </c>
      <c r="R1035" s="96" t="str">
        <f>IFERROR(IF(Readings[[#This Row],[Reference Angle]]="-","-",(Readings[[#This Row],[Diff E]]*COS(RADIANS(Readings[[#This Row],[Reference Angle]]))-Readings[[#This Row],[Diff N]]*SIN(RADIANS(Readings[[#This Row],[Reference Angle]])))),"-")</f>
        <v>-</v>
      </c>
      <c r="S1035" s="96" t="str">
        <f>IFERROR(IF(Readings[[#This Row],[Reference Angle]]="-","-",(Readings[[#This Row],[Diff E]]*SIN(RADIANS(Readings[[#This Row],[Reference Angle]]))+Readings[[#This Row],[Diff N]]*COS(RADIANS(Readings[[#This Row],[Reference Angle]])))),"-")</f>
        <v>-</v>
      </c>
      <c r="T1035" s="97" t="str">
        <f>IFERROR(VLOOKUP(Readings[[#This Row],[Sensor ID]],Table_Baseline[],COLUMNS(Table_Baseline[[#Headers],[Sensor ID]:[Reference Angle '[Deg']]]),FALSE),"-")</f>
        <v>-</v>
      </c>
      <c r="U1035" s="98" t="str">
        <f>Readings[[#This Row],[Sensor ID]]&amp;"-"&amp;Readings[[#This Row],[Epoch]]</f>
        <v>250-ST-OP-505-45852.5416666667</v>
      </c>
      <c r="V1035" s="100">
        <f ca="1">IF(Readings[[#This Row],[Epoch]]=OFFSET(Readings[[#This Row],[Epoch]],-1,0),0,1)</f>
        <v>0</v>
      </c>
    </row>
    <row r="1036" spans="4:22" x14ac:dyDescent="0.2">
      <c r="D1036" s="32">
        <v>45855.291666666664</v>
      </c>
      <c r="E1036" s="33" t="s">
        <v>172</v>
      </c>
      <c r="F1036" s="34">
        <v>60035.339</v>
      </c>
      <c r="G1036" s="34">
        <v>363845.73800000001</v>
      </c>
      <c r="H1036" s="34">
        <v>18.782</v>
      </c>
      <c r="I1036" s="33" t="s">
        <v>85</v>
      </c>
      <c r="J1036" s="33" t="s">
        <v>90</v>
      </c>
      <c r="K1036" s="33">
        <v>21</v>
      </c>
      <c r="L1036" s="33">
        <v>1013.8</v>
      </c>
      <c r="M1036" s="33">
        <v>33</v>
      </c>
      <c r="N1036" s="33"/>
      <c r="O1036" s="93">
        <f>IFERROR(IF(Readings[[#This Row],[Obs. X]]="","-",Readings[[#This Row],[Obs. X]]-_xlfn.XLOOKUP(Readings[[#This Row],[Sensor ID]],Table_Baseline[Sensor ID],Table_Baseline[Easting '[m']],"-")),"-")</f>
        <v>-9.9999999656574801E-4</v>
      </c>
      <c r="P1036" s="93">
        <f>IFERROR(IF(Readings[[#This Row],[Obs. Y]]="","-",Readings[[#This Row],[Obs. Y]]-_xlfn.XLOOKUP(Readings[[#This Row],[Sensor ID]],Table_Baseline[Sensor ID],Table_Baseline[Northing '[m']],"-")),"-")</f>
        <v>-9.9999998928979039E-4</v>
      </c>
      <c r="Q1036" s="93">
        <f>IFERROR(IF(Readings[[#This Row],[Obs. Z]]="","-",Readings[[#This Row],[Obs. Z]]-_xlfn.XLOOKUP(Readings[[#This Row],[Sensor ID]],Table_Baseline[Sensor ID],Table_Baseline[Level '[m']],"-")),"-")</f>
        <v>0</v>
      </c>
      <c r="R1036" s="93">
        <f>IFERROR(IF(Readings[[#This Row],[Reference Angle]]="-","-",(Readings[[#This Row],[Diff E]]*COS(RADIANS(Readings[[#This Row],[Reference Angle]]))-Readings[[#This Row],[Diff N]]*SIN(RADIANS(Readings[[#This Row],[Reference Angle]])))),"-")</f>
        <v>-9.9999999656574801E-4</v>
      </c>
      <c r="S1036" s="93">
        <f>IFERROR(IF(Readings[[#This Row],[Reference Angle]]="-","-",(Readings[[#This Row],[Diff E]]*SIN(RADIANS(Readings[[#This Row],[Reference Angle]]))+Readings[[#This Row],[Diff N]]*COS(RADIANS(Readings[[#This Row],[Reference Angle]])))),"-")</f>
        <v>-9.9999998928979039E-4</v>
      </c>
      <c r="T1036" s="94">
        <f>IFERROR(VLOOKUP(Readings[[#This Row],[Sensor ID]],Table_Baseline[],COLUMNS(Table_Baseline[[#Headers],[Sensor ID]:[Reference Angle '[Deg']]]),FALSE),"-")</f>
        <v>0</v>
      </c>
      <c r="U1036" s="95" t="str">
        <f>Readings[[#This Row],[Sensor ID]]&amp;"-"&amp;Readings[[#This Row],[Epoch]]</f>
        <v>250-RL-OP-11001-45855.2916666667</v>
      </c>
      <c r="V1036" s="99">
        <f ca="1">IF(Readings[[#This Row],[Epoch]]=OFFSET(Readings[[#This Row],[Epoch]],-1,0),0,1)</f>
        <v>1</v>
      </c>
    </row>
    <row r="1037" spans="4:22" x14ac:dyDescent="0.2">
      <c r="D1037" s="32">
        <v>45855.291666666664</v>
      </c>
      <c r="E1037" s="33" t="s">
        <v>171</v>
      </c>
      <c r="F1037" s="34">
        <v>60034.957999999999</v>
      </c>
      <c r="G1037" s="34">
        <v>363844.47100000002</v>
      </c>
      <c r="H1037" s="34">
        <v>18.777999999999999</v>
      </c>
      <c r="I1037" s="33" t="s">
        <v>85</v>
      </c>
      <c r="J1037" s="33" t="s">
        <v>90</v>
      </c>
      <c r="K1037" s="33">
        <v>21</v>
      </c>
      <c r="L1037" s="33">
        <v>1013.8</v>
      </c>
      <c r="M1037" s="33">
        <v>33</v>
      </c>
      <c r="N1037" s="33"/>
      <c r="O1037" s="93">
        <f>IFERROR(IF(Readings[[#This Row],[Obs. X]]="","-",Readings[[#This Row],[Obs. X]]-_xlfn.XLOOKUP(Readings[[#This Row],[Sensor ID]],Table_Baseline[Sensor ID],Table_Baseline[Easting '[m']],"-")),"-")</f>
        <v>-1.0000000038417056E-3</v>
      </c>
      <c r="P1037" s="93">
        <f>IFERROR(IF(Readings[[#This Row],[Obs. Y]]="","-",Readings[[#This Row],[Obs. Y]]-_xlfn.XLOOKUP(Readings[[#This Row],[Sensor ID]],Table_Baseline[Sensor ID],Table_Baseline[Northing '[m']],"-")),"-")</f>
        <v>0</v>
      </c>
      <c r="Q1037" s="93">
        <f>IFERROR(IF(Readings[[#This Row],[Obs. Z]]="","-",Readings[[#This Row],[Obs. Z]]-_xlfn.XLOOKUP(Readings[[#This Row],[Sensor ID]],Table_Baseline[Sensor ID],Table_Baseline[Level '[m']],"-")),"-")</f>
        <v>-9.9999999999766942E-5</v>
      </c>
      <c r="R1037" s="93">
        <f>IFERROR(IF(Readings[[#This Row],[Reference Angle]]="-","-",(Readings[[#This Row],[Diff E]]*COS(RADIANS(Readings[[#This Row],[Reference Angle]]))-Readings[[#This Row],[Diff N]]*SIN(RADIANS(Readings[[#This Row],[Reference Angle]])))),"-")</f>
        <v>-1.0000000038417056E-3</v>
      </c>
      <c r="S1037" s="93">
        <f>IFERROR(IF(Readings[[#This Row],[Reference Angle]]="-","-",(Readings[[#This Row],[Diff E]]*SIN(RADIANS(Readings[[#This Row],[Reference Angle]]))+Readings[[#This Row],[Diff N]]*COS(RADIANS(Readings[[#This Row],[Reference Angle]])))),"-")</f>
        <v>0</v>
      </c>
      <c r="T1037" s="94">
        <f>IFERROR(VLOOKUP(Readings[[#This Row],[Sensor ID]],Table_Baseline[],COLUMNS(Table_Baseline[[#Headers],[Sensor ID]:[Reference Angle '[Deg']]]),FALSE),"-")</f>
        <v>0</v>
      </c>
      <c r="U1037" s="95" t="str">
        <f>Readings[[#This Row],[Sensor ID]]&amp;"-"&amp;Readings[[#This Row],[Epoch]]</f>
        <v>250-RL-OP-11002-45855.2916666667</v>
      </c>
      <c r="V1037" s="99">
        <f ca="1">IF(Readings[[#This Row],[Epoch]]=OFFSET(Readings[[#This Row],[Epoch]],-1,0),0,1)</f>
        <v>0</v>
      </c>
    </row>
    <row r="1038" spans="4:22" x14ac:dyDescent="0.2">
      <c r="D1038" s="32">
        <v>45855.291666666664</v>
      </c>
      <c r="E1038" s="33" t="s">
        <v>174</v>
      </c>
      <c r="F1038" s="34">
        <v>60038.116999999998</v>
      </c>
      <c r="G1038" s="34">
        <v>363844.94500000001</v>
      </c>
      <c r="H1038" s="34">
        <v>18.777999999999999</v>
      </c>
      <c r="I1038" s="33" t="s">
        <v>85</v>
      </c>
      <c r="J1038" s="33" t="s">
        <v>90</v>
      </c>
      <c r="K1038" s="33">
        <v>21</v>
      </c>
      <c r="L1038" s="33">
        <v>1013.8</v>
      </c>
      <c r="M1038" s="33">
        <v>33</v>
      </c>
      <c r="N1038" s="33"/>
      <c r="O1038" s="93">
        <f>IFERROR(IF(Readings[[#This Row],[Obs. X]]="","-",Readings[[#This Row],[Obs. X]]-_xlfn.XLOOKUP(Readings[[#This Row],[Sensor ID]],Table_Baseline[Sensor ID],Table_Baseline[Easting '[m']],"-")),"-")</f>
        <v>-1.0000000038417056E-3</v>
      </c>
      <c r="P1038" s="93">
        <f>IFERROR(IF(Readings[[#This Row],[Obs. Y]]="","-",Readings[[#This Row],[Obs. Y]]-_xlfn.XLOOKUP(Readings[[#This Row],[Sensor ID]],Table_Baseline[Sensor ID],Table_Baseline[Northing '[m']],"-")),"-")</f>
        <v>0</v>
      </c>
      <c r="Q1038" s="93">
        <f>IFERROR(IF(Readings[[#This Row],[Obs. Z]]="","-",Readings[[#This Row],[Obs. Z]]-_xlfn.XLOOKUP(Readings[[#This Row],[Sensor ID]],Table_Baseline[Sensor ID],Table_Baseline[Level '[m']],"-")),"-")</f>
        <v>-8.0000000000168825E-4</v>
      </c>
      <c r="R1038" s="93">
        <f>IFERROR(IF(Readings[[#This Row],[Reference Angle]]="-","-",(Readings[[#This Row],[Diff E]]*COS(RADIANS(Readings[[#This Row],[Reference Angle]]))-Readings[[#This Row],[Diff N]]*SIN(RADIANS(Readings[[#This Row],[Reference Angle]])))),"-")</f>
        <v>-1.0000000038417056E-3</v>
      </c>
      <c r="S1038" s="93">
        <f>IFERROR(IF(Readings[[#This Row],[Reference Angle]]="-","-",(Readings[[#This Row],[Diff E]]*SIN(RADIANS(Readings[[#This Row],[Reference Angle]]))+Readings[[#This Row],[Diff N]]*COS(RADIANS(Readings[[#This Row],[Reference Angle]])))),"-")</f>
        <v>0</v>
      </c>
      <c r="T1038" s="94">
        <f>IFERROR(VLOOKUP(Readings[[#This Row],[Sensor ID]],Table_Baseline[],COLUMNS(Table_Baseline[[#Headers],[Sensor ID]:[Reference Angle '[Deg']]]),FALSE),"-")</f>
        <v>0</v>
      </c>
      <c r="U1038" s="95" t="str">
        <f>Readings[[#This Row],[Sensor ID]]&amp;"-"&amp;Readings[[#This Row],[Epoch]]</f>
        <v>250-RL-OP-11003-45855.2916666667</v>
      </c>
      <c r="V1038" s="99">
        <f ca="1">IF(Readings[[#This Row],[Epoch]]=OFFSET(Readings[[#This Row],[Epoch]],-1,0),0,1)</f>
        <v>0</v>
      </c>
    </row>
    <row r="1039" spans="4:22" x14ac:dyDescent="0.2">
      <c r="D1039" s="32">
        <v>45855.291666666664</v>
      </c>
      <c r="E1039" s="33" t="s">
        <v>173</v>
      </c>
      <c r="F1039" s="34">
        <v>60037.803999999996</v>
      </c>
      <c r="G1039" s="34">
        <v>363843.658</v>
      </c>
      <c r="H1039" s="34">
        <v>18.777999999999999</v>
      </c>
      <c r="I1039" s="33" t="s">
        <v>85</v>
      </c>
      <c r="J1039" s="33" t="s">
        <v>90</v>
      </c>
      <c r="K1039" s="33">
        <v>21</v>
      </c>
      <c r="L1039" s="33">
        <v>1013.8</v>
      </c>
      <c r="M1039" s="33">
        <v>33</v>
      </c>
      <c r="N1039" s="33"/>
      <c r="O1039" s="93">
        <f>IFERROR(IF(Readings[[#This Row],[Obs. X]]="","-",Readings[[#This Row],[Obs. X]]-_xlfn.XLOOKUP(Readings[[#This Row],[Sensor ID]],Table_Baseline[Sensor ID],Table_Baseline[Easting '[m']],"-")),"-")</f>
        <v>-1.0000000038417056E-3</v>
      </c>
      <c r="P1039" s="93">
        <f>IFERROR(IF(Readings[[#This Row],[Obs. Y]]="","-",Readings[[#This Row],[Obs. Y]]-_xlfn.XLOOKUP(Readings[[#This Row],[Sensor ID]],Table_Baseline[Sensor ID],Table_Baseline[Northing '[m']],"-")),"-")</f>
        <v>9.9999998928979039E-4</v>
      </c>
      <c r="Q1039" s="93">
        <f>IFERROR(IF(Readings[[#This Row],[Obs. Z]]="","-",Readings[[#This Row],[Obs. Z]]-_xlfn.XLOOKUP(Readings[[#This Row],[Sensor ID]],Table_Baseline[Sensor ID],Table_Baseline[Level '[m']],"-")),"-")</f>
        <v>-5.0000000000238742E-4</v>
      </c>
      <c r="R1039" s="93">
        <f>IFERROR(IF(Readings[[#This Row],[Reference Angle]]="-","-",(Readings[[#This Row],[Diff E]]*COS(RADIANS(Readings[[#This Row],[Reference Angle]]))-Readings[[#This Row],[Diff N]]*SIN(RADIANS(Readings[[#This Row],[Reference Angle]])))),"-")</f>
        <v>-1.0000000038417056E-3</v>
      </c>
      <c r="S1039" s="93">
        <f>IFERROR(IF(Readings[[#This Row],[Reference Angle]]="-","-",(Readings[[#This Row],[Diff E]]*SIN(RADIANS(Readings[[#This Row],[Reference Angle]]))+Readings[[#This Row],[Diff N]]*COS(RADIANS(Readings[[#This Row],[Reference Angle]])))),"-")</f>
        <v>9.9999998928979039E-4</v>
      </c>
      <c r="T1039" s="94">
        <f>IFERROR(VLOOKUP(Readings[[#This Row],[Sensor ID]],Table_Baseline[],COLUMNS(Table_Baseline[[#Headers],[Sensor ID]:[Reference Angle '[Deg']]]),FALSE),"-")</f>
        <v>0</v>
      </c>
      <c r="U1039" s="95" t="str">
        <f>Readings[[#This Row],[Sensor ID]]&amp;"-"&amp;Readings[[#This Row],[Epoch]]</f>
        <v>250-RL-OP-11004-45855.2916666667</v>
      </c>
      <c r="V1039" s="99">
        <f ca="1">IF(Readings[[#This Row],[Epoch]]=OFFSET(Readings[[#This Row],[Epoch]],-1,0),0,1)</f>
        <v>0</v>
      </c>
    </row>
    <row r="1040" spans="4:22" x14ac:dyDescent="0.2">
      <c r="D1040" s="32">
        <v>45855.291666666664</v>
      </c>
      <c r="E1040" s="33" t="s">
        <v>176</v>
      </c>
      <c r="F1040" s="34">
        <v>60040.968000000001</v>
      </c>
      <c r="G1040" s="34">
        <v>363844.11800000002</v>
      </c>
      <c r="H1040" s="34">
        <v>18.779</v>
      </c>
      <c r="I1040" s="33" t="s">
        <v>85</v>
      </c>
      <c r="J1040" s="33" t="s">
        <v>90</v>
      </c>
      <c r="K1040" s="33">
        <v>21</v>
      </c>
      <c r="L1040" s="33">
        <v>1013.8</v>
      </c>
      <c r="M1040" s="33">
        <v>33</v>
      </c>
      <c r="N1040" s="33"/>
      <c r="O1040" s="93">
        <f>IFERROR(IF(Readings[[#This Row],[Obs. X]]="","-",Readings[[#This Row],[Obs. X]]-_xlfn.XLOOKUP(Readings[[#This Row],[Sensor ID]],Table_Baseline[Sensor ID],Table_Baseline[Easting '[m']],"-")),"-")</f>
        <v>-9.9999999656574801E-4</v>
      </c>
      <c r="P1040" s="93">
        <f>IFERROR(IF(Readings[[#This Row],[Obs. Y]]="","-",Readings[[#This Row],[Obs. Y]]-_xlfn.XLOOKUP(Readings[[#This Row],[Sensor ID]],Table_Baseline[Sensor ID],Table_Baseline[Northing '[m']],"-")),"-")</f>
        <v>0</v>
      </c>
      <c r="Q1040" s="93">
        <f>IFERROR(IF(Readings[[#This Row],[Obs. Z]]="","-",Readings[[#This Row],[Obs. Z]]-_xlfn.XLOOKUP(Readings[[#This Row],[Sensor ID]],Table_Baseline[Sensor ID],Table_Baseline[Level '[m']],"-")),"-")</f>
        <v>0</v>
      </c>
      <c r="R1040" s="93">
        <f>IFERROR(IF(Readings[[#This Row],[Reference Angle]]="-","-",(Readings[[#This Row],[Diff E]]*COS(RADIANS(Readings[[#This Row],[Reference Angle]]))-Readings[[#This Row],[Diff N]]*SIN(RADIANS(Readings[[#This Row],[Reference Angle]])))),"-")</f>
        <v>-9.9999999656574801E-4</v>
      </c>
      <c r="S1040" s="93">
        <f>IFERROR(IF(Readings[[#This Row],[Reference Angle]]="-","-",(Readings[[#This Row],[Diff E]]*SIN(RADIANS(Readings[[#This Row],[Reference Angle]]))+Readings[[#This Row],[Diff N]]*COS(RADIANS(Readings[[#This Row],[Reference Angle]])))),"-")</f>
        <v>0</v>
      </c>
      <c r="T1040" s="94">
        <f>IFERROR(VLOOKUP(Readings[[#This Row],[Sensor ID]],Table_Baseline[],COLUMNS(Table_Baseline[[#Headers],[Sensor ID]:[Reference Angle '[Deg']]]),FALSE),"-")</f>
        <v>0</v>
      </c>
      <c r="U1040" s="95" t="str">
        <f>Readings[[#This Row],[Sensor ID]]&amp;"-"&amp;Readings[[#This Row],[Epoch]]</f>
        <v>250-RL-OP-11005-45855.2916666667</v>
      </c>
      <c r="V1040" s="99">
        <f ca="1">IF(Readings[[#This Row],[Epoch]]=OFFSET(Readings[[#This Row],[Epoch]],-1,0),0,1)</f>
        <v>0</v>
      </c>
    </row>
    <row r="1041" spans="4:22" x14ac:dyDescent="0.2">
      <c r="D1041" s="32">
        <v>45855.291666666664</v>
      </c>
      <c r="E1041" s="33" t="s">
        <v>175</v>
      </c>
      <c r="F1041" s="34">
        <v>60040.606</v>
      </c>
      <c r="G1041" s="34">
        <v>363842.86199999996</v>
      </c>
      <c r="H1041" s="34">
        <v>18.771999999999998</v>
      </c>
      <c r="I1041" s="33" t="s">
        <v>85</v>
      </c>
      <c r="J1041" s="33" t="s">
        <v>90</v>
      </c>
      <c r="K1041" s="33">
        <v>21</v>
      </c>
      <c r="L1041" s="33">
        <v>1013.8</v>
      </c>
      <c r="M1041" s="33">
        <v>33</v>
      </c>
      <c r="N1041" s="33"/>
      <c r="O1041" s="93">
        <f>IFERROR(IF(Readings[[#This Row],[Obs. X]]="","-",Readings[[#This Row],[Obs. X]]-_xlfn.XLOOKUP(Readings[[#This Row],[Sensor ID]],Table_Baseline[Sensor ID],Table_Baseline[Easting '[m']],"-")),"-")</f>
        <v>-1.0000000038417056E-3</v>
      </c>
      <c r="P1041" s="93">
        <f>IFERROR(IF(Readings[[#This Row],[Obs. Y]]="","-",Readings[[#This Row],[Obs. Y]]-_xlfn.XLOOKUP(Readings[[#This Row],[Sensor ID]],Table_Baseline[Sensor ID],Table_Baseline[Northing '[m']],"-")),"-")</f>
        <v>9.9999993108212948E-4</v>
      </c>
      <c r="Q1041" s="93">
        <f>IFERROR(IF(Readings[[#This Row],[Obs. Z]]="","-",Readings[[#This Row],[Obs. Z]]-_xlfn.XLOOKUP(Readings[[#This Row],[Sensor ID]],Table_Baseline[Sensor ID],Table_Baseline[Level '[m']],"-")),"-")</f>
        <v>0</v>
      </c>
      <c r="R1041" s="93">
        <f>IFERROR(IF(Readings[[#This Row],[Reference Angle]]="-","-",(Readings[[#This Row],[Diff E]]*COS(RADIANS(Readings[[#This Row],[Reference Angle]]))-Readings[[#This Row],[Diff N]]*SIN(RADIANS(Readings[[#This Row],[Reference Angle]])))),"-")</f>
        <v>-1.0000000038417056E-3</v>
      </c>
      <c r="S1041" s="93">
        <f>IFERROR(IF(Readings[[#This Row],[Reference Angle]]="-","-",(Readings[[#This Row],[Diff E]]*SIN(RADIANS(Readings[[#This Row],[Reference Angle]]))+Readings[[#This Row],[Diff N]]*COS(RADIANS(Readings[[#This Row],[Reference Angle]])))),"-")</f>
        <v>9.9999993108212948E-4</v>
      </c>
      <c r="T1041" s="94">
        <f>IFERROR(VLOOKUP(Readings[[#This Row],[Sensor ID]],Table_Baseline[],COLUMNS(Table_Baseline[[#Headers],[Sensor ID]:[Reference Angle '[Deg']]]),FALSE),"-")</f>
        <v>0</v>
      </c>
      <c r="U1041" s="95" t="str">
        <f>Readings[[#This Row],[Sensor ID]]&amp;"-"&amp;Readings[[#This Row],[Epoch]]</f>
        <v>250-RL-OP-11006-45855.2916666667</v>
      </c>
      <c r="V1041" s="99">
        <f ca="1">IF(Readings[[#This Row],[Epoch]]=OFFSET(Readings[[#This Row],[Epoch]],-1,0),0,1)</f>
        <v>0</v>
      </c>
    </row>
    <row r="1042" spans="4:22" x14ac:dyDescent="0.2">
      <c r="D1042" s="32">
        <v>45855.291666666664</v>
      </c>
      <c r="E1042" s="33" t="s">
        <v>178</v>
      </c>
      <c r="F1042" s="34">
        <v>60043.758000000002</v>
      </c>
      <c r="G1042" s="34">
        <v>363843.31599999999</v>
      </c>
      <c r="H1042" s="34">
        <v>18.774000000000001</v>
      </c>
      <c r="I1042" s="33" t="s">
        <v>85</v>
      </c>
      <c r="J1042" s="33" t="s">
        <v>90</v>
      </c>
      <c r="K1042" s="33">
        <v>21</v>
      </c>
      <c r="L1042" s="33">
        <v>1013.8</v>
      </c>
      <c r="M1042" s="33">
        <v>33</v>
      </c>
      <c r="N1042" s="33"/>
      <c r="O1042" s="93">
        <f>IFERROR(IF(Readings[[#This Row],[Obs. X]]="","-",Readings[[#This Row],[Obs. X]]-_xlfn.XLOOKUP(Readings[[#This Row],[Sensor ID]],Table_Baseline[Sensor ID],Table_Baseline[Easting '[m']],"-")),"-")</f>
        <v>-9.9999999656574801E-4</v>
      </c>
      <c r="P1042" s="93">
        <f>IFERROR(IF(Readings[[#This Row],[Obs. Y]]="","-",Readings[[#This Row],[Obs. Y]]-_xlfn.XLOOKUP(Readings[[#This Row],[Sensor ID]],Table_Baseline[Sensor ID],Table_Baseline[Northing '[m']],"-")),"-")</f>
        <v>1.9999999785795808E-3</v>
      </c>
      <c r="Q1042" s="93">
        <f>IFERROR(IF(Readings[[#This Row],[Obs. Z]]="","-",Readings[[#This Row],[Obs. Z]]-_xlfn.XLOOKUP(Readings[[#This Row],[Sensor ID]],Table_Baseline[Sensor ID],Table_Baseline[Level '[m']],"-")),"-")</f>
        <v>-9.9999999999766942E-5</v>
      </c>
      <c r="R1042" s="93">
        <f>IFERROR(IF(Readings[[#This Row],[Reference Angle]]="-","-",(Readings[[#This Row],[Diff E]]*COS(RADIANS(Readings[[#This Row],[Reference Angle]]))-Readings[[#This Row],[Diff N]]*SIN(RADIANS(Readings[[#This Row],[Reference Angle]])))),"-")</f>
        <v>-9.9999999656574801E-4</v>
      </c>
      <c r="S1042" s="93">
        <f>IFERROR(IF(Readings[[#This Row],[Reference Angle]]="-","-",(Readings[[#This Row],[Diff E]]*SIN(RADIANS(Readings[[#This Row],[Reference Angle]]))+Readings[[#This Row],[Diff N]]*COS(RADIANS(Readings[[#This Row],[Reference Angle]])))),"-")</f>
        <v>1.9999999785795808E-3</v>
      </c>
      <c r="T1042" s="94">
        <f>IFERROR(VLOOKUP(Readings[[#This Row],[Sensor ID]],Table_Baseline[],COLUMNS(Table_Baseline[[#Headers],[Sensor ID]:[Reference Angle '[Deg']]]),FALSE),"-")</f>
        <v>0</v>
      </c>
      <c r="U1042" s="95" t="str">
        <f>Readings[[#This Row],[Sensor ID]]&amp;"-"&amp;Readings[[#This Row],[Epoch]]</f>
        <v>250-RL-OP-11007-45855.2916666667</v>
      </c>
      <c r="V1042" s="99">
        <f ca="1">IF(Readings[[#This Row],[Epoch]]=OFFSET(Readings[[#This Row],[Epoch]],-1,0),0,1)</f>
        <v>0</v>
      </c>
    </row>
    <row r="1043" spans="4:22" x14ac:dyDescent="0.2">
      <c r="D1043" s="32">
        <v>45855.291666666664</v>
      </c>
      <c r="E1043" s="33" t="s">
        <v>177</v>
      </c>
      <c r="F1043" s="34">
        <v>60043.440999999999</v>
      </c>
      <c r="G1043" s="34">
        <v>363842.04200000002</v>
      </c>
      <c r="H1043" s="34">
        <v>18.768000000000001</v>
      </c>
      <c r="I1043" s="33" t="s">
        <v>85</v>
      </c>
      <c r="J1043" s="33" t="s">
        <v>90</v>
      </c>
      <c r="K1043" s="33">
        <v>21</v>
      </c>
      <c r="L1043" s="33">
        <v>1013.8</v>
      </c>
      <c r="M1043" s="33">
        <v>33</v>
      </c>
      <c r="N1043" s="33"/>
      <c r="O1043" s="93">
        <f>IFERROR(IF(Readings[[#This Row],[Obs. X]]="","-",Readings[[#This Row],[Obs. X]]-_xlfn.XLOOKUP(Readings[[#This Row],[Sensor ID]],Table_Baseline[Sensor ID],Table_Baseline[Easting '[m']],"-")),"-")</f>
        <v>0</v>
      </c>
      <c r="P1043" s="93">
        <f>IFERROR(IF(Readings[[#This Row],[Obs. Y]]="","-",Readings[[#This Row],[Obs. Y]]-_xlfn.XLOOKUP(Readings[[#This Row],[Sensor ID]],Table_Baseline[Sensor ID],Table_Baseline[Northing '[m']],"-")),"-")</f>
        <v>1.9999999785795808E-3</v>
      </c>
      <c r="Q1043" s="93">
        <f>IFERROR(IF(Readings[[#This Row],[Obs. Z]]="","-",Readings[[#This Row],[Obs. Z]]-_xlfn.XLOOKUP(Readings[[#This Row],[Sensor ID]],Table_Baseline[Sensor ID],Table_Baseline[Level '[m']],"-")),"-")</f>
        <v>-2.9999999999930083E-4</v>
      </c>
      <c r="R1043" s="93">
        <f>IFERROR(IF(Readings[[#This Row],[Reference Angle]]="-","-",(Readings[[#This Row],[Diff E]]*COS(RADIANS(Readings[[#This Row],[Reference Angle]]))-Readings[[#This Row],[Diff N]]*SIN(RADIANS(Readings[[#This Row],[Reference Angle]])))),"-")</f>
        <v>0</v>
      </c>
      <c r="S1043" s="93">
        <f>IFERROR(IF(Readings[[#This Row],[Reference Angle]]="-","-",(Readings[[#This Row],[Diff E]]*SIN(RADIANS(Readings[[#This Row],[Reference Angle]]))+Readings[[#This Row],[Diff N]]*COS(RADIANS(Readings[[#This Row],[Reference Angle]])))),"-")</f>
        <v>1.9999999785795808E-3</v>
      </c>
      <c r="T1043" s="94">
        <f>IFERROR(VLOOKUP(Readings[[#This Row],[Sensor ID]],Table_Baseline[],COLUMNS(Table_Baseline[[#Headers],[Sensor ID]:[Reference Angle '[Deg']]]),FALSE),"-")</f>
        <v>0</v>
      </c>
      <c r="U1043" s="95" t="str">
        <f>Readings[[#This Row],[Sensor ID]]&amp;"-"&amp;Readings[[#This Row],[Epoch]]</f>
        <v>250-RL-OP-11008-45855.2916666667</v>
      </c>
      <c r="V1043" s="99">
        <f ca="1">IF(Readings[[#This Row],[Epoch]]=OFFSET(Readings[[#This Row],[Epoch]],-1,0),0,1)</f>
        <v>0</v>
      </c>
    </row>
    <row r="1044" spans="4:22" x14ac:dyDescent="0.2">
      <c r="D1044" s="32">
        <v>45855.291666666664</v>
      </c>
      <c r="E1044" s="33" t="s">
        <v>180</v>
      </c>
      <c r="F1044" s="34">
        <v>60046.633000000002</v>
      </c>
      <c r="G1044" s="34">
        <v>363842.48699999996</v>
      </c>
      <c r="H1044" s="34">
        <v>18.777000000000001</v>
      </c>
      <c r="I1044" s="33" t="s">
        <v>85</v>
      </c>
      <c r="J1044" s="33" t="s">
        <v>90</v>
      </c>
      <c r="K1044" s="33">
        <v>21</v>
      </c>
      <c r="L1044" s="33">
        <v>1013.8</v>
      </c>
      <c r="M1044" s="33">
        <v>33</v>
      </c>
      <c r="N1044" s="33"/>
      <c r="O1044" s="93">
        <f>IFERROR(IF(Readings[[#This Row],[Obs. X]]="","-",Readings[[#This Row],[Obs. X]]-_xlfn.XLOOKUP(Readings[[#This Row],[Sensor ID]],Table_Baseline[Sensor ID],Table_Baseline[Easting '[m']],"-")),"-")</f>
        <v>0</v>
      </c>
      <c r="P1044" s="93">
        <f>IFERROR(IF(Readings[[#This Row],[Obs. Y]]="","-",Readings[[#This Row],[Obs. Y]]-_xlfn.XLOOKUP(Readings[[#This Row],[Sensor ID]],Table_Baseline[Sensor ID],Table_Baseline[Northing '[m']],"-")),"-")</f>
        <v>1.9999999785795808E-3</v>
      </c>
      <c r="Q1044" s="93">
        <f>IFERROR(IF(Readings[[#This Row],[Obs. Z]]="","-",Readings[[#This Row],[Obs. Z]]-_xlfn.XLOOKUP(Readings[[#This Row],[Sensor ID]],Table_Baseline[Sensor ID],Table_Baseline[Level '[m']],"-")),"-")</f>
        <v>-5.9999999999860165E-4</v>
      </c>
      <c r="R1044" s="93">
        <f>IFERROR(IF(Readings[[#This Row],[Reference Angle]]="-","-",(Readings[[#This Row],[Diff E]]*COS(RADIANS(Readings[[#This Row],[Reference Angle]]))-Readings[[#This Row],[Diff N]]*SIN(RADIANS(Readings[[#This Row],[Reference Angle]])))),"-")</f>
        <v>0</v>
      </c>
      <c r="S1044" s="93">
        <f>IFERROR(IF(Readings[[#This Row],[Reference Angle]]="-","-",(Readings[[#This Row],[Diff E]]*SIN(RADIANS(Readings[[#This Row],[Reference Angle]]))+Readings[[#This Row],[Diff N]]*COS(RADIANS(Readings[[#This Row],[Reference Angle]])))),"-")</f>
        <v>1.9999999785795808E-3</v>
      </c>
      <c r="T1044" s="94">
        <f>IFERROR(VLOOKUP(Readings[[#This Row],[Sensor ID]],Table_Baseline[],COLUMNS(Table_Baseline[[#Headers],[Sensor ID]:[Reference Angle '[Deg']]]),FALSE),"-")</f>
        <v>0</v>
      </c>
      <c r="U1044" s="95" t="str">
        <f>Readings[[#This Row],[Sensor ID]]&amp;"-"&amp;Readings[[#This Row],[Epoch]]</f>
        <v>250-RL-OP-11009-45855.2916666667</v>
      </c>
      <c r="V1044" s="99">
        <f ca="1">IF(Readings[[#This Row],[Epoch]]=OFFSET(Readings[[#This Row],[Epoch]],-1,0),0,1)</f>
        <v>0</v>
      </c>
    </row>
    <row r="1045" spans="4:22" x14ac:dyDescent="0.2">
      <c r="D1045" s="32">
        <v>45855.291666666664</v>
      </c>
      <c r="E1045" s="33" t="s">
        <v>179</v>
      </c>
      <c r="F1045" s="34">
        <v>60046.249000000003</v>
      </c>
      <c r="G1045" s="34">
        <v>363841.228</v>
      </c>
      <c r="H1045" s="34">
        <v>18.77</v>
      </c>
      <c r="I1045" s="33" t="s">
        <v>85</v>
      </c>
      <c r="J1045" s="33" t="s">
        <v>90</v>
      </c>
      <c r="K1045" s="33">
        <v>21</v>
      </c>
      <c r="L1045" s="33">
        <v>1013.8</v>
      </c>
      <c r="M1045" s="33">
        <v>33</v>
      </c>
      <c r="N1045" s="33"/>
      <c r="O1045" s="93">
        <f>IFERROR(IF(Readings[[#This Row],[Obs. X]]="","-",Readings[[#This Row],[Obs. X]]-_xlfn.XLOOKUP(Readings[[#This Row],[Sensor ID]],Table_Baseline[Sensor ID],Table_Baseline[Easting '[m']],"-")),"-")</f>
        <v>-9.9999999656574801E-4</v>
      </c>
      <c r="P1045" s="93">
        <f>IFERROR(IF(Readings[[#This Row],[Obs. Y]]="","-",Readings[[#This Row],[Obs. Y]]-_xlfn.XLOOKUP(Readings[[#This Row],[Sensor ID]],Table_Baseline[Sensor ID],Table_Baseline[Northing '[m']],"-")),"-")</f>
        <v>1.9999999785795808E-3</v>
      </c>
      <c r="Q1045" s="93">
        <f>IFERROR(IF(Readings[[#This Row],[Obs. Z]]="","-",Readings[[#This Row],[Obs. Z]]-_xlfn.XLOOKUP(Readings[[#This Row],[Sensor ID]],Table_Baseline[Sensor ID],Table_Baseline[Level '[m']],"-")),"-")</f>
        <v>1.9999999999953388E-4</v>
      </c>
      <c r="R1045" s="93">
        <f>IFERROR(IF(Readings[[#This Row],[Reference Angle]]="-","-",(Readings[[#This Row],[Diff E]]*COS(RADIANS(Readings[[#This Row],[Reference Angle]]))-Readings[[#This Row],[Diff N]]*SIN(RADIANS(Readings[[#This Row],[Reference Angle]])))),"-")</f>
        <v>-9.9999999656574801E-4</v>
      </c>
      <c r="S1045" s="93">
        <f>IFERROR(IF(Readings[[#This Row],[Reference Angle]]="-","-",(Readings[[#This Row],[Diff E]]*SIN(RADIANS(Readings[[#This Row],[Reference Angle]]))+Readings[[#This Row],[Diff N]]*COS(RADIANS(Readings[[#This Row],[Reference Angle]])))),"-")</f>
        <v>1.9999999785795808E-3</v>
      </c>
      <c r="T1045" s="94">
        <f>IFERROR(VLOOKUP(Readings[[#This Row],[Sensor ID]],Table_Baseline[],COLUMNS(Table_Baseline[[#Headers],[Sensor ID]:[Reference Angle '[Deg']]]),FALSE),"-")</f>
        <v>0</v>
      </c>
      <c r="U1045" s="95" t="str">
        <f>Readings[[#This Row],[Sensor ID]]&amp;"-"&amp;Readings[[#This Row],[Epoch]]</f>
        <v>250-RL-OP-11010-45855.2916666667</v>
      </c>
      <c r="V1045" s="99">
        <f ca="1">IF(Readings[[#This Row],[Epoch]]=OFFSET(Readings[[#This Row],[Epoch]],-1,0),0,1)</f>
        <v>0</v>
      </c>
    </row>
    <row r="1046" spans="4:22" x14ac:dyDescent="0.2">
      <c r="D1046" s="32">
        <v>45855.291666666664</v>
      </c>
      <c r="E1046" s="33" t="s">
        <v>182</v>
      </c>
      <c r="F1046" s="34">
        <v>60049.398000000001</v>
      </c>
      <c r="G1046" s="34">
        <v>363841.7</v>
      </c>
      <c r="H1046" s="34">
        <v>18.777999999999999</v>
      </c>
      <c r="I1046" s="33" t="s">
        <v>85</v>
      </c>
      <c r="J1046" s="33" t="s">
        <v>90</v>
      </c>
      <c r="K1046" s="33">
        <v>21</v>
      </c>
      <c r="L1046" s="33">
        <v>1013.8</v>
      </c>
      <c r="M1046" s="33">
        <v>33</v>
      </c>
      <c r="N1046" s="33"/>
      <c r="O1046" s="93">
        <f>IFERROR(IF(Readings[[#This Row],[Obs. X]]="","-",Readings[[#This Row],[Obs. X]]-_xlfn.XLOOKUP(Readings[[#This Row],[Sensor ID]],Table_Baseline[Sensor ID],Table_Baseline[Easting '[m']],"-")),"-")</f>
        <v>-9.9999999656574801E-4</v>
      </c>
      <c r="P1046" s="93">
        <f>IFERROR(IF(Readings[[#This Row],[Obs. Y]]="","-",Readings[[#This Row],[Obs. Y]]-_xlfn.XLOOKUP(Readings[[#This Row],[Sensor ID]],Table_Baseline[Sensor ID],Table_Baseline[Northing '[m']],"-")),"-")</f>
        <v>2.0000000367872417E-3</v>
      </c>
      <c r="Q1046" s="93">
        <f>IFERROR(IF(Readings[[#This Row],[Obs. Z]]="","-",Readings[[#This Row],[Obs. Z]]-_xlfn.XLOOKUP(Readings[[#This Row],[Sensor ID]],Table_Baseline[Sensor ID],Table_Baseline[Level '[m']],"-")),"-")</f>
        <v>0</v>
      </c>
      <c r="R1046" s="93">
        <f>IFERROR(IF(Readings[[#This Row],[Reference Angle]]="-","-",(Readings[[#This Row],[Diff E]]*COS(RADIANS(Readings[[#This Row],[Reference Angle]]))-Readings[[#This Row],[Diff N]]*SIN(RADIANS(Readings[[#This Row],[Reference Angle]])))),"-")</f>
        <v>-9.9999999656574801E-4</v>
      </c>
      <c r="S1046" s="93">
        <f>IFERROR(IF(Readings[[#This Row],[Reference Angle]]="-","-",(Readings[[#This Row],[Diff E]]*SIN(RADIANS(Readings[[#This Row],[Reference Angle]]))+Readings[[#This Row],[Diff N]]*COS(RADIANS(Readings[[#This Row],[Reference Angle]])))),"-")</f>
        <v>2.0000000367872417E-3</v>
      </c>
      <c r="T1046" s="94">
        <f>IFERROR(VLOOKUP(Readings[[#This Row],[Sensor ID]],Table_Baseline[],COLUMNS(Table_Baseline[[#Headers],[Sensor ID]:[Reference Angle '[Deg']]]),FALSE),"-")</f>
        <v>0</v>
      </c>
      <c r="U1046" s="95" t="str">
        <f>Readings[[#This Row],[Sensor ID]]&amp;"-"&amp;Readings[[#This Row],[Epoch]]</f>
        <v>250-RL-OP-11011-45855.2916666667</v>
      </c>
      <c r="V1046" s="99">
        <f ca="1">IF(Readings[[#This Row],[Epoch]]=OFFSET(Readings[[#This Row],[Epoch]],-1,0),0,1)</f>
        <v>0</v>
      </c>
    </row>
    <row r="1047" spans="4:22" x14ac:dyDescent="0.2">
      <c r="D1047" s="32">
        <v>45855.291666666664</v>
      </c>
      <c r="E1047" s="33" t="s">
        <v>181</v>
      </c>
      <c r="F1047" s="34">
        <v>60049.04</v>
      </c>
      <c r="G1047" s="34">
        <v>363840.43700000003</v>
      </c>
      <c r="H1047" s="34">
        <v>18.771000000000001</v>
      </c>
      <c r="I1047" s="33" t="s">
        <v>85</v>
      </c>
      <c r="J1047" s="33" t="s">
        <v>90</v>
      </c>
      <c r="K1047" s="33">
        <v>21</v>
      </c>
      <c r="L1047" s="33">
        <v>1013.8</v>
      </c>
      <c r="M1047" s="33">
        <v>33</v>
      </c>
      <c r="N1047" s="33"/>
      <c r="O1047" s="93">
        <f>IFERROR(IF(Readings[[#This Row],[Obs. X]]="","-",Readings[[#This Row],[Obs. X]]-_xlfn.XLOOKUP(Readings[[#This Row],[Sensor ID]],Table_Baseline[Sensor ID],Table_Baseline[Easting '[m']],"-")),"-")</f>
        <v>-9.9999999656574801E-4</v>
      </c>
      <c r="P1047" s="93">
        <f>IFERROR(IF(Readings[[#This Row],[Obs. Y]]="","-",Readings[[#This Row],[Obs. Y]]-_xlfn.XLOOKUP(Readings[[#This Row],[Sensor ID]],Table_Baseline[Sensor ID],Table_Baseline[Northing '[m']],"-")),"-")</f>
        <v>4.0000000735744834E-3</v>
      </c>
      <c r="Q1047" s="93">
        <f>IFERROR(IF(Readings[[#This Row],[Obs. Z]]="","-",Readings[[#This Row],[Obs. Z]]-_xlfn.XLOOKUP(Readings[[#This Row],[Sensor ID]],Table_Baseline[Sensor ID],Table_Baseline[Level '[m']],"-")),"-")</f>
        <v>-9.9999999999766942E-5</v>
      </c>
      <c r="R1047" s="93">
        <f>IFERROR(IF(Readings[[#This Row],[Reference Angle]]="-","-",(Readings[[#This Row],[Diff E]]*COS(RADIANS(Readings[[#This Row],[Reference Angle]]))-Readings[[#This Row],[Diff N]]*SIN(RADIANS(Readings[[#This Row],[Reference Angle]])))),"-")</f>
        <v>-9.9999999656574801E-4</v>
      </c>
      <c r="S1047" s="93">
        <f>IFERROR(IF(Readings[[#This Row],[Reference Angle]]="-","-",(Readings[[#This Row],[Diff E]]*SIN(RADIANS(Readings[[#This Row],[Reference Angle]]))+Readings[[#This Row],[Diff N]]*COS(RADIANS(Readings[[#This Row],[Reference Angle]])))),"-")</f>
        <v>4.0000000735744834E-3</v>
      </c>
      <c r="T1047" s="94">
        <f>IFERROR(VLOOKUP(Readings[[#This Row],[Sensor ID]],Table_Baseline[],COLUMNS(Table_Baseline[[#Headers],[Sensor ID]:[Reference Angle '[Deg']]]),FALSE),"-")</f>
        <v>0</v>
      </c>
      <c r="U1047" s="95" t="str">
        <f>Readings[[#This Row],[Sensor ID]]&amp;"-"&amp;Readings[[#This Row],[Epoch]]</f>
        <v>250-RL-OP-11012-45855.2916666667</v>
      </c>
      <c r="V1047" s="99">
        <f ca="1">IF(Readings[[#This Row],[Epoch]]=OFFSET(Readings[[#This Row],[Epoch]],-1,0),0,1)</f>
        <v>0</v>
      </c>
    </row>
    <row r="1048" spans="4:22" x14ac:dyDescent="0.2">
      <c r="D1048" s="32">
        <v>45855.291666666664</v>
      </c>
      <c r="E1048" s="33" t="s">
        <v>184</v>
      </c>
      <c r="F1048" s="34">
        <v>60052.292000000001</v>
      </c>
      <c r="G1048" s="34">
        <v>363840.88899999997</v>
      </c>
      <c r="H1048" s="34">
        <v>18.777999999999999</v>
      </c>
      <c r="I1048" s="33" t="s">
        <v>85</v>
      </c>
      <c r="J1048" s="33" t="s">
        <v>90</v>
      </c>
      <c r="K1048" s="33">
        <v>21</v>
      </c>
      <c r="L1048" s="33">
        <v>1013.8</v>
      </c>
      <c r="M1048" s="33">
        <v>33</v>
      </c>
      <c r="N1048" s="33"/>
      <c r="O1048" s="93">
        <f>IFERROR(IF(Readings[[#This Row],[Obs. X]]="","-",Readings[[#This Row],[Obs. X]]-_xlfn.XLOOKUP(Readings[[#This Row],[Sensor ID]],Table_Baseline[Sensor ID],Table_Baseline[Easting '[m']],"-")),"-")</f>
        <v>-9.9999999656574801E-4</v>
      </c>
      <c r="P1048" s="93">
        <f>IFERROR(IF(Readings[[#This Row],[Obs. Y]]="","-",Readings[[#This Row],[Obs. Y]]-_xlfn.XLOOKUP(Readings[[#This Row],[Sensor ID]],Table_Baseline[Sensor ID],Table_Baseline[Northing '[m']],"-")),"-")</f>
        <v>3.9999999571591616E-3</v>
      </c>
      <c r="Q1048" s="93">
        <f>IFERROR(IF(Readings[[#This Row],[Obs. Z]]="","-",Readings[[#This Row],[Obs. Z]]-_xlfn.XLOOKUP(Readings[[#This Row],[Sensor ID]],Table_Baseline[Sensor ID],Table_Baseline[Level '[m']],"-")),"-")</f>
        <v>-1.0000000000012221E-3</v>
      </c>
      <c r="R1048" s="93">
        <f>IFERROR(IF(Readings[[#This Row],[Reference Angle]]="-","-",(Readings[[#This Row],[Diff E]]*COS(RADIANS(Readings[[#This Row],[Reference Angle]]))-Readings[[#This Row],[Diff N]]*SIN(RADIANS(Readings[[#This Row],[Reference Angle]])))),"-")</f>
        <v>-9.9999999656574801E-4</v>
      </c>
      <c r="S1048" s="93">
        <f>IFERROR(IF(Readings[[#This Row],[Reference Angle]]="-","-",(Readings[[#This Row],[Diff E]]*SIN(RADIANS(Readings[[#This Row],[Reference Angle]]))+Readings[[#This Row],[Diff N]]*COS(RADIANS(Readings[[#This Row],[Reference Angle]])))),"-")</f>
        <v>3.9999999571591616E-3</v>
      </c>
      <c r="T1048" s="94">
        <f>IFERROR(VLOOKUP(Readings[[#This Row],[Sensor ID]],Table_Baseline[],COLUMNS(Table_Baseline[[#Headers],[Sensor ID]:[Reference Angle '[Deg']]]),FALSE),"-")</f>
        <v>0</v>
      </c>
      <c r="U1048" s="95" t="str">
        <f>Readings[[#This Row],[Sensor ID]]&amp;"-"&amp;Readings[[#This Row],[Epoch]]</f>
        <v>250-RL-OP-11013-45855.2916666667</v>
      </c>
      <c r="V1048" s="99">
        <f ca="1">IF(Readings[[#This Row],[Epoch]]=OFFSET(Readings[[#This Row],[Epoch]],-1,0),0,1)</f>
        <v>0</v>
      </c>
    </row>
    <row r="1049" spans="4:22" x14ac:dyDescent="0.2">
      <c r="D1049" s="32">
        <v>45855.291666666664</v>
      </c>
      <c r="E1049" s="33" t="s">
        <v>183</v>
      </c>
      <c r="F1049" s="34">
        <v>60051.989000000001</v>
      </c>
      <c r="G1049" s="34">
        <v>363839.60699999996</v>
      </c>
      <c r="H1049" s="34">
        <v>18.768999999999998</v>
      </c>
      <c r="I1049" s="33" t="s">
        <v>85</v>
      </c>
      <c r="J1049" s="33" t="s">
        <v>90</v>
      </c>
      <c r="K1049" s="33">
        <v>21</v>
      </c>
      <c r="L1049" s="33">
        <v>1013.8</v>
      </c>
      <c r="M1049" s="33">
        <v>33</v>
      </c>
      <c r="N1049" s="33"/>
      <c r="O1049" s="93">
        <f>IFERROR(IF(Readings[[#This Row],[Obs. X]]="","-",Readings[[#This Row],[Obs. X]]-_xlfn.XLOOKUP(Readings[[#This Row],[Sensor ID]],Table_Baseline[Sensor ID],Table_Baseline[Easting '[m']],"-")),"-")</f>
        <v>0</v>
      </c>
      <c r="P1049" s="93">
        <f>IFERROR(IF(Readings[[#This Row],[Obs. Y]]="","-",Readings[[#This Row],[Obs. Y]]-_xlfn.XLOOKUP(Readings[[#This Row],[Sensor ID]],Table_Baseline[Sensor ID],Table_Baseline[Northing '[m']],"-")),"-")</f>
        <v>3.9999999571591616E-3</v>
      </c>
      <c r="Q1049" s="93">
        <f>IFERROR(IF(Readings[[#This Row],[Obs. Z]]="","-",Readings[[#This Row],[Obs. Z]]-_xlfn.XLOOKUP(Readings[[#This Row],[Sensor ID]],Table_Baseline[Sensor ID],Table_Baseline[Level '[m']],"-")),"-")</f>
        <v>-1.1000000000009891E-3</v>
      </c>
      <c r="R1049" s="93">
        <f>IFERROR(IF(Readings[[#This Row],[Reference Angle]]="-","-",(Readings[[#This Row],[Diff E]]*COS(RADIANS(Readings[[#This Row],[Reference Angle]]))-Readings[[#This Row],[Diff N]]*SIN(RADIANS(Readings[[#This Row],[Reference Angle]])))),"-")</f>
        <v>0</v>
      </c>
      <c r="S1049" s="93">
        <f>IFERROR(IF(Readings[[#This Row],[Reference Angle]]="-","-",(Readings[[#This Row],[Diff E]]*SIN(RADIANS(Readings[[#This Row],[Reference Angle]]))+Readings[[#This Row],[Diff N]]*COS(RADIANS(Readings[[#This Row],[Reference Angle]])))),"-")</f>
        <v>3.9999999571591616E-3</v>
      </c>
      <c r="T1049" s="94">
        <f>IFERROR(VLOOKUP(Readings[[#This Row],[Sensor ID]],Table_Baseline[],COLUMNS(Table_Baseline[[#Headers],[Sensor ID]:[Reference Angle '[Deg']]]),FALSE),"-")</f>
        <v>0</v>
      </c>
      <c r="U1049" s="95" t="str">
        <f>Readings[[#This Row],[Sensor ID]]&amp;"-"&amp;Readings[[#This Row],[Epoch]]</f>
        <v>250-RL-OP-11014-45855.2916666667</v>
      </c>
      <c r="V1049" s="99">
        <f ca="1">IF(Readings[[#This Row],[Epoch]]=OFFSET(Readings[[#This Row],[Epoch]],-1,0),0,1)</f>
        <v>0</v>
      </c>
    </row>
    <row r="1050" spans="4:22" x14ac:dyDescent="0.2">
      <c r="D1050" s="32">
        <v>45855.291666666664</v>
      </c>
      <c r="E1050" s="33" t="s">
        <v>186</v>
      </c>
      <c r="F1050" s="34">
        <v>60055.196000000004</v>
      </c>
      <c r="G1050" s="34">
        <v>363840.09899999999</v>
      </c>
      <c r="H1050" s="34">
        <v>18.78</v>
      </c>
      <c r="I1050" s="33" t="s">
        <v>85</v>
      </c>
      <c r="J1050" s="33" t="s">
        <v>90</v>
      </c>
      <c r="K1050" s="33">
        <v>21</v>
      </c>
      <c r="L1050" s="33">
        <v>1013.8</v>
      </c>
      <c r="M1050" s="33">
        <v>33</v>
      </c>
      <c r="N1050" s="33"/>
      <c r="O1050" s="93">
        <f>IFERROR(IF(Readings[[#This Row],[Obs. X]]="","-",Readings[[#This Row],[Obs. X]]-_xlfn.XLOOKUP(Readings[[#This Row],[Sensor ID]],Table_Baseline[Sensor ID],Table_Baseline[Easting '[m']],"-")),"-")</f>
        <v>0</v>
      </c>
      <c r="P1050" s="93">
        <f>IFERROR(IF(Readings[[#This Row],[Obs. Y]]="","-",Readings[[#This Row],[Obs. Y]]-_xlfn.XLOOKUP(Readings[[#This Row],[Sensor ID]],Table_Baseline[Sensor ID],Table_Baseline[Northing '[m']],"-")),"-")</f>
        <v>4.0000000153668225E-3</v>
      </c>
      <c r="Q1050" s="93">
        <f>IFERROR(IF(Readings[[#This Row],[Obs. Z]]="","-",Readings[[#This Row],[Obs. Z]]-_xlfn.XLOOKUP(Readings[[#This Row],[Sensor ID]],Table_Baseline[Sensor ID],Table_Baseline[Level '[m']],"-")),"-")</f>
        <v>-8.9999999999790248E-4</v>
      </c>
      <c r="R1050" s="93">
        <f>IFERROR(IF(Readings[[#This Row],[Reference Angle]]="-","-",(Readings[[#This Row],[Diff E]]*COS(RADIANS(Readings[[#This Row],[Reference Angle]]))-Readings[[#This Row],[Diff N]]*SIN(RADIANS(Readings[[#This Row],[Reference Angle]])))),"-")</f>
        <v>0</v>
      </c>
      <c r="S1050" s="93">
        <f>IFERROR(IF(Readings[[#This Row],[Reference Angle]]="-","-",(Readings[[#This Row],[Diff E]]*SIN(RADIANS(Readings[[#This Row],[Reference Angle]]))+Readings[[#This Row],[Diff N]]*COS(RADIANS(Readings[[#This Row],[Reference Angle]])))),"-")</f>
        <v>4.0000000153668225E-3</v>
      </c>
      <c r="T1050" s="94">
        <f>IFERROR(VLOOKUP(Readings[[#This Row],[Sensor ID]],Table_Baseline[],COLUMNS(Table_Baseline[[#Headers],[Sensor ID]:[Reference Angle '[Deg']]]),FALSE),"-")</f>
        <v>0</v>
      </c>
      <c r="U1050" s="95" t="str">
        <f>Readings[[#This Row],[Sensor ID]]&amp;"-"&amp;Readings[[#This Row],[Epoch]]</f>
        <v>250-RL-OP-11015-45855.2916666667</v>
      </c>
      <c r="V1050" s="99">
        <f ca="1">IF(Readings[[#This Row],[Epoch]]=OFFSET(Readings[[#This Row],[Epoch]],-1,0),0,1)</f>
        <v>0</v>
      </c>
    </row>
    <row r="1051" spans="4:22" x14ac:dyDescent="0.2">
      <c r="D1051" s="32">
        <v>45855.291666666664</v>
      </c>
      <c r="E1051" s="33" t="s">
        <v>185</v>
      </c>
      <c r="F1051" s="34">
        <v>60054.885000000002</v>
      </c>
      <c r="G1051" s="34">
        <v>363838.80900000001</v>
      </c>
      <c r="H1051" s="34">
        <v>18.771999999999998</v>
      </c>
      <c r="I1051" s="33" t="s">
        <v>85</v>
      </c>
      <c r="J1051" s="33" t="s">
        <v>90</v>
      </c>
      <c r="K1051" s="33">
        <v>21</v>
      </c>
      <c r="L1051" s="33">
        <v>1013.8</v>
      </c>
      <c r="M1051" s="33">
        <v>33</v>
      </c>
      <c r="N1051" s="33"/>
      <c r="O1051" s="93">
        <f>IFERROR(IF(Readings[[#This Row],[Obs. X]]="","-",Readings[[#This Row],[Obs. X]]-_xlfn.XLOOKUP(Readings[[#This Row],[Sensor ID]],Table_Baseline[Sensor ID],Table_Baseline[Easting '[m']],"-")),"-")</f>
        <v>-9.9999999656574801E-4</v>
      </c>
      <c r="P1051" s="93">
        <f>IFERROR(IF(Readings[[#This Row],[Obs. Y]]="","-",Readings[[#This Row],[Obs. Y]]-_xlfn.XLOOKUP(Readings[[#This Row],[Sensor ID]],Table_Baseline[Sensor ID],Table_Baseline[Northing '[m']],"-")),"-")</f>
        <v>4.0000000153668225E-3</v>
      </c>
      <c r="Q1051" s="93">
        <f>IFERROR(IF(Readings[[#This Row],[Obs. Z]]="","-",Readings[[#This Row],[Obs. Z]]-_xlfn.XLOOKUP(Readings[[#This Row],[Sensor ID]],Table_Baseline[Sensor ID],Table_Baseline[Level '[m']],"-")),"-")</f>
        <v>-1.1000000000009891E-3</v>
      </c>
      <c r="R1051" s="93">
        <f>IFERROR(IF(Readings[[#This Row],[Reference Angle]]="-","-",(Readings[[#This Row],[Diff E]]*COS(RADIANS(Readings[[#This Row],[Reference Angle]]))-Readings[[#This Row],[Diff N]]*SIN(RADIANS(Readings[[#This Row],[Reference Angle]])))),"-")</f>
        <v>-9.9999999656574801E-4</v>
      </c>
      <c r="S1051" s="93">
        <f>IFERROR(IF(Readings[[#This Row],[Reference Angle]]="-","-",(Readings[[#This Row],[Diff E]]*SIN(RADIANS(Readings[[#This Row],[Reference Angle]]))+Readings[[#This Row],[Diff N]]*COS(RADIANS(Readings[[#This Row],[Reference Angle]])))),"-")</f>
        <v>4.0000000153668225E-3</v>
      </c>
      <c r="T1051" s="94">
        <f>IFERROR(VLOOKUP(Readings[[#This Row],[Sensor ID]],Table_Baseline[],COLUMNS(Table_Baseline[[#Headers],[Sensor ID]:[Reference Angle '[Deg']]]),FALSE),"-")</f>
        <v>0</v>
      </c>
      <c r="U1051" s="95" t="str">
        <f>Readings[[#This Row],[Sensor ID]]&amp;"-"&amp;Readings[[#This Row],[Epoch]]</f>
        <v>250-RL-OP-11016-45855.2916666667</v>
      </c>
      <c r="V1051" s="99">
        <f ca="1">IF(Readings[[#This Row],[Epoch]]=OFFSET(Readings[[#This Row],[Epoch]],-1,0),0,1)</f>
        <v>0</v>
      </c>
    </row>
    <row r="1052" spans="4:22" x14ac:dyDescent="0.2">
      <c r="D1052" s="32">
        <v>45855.291666666664</v>
      </c>
      <c r="E1052" s="33" t="s">
        <v>188</v>
      </c>
      <c r="F1052" s="34">
        <v>60057.951999999997</v>
      </c>
      <c r="G1052" s="34">
        <v>363839.36699999997</v>
      </c>
      <c r="H1052" s="34">
        <v>18.785</v>
      </c>
      <c r="I1052" s="33" t="s">
        <v>85</v>
      </c>
      <c r="J1052" s="33" t="s">
        <v>90</v>
      </c>
      <c r="K1052" s="33">
        <v>21</v>
      </c>
      <c r="L1052" s="33">
        <v>1013.8</v>
      </c>
      <c r="M1052" s="33">
        <v>33</v>
      </c>
      <c r="N1052" s="33"/>
      <c r="O1052" s="93">
        <f>IFERROR(IF(Readings[[#This Row],[Obs. X]]="","-",Readings[[#This Row],[Obs. X]]-_xlfn.XLOOKUP(Readings[[#This Row],[Sensor ID]],Table_Baseline[Sensor ID],Table_Baseline[Easting '[m']],"-")),"-")</f>
        <v>0</v>
      </c>
      <c r="P1052" s="93">
        <f>IFERROR(IF(Readings[[#This Row],[Obs. Y]]="","-",Readings[[#This Row],[Obs. Y]]-_xlfn.XLOOKUP(Readings[[#This Row],[Sensor ID]],Table_Baseline[Sensor ID],Table_Baseline[Northing '[m']],"-")),"-")</f>
        <v>5.0000000046566129E-3</v>
      </c>
      <c r="Q1052" s="93">
        <f>IFERROR(IF(Readings[[#This Row],[Obs. Z]]="","-",Readings[[#This Row],[Obs. Z]]-_xlfn.XLOOKUP(Readings[[#This Row],[Sensor ID]],Table_Baseline[Sensor ID],Table_Baseline[Level '[m']],"-")),"-")</f>
        <v>-1.0000000000012221E-3</v>
      </c>
      <c r="R1052" s="93">
        <f>IFERROR(IF(Readings[[#This Row],[Reference Angle]]="-","-",(Readings[[#This Row],[Diff E]]*COS(RADIANS(Readings[[#This Row],[Reference Angle]]))-Readings[[#This Row],[Diff N]]*SIN(RADIANS(Readings[[#This Row],[Reference Angle]])))),"-")</f>
        <v>0</v>
      </c>
      <c r="S1052" s="93">
        <f>IFERROR(IF(Readings[[#This Row],[Reference Angle]]="-","-",(Readings[[#This Row],[Diff E]]*SIN(RADIANS(Readings[[#This Row],[Reference Angle]]))+Readings[[#This Row],[Diff N]]*COS(RADIANS(Readings[[#This Row],[Reference Angle]])))),"-")</f>
        <v>5.0000000046566129E-3</v>
      </c>
      <c r="T1052" s="94">
        <f>IFERROR(VLOOKUP(Readings[[#This Row],[Sensor ID]],Table_Baseline[],COLUMNS(Table_Baseline[[#Headers],[Sensor ID]:[Reference Angle '[Deg']]]),FALSE),"-")</f>
        <v>0</v>
      </c>
      <c r="U1052" s="95" t="str">
        <f>Readings[[#This Row],[Sensor ID]]&amp;"-"&amp;Readings[[#This Row],[Epoch]]</f>
        <v>250-RL-OP-11017-45855.2916666667</v>
      </c>
      <c r="V1052" s="99">
        <f ca="1">IF(Readings[[#This Row],[Epoch]]=OFFSET(Readings[[#This Row],[Epoch]],-1,0),0,1)</f>
        <v>0</v>
      </c>
    </row>
    <row r="1053" spans="4:22" x14ac:dyDescent="0.2">
      <c r="D1053" s="32">
        <v>45855.291666666664</v>
      </c>
      <c r="E1053" s="33" t="s">
        <v>187</v>
      </c>
      <c r="F1053" s="34">
        <v>60057.578000000001</v>
      </c>
      <c r="G1053" s="34">
        <v>363838.103</v>
      </c>
      <c r="H1053" s="34">
        <v>18.774999999999999</v>
      </c>
      <c r="I1053" s="33" t="s">
        <v>85</v>
      </c>
      <c r="J1053" s="33" t="s">
        <v>90</v>
      </c>
      <c r="K1053" s="33">
        <v>21</v>
      </c>
      <c r="L1053" s="33">
        <v>1013.8</v>
      </c>
      <c r="M1053" s="33">
        <v>33</v>
      </c>
      <c r="N1053" s="33"/>
      <c r="O1053" s="93">
        <f>IFERROR(IF(Readings[[#This Row],[Obs. X]]="","-",Readings[[#This Row],[Obs. X]]-_xlfn.XLOOKUP(Readings[[#This Row],[Sensor ID]],Table_Baseline[Sensor ID],Table_Baseline[Easting '[m']],"-")),"-")</f>
        <v>-9.9999999656574801E-4</v>
      </c>
      <c r="P1053" s="93">
        <f>IFERROR(IF(Readings[[#This Row],[Obs. Y]]="","-",Readings[[#This Row],[Obs. Y]]-_xlfn.XLOOKUP(Readings[[#This Row],[Sensor ID]],Table_Baseline[Sensor ID],Table_Baseline[Northing '[m']],"-")),"-")</f>
        <v>5.0000000046566129E-3</v>
      </c>
      <c r="Q1053" s="93">
        <f>IFERROR(IF(Readings[[#This Row],[Obs. Z]]="","-",Readings[[#This Row],[Obs. Z]]-_xlfn.XLOOKUP(Readings[[#This Row],[Sensor ID]],Table_Baseline[Sensor ID],Table_Baseline[Level '[m']],"-")),"-")</f>
        <v>-1.0000000000012221E-3</v>
      </c>
      <c r="R1053" s="93">
        <f>IFERROR(IF(Readings[[#This Row],[Reference Angle]]="-","-",(Readings[[#This Row],[Diff E]]*COS(RADIANS(Readings[[#This Row],[Reference Angle]]))-Readings[[#This Row],[Diff N]]*SIN(RADIANS(Readings[[#This Row],[Reference Angle]])))),"-")</f>
        <v>-9.9999999656574801E-4</v>
      </c>
      <c r="S1053" s="93">
        <f>IFERROR(IF(Readings[[#This Row],[Reference Angle]]="-","-",(Readings[[#This Row],[Diff E]]*SIN(RADIANS(Readings[[#This Row],[Reference Angle]]))+Readings[[#This Row],[Diff N]]*COS(RADIANS(Readings[[#This Row],[Reference Angle]])))),"-")</f>
        <v>5.0000000046566129E-3</v>
      </c>
      <c r="T1053" s="94">
        <f>IFERROR(VLOOKUP(Readings[[#This Row],[Sensor ID]],Table_Baseline[],COLUMNS(Table_Baseline[[#Headers],[Sensor ID]:[Reference Angle '[Deg']]]),FALSE),"-")</f>
        <v>0</v>
      </c>
      <c r="U1053" s="95" t="str">
        <f>Readings[[#This Row],[Sensor ID]]&amp;"-"&amp;Readings[[#This Row],[Epoch]]</f>
        <v>250-RL-OP-11018-45855.2916666667</v>
      </c>
      <c r="V1053" s="99">
        <f ca="1">IF(Readings[[#This Row],[Epoch]]=OFFSET(Readings[[#This Row],[Epoch]],-1,0),0,1)</f>
        <v>0</v>
      </c>
    </row>
    <row r="1054" spans="4:22" x14ac:dyDescent="0.2">
      <c r="D1054" s="32">
        <v>45855.291666666664</v>
      </c>
      <c r="E1054" s="33" t="s">
        <v>190</v>
      </c>
      <c r="F1054" s="34">
        <v>60060.962</v>
      </c>
      <c r="G1054" s="34">
        <v>363838.60600000003</v>
      </c>
      <c r="H1054" s="34">
        <v>18.792999999999999</v>
      </c>
      <c r="I1054" s="33" t="s">
        <v>85</v>
      </c>
      <c r="J1054" s="33" t="s">
        <v>90</v>
      </c>
      <c r="K1054" s="33">
        <v>21</v>
      </c>
      <c r="L1054" s="33">
        <v>1013.8</v>
      </c>
      <c r="M1054" s="33">
        <v>33</v>
      </c>
      <c r="N1054" s="33"/>
      <c r="O1054" s="93">
        <f>IFERROR(IF(Readings[[#This Row],[Obs. X]]="","-",Readings[[#This Row],[Obs. X]]-_xlfn.XLOOKUP(Readings[[#This Row],[Sensor ID]],Table_Baseline[Sensor ID],Table_Baseline[Easting '[m']],"-")),"-")</f>
        <v>-1.0000000038417056E-3</v>
      </c>
      <c r="P1054" s="93">
        <f>IFERROR(IF(Readings[[#This Row],[Obs. Y]]="","-",Readings[[#This Row],[Obs. Y]]-_xlfn.XLOOKUP(Readings[[#This Row],[Sensor ID]],Table_Baseline[Sensor ID],Table_Baseline[Northing '[m']],"-")),"-")</f>
        <v>5.0000000046566129E-3</v>
      </c>
      <c r="Q1054" s="93">
        <f>IFERROR(IF(Readings[[#This Row],[Obs. Z]]="","-",Readings[[#This Row],[Obs. Z]]-_xlfn.XLOOKUP(Readings[[#This Row],[Sensor ID]],Table_Baseline[Sensor ID],Table_Baseline[Level '[m']],"-")),"-")</f>
        <v>-1.5999999999998238E-3</v>
      </c>
      <c r="R1054" s="93">
        <f>IFERROR(IF(Readings[[#This Row],[Reference Angle]]="-","-",(Readings[[#This Row],[Diff E]]*COS(RADIANS(Readings[[#This Row],[Reference Angle]]))-Readings[[#This Row],[Diff N]]*SIN(RADIANS(Readings[[#This Row],[Reference Angle]])))),"-")</f>
        <v>-1.0000000038417056E-3</v>
      </c>
      <c r="S1054" s="93">
        <f>IFERROR(IF(Readings[[#This Row],[Reference Angle]]="-","-",(Readings[[#This Row],[Diff E]]*SIN(RADIANS(Readings[[#This Row],[Reference Angle]]))+Readings[[#This Row],[Diff N]]*COS(RADIANS(Readings[[#This Row],[Reference Angle]])))),"-")</f>
        <v>5.0000000046566129E-3</v>
      </c>
      <c r="T1054" s="94">
        <f>IFERROR(VLOOKUP(Readings[[#This Row],[Sensor ID]],Table_Baseline[],COLUMNS(Table_Baseline[[#Headers],[Sensor ID]:[Reference Angle '[Deg']]]),FALSE),"-")</f>
        <v>0</v>
      </c>
      <c r="U1054" s="95" t="str">
        <f>Readings[[#This Row],[Sensor ID]]&amp;"-"&amp;Readings[[#This Row],[Epoch]]</f>
        <v>250-RL-OP-11019-45855.2916666667</v>
      </c>
      <c r="V1054" s="99">
        <f ca="1">IF(Readings[[#This Row],[Epoch]]=OFFSET(Readings[[#This Row],[Epoch]],-1,0),0,1)</f>
        <v>0</v>
      </c>
    </row>
    <row r="1055" spans="4:22" x14ac:dyDescent="0.2">
      <c r="D1055" s="32">
        <v>45855.291666666664</v>
      </c>
      <c r="E1055" s="33" t="s">
        <v>189</v>
      </c>
      <c r="F1055" s="34">
        <v>60060.639999999999</v>
      </c>
      <c r="G1055" s="34">
        <v>363837.32699999999</v>
      </c>
      <c r="H1055" s="34">
        <v>18.782</v>
      </c>
      <c r="I1055" s="33" t="s">
        <v>85</v>
      </c>
      <c r="J1055" s="33" t="s">
        <v>90</v>
      </c>
      <c r="K1055" s="33">
        <v>21</v>
      </c>
      <c r="L1055" s="33">
        <v>1013.8</v>
      </c>
      <c r="M1055" s="33">
        <v>33</v>
      </c>
      <c r="N1055" s="33"/>
      <c r="O1055" s="93">
        <f>IFERROR(IF(Readings[[#This Row],[Obs. X]]="","-",Readings[[#This Row],[Obs. X]]-_xlfn.XLOOKUP(Readings[[#This Row],[Sensor ID]],Table_Baseline[Sensor ID],Table_Baseline[Easting '[m']],"-")),"-")</f>
        <v>0</v>
      </c>
      <c r="P1055" s="93">
        <f>IFERROR(IF(Readings[[#This Row],[Obs. Y]]="","-",Readings[[#This Row],[Obs. Y]]-_xlfn.XLOOKUP(Readings[[#This Row],[Sensor ID]],Table_Baseline[Sensor ID],Table_Baseline[Northing '[m']],"-")),"-")</f>
        <v>5.0000000046566129E-3</v>
      </c>
      <c r="Q1055" s="93">
        <f>IFERROR(IF(Readings[[#This Row],[Obs. Z]]="","-",Readings[[#This Row],[Obs. Z]]-_xlfn.XLOOKUP(Readings[[#This Row],[Sensor ID]],Table_Baseline[Sensor ID],Table_Baseline[Level '[m']],"-")),"-")</f>
        <v>-1.5999999999998238E-3</v>
      </c>
      <c r="R1055" s="93">
        <f>IFERROR(IF(Readings[[#This Row],[Reference Angle]]="-","-",(Readings[[#This Row],[Diff E]]*COS(RADIANS(Readings[[#This Row],[Reference Angle]]))-Readings[[#This Row],[Diff N]]*SIN(RADIANS(Readings[[#This Row],[Reference Angle]])))),"-")</f>
        <v>0</v>
      </c>
      <c r="S1055" s="93">
        <f>IFERROR(IF(Readings[[#This Row],[Reference Angle]]="-","-",(Readings[[#This Row],[Diff E]]*SIN(RADIANS(Readings[[#This Row],[Reference Angle]]))+Readings[[#This Row],[Diff N]]*COS(RADIANS(Readings[[#This Row],[Reference Angle]])))),"-")</f>
        <v>5.0000000046566129E-3</v>
      </c>
      <c r="T1055" s="94">
        <f>IFERROR(VLOOKUP(Readings[[#This Row],[Sensor ID]],Table_Baseline[],COLUMNS(Table_Baseline[[#Headers],[Sensor ID]:[Reference Angle '[Deg']]]),FALSE),"-")</f>
        <v>0</v>
      </c>
      <c r="U1055" s="95" t="str">
        <f>Readings[[#This Row],[Sensor ID]]&amp;"-"&amp;Readings[[#This Row],[Epoch]]</f>
        <v>250-RL-OP-11020-45855.2916666667</v>
      </c>
      <c r="V1055" s="99">
        <f ca="1">IF(Readings[[#This Row],[Epoch]]=OFFSET(Readings[[#This Row],[Epoch]],-1,0),0,1)</f>
        <v>0</v>
      </c>
    </row>
    <row r="1056" spans="4:22" x14ac:dyDescent="0.2">
      <c r="D1056" s="32">
        <v>45855.291666666664</v>
      </c>
      <c r="E1056" s="33" t="s">
        <v>192</v>
      </c>
      <c r="F1056" s="34">
        <v>60063.75</v>
      </c>
      <c r="G1056" s="34">
        <v>363837.92200000002</v>
      </c>
      <c r="H1056" s="34">
        <v>18.808</v>
      </c>
      <c r="I1056" s="33" t="s">
        <v>85</v>
      </c>
      <c r="J1056" s="33" t="s">
        <v>90</v>
      </c>
      <c r="K1056" s="33">
        <v>21</v>
      </c>
      <c r="L1056" s="33">
        <v>1013.8</v>
      </c>
      <c r="M1056" s="33">
        <v>33</v>
      </c>
      <c r="N1056" s="33"/>
      <c r="O1056" s="93">
        <f>IFERROR(IF(Readings[[#This Row],[Obs. X]]="","-",Readings[[#This Row],[Obs. X]]-_xlfn.XLOOKUP(Readings[[#This Row],[Sensor ID]],Table_Baseline[Sensor ID],Table_Baseline[Easting '[m']],"-")),"-")</f>
        <v>-9.9999999656574801E-4</v>
      </c>
      <c r="P1056" s="93">
        <f>IFERROR(IF(Readings[[#This Row],[Obs. Y]]="","-",Readings[[#This Row],[Obs. Y]]-_xlfn.XLOOKUP(Readings[[#This Row],[Sensor ID]],Table_Baseline[Sensor ID],Table_Baseline[Northing '[m']],"-")),"-")</f>
        <v>4.0000000153668225E-3</v>
      </c>
      <c r="Q1056" s="93">
        <f>IFERROR(IF(Readings[[#This Row],[Obs. Z]]="","-",Readings[[#This Row],[Obs. Z]]-_xlfn.XLOOKUP(Readings[[#This Row],[Sensor ID]],Table_Baseline[Sensor ID],Table_Baseline[Level '[m']],"-")),"-")</f>
        <v>-1.0000000000012221E-3</v>
      </c>
      <c r="R1056" s="93">
        <f>IFERROR(IF(Readings[[#This Row],[Reference Angle]]="-","-",(Readings[[#This Row],[Diff E]]*COS(RADIANS(Readings[[#This Row],[Reference Angle]]))-Readings[[#This Row],[Diff N]]*SIN(RADIANS(Readings[[#This Row],[Reference Angle]])))),"-")</f>
        <v>-9.9999999656574801E-4</v>
      </c>
      <c r="S1056" s="93">
        <f>IFERROR(IF(Readings[[#This Row],[Reference Angle]]="-","-",(Readings[[#This Row],[Diff E]]*SIN(RADIANS(Readings[[#This Row],[Reference Angle]]))+Readings[[#This Row],[Diff N]]*COS(RADIANS(Readings[[#This Row],[Reference Angle]])))),"-")</f>
        <v>4.0000000153668225E-3</v>
      </c>
      <c r="T1056" s="94">
        <f>IFERROR(VLOOKUP(Readings[[#This Row],[Sensor ID]],Table_Baseline[],COLUMNS(Table_Baseline[[#Headers],[Sensor ID]:[Reference Angle '[Deg']]]),FALSE),"-")</f>
        <v>0</v>
      </c>
      <c r="U1056" s="95" t="str">
        <f>Readings[[#This Row],[Sensor ID]]&amp;"-"&amp;Readings[[#This Row],[Epoch]]</f>
        <v>250-RL-OP-11021-45855.2916666667</v>
      </c>
      <c r="V1056" s="99">
        <f ca="1">IF(Readings[[#This Row],[Epoch]]=OFFSET(Readings[[#This Row],[Epoch]],-1,0),0,1)</f>
        <v>0</v>
      </c>
    </row>
    <row r="1057" spans="4:22" x14ac:dyDescent="0.2">
      <c r="D1057" s="32">
        <v>45855.291666666664</v>
      </c>
      <c r="E1057" s="33" t="s">
        <v>191</v>
      </c>
      <c r="F1057" s="34">
        <v>60063.421000000002</v>
      </c>
      <c r="G1057" s="34">
        <v>363836.641</v>
      </c>
      <c r="H1057" s="34">
        <v>18.792999999999999</v>
      </c>
      <c r="I1057" s="33" t="s">
        <v>85</v>
      </c>
      <c r="J1057" s="33" t="s">
        <v>90</v>
      </c>
      <c r="K1057" s="33">
        <v>21</v>
      </c>
      <c r="L1057" s="33">
        <v>1013.8</v>
      </c>
      <c r="M1057" s="33">
        <v>33</v>
      </c>
      <c r="N1057" s="33"/>
      <c r="O1057" s="93">
        <f>IFERROR(IF(Readings[[#This Row],[Obs. X]]="","-",Readings[[#This Row],[Obs. X]]-_xlfn.XLOOKUP(Readings[[#This Row],[Sensor ID]],Table_Baseline[Sensor ID],Table_Baseline[Easting '[m']],"-")),"-")</f>
        <v>-9.9999999656574801E-4</v>
      </c>
      <c r="P1057" s="93">
        <f>IFERROR(IF(Readings[[#This Row],[Obs. Y]]="","-",Readings[[#This Row],[Obs. Y]]-_xlfn.XLOOKUP(Readings[[#This Row],[Sensor ID]],Table_Baseline[Sensor ID],Table_Baseline[Northing '[m']],"-")),"-")</f>
        <v>5.0000000046566129E-3</v>
      </c>
      <c r="Q1057" s="93">
        <f>IFERROR(IF(Readings[[#This Row],[Obs. Z]]="","-",Readings[[#This Row],[Obs. Z]]-_xlfn.XLOOKUP(Readings[[#This Row],[Sensor ID]],Table_Baseline[Sensor ID],Table_Baseline[Level '[m']],"-")),"-")</f>
        <v>-1.8999999999991246E-3</v>
      </c>
      <c r="R1057" s="93">
        <f>IFERROR(IF(Readings[[#This Row],[Reference Angle]]="-","-",(Readings[[#This Row],[Diff E]]*COS(RADIANS(Readings[[#This Row],[Reference Angle]]))-Readings[[#This Row],[Diff N]]*SIN(RADIANS(Readings[[#This Row],[Reference Angle]])))),"-")</f>
        <v>-9.9999999656574801E-4</v>
      </c>
      <c r="S1057" s="93">
        <f>IFERROR(IF(Readings[[#This Row],[Reference Angle]]="-","-",(Readings[[#This Row],[Diff E]]*SIN(RADIANS(Readings[[#This Row],[Reference Angle]]))+Readings[[#This Row],[Diff N]]*COS(RADIANS(Readings[[#This Row],[Reference Angle]])))),"-")</f>
        <v>5.0000000046566129E-3</v>
      </c>
      <c r="T1057" s="94">
        <f>IFERROR(VLOOKUP(Readings[[#This Row],[Sensor ID]],Table_Baseline[],COLUMNS(Table_Baseline[[#Headers],[Sensor ID]:[Reference Angle '[Deg']]]),FALSE),"-")</f>
        <v>0</v>
      </c>
      <c r="U1057" s="95" t="str">
        <f>Readings[[#This Row],[Sensor ID]]&amp;"-"&amp;Readings[[#This Row],[Epoch]]</f>
        <v>250-RL-OP-11022-45855.2916666667</v>
      </c>
      <c r="V1057" s="99">
        <f ca="1">IF(Readings[[#This Row],[Epoch]]=OFFSET(Readings[[#This Row],[Epoch]],-1,0),0,1)</f>
        <v>0</v>
      </c>
    </row>
    <row r="1058" spans="4:22" x14ac:dyDescent="0.2">
      <c r="D1058" s="32">
        <v>45855.291666666664</v>
      </c>
      <c r="E1058" s="33" t="s">
        <v>165</v>
      </c>
      <c r="F1058" s="34">
        <v>60034.538999999997</v>
      </c>
      <c r="G1058" s="34">
        <v>363843.38099999999</v>
      </c>
      <c r="H1058" s="34">
        <v>19.331</v>
      </c>
      <c r="I1058" s="33" t="s">
        <v>85</v>
      </c>
      <c r="J1058" s="33" t="s">
        <v>90</v>
      </c>
      <c r="K1058" s="33">
        <v>21</v>
      </c>
      <c r="L1058" s="33">
        <v>1013.8</v>
      </c>
      <c r="M1058" s="33">
        <v>33</v>
      </c>
      <c r="N1058" s="33"/>
      <c r="O1058" s="93" t="str">
        <f>IFERROR(IF(Readings[[#This Row],[Obs. X]]="","-",Readings[[#This Row],[Obs. X]]-_xlfn.XLOOKUP(Readings[[#This Row],[Sensor ID]],Table_Baseline[Sensor ID],Table_Baseline[Easting '[m']],"-")),"-")</f>
        <v>-</v>
      </c>
      <c r="P1058" s="93" t="str">
        <f>IFERROR(IF(Readings[[#This Row],[Obs. Y]]="","-",Readings[[#This Row],[Obs. Y]]-_xlfn.XLOOKUP(Readings[[#This Row],[Sensor ID]],Table_Baseline[Sensor ID],Table_Baseline[Northing '[m']],"-")),"-")</f>
        <v>-</v>
      </c>
      <c r="Q1058" s="93" t="str">
        <f>IFERROR(IF(Readings[[#This Row],[Obs. Z]]="","-",Readings[[#This Row],[Obs. Z]]-_xlfn.XLOOKUP(Readings[[#This Row],[Sensor ID]],Table_Baseline[Sensor ID],Table_Baseline[Level '[m']],"-")),"-")</f>
        <v>-</v>
      </c>
      <c r="R1058" s="93" t="str">
        <f>IFERROR(IF(Readings[[#This Row],[Reference Angle]]="-","-",(Readings[[#This Row],[Diff E]]*COS(RADIANS(Readings[[#This Row],[Reference Angle]]))-Readings[[#This Row],[Diff N]]*SIN(RADIANS(Readings[[#This Row],[Reference Angle]])))),"-")</f>
        <v>-</v>
      </c>
      <c r="S1058" s="93" t="str">
        <f>IFERROR(IF(Readings[[#This Row],[Reference Angle]]="-","-",(Readings[[#This Row],[Diff E]]*SIN(RADIANS(Readings[[#This Row],[Reference Angle]]))+Readings[[#This Row],[Diff N]]*COS(RADIANS(Readings[[#This Row],[Reference Angle]])))),"-")</f>
        <v>-</v>
      </c>
      <c r="T1058" s="94" t="str">
        <f>IFERROR(VLOOKUP(Readings[[#This Row],[Sensor ID]],Table_Baseline[],COLUMNS(Table_Baseline[[#Headers],[Sensor ID]:[Reference Angle '[Deg']]]),FALSE),"-")</f>
        <v>-</v>
      </c>
      <c r="U1058" s="95" t="str">
        <f>Readings[[#This Row],[Sensor ID]]&amp;"-"&amp;Readings[[#This Row],[Epoch]]</f>
        <v>250-ST-OP-500-45855.2916666667</v>
      </c>
      <c r="V1058" s="99">
        <f ca="1">IF(Readings[[#This Row],[Epoch]]=OFFSET(Readings[[#This Row],[Epoch]],-1,0),0,1)</f>
        <v>0</v>
      </c>
    </row>
    <row r="1059" spans="4:22" x14ac:dyDescent="0.2">
      <c r="D1059" s="32">
        <v>45855.291666666664</v>
      </c>
      <c r="E1059" s="33" t="s">
        <v>166</v>
      </c>
      <c r="F1059" s="34">
        <v>60040.286999999997</v>
      </c>
      <c r="G1059" s="34">
        <v>363841.73</v>
      </c>
      <c r="H1059" s="34">
        <v>19.321999999999999</v>
      </c>
      <c r="I1059" s="33" t="s">
        <v>85</v>
      </c>
      <c r="J1059" s="33" t="s">
        <v>90</v>
      </c>
      <c r="K1059" s="33">
        <v>21</v>
      </c>
      <c r="L1059" s="33">
        <v>1013.8</v>
      </c>
      <c r="M1059" s="33">
        <v>33</v>
      </c>
      <c r="N1059" s="33"/>
      <c r="O1059" s="93" t="str">
        <f>IFERROR(IF(Readings[[#This Row],[Obs. X]]="","-",Readings[[#This Row],[Obs. X]]-_xlfn.XLOOKUP(Readings[[#This Row],[Sensor ID]],Table_Baseline[Sensor ID],Table_Baseline[Easting '[m']],"-")),"-")</f>
        <v>-</v>
      </c>
      <c r="P1059" s="93" t="str">
        <f>IFERROR(IF(Readings[[#This Row],[Obs. Y]]="","-",Readings[[#This Row],[Obs. Y]]-_xlfn.XLOOKUP(Readings[[#This Row],[Sensor ID]],Table_Baseline[Sensor ID],Table_Baseline[Northing '[m']],"-")),"-")</f>
        <v>-</v>
      </c>
      <c r="Q1059" s="93" t="str">
        <f>IFERROR(IF(Readings[[#This Row],[Obs. Z]]="","-",Readings[[#This Row],[Obs. Z]]-_xlfn.XLOOKUP(Readings[[#This Row],[Sensor ID]],Table_Baseline[Sensor ID],Table_Baseline[Level '[m']],"-")),"-")</f>
        <v>-</v>
      </c>
      <c r="R1059" s="93" t="str">
        <f>IFERROR(IF(Readings[[#This Row],[Reference Angle]]="-","-",(Readings[[#This Row],[Diff E]]*COS(RADIANS(Readings[[#This Row],[Reference Angle]]))-Readings[[#This Row],[Diff N]]*SIN(RADIANS(Readings[[#This Row],[Reference Angle]])))),"-")</f>
        <v>-</v>
      </c>
      <c r="S1059" s="93" t="str">
        <f>IFERROR(IF(Readings[[#This Row],[Reference Angle]]="-","-",(Readings[[#This Row],[Diff E]]*SIN(RADIANS(Readings[[#This Row],[Reference Angle]]))+Readings[[#This Row],[Diff N]]*COS(RADIANS(Readings[[#This Row],[Reference Angle]])))),"-")</f>
        <v>-</v>
      </c>
      <c r="T1059" s="94" t="str">
        <f>IFERROR(VLOOKUP(Readings[[#This Row],[Sensor ID]],Table_Baseline[],COLUMNS(Table_Baseline[[#Headers],[Sensor ID]:[Reference Angle '[Deg']]]),FALSE),"-")</f>
        <v>-</v>
      </c>
      <c r="U1059" s="95" t="str">
        <f>Readings[[#This Row],[Sensor ID]]&amp;"-"&amp;Readings[[#This Row],[Epoch]]</f>
        <v>250-ST-OP-501-45855.2916666667</v>
      </c>
      <c r="V1059" s="99">
        <f ca="1">IF(Readings[[#This Row],[Epoch]]=OFFSET(Readings[[#This Row],[Epoch]],-1,0),0,1)</f>
        <v>0</v>
      </c>
    </row>
    <row r="1060" spans="4:22" x14ac:dyDescent="0.2">
      <c r="D1060" s="32">
        <v>45855.291666666664</v>
      </c>
      <c r="E1060" s="33" t="s">
        <v>167</v>
      </c>
      <c r="F1060" s="34">
        <v>60045.921999999999</v>
      </c>
      <c r="G1060" s="34">
        <v>363840.10100000002</v>
      </c>
      <c r="H1060" s="34">
        <v>19.334</v>
      </c>
      <c r="I1060" s="33" t="s">
        <v>85</v>
      </c>
      <c r="J1060" s="33" t="s">
        <v>90</v>
      </c>
      <c r="K1060" s="33">
        <v>21</v>
      </c>
      <c r="L1060" s="33">
        <v>1013.8</v>
      </c>
      <c r="M1060" s="33">
        <v>33</v>
      </c>
      <c r="N1060" s="33"/>
      <c r="O1060" s="93" t="str">
        <f>IFERROR(IF(Readings[[#This Row],[Obs. X]]="","-",Readings[[#This Row],[Obs. X]]-_xlfn.XLOOKUP(Readings[[#This Row],[Sensor ID]],Table_Baseline[Sensor ID],Table_Baseline[Easting '[m']],"-")),"-")</f>
        <v>-</v>
      </c>
      <c r="P1060" s="93" t="str">
        <f>IFERROR(IF(Readings[[#This Row],[Obs. Y]]="","-",Readings[[#This Row],[Obs. Y]]-_xlfn.XLOOKUP(Readings[[#This Row],[Sensor ID]],Table_Baseline[Sensor ID],Table_Baseline[Northing '[m']],"-")),"-")</f>
        <v>-</v>
      </c>
      <c r="Q1060" s="93" t="str">
        <f>IFERROR(IF(Readings[[#This Row],[Obs. Z]]="","-",Readings[[#This Row],[Obs. Z]]-_xlfn.XLOOKUP(Readings[[#This Row],[Sensor ID]],Table_Baseline[Sensor ID],Table_Baseline[Level '[m']],"-")),"-")</f>
        <v>-</v>
      </c>
      <c r="R1060" s="93" t="str">
        <f>IFERROR(IF(Readings[[#This Row],[Reference Angle]]="-","-",(Readings[[#This Row],[Diff E]]*COS(RADIANS(Readings[[#This Row],[Reference Angle]]))-Readings[[#This Row],[Diff N]]*SIN(RADIANS(Readings[[#This Row],[Reference Angle]])))),"-")</f>
        <v>-</v>
      </c>
      <c r="S1060" s="93" t="str">
        <f>IFERROR(IF(Readings[[#This Row],[Reference Angle]]="-","-",(Readings[[#This Row],[Diff E]]*SIN(RADIANS(Readings[[#This Row],[Reference Angle]]))+Readings[[#This Row],[Diff N]]*COS(RADIANS(Readings[[#This Row],[Reference Angle]])))),"-")</f>
        <v>-</v>
      </c>
      <c r="T1060" s="94" t="str">
        <f>IFERROR(VLOOKUP(Readings[[#This Row],[Sensor ID]],Table_Baseline[],COLUMNS(Table_Baseline[[#Headers],[Sensor ID]:[Reference Angle '[Deg']]]),FALSE),"-")</f>
        <v>-</v>
      </c>
      <c r="U1060" s="95" t="str">
        <f>Readings[[#This Row],[Sensor ID]]&amp;"-"&amp;Readings[[#This Row],[Epoch]]</f>
        <v>250-ST-OP-502-45855.2916666667</v>
      </c>
      <c r="V1060" s="99">
        <f ca="1">IF(Readings[[#This Row],[Epoch]]=OFFSET(Readings[[#This Row],[Epoch]],-1,0),0,1)</f>
        <v>0</v>
      </c>
    </row>
    <row r="1061" spans="4:22" x14ac:dyDescent="0.2">
      <c r="D1061" s="32">
        <v>45855.291666666664</v>
      </c>
      <c r="E1061" s="33" t="s">
        <v>168</v>
      </c>
      <c r="F1061" s="34">
        <v>60049.767999999996</v>
      </c>
      <c r="G1061" s="34">
        <v>363838.995</v>
      </c>
      <c r="H1061" s="34">
        <v>19.344999999999999</v>
      </c>
      <c r="I1061" s="33" t="s">
        <v>85</v>
      </c>
      <c r="J1061" s="33" t="s">
        <v>90</v>
      </c>
      <c r="K1061" s="33">
        <v>21</v>
      </c>
      <c r="L1061" s="33">
        <v>1013.8</v>
      </c>
      <c r="M1061" s="33">
        <v>33</v>
      </c>
      <c r="N1061" s="33"/>
      <c r="O1061" s="93" t="str">
        <f>IFERROR(IF(Readings[[#This Row],[Obs. X]]="","-",Readings[[#This Row],[Obs. X]]-_xlfn.XLOOKUP(Readings[[#This Row],[Sensor ID]],Table_Baseline[Sensor ID],Table_Baseline[Easting '[m']],"-")),"-")</f>
        <v>-</v>
      </c>
      <c r="P1061" s="93" t="str">
        <f>IFERROR(IF(Readings[[#This Row],[Obs. Y]]="","-",Readings[[#This Row],[Obs. Y]]-_xlfn.XLOOKUP(Readings[[#This Row],[Sensor ID]],Table_Baseline[Sensor ID],Table_Baseline[Northing '[m']],"-")),"-")</f>
        <v>-</v>
      </c>
      <c r="Q1061" s="93" t="str">
        <f>IFERROR(IF(Readings[[#This Row],[Obs. Z]]="","-",Readings[[#This Row],[Obs. Z]]-_xlfn.XLOOKUP(Readings[[#This Row],[Sensor ID]],Table_Baseline[Sensor ID],Table_Baseline[Level '[m']],"-")),"-")</f>
        <v>-</v>
      </c>
      <c r="R1061" s="93" t="str">
        <f>IFERROR(IF(Readings[[#This Row],[Reference Angle]]="-","-",(Readings[[#This Row],[Diff E]]*COS(RADIANS(Readings[[#This Row],[Reference Angle]]))-Readings[[#This Row],[Diff N]]*SIN(RADIANS(Readings[[#This Row],[Reference Angle]])))),"-")</f>
        <v>-</v>
      </c>
      <c r="S1061" s="93" t="str">
        <f>IFERROR(IF(Readings[[#This Row],[Reference Angle]]="-","-",(Readings[[#This Row],[Diff E]]*SIN(RADIANS(Readings[[#This Row],[Reference Angle]]))+Readings[[#This Row],[Diff N]]*COS(RADIANS(Readings[[#This Row],[Reference Angle]])))),"-")</f>
        <v>-</v>
      </c>
      <c r="T1061" s="94" t="str">
        <f>IFERROR(VLOOKUP(Readings[[#This Row],[Sensor ID]],Table_Baseline[],COLUMNS(Table_Baseline[[#Headers],[Sensor ID]:[Reference Angle '[Deg']]]),FALSE),"-")</f>
        <v>-</v>
      </c>
      <c r="U1061" s="95" t="str">
        <f>Readings[[#This Row],[Sensor ID]]&amp;"-"&amp;Readings[[#This Row],[Epoch]]</f>
        <v>250-ST-OP-503-45855.2916666667</v>
      </c>
      <c r="V1061" s="99">
        <f ca="1">IF(Readings[[#This Row],[Epoch]]=OFFSET(Readings[[#This Row],[Epoch]],-1,0),0,1)</f>
        <v>0</v>
      </c>
    </row>
    <row r="1062" spans="4:22" x14ac:dyDescent="0.2">
      <c r="D1062" s="32">
        <v>45855.291666666664</v>
      </c>
      <c r="E1062" s="33" t="s">
        <v>169</v>
      </c>
      <c r="F1062" s="34">
        <v>60053.608999999997</v>
      </c>
      <c r="G1062" s="34">
        <v>363837.88399999996</v>
      </c>
      <c r="H1062" s="34">
        <v>19.356000000000002</v>
      </c>
      <c r="I1062" s="33" t="s">
        <v>85</v>
      </c>
      <c r="J1062" s="33" t="s">
        <v>90</v>
      </c>
      <c r="K1062" s="33">
        <v>21</v>
      </c>
      <c r="L1062" s="33">
        <v>1013.8</v>
      </c>
      <c r="M1062" s="33">
        <v>33</v>
      </c>
      <c r="N1062" s="33"/>
      <c r="O1062" s="93" t="str">
        <f>IFERROR(IF(Readings[[#This Row],[Obs. X]]="","-",Readings[[#This Row],[Obs. X]]-_xlfn.XLOOKUP(Readings[[#This Row],[Sensor ID]],Table_Baseline[Sensor ID],Table_Baseline[Easting '[m']],"-")),"-")</f>
        <v>-</v>
      </c>
      <c r="P1062" s="93" t="str">
        <f>IFERROR(IF(Readings[[#This Row],[Obs. Y]]="","-",Readings[[#This Row],[Obs. Y]]-_xlfn.XLOOKUP(Readings[[#This Row],[Sensor ID]],Table_Baseline[Sensor ID],Table_Baseline[Northing '[m']],"-")),"-")</f>
        <v>-</v>
      </c>
      <c r="Q1062" s="93" t="str">
        <f>IFERROR(IF(Readings[[#This Row],[Obs. Z]]="","-",Readings[[#This Row],[Obs. Z]]-_xlfn.XLOOKUP(Readings[[#This Row],[Sensor ID]],Table_Baseline[Sensor ID],Table_Baseline[Level '[m']],"-")),"-")</f>
        <v>-</v>
      </c>
      <c r="R1062" s="93" t="str">
        <f>IFERROR(IF(Readings[[#This Row],[Reference Angle]]="-","-",(Readings[[#This Row],[Diff E]]*COS(RADIANS(Readings[[#This Row],[Reference Angle]]))-Readings[[#This Row],[Diff N]]*SIN(RADIANS(Readings[[#This Row],[Reference Angle]])))),"-")</f>
        <v>-</v>
      </c>
      <c r="S1062" s="93" t="str">
        <f>IFERROR(IF(Readings[[#This Row],[Reference Angle]]="-","-",(Readings[[#This Row],[Diff E]]*SIN(RADIANS(Readings[[#This Row],[Reference Angle]]))+Readings[[#This Row],[Diff N]]*COS(RADIANS(Readings[[#This Row],[Reference Angle]])))),"-")</f>
        <v>-</v>
      </c>
      <c r="T1062" s="94" t="str">
        <f>IFERROR(VLOOKUP(Readings[[#This Row],[Sensor ID]],Table_Baseline[],COLUMNS(Table_Baseline[[#Headers],[Sensor ID]:[Reference Angle '[Deg']]]),FALSE),"-")</f>
        <v>-</v>
      </c>
      <c r="U1062" s="95" t="str">
        <f>Readings[[#This Row],[Sensor ID]]&amp;"-"&amp;Readings[[#This Row],[Epoch]]</f>
        <v>250-ST-OP-504-45855.2916666667</v>
      </c>
      <c r="V1062" s="99">
        <f ca="1">IF(Readings[[#This Row],[Epoch]]=OFFSET(Readings[[#This Row],[Epoch]],-1,0),0,1)</f>
        <v>0</v>
      </c>
    </row>
    <row r="1063" spans="4:22" x14ac:dyDescent="0.2">
      <c r="D1063" s="204">
        <v>45855.291666666664</v>
      </c>
      <c r="E1063" s="151" t="s">
        <v>170</v>
      </c>
      <c r="F1063" s="152">
        <v>60060.065000000002</v>
      </c>
      <c r="G1063" s="152">
        <v>363836.02500000002</v>
      </c>
      <c r="H1063" s="152">
        <v>19.356000000000002</v>
      </c>
      <c r="I1063" s="151" t="s">
        <v>85</v>
      </c>
      <c r="J1063" s="151" t="s">
        <v>90</v>
      </c>
      <c r="K1063" s="151">
        <v>21</v>
      </c>
      <c r="L1063" s="151">
        <v>1013.8</v>
      </c>
      <c r="M1063" s="151">
        <v>33</v>
      </c>
      <c r="N1063" s="151"/>
      <c r="O1063" s="96" t="str">
        <f>IFERROR(IF(Readings[[#This Row],[Obs. X]]="","-",Readings[[#This Row],[Obs. X]]-_xlfn.XLOOKUP(Readings[[#This Row],[Sensor ID]],Table_Baseline[Sensor ID],Table_Baseline[Easting '[m']],"-")),"-")</f>
        <v>-</v>
      </c>
      <c r="P1063" s="96" t="str">
        <f>IFERROR(IF(Readings[[#This Row],[Obs. Y]]="","-",Readings[[#This Row],[Obs. Y]]-_xlfn.XLOOKUP(Readings[[#This Row],[Sensor ID]],Table_Baseline[Sensor ID],Table_Baseline[Northing '[m']],"-")),"-")</f>
        <v>-</v>
      </c>
      <c r="Q1063" s="96" t="str">
        <f>IFERROR(IF(Readings[[#This Row],[Obs. Z]]="","-",Readings[[#This Row],[Obs. Z]]-_xlfn.XLOOKUP(Readings[[#This Row],[Sensor ID]],Table_Baseline[Sensor ID],Table_Baseline[Level '[m']],"-")),"-")</f>
        <v>-</v>
      </c>
      <c r="R1063" s="96" t="str">
        <f>IFERROR(IF(Readings[[#This Row],[Reference Angle]]="-","-",(Readings[[#This Row],[Diff E]]*COS(RADIANS(Readings[[#This Row],[Reference Angle]]))-Readings[[#This Row],[Diff N]]*SIN(RADIANS(Readings[[#This Row],[Reference Angle]])))),"-")</f>
        <v>-</v>
      </c>
      <c r="S1063" s="96" t="str">
        <f>IFERROR(IF(Readings[[#This Row],[Reference Angle]]="-","-",(Readings[[#This Row],[Diff E]]*SIN(RADIANS(Readings[[#This Row],[Reference Angle]]))+Readings[[#This Row],[Diff N]]*COS(RADIANS(Readings[[#This Row],[Reference Angle]])))),"-")</f>
        <v>-</v>
      </c>
      <c r="T1063" s="97" t="str">
        <f>IFERROR(VLOOKUP(Readings[[#This Row],[Sensor ID]],Table_Baseline[],COLUMNS(Table_Baseline[[#Headers],[Sensor ID]:[Reference Angle '[Deg']]]),FALSE),"-")</f>
        <v>-</v>
      </c>
      <c r="U1063" s="98" t="str">
        <f>Readings[[#This Row],[Sensor ID]]&amp;"-"&amp;Readings[[#This Row],[Epoch]]</f>
        <v>250-ST-OP-505-45855.2916666667</v>
      </c>
      <c r="V1063" s="100">
        <f ca="1">IF(Readings[[#This Row],[Epoch]]=OFFSET(Readings[[#This Row],[Epoch]],-1,0),0,1)</f>
        <v>0</v>
      </c>
    </row>
    <row r="1064" spans="4:22" x14ac:dyDescent="0.2">
      <c r="D1064" s="32">
        <v>45859.270833333336</v>
      </c>
      <c r="E1064" s="33" t="s">
        <v>172</v>
      </c>
      <c r="F1064" s="34">
        <v>60035.339</v>
      </c>
      <c r="G1064" s="34">
        <v>363845.73800000001</v>
      </c>
      <c r="H1064" s="34">
        <v>18.782</v>
      </c>
      <c r="I1064" s="33" t="s">
        <v>85</v>
      </c>
      <c r="J1064" s="33" t="s">
        <v>90</v>
      </c>
      <c r="K1064" s="33">
        <v>11.7</v>
      </c>
      <c r="L1064" s="33">
        <v>1019.2</v>
      </c>
      <c r="M1064" s="33">
        <v>90</v>
      </c>
      <c r="N1064" s="33"/>
      <c r="O1064" s="93">
        <f>IFERROR(IF(Readings[[#This Row],[Obs. X]]="","-",Readings[[#This Row],[Obs. X]]-_xlfn.XLOOKUP(Readings[[#This Row],[Sensor ID]],Table_Baseline[Sensor ID],Table_Baseline[Easting '[m']],"-")),"-")</f>
        <v>-9.9999999656574801E-4</v>
      </c>
      <c r="P1064" s="93">
        <f>IFERROR(IF(Readings[[#This Row],[Obs. Y]]="","-",Readings[[#This Row],[Obs. Y]]-_xlfn.XLOOKUP(Readings[[#This Row],[Sensor ID]],Table_Baseline[Sensor ID],Table_Baseline[Northing '[m']],"-")),"-")</f>
        <v>-9.9999998928979039E-4</v>
      </c>
      <c r="Q1064" s="93">
        <f>IFERROR(IF(Readings[[#This Row],[Obs. Z]]="","-",Readings[[#This Row],[Obs. Z]]-_xlfn.XLOOKUP(Readings[[#This Row],[Sensor ID]],Table_Baseline[Sensor ID],Table_Baseline[Level '[m']],"-")),"-")</f>
        <v>0</v>
      </c>
      <c r="R1064" s="93">
        <f>IFERROR(IF(Readings[[#This Row],[Reference Angle]]="-","-",(Readings[[#This Row],[Diff E]]*COS(RADIANS(Readings[[#This Row],[Reference Angle]]))-Readings[[#This Row],[Diff N]]*SIN(RADIANS(Readings[[#This Row],[Reference Angle]])))),"-")</f>
        <v>-9.9999999656574801E-4</v>
      </c>
      <c r="S1064" s="93">
        <f>IFERROR(IF(Readings[[#This Row],[Reference Angle]]="-","-",(Readings[[#This Row],[Diff E]]*SIN(RADIANS(Readings[[#This Row],[Reference Angle]]))+Readings[[#This Row],[Diff N]]*COS(RADIANS(Readings[[#This Row],[Reference Angle]])))),"-")</f>
        <v>-9.9999998928979039E-4</v>
      </c>
      <c r="T1064" s="94">
        <f>IFERROR(VLOOKUP(Readings[[#This Row],[Sensor ID]],Table_Baseline[],COLUMNS(Table_Baseline[[#Headers],[Sensor ID]:[Reference Angle '[Deg']]]),FALSE),"-")</f>
        <v>0</v>
      </c>
      <c r="U1064" s="95" t="str">
        <f>Readings[[#This Row],[Sensor ID]]&amp;"-"&amp;Readings[[#This Row],[Epoch]]</f>
        <v>250-RL-OP-11001-45859.2708333333</v>
      </c>
      <c r="V1064" s="99">
        <f ca="1">IF(Readings[[#This Row],[Epoch]]=OFFSET(Readings[[#This Row],[Epoch]],-1,0),0,1)</f>
        <v>1</v>
      </c>
    </row>
    <row r="1065" spans="4:22" x14ac:dyDescent="0.2">
      <c r="D1065" s="32">
        <v>45859.270833333336</v>
      </c>
      <c r="E1065" s="33" t="s">
        <v>171</v>
      </c>
      <c r="F1065" s="34">
        <v>60034.957999999999</v>
      </c>
      <c r="G1065" s="34">
        <v>363844.47</v>
      </c>
      <c r="H1065" s="34">
        <v>18.777999999999999</v>
      </c>
      <c r="I1065" s="33" t="s">
        <v>85</v>
      </c>
      <c r="J1065" s="33" t="s">
        <v>90</v>
      </c>
      <c r="K1065" s="33">
        <v>11.7</v>
      </c>
      <c r="L1065" s="33">
        <v>1019.2</v>
      </c>
      <c r="M1065" s="33">
        <v>90</v>
      </c>
      <c r="N1065" s="33"/>
      <c r="O1065" s="93">
        <f>IFERROR(IF(Readings[[#This Row],[Obs. X]]="","-",Readings[[#This Row],[Obs. X]]-_xlfn.XLOOKUP(Readings[[#This Row],[Sensor ID]],Table_Baseline[Sensor ID],Table_Baseline[Easting '[m']],"-")),"-")</f>
        <v>-1.0000000038417056E-3</v>
      </c>
      <c r="P1065" s="93">
        <f>IFERROR(IF(Readings[[#This Row],[Obs. Y]]="","-",Readings[[#This Row],[Obs. Y]]-_xlfn.XLOOKUP(Readings[[#This Row],[Sensor ID]],Table_Baseline[Sensor ID],Table_Baseline[Northing '[m']],"-")),"-")</f>
        <v>-1.0000000474974513E-3</v>
      </c>
      <c r="Q1065" s="93">
        <f>IFERROR(IF(Readings[[#This Row],[Obs. Z]]="","-",Readings[[#This Row],[Obs. Z]]-_xlfn.XLOOKUP(Readings[[#This Row],[Sensor ID]],Table_Baseline[Sensor ID],Table_Baseline[Level '[m']],"-")),"-")</f>
        <v>-9.9999999999766942E-5</v>
      </c>
      <c r="R1065" s="93">
        <f>IFERROR(IF(Readings[[#This Row],[Reference Angle]]="-","-",(Readings[[#This Row],[Diff E]]*COS(RADIANS(Readings[[#This Row],[Reference Angle]]))-Readings[[#This Row],[Diff N]]*SIN(RADIANS(Readings[[#This Row],[Reference Angle]])))),"-")</f>
        <v>-1.0000000038417056E-3</v>
      </c>
      <c r="S1065" s="93">
        <f>IFERROR(IF(Readings[[#This Row],[Reference Angle]]="-","-",(Readings[[#This Row],[Diff E]]*SIN(RADIANS(Readings[[#This Row],[Reference Angle]]))+Readings[[#This Row],[Diff N]]*COS(RADIANS(Readings[[#This Row],[Reference Angle]])))),"-")</f>
        <v>-1.0000000474974513E-3</v>
      </c>
      <c r="T1065" s="94">
        <f>IFERROR(VLOOKUP(Readings[[#This Row],[Sensor ID]],Table_Baseline[],COLUMNS(Table_Baseline[[#Headers],[Sensor ID]:[Reference Angle '[Deg']]]),FALSE),"-")</f>
        <v>0</v>
      </c>
      <c r="U1065" s="95" t="str">
        <f>Readings[[#This Row],[Sensor ID]]&amp;"-"&amp;Readings[[#This Row],[Epoch]]</f>
        <v>250-RL-OP-11002-45859.2708333333</v>
      </c>
      <c r="V1065" s="99">
        <f ca="1">IF(Readings[[#This Row],[Epoch]]=OFFSET(Readings[[#This Row],[Epoch]],-1,0),0,1)</f>
        <v>0</v>
      </c>
    </row>
    <row r="1066" spans="4:22" x14ac:dyDescent="0.2">
      <c r="D1066" s="32">
        <v>45859.270833333336</v>
      </c>
      <c r="E1066" s="33" t="s">
        <v>174</v>
      </c>
      <c r="F1066" s="34">
        <v>60038.116999999998</v>
      </c>
      <c r="G1066" s="34">
        <v>363844.94500000001</v>
      </c>
      <c r="H1066" s="34">
        <v>18.777999999999999</v>
      </c>
      <c r="I1066" s="33" t="s">
        <v>85</v>
      </c>
      <c r="J1066" s="33" t="s">
        <v>90</v>
      </c>
      <c r="K1066" s="33">
        <v>11.7</v>
      </c>
      <c r="L1066" s="33">
        <v>1019.2</v>
      </c>
      <c r="M1066" s="33">
        <v>90</v>
      </c>
      <c r="N1066" s="33"/>
      <c r="O1066" s="93">
        <f>IFERROR(IF(Readings[[#This Row],[Obs. X]]="","-",Readings[[#This Row],[Obs. X]]-_xlfn.XLOOKUP(Readings[[#This Row],[Sensor ID]],Table_Baseline[Sensor ID],Table_Baseline[Easting '[m']],"-")),"-")</f>
        <v>-1.0000000038417056E-3</v>
      </c>
      <c r="P1066" s="93">
        <f>IFERROR(IF(Readings[[#This Row],[Obs. Y]]="","-",Readings[[#This Row],[Obs. Y]]-_xlfn.XLOOKUP(Readings[[#This Row],[Sensor ID]],Table_Baseline[Sensor ID],Table_Baseline[Northing '[m']],"-")),"-")</f>
        <v>0</v>
      </c>
      <c r="Q1066" s="93">
        <f>IFERROR(IF(Readings[[#This Row],[Obs. Z]]="","-",Readings[[#This Row],[Obs. Z]]-_xlfn.XLOOKUP(Readings[[#This Row],[Sensor ID]],Table_Baseline[Sensor ID],Table_Baseline[Level '[m']],"-")),"-")</f>
        <v>-8.0000000000168825E-4</v>
      </c>
      <c r="R1066" s="93">
        <f>IFERROR(IF(Readings[[#This Row],[Reference Angle]]="-","-",(Readings[[#This Row],[Diff E]]*COS(RADIANS(Readings[[#This Row],[Reference Angle]]))-Readings[[#This Row],[Diff N]]*SIN(RADIANS(Readings[[#This Row],[Reference Angle]])))),"-")</f>
        <v>-1.0000000038417056E-3</v>
      </c>
      <c r="S1066" s="93">
        <f>IFERROR(IF(Readings[[#This Row],[Reference Angle]]="-","-",(Readings[[#This Row],[Diff E]]*SIN(RADIANS(Readings[[#This Row],[Reference Angle]]))+Readings[[#This Row],[Diff N]]*COS(RADIANS(Readings[[#This Row],[Reference Angle]])))),"-")</f>
        <v>0</v>
      </c>
      <c r="T1066" s="94">
        <f>IFERROR(VLOOKUP(Readings[[#This Row],[Sensor ID]],Table_Baseline[],COLUMNS(Table_Baseline[[#Headers],[Sensor ID]:[Reference Angle '[Deg']]]),FALSE),"-")</f>
        <v>0</v>
      </c>
      <c r="U1066" s="95" t="str">
        <f>Readings[[#This Row],[Sensor ID]]&amp;"-"&amp;Readings[[#This Row],[Epoch]]</f>
        <v>250-RL-OP-11003-45859.2708333333</v>
      </c>
      <c r="V1066" s="99">
        <f ca="1">IF(Readings[[#This Row],[Epoch]]=OFFSET(Readings[[#This Row],[Epoch]],-1,0),0,1)</f>
        <v>0</v>
      </c>
    </row>
    <row r="1067" spans="4:22" x14ac:dyDescent="0.2">
      <c r="D1067" s="32">
        <v>45859.270833333336</v>
      </c>
      <c r="E1067" s="33" t="s">
        <v>173</v>
      </c>
      <c r="F1067" s="34">
        <v>60037.803999999996</v>
      </c>
      <c r="G1067" s="34">
        <v>363843.65700000001</v>
      </c>
      <c r="H1067" s="34">
        <v>18.777999999999999</v>
      </c>
      <c r="I1067" s="33" t="s">
        <v>85</v>
      </c>
      <c r="J1067" s="33" t="s">
        <v>90</v>
      </c>
      <c r="K1067" s="33">
        <v>11.7</v>
      </c>
      <c r="L1067" s="33">
        <v>1019.2</v>
      </c>
      <c r="M1067" s="33">
        <v>90</v>
      </c>
      <c r="N1067" s="33"/>
      <c r="O1067" s="93">
        <f>IFERROR(IF(Readings[[#This Row],[Obs. X]]="","-",Readings[[#This Row],[Obs. X]]-_xlfn.XLOOKUP(Readings[[#This Row],[Sensor ID]],Table_Baseline[Sensor ID],Table_Baseline[Easting '[m']],"-")),"-")</f>
        <v>-1.0000000038417056E-3</v>
      </c>
      <c r="P1067" s="93">
        <f>IFERROR(IF(Readings[[#This Row],[Obs. Y]]="","-",Readings[[#This Row],[Obs. Y]]-_xlfn.XLOOKUP(Readings[[#This Row],[Sensor ID]],Table_Baseline[Sensor ID],Table_Baseline[Northing '[m']],"-")),"-")</f>
        <v>0</v>
      </c>
      <c r="Q1067" s="93">
        <f>IFERROR(IF(Readings[[#This Row],[Obs. Z]]="","-",Readings[[#This Row],[Obs. Z]]-_xlfn.XLOOKUP(Readings[[#This Row],[Sensor ID]],Table_Baseline[Sensor ID],Table_Baseline[Level '[m']],"-")),"-")</f>
        <v>-5.0000000000238742E-4</v>
      </c>
      <c r="R1067" s="93">
        <f>IFERROR(IF(Readings[[#This Row],[Reference Angle]]="-","-",(Readings[[#This Row],[Diff E]]*COS(RADIANS(Readings[[#This Row],[Reference Angle]]))-Readings[[#This Row],[Diff N]]*SIN(RADIANS(Readings[[#This Row],[Reference Angle]])))),"-")</f>
        <v>-1.0000000038417056E-3</v>
      </c>
      <c r="S1067" s="93">
        <f>IFERROR(IF(Readings[[#This Row],[Reference Angle]]="-","-",(Readings[[#This Row],[Diff E]]*SIN(RADIANS(Readings[[#This Row],[Reference Angle]]))+Readings[[#This Row],[Diff N]]*COS(RADIANS(Readings[[#This Row],[Reference Angle]])))),"-")</f>
        <v>0</v>
      </c>
      <c r="T1067" s="94">
        <f>IFERROR(VLOOKUP(Readings[[#This Row],[Sensor ID]],Table_Baseline[],COLUMNS(Table_Baseline[[#Headers],[Sensor ID]:[Reference Angle '[Deg']]]),FALSE),"-")</f>
        <v>0</v>
      </c>
      <c r="U1067" s="95" t="str">
        <f>Readings[[#This Row],[Sensor ID]]&amp;"-"&amp;Readings[[#This Row],[Epoch]]</f>
        <v>250-RL-OP-11004-45859.2708333333</v>
      </c>
      <c r="V1067" s="99">
        <f ca="1">IF(Readings[[#This Row],[Epoch]]=OFFSET(Readings[[#This Row],[Epoch]],-1,0),0,1)</f>
        <v>0</v>
      </c>
    </row>
    <row r="1068" spans="4:22" x14ac:dyDescent="0.2">
      <c r="D1068" s="32">
        <v>45859.270833333336</v>
      </c>
      <c r="E1068" s="33" t="s">
        <v>176</v>
      </c>
      <c r="F1068" s="34">
        <v>60040.968000000001</v>
      </c>
      <c r="G1068" s="34">
        <v>363844.11800000002</v>
      </c>
      <c r="H1068" s="34">
        <v>18.777999999999999</v>
      </c>
      <c r="I1068" s="33" t="s">
        <v>85</v>
      </c>
      <c r="J1068" s="33" t="s">
        <v>90</v>
      </c>
      <c r="K1068" s="33">
        <v>11.7</v>
      </c>
      <c r="L1068" s="33">
        <v>1019.2</v>
      </c>
      <c r="M1068" s="33">
        <v>90</v>
      </c>
      <c r="N1068" s="33"/>
      <c r="O1068" s="93">
        <f>IFERROR(IF(Readings[[#This Row],[Obs. X]]="","-",Readings[[#This Row],[Obs. X]]-_xlfn.XLOOKUP(Readings[[#This Row],[Sensor ID]],Table_Baseline[Sensor ID],Table_Baseline[Easting '[m']],"-")),"-")</f>
        <v>-9.9999999656574801E-4</v>
      </c>
      <c r="P1068" s="93">
        <f>IFERROR(IF(Readings[[#This Row],[Obs. Y]]="","-",Readings[[#This Row],[Obs. Y]]-_xlfn.XLOOKUP(Readings[[#This Row],[Sensor ID]],Table_Baseline[Sensor ID],Table_Baseline[Northing '[m']],"-")),"-")</f>
        <v>0</v>
      </c>
      <c r="Q1068" s="93">
        <f>IFERROR(IF(Readings[[#This Row],[Obs. Z]]="","-",Readings[[#This Row],[Obs. Z]]-_xlfn.XLOOKUP(Readings[[#This Row],[Sensor ID]],Table_Baseline[Sensor ID],Table_Baseline[Level '[m']],"-")),"-")</f>
        <v>-1.0000000000012221E-3</v>
      </c>
      <c r="R1068" s="93">
        <f>IFERROR(IF(Readings[[#This Row],[Reference Angle]]="-","-",(Readings[[#This Row],[Diff E]]*COS(RADIANS(Readings[[#This Row],[Reference Angle]]))-Readings[[#This Row],[Diff N]]*SIN(RADIANS(Readings[[#This Row],[Reference Angle]])))),"-")</f>
        <v>-9.9999999656574801E-4</v>
      </c>
      <c r="S1068" s="93">
        <f>IFERROR(IF(Readings[[#This Row],[Reference Angle]]="-","-",(Readings[[#This Row],[Diff E]]*SIN(RADIANS(Readings[[#This Row],[Reference Angle]]))+Readings[[#This Row],[Diff N]]*COS(RADIANS(Readings[[#This Row],[Reference Angle]])))),"-")</f>
        <v>0</v>
      </c>
      <c r="T1068" s="94">
        <f>IFERROR(VLOOKUP(Readings[[#This Row],[Sensor ID]],Table_Baseline[],COLUMNS(Table_Baseline[[#Headers],[Sensor ID]:[Reference Angle '[Deg']]]),FALSE),"-")</f>
        <v>0</v>
      </c>
      <c r="U1068" s="95" t="str">
        <f>Readings[[#This Row],[Sensor ID]]&amp;"-"&amp;Readings[[#This Row],[Epoch]]</f>
        <v>250-RL-OP-11005-45859.2708333333</v>
      </c>
      <c r="V1068" s="99">
        <f ca="1">IF(Readings[[#This Row],[Epoch]]=OFFSET(Readings[[#This Row],[Epoch]],-1,0),0,1)</f>
        <v>0</v>
      </c>
    </row>
    <row r="1069" spans="4:22" x14ac:dyDescent="0.2">
      <c r="D1069" s="32">
        <v>45859.270833333336</v>
      </c>
      <c r="E1069" s="33" t="s">
        <v>175</v>
      </c>
      <c r="F1069" s="34">
        <v>60040.606</v>
      </c>
      <c r="G1069" s="34">
        <v>363842.86100000003</v>
      </c>
      <c r="H1069" s="34">
        <v>18.771000000000001</v>
      </c>
      <c r="I1069" s="33" t="s">
        <v>85</v>
      </c>
      <c r="J1069" s="33" t="s">
        <v>90</v>
      </c>
      <c r="K1069" s="33">
        <v>11.7</v>
      </c>
      <c r="L1069" s="33">
        <v>1019.2</v>
      </c>
      <c r="M1069" s="33">
        <v>90</v>
      </c>
      <c r="N1069" s="33"/>
      <c r="O1069" s="93">
        <f>IFERROR(IF(Readings[[#This Row],[Obs. X]]="","-",Readings[[#This Row],[Obs. X]]-_xlfn.XLOOKUP(Readings[[#This Row],[Sensor ID]],Table_Baseline[Sensor ID],Table_Baseline[Easting '[m']],"-")),"-")</f>
        <v>-1.0000000038417056E-3</v>
      </c>
      <c r="P1069" s="93">
        <f>IFERROR(IF(Readings[[#This Row],[Obs. Y]]="","-",Readings[[#This Row],[Obs. Y]]-_xlfn.XLOOKUP(Readings[[#This Row],[Sensor ID]],Table_Baseline[Sensor ID],Table_Baseline[Northing '[m']],"-")),"-")</f>
        <v>0</v>
      </c>
      <c r="Q1069" s="93">
        <f>IFERROR(IF(Readings[[#This Row],[Obs. Z]]="","-",Readings[[#This Row],[Obs. Z]]-_xlfn.XLOOKUP(Readings[[#This Row],[Sensor ID]],Table_Baseline[Sensor ID],Table_Baseline[Level '[m']],"-")),"-")</f>
        <v>-9.9999999999766942E-4</v>
      </c>
      <c r="R1069" s="93">
        <f>IFERROR(IF(Readings[[#This Row],[Reference Angle]]="-","-",(Readings[[#This Row],[Diff E]]*COS(RADIANS(Readings[[#This Row],[Reference Angle]]))-Readings[[#This Row],[Diff N]]*SIN(RADIANS(Readings[[#This Row],[Reference Angle]])))),"-")</f>
        <v>-1.0000000038417056E-3</v>
      </c>
      <c r="S1069" s="93">
        <f>IFERROR(IF(Readings[[#This Row],[Reference Angle]]="-","-",(Readings[[#This Row],[Diff E]]*SIN(RADIANS(Readings[[#This Row],[Reference Angle]]))+Readings[[#This Row],[Diff N]]*COS(RADIANS(Readings[[#This Row],[Reference Angle]])))),"-")</f>
        <v>0</v>
      </c>
      <c r="T1069" s="94">
        <f>IFERROR(VLOOKUP(Readings[[#This Row],[Sensor ID]],Table_Baseline[],COLUMNS(Table_Baseline[[#Headers],[Sensor ID]:[Reference Angle '[Deg']]]),FALSE),"-")</f>
        <v>0</v>
      </c>
      <c r="U1069" s="95" t="str">
        <f>Readings[[#This Row],[Sensor ID]]&amp;"-"&amp;Readings[[#This Row],[Epoch]]</f>
        <v>250-RL-OP-11006-45859.2708333333</v>
      </c>
      <c r="V1069" s="99">
        <f ca="1">IF(Readings[[#This Row],[Epoch]]=OFFSET(Readings[[#This Row],[Epoch]],-1,0),0,1)</f>
        <v>0</v>
      </c>
    </row>
    <row r="1070" spans="4:22" x14ac:dyDescent="0.2">
      <c r="D1070" s="32">
        <v>45859.270833333336</v>
      </c>
      <c r="E1070" s="33" t="s">
        <v>178</v>
      </c>
      <c r="F1070" s="34">
        <v>60043.758000000002</v>
      </c>
      <c r="G1070" s="34">
        <v>363843.315</v>
      </c>
      <c r="H1070" s="34">
        <v>18.774000000000001</v>
      </c>
      <c r="I1070" s="33" t="s">
        <v>85</v>
      </c>
      <c r="J1070" s="33" t="s">
        <v>90</v>
      </c>
      <c r="K1070" s="33">
        <v>11.7</v>
      </c>
      <c r="L1070" s="33">
        <v>1019.2</v>
      </c>
      <c r="M1070" s="33">
        <v>90</v>
      </c>
      <c r="N1070" s="33"/>
      <c r="O1070" s="93">
        <f>IFERROR(IF(Readings[[#This Row],[Obs. X]]="","-",Readings[[#This Row],[Obs. X]]-_xlfn.XLOOKUP(Readings[[#This Row],[Sensor ID]],Table_Baseline[Sensor ID],Table_Baseline[Easting '[m']],"-")),"-")</f>
        <v>-9.9999999656574801E-4</v>
      </c>
      <c r="P1070" s="93">
        <f>IFERROR(IF(Readings[[#This Row],[Obs. Y]]="","-",Readings[[#This Row],[Obs. Y]]-_xlfn.XLOOKUP(Readings[[#This Row],[Sensor ID]],Table_Baseline[Sensor ID],Table_Baseline[Northing '[m']],"-")),"-")</f>
        <v>9.9999998928979039E-4</v>
      </c>
      <c r="Q1070" s="93">
        <f>IFERROR(IF(Readings[[#This Row],[Obs. Z]]="","-",Readings[[#This Row],[Obs. Z]]-_xlfn.XLOOKUP(Readings[[#This Row],[Sensor ID]],Table_Baseline[Sensor ID],Table_Baseline[Level '[m']],"-")),"-")</f>
        <v>-9.9999999999766942E-5</v>
      </c>
      <c r="R1070" s="93">
        <f>IFERROR(IF(Readings[[#This Row],[Reference Angle]]="-","-",(Readings[[#This Row],[Diff E]]*COS(RADIANS(Readings[[#This Row],[Reference Angle]]))-Readings[[#This Row],[Diff N]]*SIN(RADIANS(Readings[[#This Row],[Reference Angle]])))),"-")</f>
        <v>-9.9999999656574801E-4</v>
      </c>
      <c r="S1070" s="93">
        <f>IFERROR(IF(Readings[[#This Row],[Reference Angle]]="-","-",(Readings[[#This Row],[Diff E]]*SIN(RADIANS(Readings[[#This Row],[Reference Angle]]))+Readings[[#This Row],[Diff N]]*COS(RADIANS(Readings[[#This Row],[Reference Angle]])))),"-")</f>
        <v>9.9999998928979039E-4</v>
      </c>
      <c r="T1070" s="94">
        <f>IFERROR(VLOOKUP(Readings[[#This Row],[Sensor ID]],Table_Baseline[],COLUMNS(Table_Baseline[[#Headers],[Sensor ID]:[Reference Angle '[Deg']]]),FALSE),"-")</f>
        <v>0</v>
      </c>
      <c r="U1070" s="95" t="str">
        <f>Readings[[#This Row],[Sensor ID]]&amp;"-"&amp;Readings[[#This Row],[Epoch]]</f>
        <v>250-RL-OP-11007-45859.2708333333</v>
      </c>
      <c r="V1070" s="99">
        <f ca="1">IF(Readings[[#This Row],[Epoch]]=OFFSET(Readings[[#This Row],[Epoch]],-1,0),0,1)</f>
        <v>0</v>
      </c>
    </row>
    <row r="1071" spans="4:22" x14ac:dyDescent="0.2">
      <c r="D1071" s="32">
        <v>45859.270833333336</v>
      </c>
      <c r="E1071" s="33" t="s">
        <v>177</v>
      </c>
      <c r="F1071" s="34">
        <v>60043.440999999999</v>
      </c>
      <c r="G1071" s="34">
        <v>363842.04099999997</v>
      </c>
      <c r="H1071" s="34">
        <v>18.768000000000001</v>
      </c>
      <c r="I1071" s="33" t="s">
        <v>85</v>
      </c>
      <c r="J1071" s="33" t="s">
        <v>90</v>
      </c>
      <c r="K1071" s="33">
        <v>11.7</v>
      </c>
      <c r="L1071" s="33">
        <v>1019.2</v>
      </c>
      <c r="M1071" s="33">
        <v>90</v>
      </c>
      <c r="N1071" s="33"/>
      <c r="O1071" s="93">
        <f>IFERROR(IF(Readings[[#This Row],[Obs. X]]="","-",Readings[[#This Row],[Obs. X]]-_xlfn.XLOOKUP(Readings[[#This Row],[Sensor ID]],Table_Baseline[Sensor ID],Table_Baseline[Easting '[m']],"-")),"-")</f>
        <v>0</v>
      </c>
      <c r="P1071" s="93">
        <f>IFERROR(IF(Readings[[#This Row],[Obs. Y]]="","-",Readings[[#This Row],[Obs. Y]]-_xlfn.XLOOKUP(Readings[[#This Row],[Sensor ID]],Table_Baseline[Sensor ID],Table_Baseline[Northing '[m']],"-")),"-")</f>
        <v>9.9999993108212948E-4</v>
      </c>
      <c r="Q1071" s="93">
        <f>IFERROR(IF(Readings[[#This Row],[Obs. Z]]="","-",Readings[[#This Row],[Obs. Z]]-_xlfn.XLOOKUP(Readings[[#This Row],[Sensor ID]],Table_Baseline[Sensor ID],Table_Baseline[Level '[m']],"-")),"-")</f>
        <v>-2.9999999999930083E-4</v>
      </c>
      <c r="R1071" s="93">
        <f>IFERROR(IF(Readings[[#This Row],[Reference Angle]]="-","-",(Readings[[#This Row],[Diff E]]*COS(RADIANS(Readings[[#This Row],[Reference Angle]]))-Readings[[#This Row],[Diff N]]*SIN(RADIANS(Readings[[#This Row],[Reference Angle]])))),"-")</f>
        <v>0</v>
      </c>
      <c r="S1071" s="93">
        <f>IFERROR(IF(Readings[[#This Row],[Reference Angle]]="-","-",(Readings[[#This Row],[Diff E]]*SIN(RADIANS(Readings[[#This Row],[Reference Angle]]))+Readings[[#This Row],[Diff N]]*COS(RADIANS(Readings[[#This Row],[Reference Angle]])))),"-")</f>
        <v>9.9999993108212948E-4</v>
      </c>
      <c r="T1071" s="94">
        <f>IFERROR(VLOOKUP(Readings[[#This Row],[Sensor ID]],Table_Baseline[],COLUMNS(Table_Baseline[[#Headers],[Sensor ID]:[Reference Angle '[Deg']]]),FALSE),"-")</f>
        <v>0</v>
      </c>
      <c r="U1071" s="95" t="str">
        <f>Readings[[#This Row],[Sensor ID]]&amp;"-"&amp;Readings[[#This Row],[Epoch]]</f>
        <v>250-RL-OP-11008-45859.2708333333</v>
      </c>
      <c r="V1071" s="99">
        <f ca="1">IF(Readings[[#This Row],[Epoch]]=OFFSET(Readings[[#This Row],[Epoch]],-1,0),0,1)</f>
        <v>0</v>
      </c>
    </row>
    <row r="1072" spans="4:22" x14ac:dyDescent="0.2">
      <c r="D1072" s="32">
        <v>45859.270833333336</v>
      </c>
      <c r="E1072" s="33" t="s">
        <v>180</v>
      </c>
      <c r="F1072" s="34">
        <v>60046.633000000002</v>
      </c>
      <c r="G1072" s="34">
        <v>363842.48600000003</v>
      </c>
      <c r="H1072" s="34">
        <v>18.777000000000001</v>
      </c>
      <c r="I1072" s="33" t="s">
        <v>85</v>
      </c>
      <c r="J1072" s="33" t="s">
        <v>90</v>
      </c>
      <c r="K1072" s="33">
        <v>11.7</v>
      </c>
      <c r="L1072" s="33">
        <v>1019.2</v>
      </c>
      <c r="M1072" s="33">
        <v>90</v>
      </c>
      <c r="N1072" s="33"/>
      <c r="O1072" s="93">
        <f>IFERROR(IF(Readings[[#This Row],[Obs. X]]="","-",Readings[[#This Row],[Obs. X]]-_xlfn.XLOOKUP(Readings[[#This Row],[Sensor ID]],Table_Baseline[Sensor ID],Table_Baseline[Easting '[m']],"-")),"-")</f>
        <v>0</v>
      </c>
      <c r="P1072" s="93">
        <f>IFERROR(IF(Readings[[#This Row],[Obs. Y]]="","-",Readings[[#This Row],[Obs. Y]]-_xlfn.XLOOKUP(Readings[[#This Row],[Sensor ID]],Table_Baseline[Sensor ID],Table_Baseline[Northing '[m']],"-")),"-")</f>
        <v>1.0000000474974513E-3</v>
      </c>
      <c r="Q1072" s="93">
        <f>IFERROR(IF(Readings[[#This Row],[Obs. Z]]="","-",Readings[[#This Row],[Obs. Z]]-_xlfn.XLOOKUP(Readings[[#This Row],[Sensor ID]],Table_Baseline[Sensor ID],Table_Baseline[Level '[m']],"-")),"-")</f>
        <v>-5.9999999999860165E-4</v>
      </c>
      <c r="R1072" s="93">
        <f>IFERROR(IF(Readings[[#This Row],[Reference Angle]]="-","-",(Readings[[#This Row],[Diff E]]*COS(RADIANS(Readings[[#This Row],[Reference Angle]]))-Readings[[#This Row],[Diff N]]*SIN(RADIANS(Readings[[#This Row],[Reference Angle]])))),"-")</f>
        <v>0</v>
      </c>
      <c r="S1072" s="93">
        <f>IFERROR(IF(Readings[[#This Row],[Reference Angle]]="-","-",(Readings[[#This Row],[Diff E]]*SIN(RADIANS(Readings[[#This Row],[Reference Angle]]))+Readings[[#This Row],[Diff N]]*COS(RADIANS(Readings[[#This Row],[Reference Angle]])))),"-")</f>
        <v>1.0000000474974513E-3</v>
      </c>
      <c r="T1072" s="94">
        <f>IFERROR(VLOOKUP(Readings[[#This Row],[Sensor ID]],Table_Baseline[],COLUMNS(Table_Baseline[[#Headers],[Sensor ID]:[Reference Angle '[Deg']]]),FALSE),"-")</f>
        <v>0</v>
      </c>
      <c r="U1072" s="95" t="str">
        <f>Readings[[#This Row],[Sensor ID]]&amp;"-"&amp;Readings[[#This Row],[Epoch]]</f>
        <v>250-RL-OP-11009-45859.2708333333</v>
      </c>
      <c r="V1072" s="99">
        <f ca="1">IF(Readings[[#This Row],[Epoch]]=OFFSET(Readings[[#This Row],[Epoch]],-1,0),0,1)</f>
        <v>0</v>
      </c>
    </row>
    <row r="1073" spans="4:22" x14ac:dyDescent="0.2">
      <c r="D1073" s="32">
        <v>45859.270833333336</v>
      </c>
      <c r="E1073" s="33" t="s">
        <v>179</v>
      </c>
      <c r="F1073" s="34">
        <v>60046.249000000003</v>
      </c>
      <c r="G1073" s="34">
        <v>363841.22700000001</v>
      </c>
      <c r="H1073" s="34">
        <v>18.77</v>
      </c>
      <c r="I1073" s="33" t="s">
        <v>85</v>
      </c>
      <c r="J1073" s="33" t="s">
        <v>90</v>
      </c>
      <c r="K1073" s="33">
        <v>11.7</v>
      </c>
      <c r="L1073" s="33">
        <v>1019.2</v>
      </c>
      <c r="M1073" s="33">
        <v>90</v>
      </c>
      <c r="N1073" s="33"/>
      <c r="O1073" s="93">
        <f>IFERROR(IF(Readings[[#This Row],[Obs. X]]="","-",Readings[[#This Row],[Obs. X]]-_xlfn.XLOOKUP(Readings[[#This Row],[Sensor ID]],Table_Baseline[Sensor ID],Table_Baseline[Easting '[m']],"-")),"-")</f>
        <v>-9.9999999656574801E-4</v>
      </c>
      <c r="P1073" s="93">
        <f>IFERROR(IF(Readings[[#This Row],[Obs. Y]]="","-",Readings[[#This Row],[Obs. Y]]-_xlfn.XLOOKUP(Readings[[#This Row],[Sensor ID]],Table_Baseline[Sensor ID],Table_Baseline[Northing '[m']],"-")),"-")</f>
        <v>9.9999998928979039E-4</v>
      </c>
      <c r="Q1073" s="93">
        <f>IFERROR(IF(Readings[[#This Row],[Obs. Z]]="","-",Readings[[#This Row],[Obs. Z]]-_xlfn.XLOOKUP(Readings[[#This Row],[Sensor ID]],Table_Baseline[Sensor ID],Table_Baseline[Level '[m']],"-")),"-")</f>
        <v>1.9999999999953388E-4</v>
      </c>
      <c r="R1073" s="93">
        <f>IFERROR(IF(Readings[[#This Row],[Reference Angle]]="-","-",(Readings[[#This Row],[Diff E]]*COS(RADIANS(Readings[[#This Row],[Reference Angle]]))-Readings[[#This Row],[Diff N]]*SIN(RADIANS(Readings[[#This Row],[Reference Angle]])))),"-")</f>
        <v>-9.9999999656574801E-4</v>
      </c>
      <c r="S1073" s="93">
        <f>IFERROR(IF(Readings[[#This Row],[Reference Angle]]="-","-",(Readings[[#This Row],[Diff E]]*SIN(RADIANS(Readings[[#This Row],[Reference Angle]]))+Readings[[#This Row],[Diff N]]*COS(RADIANS(Readings[[#This Row],[Reference Angle]])))),"-")</f>
        <v>9.9999998928979039E-4</v>
      </c>
      <c r="T1073" s="94">
        <f>IFERROR(VLOOKUP(Readings[[#This Row],[Sensor ID]],Table_Baseline[],COLUMNS(Table_Baseline[[#Headers],[Sensor ID]:[Reference Angle '[Deg']]]),FALSE),"-")</f>
        <v>0</v>
      </c>
      <c r="U1073" s="95" t="str">
        <f>Readings[[#This Row],[Sensor ID]]&amp;"-"&amp;Readings[[#This Row],[Epoch]]</f>
        <v>250-RL-OP-11010-45859.2708333333</v>
      </c>
      <c r="V1073" s="99">
        <f ca="1">IF(Readings[[#This Row],[Epoch]]=OFFSET(Readings[[#This Row],[Epoch]],-1,0),0,1)</f>
        <v>0</v>
      </c>
    </row>
    <row r="1074" spans="4:22" x14ac:dyDescent="0.2">
      <c r="D1074" s="32">
        <v>45859.270833333336</v>
      </c>
      <c r="E1074" s="33" t="s">
        <v>182</v>
      </c>
      <c r="F1074" s="34">
        <v>60049.398000000001</v>
      </c>
      <c r="G1074" s="34">
        <v>363841.7</v>
      </c>
      <c r="H1074" s="34">
        <v>18.777999999999999</v>
      </c>
      <c r="I1074" s="33" t="s">
        <v>85</v>
      </c>
      <c r="J1074" s="33" t="s">
        <v>90</v>
      </c>
      <c r="K1074" s="33">
        <v>11.7</v>
      </c>
      <c r="L1074" s="33">
        <v>1019.2</v>
      </c>
      <c r="M1074" s="33">
        <v>90</v>
      </c>
      <c r="N1074" s="33"/>
      <c r="O1074" s="93">
        <f>IFERROR(IF(Readings[[#This Row],[Obs. X]]="","-",Readings[[#This Row],[Obs. X]]-_xlfn.XLOOKUP(Readings[[#This Row],[Sensor ID]],Table_Baseline[Sensor ID],Table_Baseline[Easting '[m']],"-")),"-")</f>
        <v>-9.9999999656574801E-4</v>
      </c>
      <c r="P1074" s="93">
        <f>IFERROR(IF(Readings[[#This Row],[Obs. Y]]="","-",Readings[[#This Row],[Obs. Y]]-_xlfn.XLOOKUP(Readings[[#This Row],[Sensor ID]],Table_Baseline[Sensor ID],Table_Baseline[Northing '[m']],"-")),"-")</f>
        <v>2.0000000367872417E-3</v>
      </c>
      <c r="Q1074" s="93">
        <f>IFERROR(IF(Readings[[#This Row],[Obs. Z]]="","-",Readings[[#This Row],[Obs. Z]]-_xlfn.XLOOKUP(Readings[[#This Row],[Sensor ID]],Table_Baseline[Sensor ID],Table_Baseline[Level '[m']],"-")),"-")</f>
        <v>0</v>
      </c>
      <c r="R1074" s="93">
        <f>IFERROR(IF(Readings[[#This Row],[Reference Angle]]="-","-",(Readings[[#This Row],[Diff E]]*COS(RADIANS(Readings[[#This Row],[Reference Angle]]))-Readings[[#This Row],[Diff N]]*SIN(RADIANS(Readings[[#This Row],[Reference Angle]])))),"-")</f>
        <v>-9.9999999656574801E-4</v>
      </c>
      <c r="S1074" s="93">
        <f>IFERROR(IF(Readings[[#This Row],[Reference Angle]]="-","-",(Readings[[#This Row],[Diff E]]*SIN(RADIANS(Readings[[#This Row],[Reference Angle]]))+Readings[[#This Row],[Diff N]]*COS(RADIANS(Readings[[#This Row],[Reference Angle]])))),"-")</f>
        <v>2.0000000367872417E-3</v>
      </c>
      <c r="T1074" s="94">
        <f>IFERROR(VLOOKUP(Readings[[#This Row],[Sensor ID]],Table_Baseline[],COLUMNS(Table_Baseline[[#Headers],[Sensor ID]:[Reference Angle '[Deg']]]),FALSE),"-")</f>
        <v>0</v>
      </c>
      <c r="U1074" s="95" t="str">
        <f>Readings[[#This Row],[Sensor ID]]&amp;"-"&amp;Readings[[#This Row],[Epoch]]</f>
        <v>250-RL-OP-11011-45859.2708333333</v>
      </c>
      <c r="V1074" s="99">
        <f ca="1">IF(Readings[[#This Row],[Epoch]]=OFFSET(Readings[[#This Row],[Epoch]],-1,0),0,1)</f>
        <v>0</v>
      </c>
    </row>
    <row r="1075" spans="4:22" x14ac:dyDescent="0.2">
      <c r="D1075" s="32">
        <v>45859.270833333336</v>
      </c>
      <c r="E1075" s="33" t="s">
        <v>181</v>
      </c>
      <c r="F1075" s="34">
        <v>60049.040999999997</v>
      </c>
      <c r="G1075" s="34">
        <v>363840.43599999999</v>
      </c>
      <c r="H1075" s="34">
        <v>18.771000000000001</v>
      </c>
      <c r="I1075" s="33" t="s">
        <v>85</v>
      </c>
      <c r="J1075" s="33" t="s">
        <v>90</v>
      </c>
      <c r="K1075" s="33">
        <v>11.7</v>
      </c>
      <c r="L1075" s="33">
        <v>1019.2</v>
      </c>
      <c r="M1075" s="33">
        <v>90</v>
      </c>
      <c r="N1075" s="33"/>
      <c r="O1075" s="93">
        <f>IFERROR(IF(Readings[[#This Row],[Obs. X]]="","-",Readings[[#This Row],[Obs. X]]-_xlfn.XLOOKUP(Readings[[#This Row],[Sensor ID]],Table_Baseline[Sensor ID],Table_Baseline[Easting '[m']],"-")),"-")</f>
        <v>0</v>
      </c>
      <c r="P1075" s="93">
        <f>IFERROR(IF(Readings[[#This Row],[Obs. Y]]="","-",Readings[[#This Row],[Obs. Y]]-_xlfn.XLOOKUP(Readings[[#This Row],[Sensor ID]],Table_Baseline[Sensor ID],Table_Baseline[Northing '[m']],"-")),"-")</f>
        <v>3.0000000260770321E-3</v>
      </c>
      <c r="Q1075" s="93">
        <f>IFERROR(IF(Readings[[#This Row],[Obs. Z]]="","-",Readings[[#This Row],[Obs. Z]]-_xlfn.XLOOKUP(Readings[[#This Row],[Sensor ID]],Table_Baseline[Sensor ID],Table_Baseline[Level '[m']],"-")),"-")</f>
        <v>-9.9999999999766942E-5</v>
      </c>
      <c r="R1075" s="93">
        <f>IFERROR(IF(Readings[[#This Row],[Reference Angle]]="-","-",(Readings[[#This Row],[Diff E]]*COS(RADIANS(Readings[[#This Row],[Reference Angle]]))-Readings[[#This Row],[Diff N]]*SIN(RADIANS(Readings[[#This Row],[Reference Angle]])))),"-")</f>
        <v>0</v>
      </c>
      <c r="S1075" s="93">
        <f>IFERROR(IF(Readings[[#This Row],[Reference Angle]]="-","-",(Readings[[#This Row],[Diff E]]*SIN(RADIANS(Readings[[#This Row],[Reference Angle]]))+Readings[[#This Row],[Diff N]]*COS(RADIANS(Readings[[#This Row],[Reference Angle]])))),"-")</f>
        <v>3.0000000260770321E-3</v>
      </c>
      <c r="T1075" s="94">
        <f>IFERROR(VLOOKUP(Readings[[#This Row],[Sensor ID]],Table_Baseline[],COLUMNS(Table_Baseline[[#Headers],[Sensor ID]:[Reference Angle '[Deg']]]),FALSE),"-")</f>
        <v>0</v>
      </c>
      <c r="U1075" s="95" t="str">
        <f>Readings[[#This Row],[Sensor ID]]&amp;"-"&amp;Readings[[#This Row],[Epoch]]</f>
        <v>250-RL-OP-11012-45859.2708333333</v>
      </c>
      <c r="V1075" s="99">
        <f ca="1">IF(Readings[[#This Row],[Epoch]]=OFFSET(Readings[[#This Row],[Epoch]],-1,0),0,1)</f>
        <v>0</v>
      </c>
    </row>
    <row r="1076" spans="4:22" x14ac:dyDescent="0.2">
      <c r="D1076" s="32">
        <v>45859.270833333336</v>
      </c>
      <c r="E1076" s="33" t="s">
        <v>184</v>
      </c>
      <c r="F1076" s="34">
        <v>60052.292999999998</v>
      </c>
      <c r="G1076" s="34">
        <v>363840.88800000004</v>
      </c>
      <c r="H1076" s="34">
        <v>18.779</v>
      </c>
      <c r="I1076" s="33" t="s">
        <v>85</v>
      </c>
      <c r="J1076" s="33" t="s">
        <v>90</v>
      </c>
      <c r="K1076" s="33">
        <v>11.7</v>
      </c>
      <c r="L1076" s="33">
        <v>1019.2</v>
      </c>
      <c r="M1076" s="33">
        <v>90</v>
      </c>
      <c r="N1076" s="33"/>
      <c r="O1076" s="93">
        <f>IFERROR(IF(Readings[[#This Row],[Obs. X]]="","-",Readings[[#This Row],[Obs. X]]-_xlfn.XLOOKUP(Readings[[#This Row],[Sensor ID]],Table_Baseline[Sensor ID],Table_Baseline[Easting '[m']],"-")),"-")</f>
        <v>0</v>
      </c>
      <c r="P1076" s="93">
        <f>IFERROR(IF(Readings[[#This Row],[Obs. Y]]="","-",Readings[[#This Row],[Obs. Y]]-_xlfn.XLOOKUP(Readings[[#This Row],[Sensor ID]],Table_Baseline[Sensor ID],Table_Baseline[Northing '[m']],"-")),"-")</f>
        <v>3.0000000260770321E-3</v>
      </c>
      <c r="Q1076" s="93">
        <f>IFERROR(IF(Readings[[#This Row],[Obs. Z]]="","-",Readings[[#This Row],[Obs. Z]]-_xlfn.XLOOKUP(Readings[[#This Row],[Sensor ID]],Table_Baseline[Sensor ID],Table_Baseline[Level '[m']],"-")),"-")</f>
        <v>0</v>
      </c>
      <c r="R1076" s="93">
        <f>IFERROR(IF(Readings[[#This Row],[Reference Angle]]="-","-",(Readings[[#This Row],[Diff E]]*COS(RADIANS(Readings[[#This Row],[Reference Angle]]))-Readings[[#This Row],[Diff N]]*SIN(RADIANS(Readings[[#This Row],[Reference Angle]])))),"-")</f>
        <v>0</v>
      </c>
      <c r="S1076" s="93">
        <f>IFERROR(IF(Readings[[#This Row],[Reference Angle]]="-","-",(Readings[[#This Row],[Diff E]]*SIN(RADIANS(Readings[[#This Row],[Reference Angle]]))+Readings[[#This Row],[Diff N]]*COS(RADIANS(Readings[[#This Row],[Reference Angle]])))),"-")</f>
        <v>3.0000000260770321E-3</v>
      </c>
      <c r="T1076" s="94">
        <f>IFERROR(VLOOKUP(Readings[[#This Row],[Sensor ID]],Table_Baseline[],COLUMNS(Table_Baseline[[#Headers],[Sensor ID]:[Reference Angle '[Deg']]]),FALSE),"-")</f>
        <v>0</v>
      </c>
      <c r="U1076" s="95" t="str">
        <f>Readings[[#This Row],[Sensor ID]]&amp;"-"&amp;Readings[[#This Row],[Epoch]]</f>
        <v>250-RL-OP-11013-45859.2708333333</v>
      </c>
      <c r="V1076" s="99">
        <f ca="1">IF(Readings[[#This Row],[Epoch]]=OFFSET(Readings[[#This Row],[Epoch]],-1,0),0,1)</f>
        <v>0</v>
      </c>
    </row>
    <row r="1077" spans="4:22" x14ac:dyDescent="0.2">
      <c r="D1077" s="32">
        <v>45859.270833333336</v>
      </c>
      <c r="E1077" s="33" t="s">
        <v>183</v>
      </c>
      <c r="F1077" s="34">
        <v>60051.989000000001</v>
      </c>
      <c r="G1077" s="34">
        <v>363839.60600000003</v>
      </c>
      <c r="H1077" s="34">
        <v>18.77</v>
      </c>
      <c r="I1077" s="33" t="s">
        <v>85</v>
      </c>
      <c r="J1077" s="33" t="s">
        <v>90</v>
      </c>
      <c r="K1077" s="33">
        <v>11.7</v>
      </c>
      <c r="L1077" s="33">
        <v>1019.2</v>
      </c>
      <c r="M1077" s="33">
        <v>90</v>
      </c>
      <c r="N1077" s="33"/>
      <c r="O1077" s="93">
        <f>IFERROR(IF(Readings[[#This Row],[Obs. X]]="","-",Readings[[#This Row],[Obs. X]]-_xlfn.XLOOKUP(Readings[[#This Row],[Sensor ID]],Table_Baseline[Sensor ID],Table_Baseline[Easting '[m']],"-")),"-")</f>
        <v>0</v>
      </c>
      <c r="P1077" s="93">
        <f>IFERROR(IF(Readings[[#This Row],[Obs. Y]]="","-",Readings[[#This Row],[Obs. Y]]-_xlfn.XLOOKUP(Readings[[#This Row],[Sensor ID]],Table_Baseline[Sensor ID],Table_Baseline[Northing '[m']],"-")),"-")</f>
        <v>3.0000000260770321E-3</v>
      </c>
      <c r="Q1077" s="93">
        <f>IFERROR(IF(Readings[[#This Row],[Obs. Z]]="","-",Readings[[#This Row],[Obs. Z]]-_xlfn.XLOOKUP(Readings[[#This Row],[Sensor ID]],Table_Baseline[Sensor ID],Table_Baseline[Level '[m']],"-")),"-")</f>
        <v>-9.9999999999766942E-5</v>
      </c>
      <c r="R1077" s="93">
        <f>IFERROR(IF(Readings[[#This Row],[Reference Angle]]="-","-",(Readings[[#This Row],[Diff E]]*COS(RADIANS(Readings[[#This Row],[Reference Angle]]))-Readings[[#This Row],[Diff N]]*SIN(RADIANS(Readings[[#This Row],[Reference Angle]])))),"-")</f>
        <v>0</v>
      </c>
      <c r="S1077" s="93">
        <f>IFERROR(IF(Readings[[#This Row],[Reference Angle]]="-","-",(Readings[[#This Row],[Diff E]]*SIN(RADIANS(Readings[[#This Row],[Reference Angle]]))+Readings[[#This Row],[Diff N]]*COS(RADIANS(Readings[[#This Row],[Reference Angle]])))),"-")</f>
        <v>3.0000000260770321E-3</v>
      </c>
      <c r="T1077" s="94">
        <f>IFERROR(VLOOKUP(Readings[[#This Row],[Sensor ID]],Table_Baseline[],COLUMNS(Table_Baseline[[#Headers],[Sensor ID]:[Reference Angle '[Deg']]]),FALSE),"-")</f>
        <v>0</v>
      </c>
      <c r="U1077" s="95" t="str">
        <f>Readings[[#This Row],[Sensor ID]]&amp;"-"&amp;Readings[[#This Row],[Epoch]]</f>
        <v>250-RL-OP-11014-45859.2708333333</v>
      </c>
      <c r="V1077" s="99">
        <f ca="1">IF(Readings[[#This Row],[Epoch]]=OFFSET(Readings[[#This Row],[Epoch]],-1,0),0,1)</f>
        <v>0</v>
      </c>
    </row>
    <row r="1078" spans="4:22" x14ac:dyDescent="0.2">
      <c r="D1078" s="32">
        <v>45859.270833333336</v>
      </c>
      <c r="E1078" s="33" t="s">
        <v>186</v>
      </c>
      <c r="F1078" s="34">
        <v>60055.196000000004</v>
      </c>
      <c r="G1078" s="34">
        <v>363840.098</v>
      </c>
      <c r="H1078" s="34">
        <v>18.78</v>
      </c>
      <c r="I1078" s="33" t="s">
        <v>85</v>
      </c>
      <c r="J1078" s="33" t="s">
        <v>90</v>
      </c>
      <c r="K1078" s="33">
        <v>11.7</v>
      </c>
      <c r="L1078" s="33">
        <v>1019.2</v>
      </c>
      <c r="M1078" s="33">
        <v>90</v>
      </c>
      <c r="N1078" s="33"/>
      <c r="O1078" s="93">
        <f>IFERROR(IF(Readings[[#This Row],[Obs. X]]="","-",Readings[[#This Row],[Obs. X]]-_xlfn.XLOOKUP(Readings[[#This Row],[Sensor ID]],Table_Baseline[Sensor ID],Table_Baseline[Easting '[m']],"-")),"-")</f>
        <v>0</v>
      </c>
      <c r="P1078" s="93">
        <f>IFERROR(IF(Readings[[#This Row],[Obs. Y]]="","-",Readings[[#This Row],[Obs. Y]]-_xlfn.XLOOKUP(Readings[[#This Row],[Sensor ID]],Table_Baseline[Sensor ID],Table_Baseline[Northing '[m']],"-")),"-")</f>
        <v>3.0000000260770321E-3</v>
      </c>
      <c r="Q1078" s="93">
        <f>IFERROR(IF(Readings[[#This Row],[Obs. Z]]="","-",Readings[[#This Row],[Obs. Z]]-_xlfn.XLOOKUP(Readings[[#This Row],[Sensor ID]],Table_Baseline[Sensor ID],Table_Baseline[Level '[m']],"-")),"-")</f>
        <v>-8.9999999999790248E-4</v>
      </c>
      <c r="R1078" s="93">
        <f>IFERROR(IF(Readings[[#This Row],[Reference Angle]]="-","-",(Readings[[#This Row],[Diff E]]*COS(RADIANS(Readings[[#This Row],[Reference Angle]]))-Readings[[#This Row],[Diff N]]*SIN(RADIANS(Readings[[#This Row],[Reference Angle]])))),"-")</f>
        <v>0</v>
      </c>
      <c r="S1078" s="93">
        <f>IFERROR(IF(Readings[[#This Row],[Reference Angle]]="-","-",(Readings[[#This Row],[Diff E]]*SIN(RADIANS(Readings[[#This Row],[Reference Angle]]))+Readings[[#This Row],[Diff N]]*COS(RADIANS(Readings[[#This Row],[Reference Angle]])))),"-")</f>
        <v>3.0000000260770321E-3</v>
      </c>
      <c r="T1078" s="94">
        <f>IFERROR(VLOOKUP(Readings[[#This Row],[Sensor ID]],Table_Baseline[],COLUMNS(Table_Baseline[[#Headers],[Sensor ID]:[Reference Angle '[Deg']]]),FALSE),"-")</f>
        <v>0</v>
      </c>
      <c r="U1078" s="95" t="str">
        <f>Readings[[#This Row],[Sensor ID]]&amp;"-"&amp;Readings[[#This Row],[Epoch]]</f>
        <v>250-RL-OP-11015-45859.2708333333</v>
      </c>
      <c r="V1078" s="99">
        <f ca="1">IF(Readings[[#This Row],[Epoch]]=OFFSET(Readings[[#This Row],[Epoch]],-1,0),0,1)</f>
        <v>0</v>
      </c>
    </row>
    <row r="1079" spans="4:22" x14ac:dyDescent="0.2">
      <c r="D1079" s="32">
        <v>45859.270833333336</v>
      </c>
      <c r="E1079" s="33" t="s">
        <v>185</v>
      </c>
      <c r="F1079" s="34">
        <v>60054.885000000002</v>
      </c>
      <c r="G1079" s="34">
        <v>363838.80799999996</v>
      </c>
      <c r="H1079" s="34">
        <v>18.773</v>
      </c>
      <c r="I1079" s="33" t="s">
        <v>85</v>
      </c>
      <c r="J1079" s="33" t="s">
        <v>90</v>
      </c>
      <c r="K1079" s="33">
        <v>11.7</v>
      </c>
      <c r="L1079" s="33">
        <v>1019.2</v>
      </c>
      <c r="M1079" s="33">
        <v>90</v>
      </c>
      <c r="N1079" s="33"/>
      <c r="O1079" s="93">
        <f>IFERROR(IF(Readings[[#This Row],[Obs. X]]="","-",Readings[[#This Row],[Obs. X]]-_xlfn.XLOOKUP(Readings[[#This Row],[Sensor ID]],Table_Baseline[Sensor ID],Table_Baseline[Easting '[m']],"-")),"-")</f>
        <v>-9.9999999656574801E-4</v>
      </c>
      <c r="P1079" s="93">
        <f>IFERROR(IF(Readings[[#This Row],[Obs. Y]]="","-",Readings[[#This Row],[Obs. Y]]-_xlfn.XLOOKUP(Readings[[#This Row],[Sensor ID]],Table_Baseline[Sensor ID],Table_Baseline[Northing '[m']],"-")),"-")</f>
        <v>2.9999999678693712E-3</v>
      </c>
      <c r="Q1079" s="93">
        <f>IFERROR(IF(Readings[[#This Row],[Obs. Z]]="","-",Readings[[#This Row],[Obs. Z]]-_xlfn.XLOOKUP(Readings[[#This Row],[Sensor ID]],Table_Baseline[Sensor ID],Table_Baseline[Level '[m']],"-")),"-")</f>
        <v>-9.9999999999766942E-5</v>
      </c>
      <c r="R1079" s="93">
        <f>IFERROR(IF(Readings[[#This Row],[Reference Angle]]="-","-",(Readings[[#This Row],[Diff E]]*COS(RADIANS(Readings[[#This Row],[Reference Angle]]))-Readings[[#This Row],[Diff N]]*SIN(RADIANS(Readings[[#This Row],[Reference Angle]])))),"-")</f>
        <v>-9.9999999656574801E-4</v>
      </c>
      <c r="S1079" s="93">
        <f>IFERROR(IF(Readings[[#This Row],[Reference Angle]]="-","-",(Readings[[#This Row],[Diff E]]*SIN(RADIANS(Readings[[#This Row],[Reference Angle]]))+Readings[[#This Row],[Diff N]]*COS(RADIANS(Readings[[#This Row],[Reference Angle]])))),"-")</f>
        <v>2.9999999678693712E-3</v>
      </c>
      <c r="T1079" s="94">
        <f>IFERROR(VLOOKUP(Readings[[#This Row],[Sensor ID]],Table_Baseline[],COLUMNS(Table_Baseline[[#Headers],[Sensor ID]:[Reference Angle '[Deg']]]),FALSE),"-")</f>
        <v>0</v>
      </c>
      <c r="U1079" s="95" t="str">
        <f>Readings[[#This Row],[Sensor ID]]&amp;"-"&amp;Readings[[#This Row],[Epoch]]</f>
        <v>250-RL-OP-11016-45859.2708333333</v>
      </c>
      <c r="V1079" s="99">
        <f ca="1">IF(Readings[[#This Row],[Epoch]]=OFFSET(Readings[[#This Row],[Epoch]],-1,0),0,1)</f>
        <v>0</v>
      </c>
    </row>
    <row r="1080" spans="4:22" x14ac:dyDescent="0.2">
      <c r="D1080" s="32">
        <v>45859.270833333336</v>
      </c>
      <c r="E1080" s="33" t="s">
        <v>188</v>
      </c>
      <c r="F1080" s="34">
        <v>60057.951999999997</v>
      </c>
      <c r="G1080" s="34">
        <v>363839.36600000004</v>
      </c>
      <c r="H1080" s="34">
        <v>18.785</v>
      </c>
      <c r="I1080" s="33" t="s">
        <v>85</v>
      </c>
      <c r="J1080" s="33" t="s">
        <v>90</v>
      </c>
      <c r="K1080" s="33">
        <v>11.7</v>
      </c>
      <c r="L1080" s="33">
        <v>1019.2</v>
      </c>
      <c r="M1080" s="33">
        <v>90</v>
      </c>
      <c r="N1080" s="33"/>
      <c r="O1080" s="93">
        <f>IFERROR(IF(Readings[[#This Row],[Obs. X]]="","-",Readings[[#This Row],[Obs. X]]-_xlfn.XLOOKUP(Readings[[#This Row],[Sensor ID]],Table_Baseline[Sensor ID],Table_Baseline[Easting '[m']],"-")),"-")</f>
        <v>0</v>
      </c>
      <c r="P1080" s="93">
        <f>IFERROR(IF(Readings[[#This Row],[Obs. Y]]="","-",Readings[[#This Row],[Obs. Y]]-_xlfn.XLOOKUP(Readings[[#This Row],[Sensor ID]],Table_Baseline[Sensor ID],Table_Baseline[Northing '[m']],"-")),"-")</f>
        <v>4.0000000735744834E-3</v>
      </c>
      <c r="Q1080" s="93">
        <f>IFERROR(IF(Readings[[#This Row],[Obs. Z]]="","-",Readings[[#This Row],[Obs. Z]]-_xlfn.XLOOKUP(Readings[[#This Row],[Sensor ID]],Table_Baseline[Sensor ID],Table_Baseline[Level '[m']],"-")),"-")</f>
        <v>-1.0000000000012221E-3</v>
      </c>
      <c r="R1080" s="93">
        <f>IFERROR(IF(Readings[[#This Row],[Reference Angle]]="-","-",(Readings[[#This Row],[Diff E]]*COS(RADIANS(Readings[[#This Row],[Reference Angle]]))-Readings[[#This Row],[Diff N]]*SIN(RADIANS(Readings[[#This Row],[Reference Angle]])))),"-")</f>
        <v>0</v>
      </c>
      <c r="S1080" s="93">
        <f>IFERROR(IF(Readings[[#This Row],[Reference Angle]]="-","-",(Readings[[#This Row],[Diff E]]*SIN(RADIANS(Readings[[#This Row],[Reference Angle]]))+Readings[[#This Row],[Diff N]]*COS(RADIANS(Readings[[#This Row],[Reference Angle]])))),"-")</f>
        <v>4.0000000735744834E-3</v>
      </c>
      <c r="T1080" s="94">
        <f>IFERROR(VLOOKUP(Readings[[#This Row],[Sensor ID]],Table_Baseline[],COLUMNS(Table_Baseline[[#Headers],[Sensor ID]:[Reference Angle '[Deg']]]),FALSE),"-")</f>
        <v>0</v>
      </c>
      <c r="U1080" s="95" t="str">
        <f>Readings[[#This Row],[Sensor ID]]&amp;"-"&amp;Readings[[#This Row],[Epoch]]</f>
        <v>250-RL-OP-11017-45859.2708333333</v>
      </c>
      <c r="V1080" s="99">
        <f ca="1">IF(Readings[[#This Row],[Epoch]]=OFFSET(Readings[[#This Row],[Epoch]],-1,0),0,1)</f>
        <v>0</v>
      </c>
    </row>
    <row r="1081" spans="4:22" x14ac:dyDescent="0.2">
      <c r="D1081" s="32">
        <v>45859.270833333336</v>
      </c>
      <c r="E1081" s="33" t="s">
        <v>187</v>
      </c>
      <c r="F1081" s="34">
        <v>60057.578999999998</v>
      </c>
      <c r="G1081" s="34">
        <v>363838.10200000001</v>
      </c>
      <c r="H1081" s="34">
        <v>18.774999999999999</v>
      </c>
      <c r="I1081" s="33" t="s">
        <v>85</v>
      </c>
      <c r="J1081" s="33" t="s">
        <v>90</v>
      </c>
      <c r="K1081" s="33">
        <v>11.7</v>
      </c>
      <c r="L1081" s="33">
        <v>1019.2</v>
      </c>
      <c r="M1081" s="33">
        <v>90</v>
      </c>
      <c r="N1081" s="33"/>
      <c r="O1081" s="93">
        <f>IFERROR(IF(Readings[[#This Row],[Obs. X]]="","-",Readings[[#This Row],[Obs. X]]-_xlfn.XLOOKUP(Readings[[#This Row],[Sensor ID]],Table_Baseline[Sensor ID],Table_Baseline[Easting '[m']],"-")),"-")</f>
        <v>0</v>
      </c>
      <c r="P1081" s="93">
        <f>IFERROR(IF(Readings[[#This Row],[Obs. Y]]="","-",Readings[[#This Row],[Obs. Y]]-_xlfn.XLOOKUP(Readings[[#This Row],[Sensor ID]],Table_Baseline[Sensor ID],Table_Baseline[Northing '[m']],"-")),"-")</f>
        <v>4.0000000153668225E-3</v>
      </c>
      <c r="Q1081" s="93">
        <f>IFERROR(IF(Readings[[#This Row],[Obs. Z]]="","-",Readings[[#This Row],[Obs. Z]]-_xlfn.XLOOKUP(Readings[[#This Row],[Sensor ID]],Table_Baseline[Sensor ID],Table_Baseline[Level '[m']],"-")),"-")</f>
        <v>-1.0000000000012221E-3</v>
      </c>
      <c r="R1081" s="93">
        <f>IFERROR(IF(Readings[[#This Row],[Reference Angle]]="-","-",(Readings[[#This Row],[Diff E]]*COS(RADIANS(Readings[[#This Row],[Reference Angle]]))-Readings[[#This Row],[Diff N]]*SIN(RADIANS(Readings[[#This Row],[Reference Angle]])))),"-")</f>
        <v>0</v>
      </c>
      <c r="S1081" s="93">
        <f>IFERROR(IF(Readings[[#This Row],[Reference Angle]]="-","-",(Readings[[#This Row],[Diff E]]*SIN(RADIANS(Readings[[#This Row],[Reference Angle]]))+Readings[[#This Row],[Diff N]]*COS(RADIANS(Readings[[#This Row],[Reference Angle]])))),"-")</f>
        <v>4.0000000153668225E-3</v>
      </c>
      <c r="T1081" s="94">
        <f>IFERROR(VLOOKUP(Readings[[#This Row],[Sensor ID]],Table_Baseline[],COLUMNS(Table_Baseline[[#Headers],[Sensor ID]:[Reference Angle '[Deg']]]),FALSE),"-")</f>
        <v>0</v>
      </c>
      <c r="U1081" s="95" t="str">
        <f>Readings[[#This Row],[Sensor ID]]&amp;"-"&amp;Readings[[#This Row],[Epoch]]</f>
        <v>250-RL-OP-11018-45859.2708333333</v>
      </c>
      <c r="V1081" s="99">
        <f ca="1">IF(Readings[[#This Row],[Epoch]]=OFFSET(Readings[[#This Row],[Epoch]],-1,0),0,1)</f>
        <v>0</v>
      </c>
    </row>
    <row r="1082" spans="4:22" x14ac:dyDescent="0.2">
      <c r="D1082" s="32">
        <v>45859.270833333336</v>
      </c>
      <c r="E1082" s="33" t="s">
        <v>190</v>
      </c>
      <c r="F1082" s="34">
        <v>60060.963000000003</v>
      </c>
      <c r="G1082" s="34">
        <v>363838.60499999998</v>
      </c>
      <c r="H1082" s="34">
        <v>18.794</v>
      </c>
      <c r="I1082" s="33" t="s">
        <v>85</v>
      </c>
      <c r="J1082" s="33" t="s">
        <v>90</v>
      </c>
      <c r="K1082" s="33">
        <v>11.7</v>
      </c>
      <c r="L1082" s="33">
        <v>1019.2</v>
      </c>
      <c r="M1082" s="33">
        <v>90</v>
      </c>
      <c r="N1082" s="33"/>
      <c r="O1082" s="93">
        <f>IFERROR(IF(Readings[[#This Row],[Obs. X]]="","-",Readings[[#This Row],[Obs. X]]-_xlfn.XLOOKUP(Readings[[#This Row],[Sensor ID]],Table_Baseline[Sensor ID],Table_Baseline[Easting '[m']],"-")),"-")</f>
        <v>0</v>
      </c>
      <c r="P1082" s="93">
        <f>IFERROR(IF(Readings[[#This Row],[Obs. Y]]="","-",Readings[[#This Row],[Obs. Y]]-_xlfn.XLOOKUP(Readings[[#This Row],[Sensor ID]],Table_Baseline[Sensor ID],Table_Baseline[Northing '[m']],"-")),"-")</f>
        <v>3.9999999571591616E-3</v>
      </c>
      <c r="Q1082" s="93">
        <f>IFERROR(IF(Readings[[#This Row],[Obs. Z]]="","-",Readings[[#This Row],[Obs. Z]]-_xlfn.XLOOKUP(Readings[[#This Row],[Sensor ID]],Table_Baseline[Sensor ID],Table_Baseline[Level '[m']],"-")),"-")</f>
        <v>-5.9999999999860165E-4</v>
      </c>
      <c r="R1082" s="93">
        <f>IFERROR(IF(Readings[[#This Row],[Reference Angle]]="-","-",(Readings[[#This Row],[Diff E]]*COS(RADIANS(Readings[[#This Row],[Reference Angle]]))-Readings[[#This Row],[Diff N]]*SIN(RADIANS(Readings[[#This Row],[Reference Angle]])))),"-")</f>
        <v>0</v>
      </c>
      <c r="S1082" s="93">
        <f>IFERROR(IF(Readings[[#This Row],[Reference Angle]]="-","-",(Readings[[#This Row],[Diff E]]*SIN(RADIANS(Readings[[#This Row],[Reference Angle]]))+Readings[[#This Row],[Diff N]]*COS(RADIANS(Readings[[#This Row],[Reference Angle]])))),"-")</f>
        <v>3.9999999571591616E-3</v>
      </c>
      <c r="T1082" s="94">
        <f>IFERROR(VLOOKUP(Readings[[#This Row],[Sensor ID]],Table_Baseline[],COLUMNS(Table_Baseline[[#Headers],[Sensor ID]:[Reference Angle '[Deg']]]),FALSE),"-")</f>
        <v>0</v>
      </c>
      <c r="U1082" s="95" t="str">
        <f>Readings[[#This Row],[Sensor ID]]&amp;"-"&amp;Readings[[#This Row],[Epoch]]</f>
        <v>250-RL-OP-11019-45859.2708333333</v>
      </c>
      <c r="V1082" s="99">
        <f ca="1">IF(Readings[[#This Row],[Epoch]]=OFFSET(Readings[[#This Row],[Epoch]],-1,0),0,1)</f>
        <v>0</v>
      </c>
    </row>
    <row r="1083" spans="4:22" x14ac:dyDescent="0.2">
      <c r="D1083" s="32">
        <v>45859.270833333336</v>
      </c>
      <c r="E1083" s="33" t="s">
        <v>189</v>
      </c>
      <c r="F1083" s="34">
        <v>60060.639999999999</v>
      </c>
      <c r="G1083" s="34">
        <v>363837.32699999999</v>
      </c>
      <c r="H1083" s="34">
        <v>18.782</v>
      </c>
      <c r="I1083" s="33" t="s">
        <v>85</v>
      </c>
      <c r="J1083" s="33" t="s">
        <v>90</v>
      </c>
      <c r="K1083" s="33">
        <v>11.7</v>
      </c>
      <c r="L1083" s="33">
        <v>1019.2</v>
      </c>
      <c r="M1083" s="33">
        <v>90</v>
      </c>
      <c r="N1083" s="33"/>
      <c r="O1083" s="93">
        <f>IFERROR(IF(Readings[[#This Row],[Obs. X]]="","-",Readings[[#This Row],[Obs. X]]-_xlfn.XLOOKUP(Readings[[#This Row],[Sensor ID]],Table_Baseline[Sensor ID],Table_Baseline[Easting '[m']],"-")),"-")</f>
        <v>0</v>
      </c>
      <c r="P1083" s="93">
        <f>IFERROR(IF(Readings[[#This Row],[Obs. Y]]="","-",Readings[[#This Row],[Obs. Y]]-_xlfn.XLOOKUP(Readings[[#This Row],[Sensor ID]],Table_Baseline[Sensor ID],Table_Baseline[Northing '[m']],"-")),"-")</f>
        <v>5.0000000046566129E-3</v>
      </c>
      <c r="Q1083" s="93">
        <f>IFERROR(IF(Readings[[#This Row],[Obs. Z]]="","-",Readings[[#This Row],[Obs. Z]]-_xlfn.XLOOKUP(Readings[[#This Row],[Sensor ID]],Table_Baseline[Sensor ID],Table_Baseline[Level '[m']],"-")),"-")</f>
        <v>-1.5999999999998238E-3</v>
      </c>
      <c r="R1083" s="93">
        <f>IFERROR(IF(Readings[[#This Row],[Reference Angle]]="-","-",(Readings[[#This Row],[Diff E]]*COS(RADIANS(Readings[[#This Row],[Reference Angle]]))-Readings[[#This Row],[Diff N]]*SIN(RADIANS(Readings[[#This Row],[Reference Angle]])))),"-")</f>
        <v>0</v>
      </c>
      <c r="S1083" s="93">
        <f>IFERROR(IF(Readings[[#This Row],[Reference Angle]]="-","-",(Readings[[#This Row],[Diff E]]*SIN(RADIANS(Readings[[#This Row],[Reference Angle]]))+Readings[[#This Row],[Diff N]]*COS(RADIANS(Readings[[#This Row],[Reference Angle]])))),"-")</f>
        <v>5.0000000046566129E-3</v>
      </c>
      <c r="T1083" s="94">
        <f>IFERROR(VLOOKUP(Readings[[#This Row],[Sensor ID]],Table_Baseline[],COLUMNS(Table_Baseline[[#Headers],[Sensor ID]:[Reference Angle '[Deg']]]),FALSE),"-")</f>
        <v>0</v>
      </c>
      <c r="U1083" s="95" t="str">
        <f>Readings[[#This Row],[Sensor ID]]&amp;"-"&amp;Readings[[#This Row],[Epoch]]</f>
        <v>250-RL-OP-11020-45859.2708333333</v>
      </c>
      <c r="V1083" s="99">
        <f ca="1">IF(Readings[[#This Row],[Epoch]]=OFFSET(Readings[[#This Row],[Epoch]],-1,0),0,1)</f>
        <v>0</v>
      </c>
    </row>
    <row r="1084" spans="4:22" x14ac:dyDescent="0.2">
      <c r="D1084" s="32">
        <v>45859.270833333336</v>
      </c>
      <c r="E1084" s="33" t="s">
        <v>192</v>
      </c>
      <c r="F1084" s="34">
        <v>60063.75</v>
      </c>
      <c r="G1084" s="34">
        <v>363837.92200000002</v>
      </c>
      <c r="H1084" s="34">
        <v>18.808</v>
      </c>
      <c r="I1084" s="33" t="s">
        <v>85</v>
      </c>
      <c r="J1084" s="33" t="s">
        <v>90</v>
      </c>
      <c r="K1084" s="33">
        <v>11.7</v>
      </c>
      <c r="L1084" s="33">
        <v>1019.2</v>
      </c>
      <c r="M1084" s="33">
        <v>90</v>
      </c>
      <c r="N1084" s="33"/>
      <c r="O1084" s="93">
        <f>IFERROR(IF(Readings[[#This Row],[Obs. X]]="","-",Readings[[#This Row],[Obs. X]]-_xlfn.XLOOKUP(Readings[[#This Row],[Sensor ID]],Table_Baseline[Sensor ID],Table_Baseline[Easting '[m']],"-")),"-")</f>
        <v>-9.9999999656574801E-4</v>
      </c>
      <c r="P1084" s="93">
        <f>IFERROR(IF(Readings[[#This Row],[Obs. Y]]="","-",Readings[[#This Row],[Obs. Y]]-_xlfn.XLOOKUP(Readings[[#This Row],[Sensor ID]],Table_Baseline[Sensor ID],Table_Baseline[Northing '[m']],"-")),"-")</f>
        <v>4.0000000153668225E-3</v>
      </c>
      <c r="Q1084" s="93">
        <f>IFERROR(IF(Readings[[#This Row],[Obs. Z]]="","-",Readings[[#This Row],[Obs. Z]]-_xlfn.XLOOKUP(Readings[[#This Row],[Sensor ID]],Table_Baseline[Sensor ID],Table_Baseline[Level '[m']],"-")),"-")</f>
        <v>-1.0000000000012221E-3</v>
      </c>
      <c r="R1084" s="93">
        <f>IFERROR(IF(Readings[[#This Row],[Reference Angle]]="-","-",(Readings[[#This Row],[Diff E]]*COS(RADIANS(Readings[[#This Row],[Reference Angle]]))-Readings[[#This Row],[Diff N]]*SIN(RADIANS(Readings[[#This Row],[Reference Angle]])))),"-")</f>
        <v>-9.9999999656574801E-4</v>
      </c>
      <c r="S1084" s="93">
        <f>IFERROR(IF(Readings[[#This Row],[Reference Angle]]="-","-",(Readings[[#This Row],[Diff E]]*SIN(RADIANS(Readings[[#This Row],[Reference Angle]]))+Readings[[#This Row],[Diff N]]*COS(RADIANS(Readings[[#This Row],[Reference Angle]])))),"-")</f>
        <v>4.0000000153668225E-3</v>
      </c>
      <c r="T1084" s="94">
        <f>IFERROR(VLOOKUP(Readings[[#This Row],[Sensor ID]],Table_Baseline[],COLUMNS(Table_Baseline[[#Headers],[Sensor ID]:[Reference Angle '[Deg']]]),FALSE),"-")</f>
        <v>0</v>
      </c>
      <c r="U1084" s="95" t="str">
        <f>Readings[[#This Row],[Sensor ID]]&amp;"-"&amp;Readings[[#This Row],[Epoch]]</f>
        <v>250-RL-OP-11021-45859.2708333333</v>
      </c>
      <c r="V1084" s="99">
        <f ca="1">IF(Readings[[#This Row],[Epoch]]=OFFSET(Readings[[#This Row],[Epoch]],-1,0),0,1)</f>
        <v>0</v>
      </c>
    </row>
    <row r="1085" spans="4:22" x14ac:dyDescent="0.2">
      <c r="D1085" s="32">
        <v>45859.270833333336</v>
      </c>
      <c r="E1085" s="33" t="s">
        <v>191</v>
      </c>
      <c r="F1085" s="34">
        <v>60063.421000000002</v>
      </c>
      <c r="G1085" s="34">
        <v>363836.64</v>
      </c>
      <c r="H1085" s="34">
        <v>18.792999999999999</v>
      </c>
      <c r="I1085" s="33" t="s">
        <v>85</v>
      </c>
      <c r="J1085" s="33" t="s">
        <v>90</v>
      </c>
      <c r="K1085" s="33">
        <v>11.7</v>
      </c>
      <c r="L1085" s="33">
        <v>1019.2</v>
      </c>
      <c r="M1085" s="33">
        <v>90</v>
      </c>
      <c r="N1085" s="33"/>
      <c r="O1085" s="93">
        <f>IFERROR(IF(Readings[[#This Row],[Obs. X]]="","-",Readings[[#This Row],[Obs. X]]-_xlfn.XLOOKUP(Readings[[#This Row],[Sensor ID]],Table_Baseline[Sensor ID],Table_Baseline[Easting '[m']],"-")),"-")</f>
        <v>-9.9999999656574801E-4</v>
      </c>
      <c r="P1085" s="93">
        <f>IFERROR(IF(Readings[[#This Row],[Obs. Y]]="","-",Readings[[#This Row],[Obs. Y]]-_xlfn.XLOOKUP(Readings[[#This Row],[Sensor ID]],Table_Baseline[Sensor ID],Table_Baseline[Northing '[m']],"-")),"-")</f>
        <v>4.0000000153668225E-3</v>
      </c>
      <c r="Q1085" s="93">
        <f>IFERROR(IF(Readings[[#This Row],[Obs. Z]]="","-",Readings[[#This Row],[Obs. Z]]-_xlfn.XLOOKUP(Readings[[#This Row],[Sensor ID]],Table_Baseline[Sensor ID],Table_Baseline[Level '[m']],"-")),"-")</f>
        <v>-1.8999999999991246E-3</v>
      </c>
      <c r="R1085" s="93">
        <f>IFERROR(IF(Readings[[#This Row],[Reference Angle]]="-","-",(Readings[[#This Row],[Diff E]]*COS(RADIANS(Readings[[#This Row],[Reference Angle]]))-Readings[[#This Row],[Diff N]]*SIN(RADIANS(Readings[[#This Row],[Reference Angle]])))),"-")</f>
        <v>-9.9999999656574801E-4</v>
      </c>
      <c r="S1085" s="93">
        <f>IFERROR(IF(Readings[[#This Row],[Reference Angle]]="-","-",(Readings[[#This Row],[Diff E]]*SIN(RADIANS(Readings[[#This Row],[Reference Angle]]))+Readings[[#This Row],[Diff N]]*COS(RADIANS(Readings[[#This Row],[Reference Angle]])))),"-")</f>
        <v>4.0000000153668225E-3</v>
      </c>
      <c r="T1085" s="94">
        <f>IFERROR(VLOOKUP(Readings[[#This Row],[Sensor ID]],Table_Baseline[],COLUMNS(Table_Baseline[[#Headers],[Sensor ID]:[Reference Angle '[Deg']]]),FALSE),"-")</f>
        <v>0</v>
      </c>
      <c r="U1085" s="95" t="str">
        <f>Readings[[#This Row],[Sensor ID]]&amp;"-"&amp;Readings[[#This Row],[Epoch]]</f>
        <v>250-RL-OP-11022-45859.2708333333</v>
      </c>
      <c r="V1085" s="99">
        <f ca="1">IF(Readings[[#This Row],[Epoch]]=OFFSET(Readings[[#This Row],[Epoch]],-1,0),0,1)</f>
        <v>0</v>
      </c>
    </row>
    <row r="1086" spans="4:22" x14ac:dyDescent="0.2">
      <c r="D1086" s="32">
        <v>45859.270833333336</v>
      </c>
      <c r="E1086" s="33" t="s">
        <v>165</v>
      </c>
      <c r="F1086" s="34">
        <v>60034.538999999997</v>
      </c>
      <c r="G1086" s="34">
        <v>363843.38099999999</v>
      </c>
      <c r="H1086" s="34">
        <v>19.331</v>
      </c>
      <c r="I1086" s="33" t="s">
        <v>85</v>
      </c>
      <c r="J1086" s="33" t="s">
        <v>90</v>
      </c>
      <c r="K1086" s="33">
        <v>11.7</v>
      </c>
      <c r="L1086" s="33">
        <v>1019.2</v>
      </c>
      <c r="M1086" s="33">
        <v>90</v>
      </c>
      <c r="N1086" s="33"/>
      <c r="O1086" s="93" t="str">
        <f>IFERROR(IF(Readings[[#This Row],[Obs. X]]="","-",Readings[[#This Row],[Obs. X]]-_xlfn.XLOOKUP(Readings[[#This Row],[Sensor ID]],Table_Baseline[Sensor ID],Table_Baseline[Easting '[m']],"-")),"-")</f>
        <v>-</v>
      </c>
      <c r="P1086" s="93" t="str">
        <f>IFERROR(IF(Readings[[#This Row],[Obs. Y]]="","-",Readings[[#This Row],[Obs. Y]]-_xlfn.XLOOKUP(Readings[[#This Row],[Sensor ID]],Table_Baseline[Sensor ID],Table_Baseline[Northing '[m']],"-")),"-")</f>
        <v>-</v>
      </c>
      <c r="Q1086" s="93" t="str">
        <f>IFERROR(IF(Readings[[#This Row],[Obs. Z]]="","-",Readings[[#This Row],[Obs. Z]]-_xlfn.XLOOKUP(Readings[[#This Row],[Sensor ID]],Table_Baseline[Sensor ID],Table_Baseline[Level '[m']],"-")),"-")</f>
        <v>-</v>
      </c>
      <c r="R1086" s="93" t="str">
        <f>IFERROR(IF(Readings[[#This Row],[Reference Angle]]="-","-",(Readings[[#This Row],[Diff E]]*COS(RADIANS(Readings[[#This Row],[Reference Angle]]))-Readings[[#This Row],[Diff N]]*SIN(RADIANS(Readings[[#This Row],[Reference Angle]])))),"-")</f>
        <v>-</v>
      </c>
      <c r="S1086" s="93" t="str">
        <f>IFERROR(IF(Readings[[#This Row],[Reference Angle]]="-","-",(Readings[[#This Row],[Diff E]]*SIN(RADIANS(Readings[[#This Row],[Reference Angle]]))+Readings[[#This Row],[Diff N]]*COS(RADIANS(Readings[[#This Row],[Reference Angle]])))),"-")</f>
        <v>-</v>
      </c>
      <c r="T1086" s="94" t="str">
        <f>IFERROR(VLOOKUP(Readings[[#This Row],[Sensor ID]],Table_Baseline[],COLUMNS(Table_Baseline[[#Headers],[Sensor ID]:[Reference Angle '[Deg']]]),FALSE),"-")</f>
        <v>-</v>
      </c>
      <c r="U1086" s="95" t="str">
        <f>Readings[[#This Row],[Sensor ID]]&amp;"-"&amp;Readings[[#This Row],[Epoch]]</f>
        <v>250-ST-OP-500-45859.2708333333</v>
      </c>
      <c r="V1086" s="99">
        <f ca="1">IF(Readings[[#This Row],[Epoch]]=OFFSET(Readings[[#This Row],[Epoch]],-1,0),0,1)</f>
        <v>0</v>
      </c>
    </row>
    <row r="1087" spans="4:22" x14ac:dyDescent="0.2">
      <c r="D1087" s="32">
        <v>45859.270833333336</v>
      </c>
      <c r="E1087" s="33" t="s">
        <v>166</v>
      </c>
      <c r="F1087" s="34">
        <v>60040.286999999997</v>
      </c>
      <c r="G1087" s="34">
        <v>363841.72899999999</v>
      </c>
      <c r="H1087" s="34">
        <v>19.321999999999999</v>
      </c>
      <c r="I1087" s="33" t="s">
        <v>85</v>
      </c>
      <c r="J1087" s="33" t="s">
        <v>90</v>
      </c>
      <c r="K1087" s="33">
        <v>11.7</v>
      </c>
      <c r="L1087" s="33">
        <v>1019.2</v>
      </c>
      <c r="M1087" s="33">
        <v>90</v>
      </c>
      <c r="N1087" s="33"/>
      <c r="O1087" s="93" t="str">
        <f>IFERROR(IF(Readings[[#This Row],[Obs. X]]="","-",Readings[[#This Row],[Obs. X]]-_xlfn.XLOOKUP(Readings[[#This Row],[Sensor ID]],Table_Baseline[Sensor ID],Table_Baseline[Easting '[m']],"-")),"-")</f>
        <v>-</v>
      </c>
      <c r="P1087" s="93" t="str">
        <f>IFERROR(IF(Readings[[#This Row],[Obs. Y]]="","-",Readings[[#This Row],[Obs. Y]]-_xlfn.XLOOKUP(Readings[[#This Row],[Sensor ID]],Table_Baseline[Sensor ID],Table_Baseline[Northing '[m']],"-")),"-")</f>
        <v>-</v>
      </c>
      <c r="Q1087" s="93" t="str">
        <f>IFERROR(IF(Readings[[#This Row],[Obs. Z]]="","-",Readings[[#This Row],[Obs. Z]]-_xlfn.XLOOKUP(Readings[[#This Row],[Sensor ID]],Table_Baseline[Sensor ID],Table_Baseline[Level '[m']],"-")),"-")</f>
        <v>-</v>
      </c>
      <c r="R1087" s="93" t="str">
        <f>IFERROR(IF(Readings[[#This Row],[Reference Angle]]="-","-",(Readings[[#This Row],[Diff E]]*COS(RADIANS(Readings[[#This Row],[Reference Angle]]))-Readings[[#This Row],[Diff N]]*SIN(RADIANS(Readings[[#This Row],[Reference Angle]])))),"-")</f>
        <v>-</v>
      </c>
      <c r="S1087" s="93" t="str">
        <f>IFERROR(IF(Readings[[#This Row],[Reference Angle]]="-","-",(Readings[[#This Row],[Diff E]]*SIN(RADIANS(Readings[[#This Row],[Reference Angle]]))+Readings[[#This Row],[Diff N]]*COS(RADIANS(Readings[[#This Row],[Reference Angle]])))),"-")</f>
        <v>-</v>
      </c>
      <c r="T1087" s="94" t="str">
        <f>IFERROR(VLOOKUP(Readings[[#This Row],[Sensor ID]],Table_Baseline[],COLUMNS(Table_Baseline[[#Headers],[Sensor ID]:[Reference Angle '[Deg']]]),FALSE),"-")</f>
        <v>-</v>
      </c>
      <c r="U1087" s="95" t="str">
        <f>Readings[[#This Row],[Sensor ID]]&amp;"-"&amp;Readings[[#This Row],[Epoch]]</f>
        <v>250-ST-OP-501-45859.2708333333</v>
      </c>
      <c r="V1087" s="99">
        <f ca="1">IF(Readings[[#This Row],[Epoch]]=OFFSET(Readings[[#This Row],[Epoch]],-1,0),0,1)</f>
        <v>0</v>
      </c>
    </row>
    <row r="1088" spans="4:22" x14ac:dyDescent="0.2">
      <c r="D1088" s="32">
        <v>45859.270833333336</v>
      </c>
      <c r="E1088" s="33" t="s">
        <v>167</v>
      </c>
      <c r="F1088" s="34">
        <v>60045.921999999999</v>
      </c>
      <c r="G1088" s="34">
        <v>363840.10100000002</v>
      </c>
      <c r="H1088" s="34">
        <v>19.334</v>
      </c>
      <c r="I1088" s="33" t="s">
        <v>85</v>
      </c>
      <c r="J1088" s="33" t="s">
        <v>90</v>
      </c>
      <c r="K1088" s="33">
        <v>11.7</v>
      </c>
      <c r="L1088" s="33">
        <v>1019.2</v>
      </c>
      <c r="M1088" s="33">
        <v>90</v>
      </c>
      <c r="N1088" s="33"/>
      <c r="O1088" s="93" t="str">
        <f>IFERROR(IF(Readings[[#This Row],[Obs. X]]="","-",Readings[[#This Row],[Obs. X]]-_xlfn.XLOOKUP(Readings[[#This Row],[Sensor ID]],Table_Baseline[Sensor ID],Table_Baseline[Easting '[m']],"-")),"-")</f>
        <v>-</v>
      </c>
      <c r="P1088" s="93" t="str">
        <f>IFERROR(IF(Readings[[#This Row],[Obs. Y]]="","-",Readings[[#This Row],[Obs. Y]]-_xlfn.XLOOKUP(Readings[[#This Row],[Sensor ID]],Table_Baseline[Sensor ID],Table_Baseline[Northing '[m']],"-")),"-")</f>
        <v>-</v>
      </c>
      <c r="Q1088" s="93" t="str">
        <f>IFERROR(IF(Readings[[#This Row],[Obs. Z]]="","-",Readings[[#This Row],[Obs. Z]]-_xlfn.XLOOKUP(Readings[[#This Row],[Sensor ID]],Table_Baseline[Sensor ID],Table_Baseline[Level '[m']],"-")),"-")</f>
        <v>-</v>
      </c>
      <c r="R1088" s="93" t="str">
        <f>IFERROR(IF(Readings[[#This Row],[Reference Angle]]="-","-",(Readings[[#This Row],[Diff E]]*COS(RADIANS(Readings[[#This Row],[Reference Angle]]))-Readings[[#This Row],[Diff N]]*SIN(RADIANS(Readings[[#This Row],[Reference Angle]])))),"-")</f>
        <v>-</v>
      </c>
      <c r="S1088" s="93" t="str">
        <f>IFERROR(IF(Readings[[#This Row],[Reference Angle]]="-","-",(Readings[[#This Row],[Diff E]]*SIN(RADIANS(Readings[[#This Row],[Reference Angle]]))+Readings[[#This Row],[Diff N]]*COS(RADIANS(Readings[[#This Row],[Reference Angle]])))),"-")</f>
        <v>-</v>
      </c>
      <c r="T1088" s="94" t="str">
        <f>IFERROR(VLOOKUP(Readings[[#This Row],[Sensor ID]],Table_Baseline[],COLUMNS(Table_Baseline[[#Headers],[Sensor ID]:[Reference Angle '[Deg']]]),FALSE),"-")</f>
        <v>-</v>
      </c>
      <c r="U1088" s="95" t="str">
        <f>Readings[[#This Row],[Sensor ID]]&amp;"-"&amp;Readings[[#This Row],[Epoch]]</f>
        <v>250-ST-OP-502-45859.2708333333</v>
      </c>
      <c r="V1088" s="99">
        <f ca="1">IF(Readings[[#This Row],[Epoch]]=OFFSET(Readings[[#This Row],[Epoch]],-1,0),0,1)</f>
        <v>0</v>
      </c>
    </row>
    <row r="1089" spans="4:22" x14ac:dyDescent="0.2">
      <c r="D1089" s="32">
        <v>45859.270833333336</v>
      </c>
      <c r="E1089" s="33" t="s">
        <v>168</v>
      </c>
      <c r="F1089" s="34">
        <v>60049.767999999996</v>
      </c>
      <c r="G1089" s="34">
        <v>363838.99400000001</v>
      </c>
      <c r="H1089" s="34">
        <v>19.344999999999999</v>
      </c>
      <c r="I1089" s="33" t="s">
        <v>85</v>
      </c>
      <c r="J1089" s="33" t="s">
        <v>90</v>
      </c>
      <c r="K1089" s="33">
        <v>11.7</v>
      </c>
      <c r="L1089" s="33">
        <v>1019.2</v>
      </c>
      <c r="M1089" s="33">
        <v>90</v>
      </c>
      <c r="N1089" s="33"/>
      <c r="O1089" s="93" t="str">
        <f>IFERROR(IF(Readings[[#This Row],[Obs. X]]="","-",Readings[[#This Row],[Obs. X]]-_xlfn.XLOOKUP(Readings[[#This Row],[Sensor ID]],Table_Baseline[Sensor ID],Table_Baseline[Easting '[m']],"-")),"-")</f>
        <v>-</v>
      </c>
      <c r="P1089" s="93" t="str">
        <f>IFERROR(IF(Readings[[#This Row],[Obs. Y]]="","-",Readings[[#This Row],[Obs. Y]]-_xlfn.XLOOKUP(Readings[[#This Row],[Sensor ID]],Table_Baseline[Sensor ID],Table_Baseline[Northing '[m']],"-")),"-")</f>
        <v>-</v>
      </c>
      <c r="Q1089" s="93" t="str">
        <f>IFERROR(IF(Readings[[#This Row],[Obs. Z]]="","-",Readings[[#This Row],[Obs. Z]]-_xlfn.XLOOKUP(Readings[[#This Row],[Sensor ID]],Table_Baseline[Sensor ID],Table_Baseline[Level '[m']],"-")),"-")</f>
        <v>-</v>
      </c>
      <c r="R1089" s="93" t="str">
        <f>IFERROR(IF(Readings[[#This Row],[Reference Angle]]="-","-",(Readings[[#This Row],[Diff E]]*COS(RADIANS(Readings[[#This Row],[Reference Angle]]))-Readings[[#This Row],[Diff N]]*SIN(RADIANS(Readings[[#This Row],[Reference Angle]])))),"-")</f>
        <v>-</v>
      </c>
      <c r="S1089" s="93" t="str">
        <f>IFERROR(IF(Readings[[#This Row],[Reference Angle]]="-","-",(Readings[[#This Row],[Diff E]]*SIN(RADIANS(Readings[[#This Row],[Reference Angle]]))+Readings[[#This Row],[Diff N]]*COS(RADIANS(Readings[[#This Row],[Reference Angle]])))),"-")</f>
        <v>-</v>
      </c>
      <c r="T1089" s="94" t="str">
        <f>IFERROR(VLOOKUP(Readings[[#This Row],[Sensor ID]],Table_Baseline[],COLUMNS(Table_Baseline[[#Headers],[Sensor ID]:[Reference Angle '[Deg']]]),FALSE),"-")</f>
        <v>-</v>
      </c>
      <c r="U1089" s="95" t="str">
        <f>Readings[[#This Row],[Sensor ID]]&amp;"-"&amp;Readings[[#This Row],[Epoch]]</f>
        <v>250-ST-OP-503-45859.2708333333</v>
      </c>
      <c r="V1089" s="99">
        <f ca="1">IF(Readings[[#This Row],[Epoch]]=OFFSET(Readings[[#This Row],[Epoch]],-1,0),0,1)</f>
        <v>0</v>
      </c>
    </row>
    <row r="1090" spans="4:22" x14ac:dyDescent="0.2">
      <c r="D1090" s="32">
        <v>45859.270833333336</v>
      </c>
      <c r="E1090" s="33" t="s">
        <v>169</v>
      </c>
      <c r="F1090" s="34">
        <v>60053.608999999997</v>
      </c>
      <c r="G1090" s="34">
        <v>363837.88300000003</v>
      </c>
      <c r="H1090" s="34">
        <v>19.356000000000002</v>
      </c>
      <c r="I1090" s="33" t="s">
        <v>85</v>
      </c>
      <c r="J1090" s="33" t="s">
        <v>90</v>
      </c>
      <c r="K1090" s="33">
        <v>11.7</v>
      </c>
      <c r="L1090" s="33">
        <v>1019.2</v>
      </c>
      <c r="M1090" s="33">
        <v>90</v>
      </c>
      <c r="N1090" s="33"/>
      <c r="O1090" s="93" t="str">
        <f>IFERROR(IF(Readings[[#This Row],[Obs. X]]="","-",Readings[[#This Row],[Obs. X]]-_xlfn.XLOOKUP(Readings[[#This Row],[Sensor ID]],Table_Baseline[Sensor ID],Table_Baseline[Easting '[m']],"-")),"-")</f>
        <v>-</v>
      </c>
      <c r="P1090" s="93" t="str">
        <f>IFERROR(IF(Readings[[#This Row],[Obs. Y]]="","-",Readings[[#This Row],[Obs. Y]]-_xlfn.XLOOKUP(Readings[[#This Row],[Sensor ID]],Table_Baseline[Sensor ID],Table_Baseline[Northing '[m']],"-")),"-")</f>
        <v>-</v>
      </c>
      <c r="Q1090" s="93" t="str">
        <f>IFERROR(IF(Readings[[#This Row],[Obs. Z]]="","-",Readings[[#This Row],[Obs. Z]]-_xlfn.XLOOKUP(Readings[[#This Row],[Sensor ID]],Table_Baseline[Sensor ID],Table_Baseline[Level '[m']],"-")),"-")</f>
        <v>-</v>
      </c>
      <c r="R1090" s="93" t="str">
        <f>IFERROR(IF(Readings[[#This Row],[Reference Angle]]="-","-",(Readings[[#This Row],[Diff E]]*COS(RADIANS(Readings[[#This Row],[Reference Angle]]))-Readings[[#This Row],[Diff N]]*SIN(RADIANS(Readings[[#This Row],[Reference Angle]])))),"-")</f>
        <v>-</v>
      </c>
      <c r="S1090" s="93" t="str">
        <f>IFERROR(IF(Readings[[#This Row],[Reference Angle]]="-","-",(Readings[[#This Row],[Diff E]]*SIN(RADIANS(Readings[[#This Row],[Reference Angle]]))+Readings[[#This Row],[Diff N]]*COS(RADIANS(Readings[[#This Row],[Reference Angle]])))),"-")</f>
        <v>-</v>
      </c>
      <c r="T1090" s="94" t="str">
        <f>IFERROR(VLOOKUP(Readings[[#This Row],[Sensor ID]],Table_Baseline[],COLUMNS(Table_Baseline[[#Headers],[Sensor ID]:[Reference Angle '[Deg']]]),FALSE),"-")</f>
        <v>-</v>
      </c>
      <c r="U1090" s="95" t="str">
        <f>Readings[[#This Row],[Sensor ID]]&amp;"-"&amp;Readings[[#This Row],[Epoch]]</f>
        <v>250-ST-OP-504-45859.2708333333</v>
      </c>
      <c r="V1090" s="99">
        <f ca="1">IF(Readings[[#This Row],[Epoch]]=OFFSET(Readings[[#This Row],[Epoch]],-1,0),0,1)</f>
        <v>0</v>
      </c>
    </row>
    <row r="1091" spans="4:22" x14ac:dyDescent="0.2">
      <c r="D1091" s="204">
        <v>45859.270833333336</v>
      </c>
      <c r="E1091" s="151" t="s">
        <v>170</v>
      </c>
      <c r="F1091" s="152">
        <v>60060.065000000002</v>
      </c>
      <c r="G1091" s="152">
        <v>363836.02500000002</v>
      </c>
      <c r="H1091" s="152">
        <v>19.356000000000002</v>
      </c>
      <c r="I1091" s="151" t="s">
        <v>85</v>
      </c>
      <c r="J1091" s="151" t="s">
        <v>90</v>
      </c>
      <c r="K1091" s="151">
        <v>11.7</v>
      </c>
      <c r="L1091" s="151">
        <v>1019.2</v>
      </c>
      <c r="M1091" s="151">
        <v>90</v>
      </c>
      <c r="N1091" s="151"/>
      <c r="O1091" s="96" t="str">
        <f>IFERROR(IF(Readings[[#This Row],[Obs. X]]="","-",Readings[[#This Row],[Obs. X]]-_xlfn.XLOOKUP(Readings[[#This Row],[Sensor ID]],Table_Baseline[Sensor ID],Table_Baseline[Easting '[m']],"-")),"-")</f>
        <v>-</v>
      </c>
      <c r="P1091" s="96" t="str">
        <f>IFERROR(IF(Readings[[#This Row],[Obs. Y]]="","-",Readings[[#This Row],[Obs. Y]]-_xlfn.XLOOKUP(Readings[[#This Row],[Sensor ID]],Table_Baseline[Sensor ID],Table_Baseline[Northing '[m']],"-")),"-")</f>
        <v>-</v>
      </c>
      <c r="Q1091" s="96" t="str">
        <f>IFERROR(IF(Readings[[#This Row],[Obs. Z]]="","-",Readings[[#This Row],[Obs. Z]]-_xlfn.XLOOKUP(Readings[[#This Row],[Sensor ID]],Table_Baseline[Sensor ID],Table_Baseline[Level '[m']],"-")),"-")</f>
        <v>-</v>
      </c>
      <c r="R1091" s="96" t="str">
        <f>IFERROR(IF(Readings[[#This Row],[Reference Angle]]="-","-",(Readings[[#This Row],[Diff E]]*COS(RADIANS(Readings[[#This Row],[Reference Angle]]))-Readings[[#This Row],[Diff N]]*SIN(RADIANS(Readings[[#This Row],[Reference Angle]])))),"-")</f>
        <v>-</v>
      </c>
      <c r="S1091" s="96" t="str">
        <f>IFERROR(IF(Readings[[#This Row],[Reference Angle]]="-","-",(Readings[[#This Row],[Diff E]]*SIN(RADIANS(Readings[[#This Row],[Reference Angle]]))+Readings[[#This Row],[Diff N]]*COS(RADIANS(Readings[[#This Row],[Reference Angle]])))),"-")</f>
        <v>-</v>
      </c>
      <c r="T1091" s="97" t="str">
        <f>IFERROR(VLOOKUP(Readings[[#This Row],[Sensor ID]],Table_Baseline[],COLUMNS(Table_Baseline[[#Headers],[Sensor ID]:[Reference Angle '[Deg']]]),FALSE),"-")</f>
        <v>-</v>
      </c>
      <c r="U1091" s="98" t="str">
        <f>Readings[[#This Row],[Sensor ID]]&amp;"-"&amp;Readings[[#This Row],[Epoch]]</f>
        <v>250-ST-OP-505-45859.2708333333</v>
      </c>
      <c r="V1091" s="100">
        <f ca="1">IF(Readings[[#This Row],[Epoch]]=OFFSET(Readings[[#This Row],[Epoch]],-1,0),0,1)</f>
        <v>0</v>
      </c>
    </row>
    <row r="1092" spans="4:22" x14ac:dyDescent="0.2">
      <c r="D1092" s="32">
        <v>45863.25</v>
      </c>
      <c r="E1092" s="33" t="s">
        <v>172</v>
      </c>
      <c r="F1092" s="34">
        <v>60035.339</v>
      </c>
      <c r="G1092" s="34">
        <v>363845.73800000001</v>
      </c>
      <c r="H1092" s="34">
        <v>18.782</v>
      </c>
      <c r="I1092" s="33" t="s">
        <v>85</v>
      </c>
      <c r="J1092" s="33" t="s">
        <v>90</v>
      </c>
      <c r="K1092" s="33">
        <v>14.3</v>
      </c>
      <c r="L1092" s="33">
        <v>1020.1</v>
      </c>
      <c r="M1092" s="33">
        <v>80</v>
      </c>
      <c r="N1092" s="33"/>
      <c r="O1092" s="93">
        <f>IFERROR(IF(Readings[[#This Row],[Obs. X]]="","-",Readings[[#This Row],[Obs. X]]-_xlfn.XLOOKUP(Readings[[#This Row],[Sensor ID]],Table_Baseline[Sensor ID],Table_Baseline[Easting '[m']],"-")),"-")</f>
        <v>-9.9999999656574801E-4</v>
      </c>
      <c r="P1092" s="93">
        <f>IFERROR(IF(Readings[[#This Row],[Obs. Y]]="","-",Readings[[#This Row],[Obs. Y]]-_xlfn.XLOOKUP(Readings[[#This Row],[Sensor ID]],Table_Baseline[Sensor ID],Table_Baseline[Northing '[m']],"-")),"-")</f>
        <v>-9.9999998928979039E-4</v>
      </c>
      <c r="Q1092" s="93">
        <f>IFERROR(IF(Readings[[#This Row],[Obs. Z]]="","-",Readings[[#This Row],[Obs. Z]]-_xlfn.XLOOKUP(Readings[[#This Row],[Sensor ID]],Table_Baseline[Sensor ID],Table_Baseline[Level '[m']],"-")),"-")</f>
        <v>0</v>
      </c>
      <c r="R1092" s="93">
        <f>IFERROR(IF(Readings[[#This Row],[Reference Angle]]="-","-",(Readings[[#This Row],[Diff E]]*COS(RADIANS(Readings[[#This Row],[Reference Angle]]))-Readings[[#This Row],[Diff N]]*SIN(RADIANS(Readings[[#This Row],[Reference Angle]])))),"-")</f>
        <v>-9.9999999656574801E-4</v>
      </c>
      <c r="S1092" s="93">
        <f>IFERROR(IF(Readings[[#This Row],[Reference Angle]]="-","-",(Readings[[#This Row],[Diff E]]*SIN(RADIANS(Readings[[#This Row],[Reference Angle]]))+Readings[[#This Row],[Diff N]]*COS(RADIANS(Readings[[#This Row],[Reference Angle]])))),"-")</f>
        <v>-9.9999998928979039E-4</v>
      </c>
      <c r="T1092" s="94">
        <f>IFERROR(VLOOKUP(Readings[[#This Row],[Sensor ID]],Table_Baseline[],COLUMNS(Table_Baseline[[#Headers],[Sensor ID]:[Reference Angle '[Deg']]]),FALSE),"-")</f>
        <v>0</v>
      </c>
      <c r="U1092" s="95" t="str">
        <f>Readings[[#This Row],[Sensor ID]]&amp;"-"&amp;Readings[[#This Row],[Epoch]]</f>
        <v>250-RL-OP-11001-45863.25</v>
      </c>
      <c r="V1092" s="99">
        <f ca="1">IF(Readings[[#This Row],[Epoch]]=OFFSET(Readings[[#This Row],[Epoch]],-1,0),0,1)</f>
        <v>1</v>
      </c>
    </row>
    <row r="1093" spans="4:22" x14ac:dyDescent="0.2">
      <c r="D1093" s="32">
        <v>45863.25</v>
      </c>
      <c r="E1093" s="33" t="s">
        <v>171</v>
      </c>
      <c r="F1093" s="34">
        <v>60034.959000000003</v>
      </c>
      <c r="G1093" s="34">
        <v>363844.47</v>
      </c>
      <c r="H1093" s="34">
        <v>18.777999999999999</v>
      </c>
      <c r="I1093" s="33" t="s">
        <v>85</v>
      </c>
      <c r="J1093" s="33" t="s">
        <v>90</v>
      </c>
      <c r="K1093" s="33">
        <v>14.3</v>
      </c>
      <c r="L1093" s="33">
        <v>1020.1</v>
      </c>
      <c r="M1093" s="33">
        <v>80</v>
      </c>
      <c r="N1093" s="33"/>
      <c r="O1093" s="93">
        <f>IFERROR(IF(Readings[[#This Row],[Obs. X]]="","-",Readings[[#This Row],[Obs. X]]-_xlfn.XLOOKUP(Readings[[#This Row],[Sensor ID]],Table_Baseline[Sensor ID],Table_Baseline[Easting '[m']],"-")),"-")</f>
        <v>0</v>
      </c>
      <c r="P1093" s="93">
        <f>IFERROR(IF(Readings[[#This Row],[Obs. Y]]="","-",Readings[[#This Row],[Obs. Y]]-_xlfn.XLOOKUP(Readings[[#This Row],[Sensor ID]],Table_Baseline[Sensor ID],Table_Baseline[Northing '[m']],"-")),"-")</f>
        <v>-1.0000000474974513E-3</v>
      </c>
      <c r="Q1093" s="93">
        <f>IFERROR(IF(Readings[[#This Row],[Obs. Z]]="","-",Readings[[#This Row],[Obs. Z]]-_xlfn.XLOOKUP(Readings[[#This Row],[Sensor ID]],Table_Baseline[Sensor ID],Table_Baseline[Level '[m']],"-")),"-")</f>
        <v>-9.9999999999766942E-5</v>
      </c>
      <c r="R1093" s="93">
        <f>IFERROR(IF(Readings[[#This Row],[Reference Angle]]="-","-",(Readings[[#This Row],[Diff E]]*COS(RADIANS(Readings[[#This Row],[Reference Angle]]))-Readings[[#This Row],[Diff N]]*SIN(RADIANS(Readings[[#This Row],[Reference Angle]])))),"-")</f>
        <v>0</v>
      </c>
      <c r="S1093" s="93">
        <f>IFERROR(IF(Readings[[#This Row],[Reference Angle]]="-","-",(Readings[[#This Row],[Diff E]]*SIN(RADIANS(Readings[[#This Row],[Reference Angle]]))+Readings[[#This Row],[Diff N]]*COS(RADIANS(Readings[[#This Row],[Reference Angle]])))),"-")</f>
        <v>-1.0000000474974513E-3</v>
      </c>
      <c r="T1093" s="94">
        <f>IFERROR(VLOOKUP(Readings[[#This Row],[Sensor ID]],Table_Baseline[],COLUMNS(Table_Baseline[[#Headers],[Sensor ID]:[Reference Angle '[Deg']]]),FALSE),"-")</f>
        <v>0</v>
      </c>
      <c r="U1093" s="95" t="str">
        <f>Readings[[#This Row],[Sensor ID]]&amp;"-"&amp;Readings[[#This Row],[Epoch]]</f>
        <v>250-RL-OP-11002-45863.25</v>
      </c>
      <c r="V1093" s="99">
        <f ca="1">IF(Readings[[#This Row],[Epoch]]=OFFSET(Readings[[#This Row],[Epoch]],-1,0),0,1)</f>
        <v>0</v>
      </c>
    </row>
    <row r="1094" spans="4:22" x14ac:dyDescent="0.2">
      <c r="D1094" s="32">
        <v>45863.25</v>
      </c>
      <c r="E1094" s="33" t="s">
        <v>174</v>
      </c>
      <c r="F1094" s="34">
        <v>60038.116999999998</v>
      </c>
      <c r="G1094" s="34">
        <v>363844.94500000001</v>
      </c>
      <c r="H1094" s="34">
        <v>18.777999999999999</v>
      </c>
      <c r="I1094" s="33" t="s">
        <v>85</v>
      </c>
      <c r="J1094" s="33" t="s">
        <v>90</v>
      </c>
      <c r="K1094" s="33">
        <v>14.3</v>
      </c>
      <c r="L1094" s="33">
        <v>1020.1</v>
      </c>
      <c r="M1094" s="33">
        <v>80</v>
      </c>
      <c r="N1094" s="33"/>
      <c r="O1094" s="93">
        <f>IFERROR(IF(Readings[[#This Row],[Obs. X]]="","-",Readings[[#This Row],[Obs. X]]-_xlfn.XLOOKUP(Readings[[#This Row],[Sensor ID]],Table_Baseline[Sensor ID],Table_Baseline[Easting '[m']],"-")),"-")</f>
        <v>-1.0000000038417056E-3</v>
      </c>
      <c r="P1094" s="93">
        <f>IFERROR(IF(Readings[[#This Row],[Obs. Y]]="","-",Readings[[#This Row],[Obs. Y]]-_xlfn.XLOOKUP(Readings[[#This Row],[Sensor ID]],Table_Baseline[Sensor ID],Table_Baseline[Northing '[m']],"-")),"-")</f>
        <v>0</v>
      </c>
      <c r="Q1094" s="93">
        <f>IFERROR(IF(Readings[[#This Row],[Obs. Z]]="","-",Readings[[#This Row],[Obs. Z]]-_xlfn.XLOOKUP(Readings[[#This Row],[Sensor ID]],Table_Baseline[Sensor ID],Table_Baseline[Level '[m']],"-")),"-")</f>
        <v>-8.0000000000168825E-4</v>
      </c>
      <c r="R1094" s="93">
        <f>IFERROR(IF(Readings[[#This Row],[Reference Angle]]="-","-",(Readings[[#This Row],[Diff E]]*COS(RADIANS(Readings[[#This Row],[Reference Angle]]))-Readings[[#This Row],[Diff N]]*SIN(RADIANS(Readings[[#This Row],[Reference Angle]])))),"-")</f>
        <v>-1.0000000038417056E-3</v>
      </c>
      <c r="S1094" s="93">
        <f>IFERROR(IF(Readings[[#This Row],[Reference Angle]]="-","-",(Readings[[#This Row],[Diff E]]*SIN(RADIANS(Readings[[#This Row],[Reference Angle]]))+Readings[[#This Row],[Diff N]]*COS(RADIANS(Readings[[#This Row],[Reference Angle]])))),"-")</f>
        <v>0</v>
      </c>
      <c r="T1094" s="94">
        <f>IFERROR(VLOOKUP(Readings[[#This Row],[Sensor ID]],Table_Baseline[],COLUMNS(Table_Baseline[[#Headers],[Sensor ID]:[Reference Angle '[Deg']]]),FALSE),"-")</f>
        <v>0</v>
      </c>
      <c r="U1094" s="95" t="str">
        <f>Readings[[#This Row],[Sensor ID]]&amp;"-"&amp;Readings[[#This Row],[Epoch]]</f>
        <v>250-RL-OP-11003-45863.25</v>
      </c>
      <c r="V1094" s="99">
        <f ca="1">IF(Readings[[#This Row],[Epoch]]=OFFSET(Readings[[#This Row],[Epoch]],-1,0),0,1)</f>
        <v>0</v>
      </c>
    </row>
    <row r="1095" spans="4:22" x14ac:dyDescent="0.2">
      <c r="D1095" s="32">
        <v>45863.25</v>
      </c>
      <c r="E1095" s="33" t="s">
        <v>173</v>
      </c>
      <c r="F1095" s="34">
        <v>60037.803999999996</v>
      </c>
      <c r="G1095" s="34">
        <v>363843.65700000001</v>
      </c>
      <c r="H1095" s="34">
        <v>18.777999999999999</v>
      </c>
      <c r="I1095" s="33" t="s">
        <v>85</v>
      </c>
      <c r="J1095" s="33" t="s">
        <v>90</v>
      </c>
      <c r="K1095" s="33">
        <v>14.3</v>
      </c>
      <c r="L1095" s="33">
        <v>1020.1</v>
      </c>
      <c r="M1095" s="33">
        <v>80</v>
      </c>
      <c r="N1095" s="33"/>
      <c r="O1095" s="93">
        <f>IFERROR(IF(Readings[[#This Row],[Obs. X]]="","-",Readings[[#This Row],[Obs. X]]-_xlfn.XLOOKUP(Readings[[#This Row],[Sensor ID]],Table_Baseline[Sensor ID],Table_Baseline[Easting '[m']],"-")),"-")</f>
        <v>-1.0000000038417056E-3</v>
      </c>
      <c r="P1095" s="93">
        <f>IFERROR(IF(Readings[[#This Row],[Obs. Y]]="","-",Readings[[#This Row],[Obs. Y]]-_xlfn.XLOOKUP(Readings[[#This Row],[Sensor ID]],Table_Baseline[Sensor ID],Table_Baseline[Northing '[m']],"-")),"-")</f>
        <v>0</v>
      </c>
      <c r="Q1095" s="93">
        <f>IFERROR(IF(Readings[[#This Row],[Obs. Z]]="","-",Readings[[#This Row],[Obs. Z]]-_xlfn.XLOOKUP(Readings[[#This Row],[Sensor ID]],Table_Baseline[Sensor ID],Table_Baseline[Level '[m']],"-")),"-")</f>
        <v>-5.0000000000238742E-4</v>
      </c>
      <c r="R1095" s="93">
        <f>IFERROR(IF(Readings[[#This Row],[Reference Angle]]="-","-",(Readings[[#This Row],[Diff E]]*COS(RADIANS(Readings[[#This Row],[Reference Angle]]))-Readings[[#This Row],[Diff N]]*SIN(RADIANS(Readings[[#This Row],[Reference Angle]])))),"-")</f>
        <v>-1.0000000038417056E-3</v>
      </c>
      <c r="S1095" s="93">
        <f>IFERROR(IF(Readings[[#This Row],[Reference Angle]]="-","-",(Readings[[#This Row],[Diff E]]*SIN(RADIANS(Readings[[#This Row],[Reference Angle]]))+Readings[[#This Row],[Diff N]]*COS(RADIANS(Readings[[#This Row],[Reference Angle]])))),"-")</f>
        <v>0</v>
      </c>
      <c r="T1095" s="94">
        <f>IFERROR(VLOOKUP(Readings[[#This Row],[Sensor ID]],Table_Baseline[],COLUMNS(Table_Baseline[[#Headers],[Sensor ID]:[Reference Angle '[Deg']]]),FALSE),"-")</f>
        <v>0</v>
      </c>
      <c r="U1095" s="95" t="str">
        <f>Readings[[#This Row],[Sensor ID]]&amp;"-"&amp;Readings[[#This Row],[Epoch]]</f>
        <v>250-RL-OP-11004-45863.25</v>
      </c>
      <c r="V1095" s="99">
        <f ca="1">IF(Readings[[#This Row],[Epoch]]=OFFSET(Readings[[#This Row],[Epoch]],-1,0),0,1)</f>
        <v>0</v>
      </c>
    </row>
    <row r="1096" spans="4:22" x14ac:dyDescent="0.2">
      <c r="D1096" s="32">
        <v>45863.25</v>
      </c>
      <c r="E1096" s="33" t="s">
        <v>176</v>
      </c>
      <c r="F1096" s="34">
        <v>60040.968000000001</v>
      </c>
      <c r="G1096" s="34">
        <v>363844.11800000002</v>
      </c>
      <c r="H1096" s="34">
        <v>18.779</v>
      </c>
      <c r="I1096" s="33" t="s">
        <v>85</v>
      </c>
      <c r="J1096" s="33" t="s">
        <v>90</v>
      </c>
      <c r="K1096" s="33">
        <v>14.3</v>
      </c>
      <c r="L1096" s="33">
        <v>1020.1</v>
      </c>
      <c r="M1096" s="33">
        <v>80</v>
      </c>
      <c r="N1096" s="33"/>
      <c r="O1096" s="93">
        <f>IFERROR(IF(Readings[[#This Row],[Obs. X]]="","-",Readings[[#This Row],[Obs. X]]-_xlfn.XLOOKUP(Readings[[#This Row],[Sensor ID]],Table_Baseline[Sensor ID],Table_Baseline[Easting '[m']],"-")),"-")</f>
        <v>-9.9999999656574801E-4</v>
      </c>
      <c r="P1096" s="93">
        <f>IFERROR(IF(Readings[[#This Row],[Obs. Y]]="","-",Readings[[#This Row],[Obs. Y]]-_xlfn.XLOOKUP(Readings[[#This Row],[Sensor ID]],Table_Baseline[Sensor ID],Table_Baseline[Northing '[m']],"-")),"-")</f>
        <v>0</v>
      </c>
      <c r="Q1096" s="93">
        <f>IFERROR(IF(Readings[[#This Row],[Obs. Z]]="","-",Readings[[#This Row],[Obs. Z]]-_xlfn.XLOOKUP(Readings[[#This Row],[Sensor ID]],Table_Baseline[Sensor ID],Table_Baseline[Level '[m']],"-")),"-")</f>
        <v>0</v>
      </c>
      <c r="R1096" s="93">
        <f>IFERROR(IF(Readings[[#This Row],[Reference Angle]]="-","-",(Readings[[#This Row],[Diff E]]*COS(RADIANS(Readings[[#This Row],[Reference Angle]]))-Readings[[#This Row],[Diff N]]*SIN(RADIANS(Readings[[#This Row],[Reference Angle]])))),"-")</f>
        <v>-9.9999999656574801E-4</v>
      </c>
      <c r="S1096" s="93">
        <f>IFERROR(IF(Readings[[#This Row],[Reference Angle]]="-","-",(Readings[[#This Row],[Diff E]]*SIN(RADIANS(Readings[[#This Row],[Reference Angle]]))+Readings[[#This Row],[Diff N]]*COS(RADIANS(Readings[[#This Row],[Reference Angle]])))),"-")</f>
        <v>0</v>
      </c>
      <c r="T1096" s="94">
        <f>IFERROR(VLOOKUP(Readings[[#This Row],[Sensor ID]],Table_Baseline[],COLUMNS(Table_Baseline[[#Headers],[Sensor ID]:[Reference Angle '[Deg']]]),FALSE),"-")</f>
        <v>0</v>
      </c>
      <c r="U1096" s="95" t="str">
        <f>Readings[[#This Row],[Sensor ID]]&amp;"-"&amp;Readings[[#This Row],[Epoch]]</f>
        <v>250-RL-OP-11005-45863.25</v>
      </c>
      <c r="V1096" s="99">
        <f ca="1">IF(Readings[[#This Row],[Epoch]]=OFFSET(Readings[[#This Row],[Epoch]],-1,0),0,1)</f>
        <v>0</v>
      </c>
    </row>
    <row r="1097" spans="4:22" x14ac:dyDescent="0.2">
      <c r="D1097" s="32">
        <v>45863.25</v>
      </c>
      <c r="E1097" s="33" t="s">
        <v>175</v>
      </c>
      <c r="F1097" s="34">
        <v>60040.606</v>
      </c>
      <c r="G1097" s="34">
        <v>363842.86199999996</v>
      </c>
      <c r="H1097" s="34">
        <v>18.771999999999998</v>
      </c>
      <c r="I1097" s="33" t="s">
        <v>85</v>
      </c>
      <c r="J1097" s="33" t="s">
        <v>90</v>
      </c>
      <c r="K1097" s="33">
        <v>14.3</v>
      </c>
      <c r="L1097" s="33">
        <v>1020.1</v>
      </c>
      <c r="M1097" s="33">
        <v>80</v>
      </c>
      <c r="N1097" s="33"/>
      <c r="O1097" s="93">
        <f>IFERROR(IF(Readings[[#This Row],[Obs. X]]="","-",Readings[[#This Row],[Obs. X]]-_xlfn.XLOOKUP(Readings[[#This Row],[Sensor ID]],Table_Baseline[Sensor ID],Table_Baseline[Easting '[m']],"-")),"-")</f>
        <v>-1.0000000038417056E-3</v>
      </c>
      <c r="P1097" s="93">
        <f>IFERROR(IF(Readings[[#This Row],[Obs. Y]]="","-",Readings[[#This Row],[Obs. Y]]-_xlfn.XLOOKUP(Readings[[#This Row],[Sensor ID]],Table_Baseline[Sensor ID],Table_Baseline[Northing '[m']],"-")),"-")</f>
        <v>9.9999993108212948E-4</v>
      </c>
      <c r="Q1097" s="93">
        <f>IFERROR(IF(Readings[[#This Row],[Obs. Z]]="","-",Readings[[#This Row],[Obs. Z]]-_xlfn.XLOOKUP(Readings[[#This Row],[Sensor ID]],Table_Baseline[Sensor ID],Table_Baseline[Level '[m']],"-")),"-")</f>
        <v>0</v>
      </c>
      <c r="R1097" s="93">
        <f>IFERROR(IF(Readings[[#This Row],[Reference Angle]]="-","-",(Readings[[#This Row],[Diff E]]*COS(RADIANS(Readings[[#This Row],[Reference Angle]]))-Readings[[#This Row],[Diff N]]*SIN(RADIANS(Readings[[#This Row],[Reference Angle]])))),"-")</f>
        <v>-1.0000000038417056E-3</v>
      </c>
      <c r="S1097" s="93">
        <f>IFERROR(IF(Readings[[#This Row],[Reference Angle]]="-","-",(Readings[[#This Row],[Diff E]]*SIN(RADIANS(Readings[[#This Row],[Reference Angle]]))+Readings[[#This Row],[Diff N]]*COS(RADIANS(Readings[[#This Row],[Reference Angle]])))),"-")</f>
        <v>9.9999993108212948E-4</v>
      </c>
      <c r="T1097" s="94">
        <f>IFERROR(VLOOKUP(Readings[[#This Row],[Sensor ID]],Table_Baseline[],COLUMNS(Table_Baseline[[#Headers],[Sensor ID]:[Reference Angle '[Deg']]]),FALSE),"-")</f>
        <v>0</v>
      </c>
      <c r="U1097" s="95" t="str">
        <f>Readings[[#This Row],[Sensor ID]]&amp;"-"&amp;Readings[[#This Row],[Epoch]]</f>
        <v>250-RL-OP-11006-45863.25</v>
      </c>
      <c r="V1097" s="99">
        <f ca="1">IF(Readings[[#This Row],[Epoch]]=OFFSET(Readings[[#This Row],[Epoch]],-1,0),0,1)</f>
        <v>0</v>
      </c>
    </row>
    <row r="1098" spans="4:22" x14ac:dyDescent="0.2">
      <c r="D1098" s="32">
        <v>45863.25</v>
      </c>
      <c r="E1098" s="33" t="s">
        <v>178</v>
      </c>
      <c r="F1098" s="34">
        <v>60043.758000000002</v>
      </c>
      <c r="G1098" s="34">
        <v>363843.31599999999</v>
      </c>
      <c r="H1098" s="34">
        <v>18.774000000000001</v>
      </c>
      <c r="I1098" s="33" t="s">
        <v>85</v>
      </c>
      <c r="J1098" s="33" t="s">
        <v>90</v>
      </c>
      <c r="K1098" s="33">
        <v>14.3</v>
      </c>
      <c r="L1098" s="33">
        <v>1020.1</v>
      </c>
      <c r="M1098" s="33">
        <v>80</v>
      </c>
      <c r="N1098" s="33"/>
      <c r="O1098" s="93">
        <f>IFERROR(IF(Readings[[#This Row],[Obs. X]]="","-",Readings[[#This Row],[Obs. X]]-_xlfn.XLOOKUP(Readings[[#This Row],[Sensor ID]],Table_Baseline[Sensor ID],Table_Baseline[Easting '[m']],"-")),"-")</f>
        <v>-9.9999999656574801E-4</v>
      </c>
      <c r="P1098" s="93">
        <f>IFERROR(IF(Readings[[#This Row],[Obs. Y]]="","-",Readings[[#This Row],[Obs. Y]]-_xlfn.XLOOKUP(Readings[[#This Row],[Sensor ID]],Table_Baseline[Sensor ID],Table_Baseline[Northing '[m']],"-")),"-")</f>
        <v>1.9999999785795808E-3</v>
      </c>
      <c r="Q1098" s="93">
        <f>IFERROR(IF(Readings[[#This Row],[Obs. Z]]="","-",Readings[[#This Row],[Obs. Z]]-_xlfn.XLOOKUP(Readings[[#This Row],[Sensor ID]],Table_Baseline[Sensor ID],Table_Baseline[Level '[m']],"-")),"-")</f>
        <v>-9.9999999999766942E-5</v>
      </c>
      <c r="R1098" s="93">
        <f>IFERROR(IF(Readings[[#This Row],[Reference Angle]]="-","-",(Readings[[#This Row],[Diff E]]*COS(RADIANS(Readings[[#This Row],[Reference Angle]]))-Readings[[#This Row],[Diff N]]*SIN(RADIANS(Readings[[#This Row],[Reference Angle]])))),"-")</f>
        <v>-9.9999999656574801E-4</v>
      </c>
      <c r="S1098" s="93">
        <f>IFERROR(IF(Readings[[#This Row],[Reference Angle]]="-","-",(Readings[[#This Row],[Diff E]]*SIN(RADIANS(Readings[[#This Row],[Reference Angle]]))+Readings[[#This Row],[Diff N]]*COS(RADIANS(Readings[[#This Row],[Reference Angle]])))),"-")</f>
        <v>1.9999999785795808E-3</v>
      </c>
      <c r="T1098" s="94">
        <f>IFERROR(VLOOKUP(Readings[[#This Row],[Sensor ID]],Table_Baseline[],COLUMNS(Table_Baseline[[#Headers],[Sensor ID]:[Reference Angle '[Deg']]]),FALSE),"-")</f>
        <v>0</v>
      </c>
      <c r="U1098" s="95" t="str">
        <f>Readings[[#This Row],[Sensor ID]]&amp;"-"&amp;Readings[[#This Row],[Epoch]]</f>
        <v>250-RL-OP-11007-45863.25</v>
      </c>
      <c r="V1098" s="99">
        <f ca="1">IF(Readings[[#This Row],[Epoch]]=OFFSET(Readings[[#This Row],[Epoch]],-1,0),0,1)</f>
        <v>0</v>
      </c>
    </row>
    <row r="1099" spans="4:22" x14ac:dyDescent="0.2">
      <c r="D1099" s="32">
        <v>45863.25</v>
      </c>
      <c r="E1099" s="33" t="s">
        <v>177</v>
      </c>
      <c r="F1099" s="34">
        <v>60043.440999999999</v>
      </c>
      <c r="G1099" s="34">
        <v>363842.04200000002</v>
      </c>
      <c r="H1099" s="34">
        <v>18.768999999999998</v>
      </c>
      <c r="I1099" s="33" t="s">
        <v>85</v>
      </c>
      <c r="J1099" s="33" t="s">
        <v>90</v>
      </c>
      <c r="K1099" s="33">
        <v>14.3</v>
      </c>
      <c r="L1099" s="33">
        <v>1020.1</v>
      </c>
      <c r="M1099" s="33">
        <v>80</v>
      </c>
      <c r="N1099" s="33"/>
      <c r="O1099" s="93">
        <f>IFERROR(IF(Readings[[#This Row],[Obs. X]]="","-",Readings[[#This Row],[Obs. X]]-_xlfn.XLOOKUP(Readings[[#This Row],[Sensor ID]],Table_Baseline[Sensor ID],Table_Baseline[Easting '[m']],"-")),"-")</f>
        <v>0</v>
      </c>
      <c r="P1099" s="93">
        <f>IFERROR(IF(Readings[[#This Row],[Obs. Y]]="","-",Readings[[#This Row],[Obs. Y]]-_xlfn.XLOOKUP(Readings[[#This Row],[Sensor ID]],Table_Baseline[Sensor ID],Table_Baseline[Northing '[m']],"-")),"-")</f>
        <v>1.9999999785795808E-3</v>
      </c>
      <c r="Q1099" s="93">
        <f>IFERROR(IF(Readings[[#This Row],[Obs. Z]]="","-",Readings[[#This Row],[Obs. Z]]-_xlfn.XLOOKUP(Readings[[#This Row],[Sensor ID]],Table_Baseline[Sensor ID],Table_Baseline[Level '[m']],"-")),"-")</f>
        <v>6.9999999999836859E-4</v>
      </c>
      <c r="R1099" s="93">
        <f>IFERROR(IF(Readings[[#This Row],[Reference Angle]]="-","-",(Readings[[#This Row],[Diff E]]*COS(RADIANS(Readings[[#This Row],[Reference Angle]]))-Readings[[#This Row],[Diff N]]*SIN(RADIANS(Readings[[#This Row],[Reference Angle]])))),"-")</f>
        <v>0</v>
      </c>
      <c r="S1099" s="93">
        <f>IFERROR(IF(Readings[[#This Row],[Reference Angle]]="-","-",(Readings[[#This Row],[Diff E]]*SIN(RADIANS(Readings[[#This Row],[Reference Angle]]))+Readings[[#This Row],[Diff N]]*COS(RADIANS(Readings[[#This Row],[Reference Angle]])))),"-")</f>
        <v>1.9999999785795808E-3</v>
      </c>
      <c r="T1099" s="94">
        <f>IFERROR(VLOOKUP(Readings[[#This Row],[Sensor ID]],Table_Baseline[],COLUMNS(Table_Baseline[[#Headers],[Sensor ID]:[Reference Angle '[Deg']]]),FALSE),"-")</f>
        <v>0</v>
      </c>
      <c r="U1099" s="95" t="str">
        <f>Readings[[#This Row],[Sensor ID]]&amp;"-"&amp;Readings[[#This Row],[Epoch]]</f>
        <v>250-RL-OP-11008-45863.25</v>
      </c>
      <c r="V1099" s="99">
        <f ca="1">IF(Readings[[#This Row],[Epoch]]=OFFSET(Readings[[#This Row],[Epoch]],-1,0),0,1)</f>
        <v>0</v>
      </c>
    </row>
    <row r="1100" spans="4:22" x14ac:dyDescent="0.2">
      <c r="D1100" s="32">
        <v>45863.25</v>
      </c>
      <c r="E1100" s="33" t="s">
        <v>180</v>
      </c>
      <c r="F1100" s="34">
        <v>60046.633000000002</v>
      </c>
      <c r="G1100" s="34">
        <v>363842.48600000003</v>
      </c>
      <c r="H1100" s="34">
        <v>18.777000000000001</v>
      </c>
      <c r="I1100" s="33" t="s">
        <v>85</v>
      </c>
      <c r="J1100" s="33" t="s">
        <v>90</v>
      </c>
      <c r="K1100" s="33">
        <v>14.3</v>
      </c>
      <c r="L1100" s="33">
        <v>1020.1</v>
      </c>
      <c r="M1100" s="33">
        <v>80</v>
      </c>
      <c r="N1100" s="33"/>
      <c r="O1100" s="93">
        <f>IFERROR(IF(Readings[[#This Row],[Obs. X]]="","-",Readings[[#This Row],[Obs. X]]-_xlfn.XLOOKUP(Readings[[#This Row],[Sensor ID]],Table_Baseline[Sensor ID],Table_Baseline[Easting '[m']],"-")),"-")</f>
        <v>0</v>
      </c>
      <c r="P1100" s="93">
        <f>IFERROR(IF(Readings[[#This Row],[Obs. Y]]="","-",Readings[[#This Row],[Obs. Y]]-_xlfn.XLOOKUP(Readings[[#This Row],[Sensor ID]],Table_Baseline[Sensor ID],Table_Baseline[Northing '[m']],"-")),"-")</f>
        <v>1.0000000474974513E-3</v>
      </c>
      <c r="Q1100" s="93">
        <f>IFERROR(IF(Readings[[#This Row],[Obs. Z]]="","-",Readings[[#This Row],[Obs. Z]]-_xlfn.XLOOKUP(Readings[[#This Row],[Sensor ID]],Table_Baseline[Sensor ID],Table_Baseline[Level '[m']],"-")),"-")</f>
        <v>-5.9999999999860165E-4</v>
      </c>
      <c r="R1100" s="93">
        <f>IFERROR(IF(Readings[[#This Row],[Reference Angle]]="-","-",(Readings[[#This Row],[Diff E]]*COS(RADIANS(Readings[[#This Row],[Reference Angle]]))-Readings[[#This Row],[Diff N]]*SIN(RADIANS(Readings[[#This Row],[Reference Angle]])))),"-")</f>
        <v>0</v>
      </c>
      <c r="S1100" s="93">
        <f>IFERROR(IF(Readings[[#This Row],[Reference Angle]]="-","-",(Readings[[#This Row],[Diff E]]*SIN(RADIANS(Readings[[#This Row],[Reference Angle]]))+Readings[[#This Row],[Diff N]]*COS(RADIANS(Readings[[#This Row],[Reference Angle]])))),"-")</f>
        <v>1.0000000474974513E-3</v>
      </c>
      <c r="T1100" s="94">
        <f>IFERROR(VLOOKUP(Readings[[#This Row],[Sensor ID]],Table_Baseline[],COLUMNS(Table_Baseline[[#Headers],[Sensor ID]:[Reference Angle '[Deg']]]),FALSE),"-")</f>
        <v>0</v>
      </c>
      <c r="U1100" s="95" t="str">
        <f>Readings[[#This Row],[Sensor ID]]&amp;"-"&amp;Readings[[#This Row],[Epoch]]</f>
        <v>250-RL-OP-11009-45863.25</v>
      </c>
      <c r="V1100" s="99">
        <f ca="1">IF(Readings[[#This Row],[Epoch]]=OFFSET(Readings[[#This Row],[Epoch]],-1,0),0,1)</f>
        <v>0</v>
      </c>
    </row>
    <row r="1101" spans="4:22" x14ac:dyDescent="0.2">
      <c r="D1101" s="32">
        <v>45863.25</v>
      </c>
      <c r="E1101" s="33" t="s">
        <v>179</v>
      </c>
      <c r="F1101" s="34">
        <v>60046.25</v>
      </c>
      <c r="G1101" s="34">
        <v>363841.228</v>
      </c>
      <c r="H1101" s="34">
        <v>18.77</v>
      </c>
      <c r="I1101" s="33" t="s">
        <v>85</v>
      </c>
      <c r="J1101" s="33" t="s">
        <v>90</v>
      </c>
      <c r="K1101" s="33">
        <v>14.3</v>
      </c>
      <c r="L1101" s="33">
        <v>1020.1</v>
      </c>
      <c r="M1101" s="33">
        <v>80</v>
      </c>
      <c r="N1101" s="33"/>
      <c r="O1101" s="93">
        <f>IFERROR(IF(Readings[[#This Row],[Obs. X]]="","-",Readings[[#This Row],[Obs. X]]-_xlfn.XLOOKUP(Readings[[#This Row],[Sensor ID]],Table_Baseline[Sensor ID],Table_Baseline[Easting '[m']],"-")),"-")</f>
        <v>0</v>
      </c>
      <c r="P1101" s="93">
        <f>IFERROR(IF(Readings[[#This Row],[Obs. Y]]="","-",Readings[[#This Row],[Obs. Y]]-_xlfn.XLOOKUP(Readings[[#This Row],[Sensor ID]],Table_Baseline[Sensor ID],Table_Baseline[Northing '[m']],"-")),"-")</f>
        <v>1.9999999785795808E-3</v>
      </c>
      <c r="Q1101" s="93">
        <f>IFERROR(IF(Readings[[#This Row],[Obs. Z]]="","-",Readings[[#This Row],[Obs. Z]]-_xlfn.XLOOKUP(Readings[[#This Row],[Sensor ID]],Table_Baseline[Sensor ID],Table_Baseline[Level '[m']],"-")),"-")</f>
        <v>1.9999999999953388E-4</v>
      </c>
      <c r="R1101" s="93">
        <f>IFERROR(IF(Readings[[#This Row],[Reference Angle]]="-","-",(Readings[[#This Row],[Diff E]]*COS(RADIANS(Readings[[#This Row],[Reference Angle]]))-Readings[[#This Row],[Diff N]]*SIN(RADIANS(Readings[[#This Row],[Reference Angle]])))),"-")</f>
        <v>0</v>
      </c>
      <c r="S1101" s="93">
        <f>IFERROR(IF(Readings[[#This Row],[Reference Angle]]="-","-",(Readings[[#This Row],[Diff E]]*SIN(RADIANS(Readings[[#This Row],[Reference Angle]]))+Readings[[#This Row],[Diff N]]*COS(RADIANS(Readings[[#This Row],[Reference Angle]])))),"-")</f>
        <v>1.9999999785795808E-3</v>
      </c>
      <c r="T1101" s="94">
        <f>IFERROR(VLOOKUP(Readings[[#This Row],[Sensor ID]],Table_Baseline[],COLUMNS(Table_Baseline[[#Headers],[Sensor ID]:[Reference Angle '[Deg']]]),FALSE),"-")</f>
        <v>0</v>
      </c>
      <c r="U1101" s="95" t="str">
        <f>Readings[[#This Row],[Sensor ID]]&amp;"-"&amp;Readings[[#This Row],[Epoch]]</f>
        <v>250-RL-OP-11010-45863.25</v>
      </c>
      <c r="V1101" s="99">
        <f ca="1">IF(Readings[[#This Row],[Epoch]]=OFFSET(Readings[[#This Row],[Epoch]],-1,0),0,1)</f>
        <v>0</v>
      </c>
    </row>
    <row r="1102" spans="4:22" x14ac:dyDescent="0.2">
      <c r="D1102" s="32">
        <v>45863.25</v>
      </c>
      <c r="E1102" s="33" t="s">
        <v>182</v>
      </c>
      <c r="F1102" s="34">
        <v>60049.398999999998</v>
      </c>
      <c r="G1102" s="34">
        <v>363841.7</v>
      </c>
      <c r="H1102" s="34">
        <v>18.777999999999999</v>
      </c>
      <c r="I1102" s="33" t="s">
        <v>85</v>
      </c>
      <c r="J1102" s="33" t="s">
        <v>90</v>
      </c>
      <c r="K1102" s="33">
        <v>14.3</v>
      </c>
      <c r="L1102" s="33">
        <v>1020.1</v>
      </c>
      <c r="M1102" s="33">
        <v>80</v>
      </c>
      <c r="N1102" s="33"/>
      <c r="O1102" s="93">
        <f>IFERROR(IF(Readings[[#This Row],[Obs. X]]="","-",Readings[[#This Row],[Obs. X]]-_xlfn.XLOOKUP(Readings[[#This Row],[Sensor ID]],Table_Baseline[Sensor ID],Table_Baseline[Easting '[m']],"-")),"-")</f>
        <v>0</v>
      </c>
      <c r="P1102" s="93">
        <f>IFERROR(IF(Readings[[#This Row],[Obs. Y]]="","-",Readings[[#This Row],[Obs. Y]]-_xlfn.XLOOKUP(Readings[[#This Row],[Sensor ID]],Table_Baseline[Sensor ID],Table_Baseline[Northing '[m']],"-")),"-")</f>
        <v>2.0000000367872417E-3</v>
      </c>
      <c r="Q1102" s="93">
        <f>IFERROR(IF(Readings[[#This Row],[Obs. Z]]="","-",Readings[[#This Row],[Obs. Z]]-_xlfn.XLOOKUP(Readings[[#This Row],[Sensor ID]],Table_Baseline[Sensor ID],Table_Baseline[Level '[m']],"-")),"-")</f>
        <v>0</v>
      </c>
      <c r="R1102" s="93">
        <f>IFERROR(IF(Readings[[#This Row],[Reference Angle]]="-","-",(Readings[[#This Row],[Diff E]]*COS(RADIANS(Readings[[#This Row],[Reference Angle]]))-Readings[[#This Row],[Diff N]]*SIN(RADIANS(Readings[[#This Row],[Reference Angle]])))),"-")</f>
        <v>0</v>
      </c>
      <c r="S1102" s="93">
        <f>IFERROR(IF(Readings[[#This Row],[Reference Angle]]="-","-",(Readings[[#This Row],[Diff E]]*SIN(RADIANS(Readings[[#This Row],[Reference Angle]]))+Readings[[#This Row],[Diff N]]*COS(RADIANS(Readings[[#This Row],[Reference Angle]])))),"-")</f>
        <v>2.0000000367872417E-3</v>
      </c>
      <c r="T1102" s="94">
        <f>IFERROR(VLOOKUP(Readings[[#This Row],[Sensor ID]],Table_Baseline[],COLUMNS(Table_Baseline[[#Headers],[Sensor ID]:[Reference Angle '[Deg']]]),FALSE),"-")</f>
        <v>0</v>
      </c>
      <c r="U1102" s="95" t="str">
        <f>Readings[[#This Row],[Sensor ID]]&amp;"-"&amp;Readings[[#This Row],[Epoch]]</f>
        <v>250-RL-OP-11011-45863.25</v>
      </c>
      <c r="V1102" s="99">
        <f ca="1">IF(Readings[[#This Row],[Epoch]]=OFFSET(Readings[[#This Row],[Epoch]],-1,0),0,1)</f>
        <v>0</v>
      </c>
    </row>
    <row r="1103" spans="4:22" x14ac:dyDescent="0.2">
      <c r="D1103" s="32">
        <v>45863.25</v>
      </c>
      <c r="E1103" s="33" t="s">
        <v>181</v>
      </c>
      <c r="F1103" s="34">
        <v>60049.040999999997</v>
      </c>
      <c r="G1103" s="34">
        <v>363840.43599999999</v>
      </c>
      <c r="H1103" s="34">
        <v>18.771000000000001</v>
      </c>
      <c r="I1103" s="33" t="s">
        <v>85</v>
      </c>
      <c r="J1103" s="33" t="s">
        <v>90</v>
      </c>
      <c r="K1103" s="33">
        <v>14.3</v>
      </c>
      <c r="L1103" s="33">
        <v>1020.1</v>
      </c>
      <c r="M1103" s="33">
        <v>80</v>
      </c>
      <c r="N1103" s="33"/>
      <c r="O1103" s="93">
        <f>IFERROR(IF(Readings[[#This Row],[Obs. X]]="","-",Readings[[#This Row],[Obs. X]]-_xlfn.XLOOKUP(Readings[[#This Row],[Sensor ID]],Table_Baseline[Sensor ID],Table_Baseline[Easting '[m']],"-")),"-")</f>
        <v>0</v>
      </c>
      <c r="P1103" s="93">
        <f>IFERROR(IF(Readings[[#This Row],[Obs. Y]]="","-",Readings[[#This Row],[Obs. Y]]-_xlfn.XLOOKUP(Readings[[#This Row],[Sensor ID]],Table_Baseline[Sensor ID],Table_Baseline[Northing '[m']],"-")),"-")</f>
        <v>3.0000000260770321E-3</v>
      </c>
      <c r="Q1103" s="93">
        <f>IFERROR(IF(Readings[[#This Row],[Obs. Z]]="","-",Readings[[#This Row],[Obs. Z]]-_xlfn.XLOOKUP(Readings[[#This Row],[Sensor ID]],Table_Baseline[Sensor ID],Table_Baseline[Level '[m']],"-")),"-")</f>
        <v>-9.9999999999766942E-5</v>
      </c>
      <c r="R1103" s="93">
        <f>IFERROR(IF(Readings[[#This Row],[Reference Angle]]="-","-",(Readings[[#This Row],[Diff E]]*COS(RADIANS(Readings[[#This Row],[Reference Angle]]))-Readings[[#This Row],[Diff N]]*SIN(RADIANS(Readings[[#This Row],[Reference Angle]])))),"-")</f>
        <v>0</v>
      </c>
      <c r="S1103" s="93">
        <f>IFERROR(IF(Readings[[#This Row],[Reference Angle]]="-","-",(Readings[[#This Row],[Diff E]]*SIN(RADIANS(Readings[[#This Row],[Reference Angle]]))+Readings[[#This Row],[Diff N]]*COS(RADIANS(Readings[[#This Row],[Reference Angle]])))),"-")</f>
        <v>3.0000000260770321E-3</v>
      </c>
      <c r="T1103" s="94">
        <f>IFERROR(VLOOKUP(Readings[[#This Row],[Sensor ID]],Table_Baseline[],COLUMNS(Table_Baseline[[#Headers],[Sensor ID]:[Reference Angle '[Deg']]]),FALSE),"-")</f>
        <v>0</v>
      </c>
      <c r="U1103" s="95" t="str">
        <f>Readings[[#This Row],[Sensor ID]]&amp;"-"&amp;Readings[[#This Row],[Epoch]]</f>
        <v>250-RL-OP-11012-45863.25</v>
      </c>
      <c r="V1103" s="99">
        <f ca="1">IF(Readings[[#This Row],[Epoch]]=OFFSET(Readings[[#This Row],[Epoch]],-1,0),0,1)</f>
        <v>0</v>
      </c>
    </row>
    <row r="1104" spans="4:22" x14ac:dyDescent="0.2">
      <c r="D1104" s="32">
        <v>45863.25</v>
      </c>
      <c r="E1104" s="33" t="s">
        <v>184</v>
      </c>
      <c r="F1104" s="34">
        <v>60052.292999999998</v>
      </c>
      <c r="G1104" s="34">
        <v>363840.88899999997</v>
      </c>
      <c r="H1104" s="34">
        <v>18.779</v>
      </c>
      <c r="I1104" s="33" t="s">
        <v>85</v>
      </c>
      <c r="J1104" s="33" t="s">
        <v>90</v>
      </c>
      <c r="K1104" s="33">
        <v>14.3</v>
      </c>
      <c r="L1104" s="33">
        <v>1020.1</v>
      </c>
      <c r="M1104" s="33">
        <v>80</v>
      </c>
      <c r="N1104" s="33"/>
      <c r="O1104" s="93">
        <f>IFERROR(IF(Readings[[#This Row],[Obs. X]]="","-",Readings[[#This Row],[Obs. X]]-_xlfn.XLOOKUP(Readings[[#This Row],[Sensor ID]],Table_Baseline[Sensor ID],Table_Baseline[Easting '[m']],"-")),"-")</f>
        <v>0</v>
      </c>
      <c r="P1104" s="93">
        <f>IFERROR(IF(Readings[[#This Row],[Obs. Y]]="","-",Readings[[#This Row],[Obs. Y]]-_xlfn.XLOOKUP(Readings[[#This Row],[Sensor ID]],Table_Baseline[Sensor ID],Table_Baseline[Northing '[m']],"-")),"-")</f>
        <v>3.9999999571591616E-3</v>
      </c>
      <c r="Q1104" s="93">
        <f>IFERROR(IF(Readings[[#This Row],[Obs. Z]]="","-",Readings[[#This Row],[Obs. Z]]-_xlfn.XLOOKUP(Readings[[#This Row],[Sensor ID]],Table_Baseline[Sensor ID],Table_Baseline[Level '[m']],"-")),"-")</f>
        <v>0</v>
      </c>
      <c r="R1104" s="93">
        <f>IFERROR(IF(Readings[[#This Row],[Reference Angle]]="-","-",(Readings[[#This Row],[Diff E]]*COS(RADIANS(Readings[[#This Row],[Reference Angle]]))-Readings[[#This Row],[Diff N]]*SIN(RADIANS(Readings[[#This Row],[Reference Angle]])))),"-")</f>
        <v>0</v>
      </c>
      <c r="S1104" s="93">
        <f>IFERROR(IF(Readings[[#This Row],[Reference Angle]]="-","-",(Readings[[#This Row],[Diff E]]*SIN(RADIANS(Readings[[#This Row],[Reference Angle]]))+Readings[[#This Row],[Diff N]]*COS(RADIANS(Readings[[#This Row],[Reference Angle]])))),"-")</f>
        <v>3.9999999571591616E-3</v>
      </c>
      <c r="T1104" s="94">
        <f>IFERROR(VLOOKUP(Readings[[#This Row],[Sensor ID]],Table_Baseline[],COLUMNS(Table_Baseline[[#Headers],[Sensor ID]:[Reference Angle '[Deg']]]),FALSE),"-")</f>
        <v>0</v>
      </c>
      <c r="U1104" s="95" t="str">
        <f>Readings[[#This Row],[Sensor ID]]&amp;"-"&amp;Readings[[#This Row],[Epoch]]</f>
        <v>250-RL-OP-11013-45863.25</v>
      </c>
      <c r="V1104" s="99">
        <f ca="1">IF(Readings[[#This Row],[Epoch]]=OFFSET(Readings[[#This Row],[Epoch]],-1,0),0,1)</f>
        <v>0</v>
      </c>
    </row>
    <row r="1105" spans="4:22" x14ac:dyDescent="0.2">
      <c r="D1105" s="32">
        <v>45863.25</v>
      </c>
      <c r="E1105" s="33" t="s">
        <v>183</v>
      </c>
      <c r="F1105" s="34">
        <v>60051.989000000001</v>
      </c>
      <c r="G1105" s="34">
        <v>363839.60699999996</v>
      </c>
      <c r="H1105" s="34">
        <v>18.77</v>
      </c>
      <c r="I1105" s="33" t="s">
        <v>85</v>
      </c>
      <c r="J1105" s="33" t="s">
        <v>90</v>
      </c>
      <c r="K1105" s="33">
        <v>14.3</v>
      </c>
      <c r="L1105" s="33">
        <v>1020.1</v>
      </c>
      <c r="M1105" s="33">
        <v>80</v>
      </c>
      <c r="N1105" s="33"/>
      <c r="O1105" s="93">
        <f>IFERROR(IF(Readings[[#This Row],[Obs. X]]="","-",Readings[[#This Row],[Obs. X]]-_xlfn.XLOOKUP(Readings[[#This Row],[Sensor ID]],Table_Baseline[Sensor ID],Table_Baseline[Easting '[m']],"-")),"-")</f>
        <v>0</v>
      </c>
      <c r="P1105" s="93">
        <f>IFERROR(IF(Readings[[#This Row],[Obs. Y]]="","-",Readings[[#This Row],[Obs. Y]]-_xlfn.XLOOKUP(Readings[[#This Row],[Sensor ID]],Table_Baseline[Sensor ID],Table_Baseline[Northing '[m']],"-")),"-")</f>
        <v>3.9999999571591616E-3</v>
      </c>
      <c r="Q1105" s="93">
        <f>IFERROR(IF(Readings[[#This Row],[Obs. Z]]="","-",Readings[[#This Row],[Obs. Z]]-_xlfn.XLOOKUP(Readings[[#This Row],[Sensor ID]],Table_Baseline[Sensor ID],Table_Baseline[Level '[m']],"-")),"-")</f>
        <v>-9.9999999999766942E-5</v>
      </c>
      <c r="R1105" s="93">
        <f>IFERROR(IF(Readings[[#This Row],[Reference Angle]]="-","-",(Readings[[#This Row],[Diff E]]*COS(RADIANS(Readings[[#This Row],[Reference Angle]]))-Readings[[#This Row],[Diff N]]*SIN(RADIANS(Readings[[#This Row],[Reference Angle]])))),"-")</f>
        <v>0</v>
      </c>
      <c r="S1105" s="93">
        <f>IFERROR(IF(Readings[[#This Row],[Reference Angle]]="-","-",(Readings[[#This Row],[Diff E]]*SIN(RADIANS(Readings[[#This Row],[Reference Angle]]))+Readings[[#This Row],[Diff N]]*COS(RADIANS(Readings[[#This Row],[Reference Angle]])))),"-")</f>
        <v>3.9999999571591616E-3</v>
      </c>
      <c r="T1105" s="94">
        <f>IFERROR(VLOOKUP(Readings[[#This Row],[Sensor ID]],Table_Baseline[],COLUMNS(Table_Baseline[[#Headers],[Sensor ID]:[Reference Angle '[Deg']]]),FALSE),"-")</f>
        <v>0</v>
      </c>
      <c r="U1105" s="95" t="str">
        <f>Readings[[#This Row],[Sensor ID]]&amp;"-"&amp;Readings[[#This Row],[Epoch]]</f>
        <v>250-RL-OP-11014-45863.25</v>
      </c>
      <c r="V1105" s="99">
        <f ca="1">IF(Readings[[#This Row],[Epoch]]=OFFSET(Readings[[#This Row],[Epoch]],-1,0),0,1)</f>
        <v>0</v>
      </c>
    </row>
    <row r="1106" spans="4:22" x14ac:dyDescent="0.2">
      <c r="D1106" s="32">
        <v>45863.25</v>
      </c>
      <c r="E1106" s="33" t="s">
        <v>186</v>
      </c>
      <c r="F1106" s="34">
        <v>60055.196000000004</v>
      </c>
      <c r="G1106" s="34">
        <v>363840.09899999999</v>
      </c>
      <c r="H1106" s="34">
        <v>18.78</v>
      </c>
      <c r="I1106" s="33" t="s">
        <v>85</v>
      </c>
      <c r="J1106" s="33" t="s">
        <v>90</v>
      </c>
      <c r="K1106" s="33">
        <v>14.3</v>
      </c>
      <c r="L1106" s="33">
        <v>1020.1</v>
      </c>
      <c r="M1106" s="33">
        <v>80</v>
      </c>
      <c r="N1106" s="33"/>
      <c r="O1106" s="93">
        <f>IFERROR(IF(Readings[[#This Row],[Obs. X]]="","-",Readings[[#This Row],[Obs. X]]-_xlfn.XLOOKUP(Readings[[#This Row],[Sensor ID]],Table_Baseline[Sensor ID],Table_Baseline[Easting '[m']],"-")),"-")</f>
        <v>0</v>
      </c>
      <c r="P1106" s="93">
        <f>IFERROR(IF(Readings[[#This Row],[Obs. Y]]="","-",Readings[[#This Row],[Obs. Y]]-_xlfn.XLOOKUP(Readings[[#This Row],[Sensor ID]],Table_Baseline[Sensor ID],Table_Baseline[Northing '[m']],"-")),"-")</f>
        <v>4.0000000153668225E-3</v>
      </c>
      <c r="Q1106" s="93">
        <f>IFERROR(IF(Readings[[#This Row],[Obs. Z]]="","-",Readings[[#This Row],[Obs. Z]]-_xlfn.XLOOKUP(Readings[[#This Row],[Sensor ID]],Table_Baseline[Sensor ID],Table_Baseline[Level '[m']],"-")),"-")</f>
        <v>-8.9999999999790248E-4</v>
      </c>
      <c r="R1106" s="93">
        <f>IFERROR(IF(Readings[[#This Row],[Reference Angle]]="-","-",(Readings[[#This Row],[Diff E]]*COS(RADIANS(Readings[[#This Row],[Reference Angle]]))-Readings[[#This Row],[Diff N]]*SIN(RADIANS(Readings[[#This Row],[Reference Angle]])))),"-")</f>
        <v>0</v>
      </c>
      <c r="S1106" s="93">
        <f>IFERROR(IF(Readings[[#This Row],[Reference Angle]]="-","-",(Readings[[#This Row],[Diff E]]*SIN(RADIANS(Readings[[#This Row],[Reference Angle]]))+Readings[[#This Row],[Diff N]]*COS(RADIANS(Readings[[#This Row],[Reference Angle]])))),"-")</f>
        <v>4.0000000153668225E-3</v>
      </c>
      <c r="T1106" s="94">
        <f>IFERROR(VLOOKUP(Readings[[#This Row],[Sensor ID]],Table_Baseline[],COLUMNS(Table_Baseline[[#Headers],[Sensor ID]:[Reference Angle '[Deg']]]),FALSE),"-")</f>
        <v>0</v>
      </c>
      <c r="U1106" s="95" t="str">
        <f>Readings[[#This Row],[Sensor ID]]&amp;"-"&amp;Readings[[#This Row],[Epoch]]</f>
        <v>250-RL-OP-11015-45863.25</v>
      </c>
      <c r="V1106" s="99">
        <f ca="1">IF(Readings[[#This Row],[Epoch]]=OFFSET(Readings[[#This Row],[Epoch]],-1,0),0,1)</f>
        <v>0</v>
      </c>
    </row>
    <row r="1107" spans="4:22" x14ac:dyDescent="0.2">
      <c r="D1107" s="32">
        <v>45863.25</v>
      </c>
      <c r="E1107" s="33" t="s">
        <v>185</v>
      </c>
      <c r="F1107" s="34">
        <v>60054.885000000002</v>
      </c>
      <c r="G1107" s="34">
        <v>363838.80900000001</v>
      </c>
      <c r="H1107" s="34">
        <v>18.773</v>
      </c>
      <c r="I1107" s="33" t="s">
        <v>85</v>
      </c>
      <c r="J1107" s="33" t="s">
        <v>90</v>
      </c>
      <c r="K1107" s="33">
        <v>14.3</v>
      </c>
      <c r="L1107" s="33">
        <v>1020.1</v>
      </c>
      <c r="M1107" s="33">
        <v>80</v>
      </c>
      <c r="N1107" s="33"/>
      <c r="O1107" s="93">
        <f>IFERROR(IF(Readings[[#This Row],[Obs. X]]="","-",Readings[[#This Row],[Obs. X]]-_xlfn.XLOOKUP(Readings[[#This Row],[Sensor ID]],Table_Baseline[Sensor ID],Table_Baseline[Easting '[m']],"-")),"-")</f>
        <v>-9.9999999656574801E-4</v>
      </c>
      <c r="P1107" s="93">
        <f>IFERROR(IF(Readings[[#This Row],[Obs. Y]]="","-",Readings[[#This Row],[Obs. Y]]-_xlfn.XLOOKUP(Readings[[#This Row],[Sensor ID]],Table_Baseline[Sensor ID],Table_Baseline[Northing '[m']],"-")),"-")</f>
        <v>4.0000000153668225E-3</v>
      </c>
      <c r="Q1107" s="93">
        <f>IFERROR(IF(Readings[[#This Row],[Obs. Z]]="","-",Readings[[#This Row],[Obs. Z]]-_xlfn.XLOOKUP(Readings[[#This Row],[Sensor ID]],Table_Baseline[Sensor ID],Table_Baseline[Level '[m']],"-")),"-")</f>
        <v>-9.9999999999766942E-5</v>
      </c>
      <c r="R1107" s="93">
        <f>IFERROR(IF(Readings[[#This Row],[Reference Angle]]="-","-",(Readings[[#This Row],[Diff E]]*COS(RADIANS(Readings[[#This Row],[Reference Angle]]))-Readings[[#This Row],[Diff N]]*SIN(RADIANS(Readings[[#This Row],[Reference Angle]])))),"-")</f>
        <v>-9.9999999656574801E-4</v>
      </c>
      <c r="S1107" s="93">
        <f>IFERROR(IF(Readings[[#This Row],[Reference Angle]]="-","-",(Readings[[#This Row],[Diff E]]*SIN(RADIANS(Readings[[#This Row],[Reference Angle]]))+Readings[[#This Row],[Diff N]]*COS(RADIANS(Readings[[#This Row],[Reference Angle]])))),"-")</f>
        <v>4.0000000153668225E-3</v>
      </c>
      <c r="T1107" s="94">
        <f>IFERROR(VLOOKUP(Readings[[#This Row],[Sensor ID]],Table_Baseline[],COLUMNS(Table_Baseline[[#Headers],[Sensor ID]:[Reference Angle '[Deg']]]),FALSE),"-")</f>
        <v>0</v>
      </c>
      <c r="U1107" s="95" t="str">
        <f>Readings[[#This Row],[Sensor ID]]&amp;"-"&amp;Readings[[#This Row],[Epoch]]</f>
        <v>250-RL-OP-11016-45863.25</v>
      </c>
      <c r="V1107" s="99">
        <f ca="1">IF(Readings[[#This Row],[Epoch]]=OFFSET(Readings[[#This Row],[Epoch]],-1,0),0,1)</f>
        <v>0</v>
      </c>
    </row>
    <row r="1108" spans="4:22" x14ac:dyDescent="0.2">
      <c r="D1108" s="32">
        <v>45863.25</v>
      </c>
      <c r="E1108" s="33" t="s">
        <v>188</v>
      </c>
      <c r="F1108" s="34">
        <v>60057.951999999997</v>
      </c>
      <c r="G1108" s="34">
        <v>363839.36800000002</v>
      </c>
      <c r="H1108" s="34">
        <v>18.785</v>
      </c>
      <c r="I1108" s="33" t="s">
        <v>85</v>
      </c>
      <c r="J1108" s="33" t="s">
        <v>90</v>
      </c>
      <c r="K1108" s="33">
        <v>14.3</v>
      </c>
      <c r="L1108" s="33">
        <v>1020.1</v>
      </c>
      <c r="M1108" s="33">
        <v>80</v>
      </c>
      <c r="N1108" s="33"/>
      <c r="O1108" s="93">
        <f>IFERROR(IF(Readings[[#This Row],[Obs. X]]="","-",Readings[[#This Row],[Obs. X]]-_xlfn.XLOOKUP(Readings[[#This Row],[Sensor ID]],Table_Baseline[Sensor ID],Table_Baseline[Easting '[m']],"-")),"-")</f>
        <v>0</v>
      </c>
      <c r="P1108" s="93">
        <f>IFERROR(IF(Readings[[#This Row],[Obs. Y]]="","-",Readings[[#This Row],[Obs. Y]]-_xlfn.XLOOKUP(Readings[[#This Row],[Sensor ID]],Table_Baseline[Sensor ID],Table_Baseline[Northing '[m']],"-")),"-")</f>
        <v>6.0000000521540642E-3</v>
      </c>
      <c r="Q1108" s="93">
        <f>IFERROR(IF(Readings[[#This Row],[Obs. Z]]="","-",Readings[[#This Row],[Obs. Z]]-_xlfn.XLOOKUP(Readings[[#This Row],[Sensor ID]],Table_Baseline[Sensor ID],Table_Baseline[Level '[m']],"-")),"-")</f>
        <v>-1.0000000000012221E-3</v>
      </c>
      <c r="R1108" s="93">
        <f>IFERROR(IF(Readings[[#This Row],[Reference Angle]]="-","-",(Readings[[#This Row],[Diff E]]*COS(RADIANS(Readings[[#This Row],[Reference Angle]]))-Readings[[#This Row],[Diff N]]*SIN(RADIANS(Readings[[#This Row],[Reference Angle]])))),"-")</f>
        <v>0</v>
      </c>
      <c r="S1108" s="93">
        <f>IFERROR(IF(Readings[[#This Row],[Reference Angle]]="-","-",(Readings[[#This Row],[Diff E]]*SIN(RADIANS(Readings[[#This Row],[Reference Angle]]))+Readings[[#This Row],[Diff N]]*COS(RADIANS(Readings[[#This Row],[Reference Angle]])))),"-")</f>
        <v>6.0000000521540642E-3</v>
      </c>
      <c r="T1108" s="94">
        <f>IFERROR(VLOOKUP(Readings[[#This Row],[Sensor ID]],Table_Baseline[],COLUMNS(Table_Baseline[[#Headers],[Sensor ID]:[Reference Angle '[Deg']]]),FALSE),"-")</f>
        <v>0</v>
      </c>
      <c r="U1108" s="95" t="str">
        <f>Readings[[#This Row],[Sensor ID]]&amp;"-"&amp;Readings[[#This Row],[Epoch]]</f>
        <v>250-RL-OP-11017-45863.25</v>
      </c>
      <c r="V1108" s="99">
        <f ca="1">IF(Readings[[#This Row],[Epoch]]=OFFSET(Readings[[#This Row],[Epoch]],-1,0),0,1)</f>
        <v>0</v>
      </c>
    </row>
    <row r="1109" spans="4:22" x14ac:dyDescent="0.2">
      <c r="D1109" s="32">
        <v>45863.25</v>
      </c>
      <c r="E1109" s="33" t="s">
        <v>187</v>
      </c>
      <c r="F1109" s="34">
        <v>60057.578999999998</v>
      </c>
      <c r="G1109" s="34">
        <v>363838.103</v>
      </c>
      <c r="H1109" s="34">
        <v>18.774999999999999</v>
      </c>
      <c r="I1109" s="33" t="s">
        <v>85</v>
      </c>
      <c r="J1109" s="33" t="s">
        <v>90</v>
      </c>
      <c r="K1109" s="33">
        <v>14.3</v>
      </c>
      <c r="L1109" s="33">
        <v>1020.1</v>
      </c>
      <c r="M1109" s="33">
        <v>80</v>
      </c>
      <c r="N1109" s="33"/>
      <c r="O1109" s="93">
        <f>IFERROR(IF(Readings[[#This Row],[Obs. X]]="","-",Readings[[#This Row],[Obs. X]]-_xlfn.XLOOKUP(Readings[[#This Row],[Sensor ID]],Table_Baseline[Sensor ID],Table_Baseline[Easting '[m']],"-")),"-")</f>
        <v>0</v>
      </c>
      <c r="P1109" s="93">
        <f>IFERROR(IF(Readings[[#This Row],[Obs. Y]]="","-",Readings[[#This Row],[Obs. Y]]-_xlfn.XLOOKUP(Readings[[#This Row],[Sensor ID]],Table_Baseline[Sensor ID],Table_Baseline[Northing '[m']],"-")),"-")</f>
        <v>5.0000000046566129E-3</v>
      </c>
      <c r="Q1109" s="93">
        <f>IFERROR(IF(Readings[[#This Row],[Obs. Z]]="","-",Readings[[#This Row],[Obs. Z]]-_xlfn.XLOOKUP(Readings[[#This Row],[Sensor ID]],Table_Baseline[Sensor ID],Table_Baseline[Level '[m']],"-")),"-")</f>
        <v>-1.0000000000012221E-3</v>
      </c>
      <c r="R1109" s="93">
        <f>IFERROR(IF(Readings[[#This Row],[Reference Angle]]="-","-",(Readings[[#This Row],[Diff E]]*COS(RADIANS(Readings[[#This Row],[Reference Angle]]))-Readings[[#This Row],[Diff N]]*SIN(RADIANS(Readings[[#This Row],[Reference Angle]])))),"-")</f>
        <v>0</v>
      </c>
      <c r="S1109" s="93">
        <f>IFERROR(IF(Readings[[#This Row],[Reference Angle]]="-","-",(Readings[[#This Row],[Diff E]]*SIN(RADIANS(Readings[[#This Row],[Reference Angle]]))+Readings[[#This Row],[Diff N]]*COS(RADIANS(Readings[[#This Row],[Reference Angle]])))),"-")</f>
        <v>5.0000000046566129E-3</v>
      </c>
      <c r="T1109" s="94">
        <f>IFERROR(VLOOKUP(Readings[[#This Row],[Sensor ID]],Table_Baseline[],COLUMNS(Table_Baseline[[#Headers],[Sensor ID]:[Reference Angle '[Deg']]]),FALSE),"-")</f>
        <v>0</v>
      </c>
      <c r="U1109" s="95" t="str">
        <f>Readings[[#This Row],[Sensor ID]]&amp;"-"&amp;Readings[[#This Row],[Epoch]]</f>
        <v>250-RL-OP-11018-45863.25</v>
      </c>
      <c r="V1109" s="99">
        <f ca="1">IF(Readings[[#This Row],[Epoch]]=OFFSET(Readings[[#This Row],[Epoch]],-1,0),0,1)</f>
        <v>0</v>
      </c>
    </row>
    <row r="1110" spans="4:22" x14ac:dyDescent="0.2">
      <c r="D1110" s="32">
        <v>45863.25</v>
      </c>
      <c r="E1110" s="33" t="s">
        <v>190</v>
      </c>
      <c r="F1110" s="34">
        <v>60060.963000000003</v>
      </c>
      <c r="G1110" s="34">
        <v>363838.60600000003</v>
      </c>
      <c r="H1110" s="34">
        <v>18.794</v>
      </c>
      <c r="I1110" s="33" t="s">
        <v>85</v>
      </c>
      <c r="J1110" s="33" t="s">
        <v>90</v>
      </c>
      <c r="K1110" s="33">
        <v>14.3</v>
      </c>
      <c r="L1110" s="33">
        <v>1020.1</v>
      </c>
      <c r="M1110" s="33">
        <v>80</v>
      </c>
      <c r="N1110" s="33"/>
      <c r="O1110" s="93">
        <f>IFERROR(IF(Readings[[#This Row],[Obs. X]]="","-",Readings[[#This Row],[Obs. X]]-_xlfn.XLOOKUP(Readings[[#This Row],[Sensor ID]],Table_Baseline[Sensor ID],Table_Baseline[Easting '[m']],"-")),"-")</f>
        <v>0</v>
      </c>
      <c r="P1110" s="93">
        <f>IFERROR(IF(Readings[[#This Row],[Obs. Y]]="","-",Readings[[#This Row],[Obs. Y]]-_xlfn.XLOOKUP(Readings[[#This Row],[Sensor ID]],Table_Baseline[Sensor ID],Table_Baseline[Northing '[m']],"-")),"-")</f>
        <v>5.0000000046566129E-3</v>
      </c>
      <c r="Q1110" s="93">
        <f>IFERROR(IF(Readings[[#This Row],[Obs. Z]]="","-",Readings[[#This Row],[Obs. Z]]-_xlfn.XLOOKUP(Readings[[#This Row],[Sensor ID]],Table_Baseline[Sensor ID],Table_Baseline[Level '[m']],"-")),"-")</f>
        <v>-5.9999999999860165E-4</v>
      </c>
      <c r="R1110" s="93">
        <f>IFERROR(IF(Readings[[#This Row],[Reference Angle]]="-","-",(Readings[[#This Row],[Diff E]]*COS(RADIANS(Readings[[#This Row],[Reference Angle]]))-Readings[[#This Row],[Diff N]]*SIN(RADIANS(Readings[[#This Row],[Reference Angle]])))),"-")</f>
        <v>0</v>
      </c>
      <c r="S1110" s="93">
        <f>IFERROR(IF(Readings[[#This Row],[Reference Angle]]="-","-",(Readings[[#This Row],[Diff E]]*SIN(RADIANS(Readings[[#This Row],[Reference Angle]]))+Readings[[#This Row],[Diff N]]*COS(RADIANS(Readings[[#This Row],[Reference Angle]])))),"-")</f>
        <v>5.0000000046566129E-3</v>
      </c>
      <c r="T1110" s="94">
        <f>IFERROR(VLOOKUP(Readings[[#This Row],[Sensor ID]],Table_Baseline[],COLUMNS(Table_Baseline[[#Headers],[Sensor ID]:[Reference Angle '[Deg']]]),FALSE),"-")</f>
        <v>0</v>
      </c>
      <c r="U1110" s="95" t="str">
        <f>Readings[[#This Row],[Sensor ID]]&amp;"-"&amp;Readings[[#This Row],[Epoch]]</f>
        <v>250-RL-OP-11019-45863.25</v>
      </c>
      <c r="V1110" s="99">
        <f ca="1">IF(Readings[[#This Row],[Epoch]]=OFFSET(Readings[[#This Row],[Epoch]],-1,0),0,1)</f>
        <v>0</v>
      </c>
    </row>
    <row r="1111" spans="4:22" x14ac:dyDescent="0.2">
      <c r="D1111" s="32">
        <v>45863.25</v>
      </c>
      <c r="E1111" s="33" t="s">
        <v>189</v>
      </c>
      <c r="F1111" s="34">
        <v>60060.639999999999</v>
      </c>
      <c r="G1111" s="34">
        <v>363837.32799999998</v>
      </c>
      <c r="H1111" s="34">
        <v>18.782</v>
      </c>
      <c r="I1111" s="33" t="s">
        <v>85</v>
      </c>
      <c r="J1111" s="33" t="s">
        <v>90</v>
      </c>
      <c r="K1111" s="33">
        <v>14.3</v>
      </c>
      <c r="L1111" s="33">
        <v>1020.1</v>
      </c>
      <c r="M1111" s="33">
        <v>80</v>
      </c>
      <c r="N1111" s="33"/>
      <c r="O1111" s="93">
        <f>IFERROR(IF(Readings[[#This Row],[Obs. X]]="","-",Readings[[#This Row],[Obs. X]]-_xlfn.XLOOKUP(Readings[[#This Row],[Sensor ID]],Table_Baseline[Sensor ID],Table_Baseline[Easting '[m']],"-")),"-")</f>
        <v>0</v>
      </c>
      <c r="P1111" s="93">
        <f>IFERROR(IF(Readings[[#This Row],[Obs. Y]]="","-",Readings[[#This Row],[Obs. Y]]-_xlfn.XLOOKUP(Readings[[#This Row],[Sensor ID]],Table_Baseline[Sensor ID],Table_Baseline[Northing '[m']],"-")),"-")</f>
        <v>5.9999999939464033E-3</v>
      </c>
      <c r="Q1111" s="93">
        <f>IFERROR(IF(Readings[[#This Row],[Obs. Z]]="","-",Readings[[#This Row],[Obs. Z]]-_xlfn.XLOOKUP(Readings[[#This Row],[Sensor ID]],Table_Baseline[Sensor ID],Table_Baseline[Level '[m']],"-")),"-")</f>
        <v>-1.5999999999998238E-3</v>
      </c>
      <c r="R1111" s="93">
        <f>IFERROR(IF(Readings[[#This Row],[Reference Angle]]="-","-",(Readings[[#This Row],[Diff E]]*COS(RADIANS(Readings[[#This Row],[Reference Angle]]))-Readings[[#This Row],[Diff N]]*SIN(RADIANS(Readings[[#This Row],[Reference Angle]])))),"-")</f>
        <v>0</v>
      </c>
      <c r="S1111" s="93">
        <f>IFERROR(IF(Readings[[#This Row],[Reference Angle]]="-","-",(Readings[[#This Row],[Diff E]]*SIN(RADIANS(Readings[[#This Row],[Reference Angle]]))+Readings[[#This Row],[Diff N]]*COS(RADIANS(Readings[[#This Row],[Reference Angle]])))),"-")</f>
        <v>5.9999999939464033E-3</v>
      </c>
      <c r="T1111" s="94">
        <f>IFERROR(VLOOKUP(Readings[[#This Row],[Sensor ID]],Table_Baseline[],COLUMNS(Table_Baseline[[#Headers],[Sensor ID]:[Reference Angle '[Deg']]]),FALSE),"-")</f>
        <v>0</v>
      </c>
      <c r="U1111" s="95" t="str">
        <f>Readings[[#This Row],[Sensor ID]]&amp;"-"&amp;Readings[[#This Row],[Epoch]]</f>
        <v>250-RL-OP-11020-45863.25</v>
      </c>
      <c r="V1111" s="99">
        <f ca="1">IF(Readings[[#This Row],[Epoch]]=OFFSET(Readings[[#This Row],[Epoch]],-1,0),0,1)</f>
        <v>0</v>
      </c>
    </row>
    <row r="1112" spans="4:22" x14ac:dyDescent="0.2">
      <c r="D1112" s="32">
        <v>45863.25</v>
      </c>
      <c r="E1112" s="33" t="s">
        <v>192</v>
      </c>
      <c r="F1112" s="34">
        <v>60063.75</v>
      </c>
      <c r="G1112" s="34">
        <v>363837.92300000001</v>
      </c>
      <c r="H1112" s="34">
        <v>18.808</v>
      </c>
      <c r="I1112" s="33" t="s">
        <v>85</v>
      </c>
      <c r="J1112" s="33" t="s">
        <v>90</v>
      </c>
      <c r="K1112" s="33">
        <v>14.3</v>
      </c>
      <c r="L1112" s="33">
        <v>1020.1</v>
      </c>
      <c r="M1112" s="33">
        <v>80</v>
      </c>
      <c r="N1112" s="33"/>
      <c r="O1112" s="93">
        <f>IFERROR(IF(Readings[[#This Row],[Obs. X]]="","-",Readings[[#This Row],[Obs. X]]-_xlfn.XLOOKUP(Readings[[#This Row],[Sensor ID]],Table_Baseline[Sensor ID],Table_Baseline[Easting '[m']],"-")),"-")</f>
        <v>-9.9999999656574801E-4</v>
      </c>
      <c r="P1112" s="93">
        <f>IFERROR(IF(Readings[[#This Row],[Obs. Y]]="","-",Readings[[#This Row],[Obs. Y]]-_xlfn.XLOOKUP(Readings[[#This Row],[Sensor ID]],Table_Baseline[Sensor ID],Table_Baseline[Northing '[m']],"-")),"-")</f>
        <v>5.0000000046566129E-3</v>
      </c>
      <c r="Q1112" s="93">
        <f>IFERROR(IF(Readings[[#This Row],[Obs. Z]]="","-",Readings[[#This Row],[Obs. Z]]-_xlfn.XLOOKUP(Readings[[#This Row],[Sensor ID]],Table_Baseline[Sensor ID],Table_Baseline[Level '[m']],"-")),"-")</f>
        <v>-1.0000000000012221E-3</v>
      </c>
      <c r="R1112" s="93">
        <f>IFERROR(IF(Readings[[#This Row],[Reference Angle]]="-","-",(Readings[[#This Row],[Diff E]]*COS(RADIANS(Readings[[#This Row],[Reference Angle]]))-Readings[[#This Row],[Diff N]]*SIN(RADIANS(Readings[[#This Row],[Reference Angle]])))),"-")</f>
        <v>-9.9999999656574801E-4</v>
      </c>
      <c r="S1112" s="93">
        <f>IFERROR(IF(Readings[[#This Row],[Reference Angle]]="-","-",(Readings[[#This Row],[Diff E]]*SIN(RADIANS(Readings[[#This Row],[Reference Angle]]))+Readings[[#This Row],[Diff N]]*COS(RADIANS(Readings[[#This Row],[Reference Angle]])))),"-")</f>
        <v>5.0000000046566129E-3</v>
      </c>
      <c r="T1112" s="94">
        <f>IFERROR(VLOOKUP(Readings[[#This Row],[Sensor ID]],Table_Baseline[],COLUMNS(Table_Baseline[[#Headers],[Sensor ID]:[Reference Angle '[Deg']]]),FALSE),"-")</f>
        <v>0</v>
      </c>
      <c r="U1112" s="95" t="str">
        <f>Readings[[#This Row],[Sensor ID]]&amp;"-"&amp;Readings[[#This Row],[Epoch]]</f>
        <v>250-RL-OP-11021-45863.25</v>
      </c>
      <c r="V1112" s="99">
        <f ca="1">IF(Readings[[#This Row],[Epoch]]=OFFSET(Readings[[#This Row],[Epoch]],-1,0),0,1)</f>
        <v>0</v>
      </c>
    </row>
    <row r="1113" spans="4:22" x14ac:dyDescent="0.2">
      <c r="D1113" s="32">
        <v>45863.25</v>
      </c>
      <c r="E1113" s="33" t="s">
        <v>191</v>
      </c>
      <c r="F1113" s="34">
        <v>60063.421999999999</v>
      </c>
      <c r="G1113" s="34">
        <v>363836.64199999999</v>
      </c>
      <c r="H1113" s="34">
        <v>18.792999999999999</v>
      </c>
      <c r="I1113" s="33" t="s">
        <v>85</v>
      </c>
      <c r="J1113" s="33" t="s">
        <v>90</v>
      </c>
      <c r="K1113" s="33">
        <v>14.3</v>
      </c>
      <c r="L1113" s="33">
        <v>1020.1</v>
      </c>
      <c r="M1113" s="33">
        <v>80</v>
      </c>
      <c r="N1113" s="33"/>
      <c r="O1113" s="93">
        <f>IFERROR(IF(Readings[[#This Row],[Obs. X]]="","-",Readings[[#This Row],[Obs. X]]-_xlfn.XLOOKUP(Readings[[#This Row],[Sensor ID]],Table_Baseline[Sensor ID],Table_Baseline[Easting '[m']],"-")),"-")</f>
        <v>0</v>
      </c>
      <c r="P1113" s="93">
        <f>IFERROR(IF(Readings[[#This Row],[Obs. Y]]="","-",Readings[[#This Row],[Obs. Y]]-_xlfn.XLOOKUP(Readings[[#This Row],[Sensor ID]],Table_Baseline[Sensor ID],Table_Baseline[Northing '[m']],"-")),"-")</f>
        <v>5.9999999939464033E-3</v>
      </c>
      <c r="Q1113" s="93">
        <f>IFERROR(IF(Readings[[#This Row],[Obs. Z]]="","-",Readings[[#This Row],[Obs. Z]]-_xlfn.XLOOKUP(Readings[[#This Row],[Sensor ID]],Table_Baseline[Sensor ID],Table_Baseline[Level '[m']],"-")),"-")</f>
        <v>-1.8999999999991246E-3</v>
      </c>
      <c r="R1113" s="93">
        <f>IFERROR(IF(Readings[[#This Row],[Reference Angle]]="-","-",(Readings[[#This Row],[Diff E]]*COS(RADIANS(Readings[[#This Row],[Reference Angle]]))-Readings[[#This Row],[Diff N]]*SIN(RADIANS(Readings[[#This Row],[Reference Angle]])))),"-")</f>
        <v>0</v>
      </c>
      <c r="S1113" s="93">
        <f>IFERROR(IF(Readings[[#This Row],[Reference Angle]]="-","-",(Readings[[#This Row],[Diff E]]*SIN(RADIANS(Readings[[#This Row],[Reference Angle]]))+Readings[[#This Row],[Diff N]]*COS(RADIANS(Readings[[#This Row],[Reference Angle]])))),"-")</f>
        <v>5.9999999939464033E-3</v>
      </c>
      <c r="T1113" s="94">
        <f>IFERROR(VLOOKUP(Readings[[#This Row],[Sensor ID]],Table_Baseline[],COLUMNS(Table_Baseline[[#Headers],[Sensor ID]:[Reference Angle '[Deg']]]),FALSE),"-")</f>
        <v>0</v>
      </c>
      <c r="U1113" s="95" t="str">
        <f>Readings[[#This Row],[Sensor ID]]&amp;"-"&amp;Readings[[#This Row],[Epoch]]</f>
        <v>250-RL-OP-11022-45863.25</v>
      </c>
      <c r="V1113" s="99">
        <f ca="1">IF(Readings[[#This Row],[Epoch]]=OFFSET(Readings[[#This Row],[Epoch]],-1,0),0,1)</f>
        <v>0</v>
      </c>
    </row>
    <row r="1114" spans="4:22" x14ac:dyDescent="0.2">
      <c r="D1114" s="32">
        <v>45863.25</v>
      </c>
      <c r="E1114" s="33" t="s">
        <v>165</v>
      </c>
      <c r="F1114" s="34">
        <v>60034.538999999997</v>
      </c>
      <c r="G1114" s="34">
        <v>363843.38099999999</v>
      </c>
      <c r="H1114" s="34">
        <v>19.332000000000001</v>
      </c>
      <c r="I1114" s="33" t="s">
        <v>85</v>
      </c>
      <c r="J1114" s="33" t="s">
        <v>90</v>
      </c>
      <c r="K1114" s="33">
        <v>14.3</v>
      </c>
      <c r="L1114" s="33">
        <v>1020.1</v>
      </c>
      <c r="M1114" s="33">
        <v>80</v>
      </c>
      <c r="N1114" s="33"/>
      <c r="O1114" s="93" t="str">
        <f>IFERROR(IF(Readings[[#This Row],[Obs. X]]="","-",Readings[[#This Row],[Obs. X]]-_xlfn.XLOOKUP(Readings[[#This Row],[Sensor ID]],Table_Baseline[Sensor ID],Table_Baseline[Easting '[m']],"-")),"-")</f>
        <v>-</v>
      </c>
      <c r="P1114" s="93" t="str">
        <f>IFERROR(IF(Readings[[#This Row],[Obs. Y]]="","-",Readings[[#This Row],[Obs. Y]]-_xlfn.XLOOKUP(Readings[[#This Row],[Sensor ID]],Table_Baseline[Sensor ID],Table_Baseline[Northing '[m']],"-")),"-")</f>
        <v>-</v>
      </c>
      <c r="Q1114" s="93" t="str">
        <f>IFERROR(IF(Readings[[#This Row],[Obs. Z]]="","-",Readings[[#This Row],[Obs. Z]]-_xlfn.XLOOKUP(Readings[[#This Row],[Sensor ID]],Table_Baseline[Sensor ID],Table_Baseline[Level '[m']],"-")),"-")</f>
        <v>-</v>
      </c>
      <c r="R1114" s="93" t="str">
        <f>IFERROR(IF(Readings[[#This Row],[Reference Angle]]="-","-",(Readings[[#This Row],[Diff E]]*COS(RADIANS(Readings[[#This Row],[Reference Angle]]))-Readings[[#This Row],[Diff N]]*SIN(RADIANS(Readings[[#This Row],[Reference Angle]])))),"-")</f>
        <v>-</v>
      </c>
      <c r="S1114" s="93" t="str">
        <f>IFERROR(IF(Readings[[#This Row],[Reference Angle]]="-","-",(Readings[[#This Row],[Diff E]]*SIN(RADIANS(Readings[[#This Row],[Reference Angle]]))+Readings[[#This Row],[Diff N]]*COS(RADIANS(Readings[[#This Row],[Reference Angle]])))),"-")</f>
        <v>-</v>
      </c>
      <c r="T1114" s="94" t="str">
        <f>IFERROR(VLOOKUP(Readings[[#This Row],[Sensor ID]],Table_Baseline[],COLUMNS(Table_Baseline[[#Headers],[Sensor ID]:[Reference Angle '[Deg']]]),FALSE),"-")</f>
        <v>-</v>
      </c>
      <c r="U1114" s="95" t="str">
        <f>Readings[[#This Row],[Sensor ID]]&amp;"-"&amp;Readings[[#This Row],[Epoch]]</f>
        <v>250-ST-OP-500-45863.25</v>
      </c>
      <c r="V1114" s="99">
        <f ca="1">IF(Readings[[#This Row],[Epoch]]=OFFSET(Readings[[#This Row],[Epoch]],-1,0),0,1)</f>
        <v>0</v>
      </c>
    </row>
    <row r="1115" spans="4:22" x14ac:dyDescent="0.2">
      <c r="D1115" s="32">
        <v>45863.25</v>
      </c>
      <c r="E1115" s="33" t="s">
        <v>166</v>
      </c>
      <c r="F1115" s="34">
        <v>60040.286999999997</v>
      </c>
      <c r="G1115" s="34">
        <v>363841.73</v>
      </c>
      <c r="H1115" s="34">
        <v>19.321999999999999</v>
      </c>
      <c r="I1115" s="33" t="s">
        <v>85</v>
      </c>
      <c r="J1115" s="33" t="s">
        <v>90</v>
      </c>
      <c r="K1115" s="33">
        <v>14.3</v>
      </c>
      <c r="L1115" s="33">
        <v>1020.1</v>
      </c>
      <c r="M1115" s="33">
        <v>80</v>
      </c>
      <c r="N1115" s="33"/>
      <c r="O1115" s="93" t="str">
        <f>IFERROR(IF(Readings[[#This Row],[Obs. X]]="","-",Readings[[#This Row],[Obs. X]]-_xlfn.XLOOKUP(Readings[[#This Row],[Sensor ID]],Table_Baseline[Sensor ID],Table_Baseline[Easting '[m']],"-")),"-")</f>
        <v>-</v>
      </c>
      <c r="P1115" s="93" t="str">
        <f>IFERROR(IF(Readings[[#This Row],[Obs. Y]]="","-",Readings[[#This Row],[Obs. Y]]-_xlfn.XLOOKUP(Readings[[#This Row],[Sensor ID]],Table_Baseline[Sensor ID],Table_Baseline[Northing '[m']],"-")),"-")</f>
        <v>-</v>
      </c>
      <c r="Q1115" s="93" t="str">
        <f>IFERROR(IF(Readings[[#This Row],[Obs. Z]]="","-",Readings[[#This Row],[Obs. Z]]-_xlfn.XLOOKUP(Readings[[#This Row],[Sensor ID]],Table_Baseline[Sensor ID],Table_Baseline[Level '[m']],"-")),"-")</f>
        <v>-</v>
      </c>
      <c r="R1115" s="93" t="str">
        <f>IFERROR(IF(Readings[[#This Row],[Reference Angle]]="-","-",(Readings[[#This Row],[Diff E]]*COS(RADIANS(Readings[[#This Row],[Reference Angle]]))-Readings[[#This Row],[Diff N]]*SIN(RADIANS(Readings[[#This Row],[Reference Angle]])))),"-")</f>
        <v>-</v>
      </c>
      <c r="S1115" s="93" t="str">
        <f>IFERROR(IF(Readings[[#This Row],[Reference Angle]]="-","-",(Readings[[#This Row],[Diff E]]*SIN(RADIANS(Readings[[#This Row],[Reference Angle]]))+Readings[[#This Row],[Diff N]]*COS(RADIANS(Readings[[#This Row],[Reference Angle]])))),"-")</f>
        <v>-</v>
      </c>
      <c r="T1115" s="94" t="str">
        <f>IFERROR(VLOOKUP(Readings[[#This Row],[Sensor ID]],Table_Baseline[],COLUMNS(Table_Baseline[[#Headers],[Sensor ID]:[Reference Angle '[Deg']]]),FALSE),"-")</f>
        <v>-</v>
      </c>
      <c r="U1115" s="95" t="str">
        <f>Readings[[#This Row],[Sensor ID]]&amp;"-"&amp;Readings[[#This Row],[Epoch]]</f>
        <v>250-ST-OP-501-45863.25</v>
      </c>
      <c r="V1115" s="99">
        <f ca="1">IF(Readings[[#This Row],[Epoch]]=OFFSET(Readings[[#This Row],[Epoch]],-1,0),0,1)</f>
        <v>0</v>
      </c>
    </row>
    <row r="1116" spans="4:22" x14ac:dyDescent="0.2">
      <c r="D1116" s="32">
        <v>45863.25</v>
      </c>
      <c r="E1116" s="33" t="s">
        <v>167</v>
      </c>
      <c r="F1116" s="34">
        <v>60045.921999999999</v>
      </c>
      <c r="G1116" s="34">
        <v>363840.10100000002</v>
      </c>
      <c r="H1116" s="34">
        <v>19.334</v>
      </c>
      <c r="I1116" s="33" t="s">
        <v>85</v>
      </c>
      <c r="J1116" s="33" t="s">
        <v>90</v>
      </c>
      <c r="K1116" s="33">
        <v>14.3</v>
      </c>
      <c r="L1116" s="33">
        <v>1020.1</v>
      </c>
      <c r="M1116" s="33">
        <v>80</v>
      </c>
      <c r="N1116" s="33"/>
      <c r="O1116" s="93" t="str">
        <f>IFERROR(IF(Readings[[#This Row],[Obs. X]]="","-",Readings[[#This Row],[Obs. X]]-_xlfn.XLOOKUP(Readings[[#This Row],[Sensor ID]],Table_Baseline[Sensor ID],Table_Baseline[Easting '[m']],"-")),"-")</f>
        <v>-</v>
      </c>
      <c r="P1116" s="93" t="str">
        <f>IFERROR(IF(Readings[[#This Row],[Obs. Y]]="","-",Readings[[#This Row],[Obs. Y]]-_xlfn.XLOOKUP(Readings[[#This Row],[Sensor ID]],Table_Baseline[Sensor ID],Table_Baseline[Northing '[m']],"-")),"-")</f>
        <v>-</v>
      </c>
      <c r="Q1116" s="93" t="str">
        <f>IFERROR(IF(Readings[[#This Row],[Obs. Z]]="","-",Readings[[#This Row],[Obs. Z]]-_xlfn.XLOOKUP(Readings[[#This Row],[Sensor ID]],Table_Baseline[Sensor ID],Table_Baseline[Level '[m']],"-")),"-")</f>
        <v>-</v>
      </c>
      <c r="R1116" s="93" t="str">
        <f>IFERROR(IF(Readings[[#This Row],[Reference Angle]]="-","-",(Readings[[#This Row],[Diff E]]*COS(RADIANS(Readings[[#This Row],[Reference Angle]]))-Readings[[#This Row],[Diff N]]*SIN(RADIANS(Readings[[#This Row],[Reference Angle]])))),"-")</f>
        <v>-</v>
      </c>
      <c r="S1116" s="93" t="str">
        <f>IFERROR(IF(Readings[[#This Row],[Reference Angle]]="-","-",(Readings[[#This Row],[Diff E]]*SIN(RADIANS(Readings[[#This Row],[Reference Angle]]))+Readings[[#This Row],[Diff N]]*COS(RADIANS(Readings[[#This Row],[Reference Angle]])))),"-")</f>
        <v>-</v>
      </c>
      <c r="T1116" s="94" t="str">
        <f>IFERROR(VLOOKUP(Readings[[#This Row],[Sensor ID]],Table_Baseline[],COLUMNS(Table_Baseline[[#Headers],[Sensor ID]:[Reference Angle '[Deg']]]),FALSE),"-")</f>
        <v>-</v>
      </c>
      <c r="U1116" s="95" t="str">
        <f>Readings[[#This Row],[Sensor ID]]&amp;"-"&amp;Readings[[#This Row],[Epoch]]</f>
        <v>250-ST-OP-502-45863.25</v>
      </c>
      <c r="V1116" s="99">
        <f ca="1">IF(Readings[[#This Row],[Epoch]]=OFFSET(Readings[[#This Row],[Epoch]],-1,0),0,1)</f>
        <v>0</v>
      </c>
    </row>
    <row r="1117" spans="4:22" x14ac:dyDescent="0.2">
      <c r="D1117" s="32">
        <v>45863.25</v>
      </c>
      <c r="E1117" s="33" t="s">
        <v>168</v>
      </c>
      <c r="F1117" s="34">
        <v>60049.767999999996</v>
      </c>
      <c r="G1117" s="34">
        <v>363838.995</v>
      </c>
      <c r="H1117" s="34">
        <v>19.344999999999999</v>
      </c>
      <c r="I1117" s="33" t="s">
        <v>85</v>
      </c>
      <c r="J1117" s="33" t="s">
        <v>90</v>
      </c>
      <c r="K1117" s="33">
        <v>14.3</v>
      </c>
      <c r="L1117" s="33">
        <v>1020.1</v>
      </c>
      <c r="M1117" s="33">
        <v>80</v>
      </c>
      <c r="N1117" s="33"/>
      <c r="O1117" s="93" t="str">
        <f>IFERROR(IF(Readings[[#This Row],[Obs. X]]="","-",Readings[[#This Row],[Obs. X]]-_xlfn.XLOOKUP(Readings[[#This Row],[Sensor ID]],Table_Baseline[Sensor ID],Table_Baseline[Easting '[m']],"-")),"-")</f>
        <v>-</v>
      </c>
      <c r="P1117" s="93" t="str">
        <f>IFERROR(IF(Readings[[#This Row],[Obs. Y]]="","-",Readings[[#This Row],[Obs. Y]]-_xlfn.XLOOKUP(Readings[[#This Row],[Sensor ID]],Table_Baseline[Sensor ID],Table_Baseline[Northing '[m']],"-")),"-")</f>
        <v>-</v>
      </c>
      <c r="Q1117" s="93" t="str">
        <f>IFERROR(IF(Readings[[#This Row],[Obs. Z]]="","-",Readings[[#This Row],[Obs. Z]]-_xlfn.XLOOKUP(Readings[[#This Row],[Sensor ID]],Table_Baseline[Sensor ID],Table_Baseline[Level '[m']],"-")),"-")</f>
        <v>-</v>
      </c>
      <c r="R1117" s="93" t="str">
        <f>IFERROR(IF(Readings[[#This Row],[Reference Angle]]="-","-",(Readings[[#This Row],[Diff E]]*COS(RADIANS(Readings[[#This Row],[Reference Angle]]))-Readings[[#This Row],[Diff N]]*SIN(RADIANS(Readings[[#This Row],[Reference Angle]])))),"-")</f>
        <v>-</v>
      </c>
      <c r="S1117" s="93" t="str">
        <f>IFERROR(IF(Readings[[#This Row],[Reference Angle]]="-","-",(Readings[[#This Row],[Diff E]]*SIN(RADIANS(Readings[[#This Row],[Reference Angle]]))+Readings[[#This Row],[Diff N]]*COS(RADIANS(Readings[[#This Row],[Reference Angle]])))),"-")</f>
        <v>-</v>
      </c>
      <c r="T1117" s="94" t="str">
        <f>IFERROR(VLOOKUP(Readings[[#This Row],[Sensor ID]],Table_Baseline[],COLUMNS(Table_Baseline[[#Headers],[Sensor ID]:[Reference Angle '[Deg']]]),FALSE),"-")</f>
        <v>-</v>
      </c>
      <c r="U1117" s="95" t="str">
        <f>Readings[[#This Row],[Sensor ID]]&amp;"-"&amp;Readings[[#This Row],[Epoch]]</f>
        <v>250-ST-OP-503-45863.25</v>
      </c>
      <c r="V1117" s="99">
        <f ca="1">IF(Readings[[#This Row],[Epoch]]=OFFSET(Readings[[#This Row],[Epoch]],-1,0),0,1)</f>
        <v>0</v>
      </c>
    </row>
    <row r="1118" spans="4:22" x14ac:dyDescent="0.2">
      <c r="D1118" s="32">
        <v>45863.25</v>
      </c>
      <c r="E1118" s="33" t="s">
        <v>169</v>
      </c>
      <c r="F1118" s="34">
        <v>60053.608999999997</v>
      </c>
      <c r="G1118" s="34">
        <v>363837.88399999996</v>
      </c>
      <c r="H1118" s="34">
        <v>19.356000000000002</v>
      </c>
      <c r="I1118" s="33" t="s">
        <v>85</v>
      </c>
      <c r="J1118" s="33" t="s">
        <v>90</v>
      </c>
      <c r="K1118" s="33">
        <v>14.3</v>
      </c>
      <c r="L1118" s="33">
        <v>1020.1</v>
      </c>
      <c r="M1118" s="33">
        <v>80</v>
      </c>
      <c r="N1118" s="33"/>
      <c r="O1118" s="93" t="str">
        <f>IFERROR(IF(Readings[[#This Row],[Obs. X]]="","-",Readings[[#This Row],[Obs. X]]-_xlfn.XLOOKUP(Readings[[#This Row],[Sensor ID]],Table_Baseline[Sensor ID],Table_Baseline[Easting '[m']],"-")),"-")</f>
        <v>-</v>
      </c>
      <c r="P1118" s="93" t="str">
        <f>IFERROR(IF(Readings[[#This Row],[Obs. Y]]="","-",Readings[[#This Row],[Obs. Y]]-_xlfn.XLOOKUP(Readings[[#This Row],[Sensor ID]],Table_Baseline[Sensor ID],Table_Baseline[Northing '[m']],"-")),"-")</f>
        <v>-</v>
      </c>
      <c r="Q1118" s="93" t="str">
        <f>IFERROR(IF(Readings[[#This Row],[Obs. Z]]="","-",Readings[[#This Row],[Obs. Z]]-_xlfn.XLOOKUP(Readings[[#This Row],[Sensor ID]],Table_Baseline[Sensor ID],Table_Baseline[Level '[m']],"-")),"-")</f>
        <v>-</v>
      </c>
      <c r="R1118" s="93" t="str">
        <f>IFERROR(IF(Readings[[#This Row],[Reference Angle]]="-","-",(Readings[[#This Row],[Diff E]]*COS(RADIANS(Readings[[#This Row],[Reference Angle]]))-Readings[[#This Row],[Diff N]]*SIN(RADIANS(Readings[[#This Row],[Reference Angle]])))),"-")</f>
        <v>-</v>
      </c>
      <c r="S1118" s="93" t="str">
        <f>IFERROR(IF(Readings[[#This Row],[Reference Angle]]="-","-",(Readings[[#This Row],[Diff E]]*SIN(RADIANS(Readings[[#This Row],[Reference Angle]]))+Readings[[#This Row],[Diff N]]*COS(RADIANS(Readings[[#This Row],[Reference Angle]])))),"-")</f>
        <v>-</v>
      </c>
      <c r="T1118" s="94" t="str">
        <f>IFERROR(VLOOKUP(Readings[[#This Row],[Sensor ID]],Table_Baseline[],COLUMNS(Table_Baseline[[#Headers],[Sensor ID]:[Reference Angle '[Deg']]]),FALSE),"-")</f>
        <v>-</v>
      </c>
      <c r="U1118" s="95" t="str">
        <f>Readings[[#This Row],[Sensor ID]]&amp;"-"&amp;Readings[[#This Row],[Epoch]]</f>
        <v>250-ST-OP-504-45863.25</v>
      </c>
      <c r="V1118" s="99">
        <f ca="1">IF(Readings[[#This Row],[Epoch]]=OFFSET(Readings[[#This Row],[Epoch]],-1,0),0,1)</f>
        <v>0</v>
      </c>
    </row>
    <row r="1119" spans="4:22" x14ac:dyDescent="0.2">
      <c r="D1119" s="204">
        <v>45863.25</v>
      </c>
      <c r="E1119" s="151" t="s">
        <v>170</v>
      </c>
      <c r="F1119" s="152">
        <v>60060.065000000002</v>
      </c>
      <c r="G1119" s="152">
        <v>363836.02500000002</v>
      </c>
      <c r="H1119" s="152">
        <v>19.356000000000002</v>
      </c>
      <c r="I1119" s="151" t="s">
        <v>85</v>
      </c>
      <c r="J1119" s="151" t="s">
        <v>90</v>
      </c>
      <c r="K1119" s="151">
        <v>14.3</v>
      </c>
      <c r="L1119" s="151">
        <v>1020.1</v>
      </c>
      <c r="M1119" s="151">
        <v>80</v>
      </c>
      <c r="N1119" s="151"/>
      <c r="O1119" s="96" t="str">
        <f>IFERROR(IF(Readings[[#This Row],[Obs. X]]="","-",Readings[[#This Row],[Obs. X]]-_xlfn.XLOOKUP(Readings[[#This Row],[Sensor ID]],Table_Baseline[Sensor ID],Table_Baseline[Easting '[m']],"-")),"-")</f>
        <v>-</v>
      </c>
      <c r="P1119" s="96" t="str">
        <f>IFERROR(IF(Readings[[#This Row],[Obs. Y]]="","-",Readings[[#This Row],[Obs. Y]]-_xlfn.XLOOKUP(Readings[[#This Row],[Sensor ID]],Table_Baseline[Sensor ID],Table_Baseline[Northing '[m']],"-")),"-")</f>
        <v>-</v>
      </c>
      <c r="Q1119" s="96" t="str">
        <f>IFERROR(IF(Readings[[#This Row],[Obs. Z]]="","-",Readings[[#This Row],[Obs. Z]]-_xlfn.XLOOKUP(Readings[[#This Row],[Sensor ID]],Table_Baseline[Sensor ID],Table_Baseline[Level '[m']],"-")),"-")</f>
        <v>-</v>
      </c>
      <c r="R1119" s="96" t="str">
        <f>IFERROR(IF(Readings[[#This Row],[Reference Angle]]="-","-",(Readings[[#This Row],[Diff E]]*COS(RADIANS(Readings[[#This Row],[Reference Angle]]))-Readings[[#This Row],[Diff N]]*SIN(RADIANS(Readings[[#This Row],[Reference Angle]])))),"-")</f>
        <v>-</v>
      </c>
      <c r="S1119" s="96" t="str">
        <f>IFERROR(IF(Readings[[#This Row],[Reference Angle]]="-","-",(Readings[[#This Row],[Diff E]]*SIN(RADIANS(Readings[[#This Row],[Reference Angle]]))+Readings[[#This Row],[Diff N]]*COS(RADIANS(Readings[[#This Row],[Reference Angle]])))),"-")</f>
        <v>-</v>
      </c>
      <c r="T1119" s="97" t="str">
        <f>IFERROR(VLOOKUP(Readings[[#This Row],[Sensor ID]],Table_Baseline[],COLUMNS(Table_Baseline[[#Headers],[Sensor ID]:[Reference Angle '[Deg']]]),FALSE),"-")</f>
        <v>-</v>
      </c>
      <c r="U1119" s="98" t="str">
        <f>Readings[[#This Row],[Sensor ID]]&amp;"-"&amp;Readings[[#This Row],[Epoch]]</f>
        <v>250-ST-OP-505-45863.25</v>
      </c>
      <c r="V1119" s="100">
        <f ca="1">IF(Readings[[#This Row],[Epoch]]=OFFSET(Readings[[#This Row],[Epoch]],-1,0),0,1)</f>
        <v>0</v>
      </c>
    </row>
    <row r="1120" spans="4:22" x14ac:dyDescent="0.2">
      <c r="D1120" s="32">
        <v>45867.270833333336</v>
      </c>
      <c r="E1120" s="33" t="s">
        <v>172</v>
      </c>
      <c r="F1120" s="34">
        <v>60035.339</v>
      </c>
      <c r="G1120" s="34">
        <v>363845.73800000001</v>
      </c>
      <c r="H1120" s="34">
        <v>18.782</v>
      </c>
      <c r="I1120" s="33" t="s">
        <v>85</v>
      </c>
      <c r="J1120" s="33" t="s">
        <v>90</v>
      </c>
      <c r="K1120" s="33">
        <v>7.2</v>
      </c>
      <c r="L1120" s="33">
        <v>1022.4</v>
      </c>
      <c r="M1120" s="33">
        <v>83</v>
      </c>
      <c r="N1120" s="33"/>
      <c r="O1120" s="93">
        <f>IFERROR(IF(Readings[[#This Row],[Obs. X]]="","-",Readings[[#This Row],[Obs. X]]-_xlfn.XLOOKUP(Readings[[#This Row],[Sensor ID]],Table_Baseline[Sensor ID],Table_Baseline[Easting '[m']],"-")),"-")</f>
        <v>-9.9999999656574801E-4</v>
      </c>
      <c r="P1120" s="93">
        <f>IFERROR(IF(Readings[[#This Row],[Obs. Y]]="","-",Readings[[#This Row],[Obs. Y]]-_xlfn.XLOOKUP(Readings[[#This Row],[Sensor ID]],Table_Baseline[Sensor ID],Table_Baseline[Northing '[m']],"-")),"-")</f>
        <v>-9.9999998928979039E-4</v>
      </c>
      <c r="Q1120" s="93">
        <f>IFERROR(IF(Readings[[#This Row],[Obs. Z]]="","-",Readings[[#This Row],[Obs. Z]]-_xlfn.XLOOKUP(Readings[[#This Row],[Sensor ID]],Table_Baseline[Sensor ID],Table_Baseline[Level '[m']],"-")),"-")</f>
        <v>0</v>
      </c>
      <c r="R1120" s="93">
        <f>IFERROR(IF(Readings[[#This Row],[Reference Angle]]="-","-",(Readings[[#This Row],[Diff E]]*COS(RADIANS(Readings[[#This Row],[Reference Angle]]))-Readings[[#This Row],[Diff N]]*SIN(RADIANS(Readings[[#This Row],[Reference Angle]])))),"-")</f>
        <v>-9.9999999656574801E-4</v>
      </c>
      <c r="S1120" s="93">
        <f>IFERROR(IF(Readings[[#This Row],[Reference Angle]]="-","-",(Readings[[#This Row],[Diff E]]*SIN(RADIANS(Readings[[#This Row],[Reference Angle]]))+Readings[[#This Row],[Diff N]]*COS(RADIANS(Readings[[#This Row],[Reference Angle]])))),"-")</f>
        <v>-9.9999998928979039E-4</v>
      </c>
      <c r="T1120" s="94">
        <f>IFERROR(VLOOKUP(Readings[[#This Row],[Sensor ID]],Table_Baseline[],COLUMNS(Table_Baseline[[#Headers],[Sensor ID]:[Reference Angle '[Deg']]]),FALSE),"-")</f>
        <v>0</v>
      </c>
      <c r="U1120" s="95" t="str">
        <f>Readings[[#This Row],[Sensor ID]]&amp;"-"&amp;Readings[[#This Row],[Epoch]]</f>
        <v>250-RL-OP-11001-45867.2708333333</v>
      </c>
      <c r="V1120" s="99">
        <f ca="1">IF(Readings[[#This Row],[Epoch]]=OFFSET(Readings[[#This Row],[Epoch]],-1,0),0,1)</f>
        <v>1</v>
      </c>
    </row>
    <row r="1121" spans="4:22" x14ac:dyDescent="0.2">
      <c r="D1121" s="32">
        <v>45867.270833333336</v>
      </c>
      <c r="E1121" s="33" t="s">
        <v>171</v>
      </c>
      <c r="F1121" s="34">
        <v>60034.959000000003</v>
      </c>
      <c r="G1121" s="34">
        <v>363844.47100000002</v>
      </c>
      <c r="H1121" s="34">
        <v>18.777999999999999</v>
      </c>
      <c r="I1121" s="33" t="s">
        <v>85</v>
      </c>
      <c r="J1121" s="33" t="s">
        <v>90</v>
      </c>
      <c r="K1121" s="33">
        <v>7.2</v>
      </c>
      <c r="L1121" s="33">
        <v>1022.4</v>
      </c>
      <c r="M1121" s="33">
        <v>83</v>
      </c>
      <c r="N1121" s="33"/>
      <c r="O1121" s="93">
        <f>IFERROR(IF(Readings[[#This Row],[Obs. X]]="","-",Readings[[#This Row],[Obs. X]]-_xlfn.XLOOKUP(Readings[[#This Row],[Sensor ID]],Table_Baseline[Sensor ID],Table_Baseline[Easting '[m']],"-")),"-")</f>
        <v>0</v>
      </c>
      <c r="P1121" s="93">
        <f>IFERROR(IF(Readings[[#This Row],[Obs. Y]]="","-",Readings[[#This Row],[Obs. Y]]-_xlfn.XLOOKUP(Readings[[#This Row],[Sensor ID]],Table_Baseline[Sensor ID],Table_Baseline[Northing '[m']],"-")),"-")</f>
        <v>0</v>
      </c>
      <c r="Q1121" s="93">
        <f>IFERROR(IF(Readings[[#This Row],[Obs. Z]]="","-",Readings[[#This Row],[Obs. Z]]-_xlfn.XLOOKUP(Readings[[#This Row],[Sensor ID]],Table_Baseline[Sensor ID],Table_Baseline[Level '[m']],"-")),"-")</f>
        <v>-9.9999999999766942E-5</v>
      </c>
      <c r="R1121" s="93">
        <f>IFERROR(IF(Readings[[#This Row],[Reference Angle]]="-","-",(Readings[[#This Row],[Diff E]]*COS(RADIANS(Readings[[#This Row],[Reference Angle]]))-Readings[[#This Row],[Diff N]]*SIN(RADIANS(Readings[[#This Row],[Reference Angle]])))),"-")</f>
        <v>0</v>
      </c>
      <c r="S1121" s="93">
        <f>IFERROR(IF(Readings[[#This Row],[Reference Angle]]="-","-",(Readings[[#This Row],[Diff E]]*SIN(RADIANS(Readings[[#This Row],[Reference Angle]]))+Readings[[#This Row],[Diff N]]*COS(RADIANS(Readings[[#This Row],[Reference Angle]])))),"-")</f>
        <v>0</v>
      </c>
      <c r="T1121" s="94">
        <f>IFERROR(VLOOKUP(Readings[[#This Row],[Sensor ID]],Table_Baseline[],COLUMNS(Table_Baseline[[#Headers],[Sensor ID]:[Reference Angle '[Deg']]]),FALSE),"-")</f>
        <v>0</v>
      </c>
      <c r="U1121" s="95" t="str">
        <f>Readings[[#This Row],[Sensor ID]]&amp;"-"&amp;Readings[[#This Row],[Epoch]]</f>
        <v>250-RL-OP-11002-45867.2708333333</v>
      </c>
      <c r="V1121" s="99">
        <f ca="1">IF(Readings[[#This Row],[Epoch]]=OFFSET(Readings[[#This Row],[Epoch]],-1,0),0,1)</f>
        <v>0</v>
      </c>
    </row>
    <row r="1122" spans="4:22" x14ac:dyDescent="0.2">
      <c r="D1122" s="32">
        <v>45867.270833333336</v>
      </c>
      <c r="E1122" s="33" t="s">
        <v>174</v>
      </c>
      <c r="F1122" s="34">
        <v>60038.116999999998</v>
      </c>
      <c r="G1122" s="34">
        <v>363844.94500000001</v>
      </c>
      <c r="H1122" s="34">
        <v>18.777999999999999</v>
      </c>
      <c r="I1122" s="33" t="s">
        <v>85</v>
      </c>
      <c r="J1122" s="33" t="s">
        <v>90</v>
      </c>
      <c r="K1122" s="33">
        <v>7.2</v>
      </c>
      <c r="L1122" s="33">
        <v>1022.4</v>
      </c>
      <c r="M1122" s="33">
        <v>83</v>
      </c>
      <c r="N1122" s="33"/>
      <c r="O1122" s="93">
        <f>IFERROR(IF(Readings[[#This Row],[Obs. X]]="","-",Readings[[#This Row],[Obs. X]]-_xlfn.XLOOKUP(Readings[[#This Row],[Sensor ID]],Table_Baseline[Sensor ID],Table_Baseline[Easting '[m']],"-")),"-")</f>
        <v>-1.0000000038417056E-3</v>
      </c>
      <c r="P1122" s="93">
        <f>IFERROR(IF(Readings[[#This Row],[Obs. Y]]="","-",Readings[[#This Row],[Obs. Y]]-_xlfn.XLOOKUP(Readings[[#This Row],[Sensor ID]],Table_Baseline[Sensor ID],Table_Baseline[Northing '[m']],"-")),"-")</f>
        <v>0</v>
      </c>
      <c r="Q1122" s="93">
        <f>IFERROR(IF(Readings[[#This Row],[Obs. Z]]="","-",Readings[[#This Row],[Obs. Z]]-_xlfn.XLOOKUP(Readings[[#This Row],[Sensor ID]],Table_Baseline[Sensor ID],Table_Baseline[Level '[m']],"-")),"-")</f>
        <v>-8.0000000000168825E-4</v>
      </c>
      <c r="R1122" s="93">
        <f>IFERROR(IF(Readings[[#This Row],[Reference Angle]]="-","-",(Readings[[#This Row],[Diff E]]*COS(RADIANS(Readings[[#This Row],[Reference Angle]]))-Readings[[#This Row],[Diff N]]*SIN(RADIANS(Readings[[#This Row],[Reference Angle]])))),"-")</f>
        <v>-1.0000000038417056E-3</v>
      </c>
      <c r="S1122" s="93">
        <f>IFERROR(IF(Readings[[#This Row],[Reference Angle]]="-","-",(Readings[[#This Row],[Diff E]]*SIN(RADIANS(Readings[[#This Row],[Reference Angle]]))+Readings[[#This Row],[Diff N]]*COS(RADIANS(Readings[[#This Row],[Reference Angle]])))),"-")</f>
        <v>0</v>
      </c>
      <c r="T1122" s="94">
        <f>IFERROR(VLOOKUP(Readings[[#This Row],[Sensor ID]],Table_Baseline[],COLUMNS(Table_Baseline[[#Headers],[Sensor ID]:[Reference Angle '[Deg']]]),FALSE),"-")</f>
        <v>0</v>
      </c>
      <c r="U1122" s="95" t="str">
        <f>Readings[[#This Row],[Sensor ID]]&amp;"-"&amp;Readings[[#This Row],[Epoch]]</f>
        <v>250-RL-OP-11003-45867.2708333333</v>
      </c>
      <c r="V1122" s="99">
        <f ca="1">IF(Readings[[#This Row],[Epoch]]=OFFSET(Readings[[#This Row],[Epoch]],-1,0),0,1)</f>
        <v>0</v>
      </c>
    </row>
    <row r="1123" spans="4:22" x14ac:dyDescent="0.2">
      <c r="D1123" s="32">
        <v>45867.270833333336</v>
      </c>
      <c r="E1123" s="33" t="s">
        <v>173</v>
      </c>
      <c r="F1123" s="34">
        <v>60037.803999999996</v>
      </c>
      <c r="G1123" s="34">
        <v>363843.658</v>
      </c>
      <c r="H1123" s="34">
        <v>18.777999999999999</v>
      </c>
      <c r="I1123" s="33" t="s">
        <v>85</v>
      </c>
      <c r="J1123" s="33" t="s">
        <v>90</v>
      </c>
      <c r="K1123" s="33">
        <v>7.2</v>
      </c>
      <c r="L1123" s="33">
        <v>1022.4</v>
      </c>
      <c r="M1123" s="33">
        <v>83</v>
      </c>
      <c r="N1123" s="33"/>
      <c r="O1123" s="93">
        <f>IFERROR(IF(Readings[[#This Row],[Obs. X]]="","-",Readings[[#This Row],[Obs. X]]-_xlfn.XLOOKUP(Readings[[#This Row],[Sensor ID]],Table_Baseline[Sensor ID],Table_Baseline[Easting '[m']],"-")),"-")</f>
        <v>-1.0000000038417056E-3</v>
      </c>
      <c r="P1123" s="93">
        <f>IFERROR(IF(Readings[[#This Row],[Obs. Y]]="","-",Readings[[#This Row],[Obs. Y]]-_xlfn.XLOOKUP(Readings[[#This Row],[Sensor ID]],Table_Baseline[Sensor ID],Table_Baseline[Northing '[m']],"-")),"-")</f>
        <v>9.9999998928979039E-4</v>
      </c>
      <c r="Q1123" s="93">
        <f>IFERROR(IF(Readings[[#This Row],[Obs. Z]]="","-",Readings[[#This Row],[Obs. Z]]-_xlfn.XLOOKUP(Readings[[#This Row],[Sensor ID]],Table_Baseline[Sensor ID],Table_Baseline[Level '[m']],"-")),"-")</f>
        <v>-5.0000000000238742E-4</v>
      </c>
      <c r="R1123" s="93">
        <f>IFERROR(IF(Readings[[#This Row],[Reference Angle]]="-","-",(Readings[[#This Row],[Diff E]]*COS(RADIANS(Readings[[#This Row],[Reference Angle]]))-Readings[[#This Row],[Diff N]]*SIN(RADIANS(Readings[[#This Row],[Reference Angle]])))),"-")</f>
        <v>-1.0000000038417056E-3</v>
      </c>
      <c r="S1123" s="93">
        <f>IFERROR(IF(Readings[[#This Row],[Reference Angle]]="-","-",(Readings[[#This Row],[Diff E]]*SIN(RADIANS(Readings[[#This Row],[Reference Angle]]))+Readings[[#This Row],[Diff N]]*COS(RADIANS(Readings[[#This Row],[Reference Angle]])))),"-")</f>
        <v>9.9999998928979039E-4</v>
      </c>
      <c r="T1123" s="94">
        <f>IFERROR(VLOOKUP(Readings[[#This Row],[Sensor ID]],Table_Baseline[],COLUMNS(Table_Baseline[[#Headers],[Sensor ID]:[Reference Angle '[Deg']]]),FALSE),"-")</f>
        <v>0</v>
      </c>
      <c r="U1123" s="95" t="str">
        <f>Readings[[#This Row],[Sensor ID]]&amp;"-"&amp;Readings[[#This Row],[Epoch]]</f>
        <v>250-RL-OP-11004-45867.2708333333</v>
      </c>
      <c r="V1123" s="99">
        <f ca="1">IF(Readings[[#This Row],[Epoch]]=OFFSET(Readings[[#This Row],[Epoch]],-1,0),0,1)</f>
        <v>0</v>
      </c>
    </row>
    <row r="1124" spans="4:22" x14ac:dyDescent="0.2">
      <c r="D1124" s="32">
        <v>45867.270833333336</v>
      </c>
      <c r="E1124" s="33" t="s">
        <v>176</v>
      </c>
      <c r="F1124" s="34">
        <v>60040.968000000001</v>
      </c>
      <c r="G1124" s="34">
        <v>363844.11800000002</v>
      </c>
      <c r="H1124" s="34">
        <v>18.779</v>
      </c>
      <c r="I1124" s="33" t="s">
        <v>85</v>
      </c>
      <c r="J1124" s="33" t="s">
        <v>90</v>
      </c>
      <c r="K1124" s="33">
        <v>7.2</v>
      </c>
      <c r="L1124" s="33">
        <v>1022.4</v>
      </c>
      <c r="M1124" s="33">
        <v>83</v>
      </c>
      <c r="N1124" s="33"/>
      <c r="O1124" s="93">
        <f>IFERROR(IF(Readings[[#This Row],[Obs. X]]="","-",Readings[[#This Row],[Obs. X]]-_xlfn.XLOOKUP(Readings[[#This Row],[Sensor ID]],Table_Baseline[Sensor ID],Table_Baseline[Easting '[m']],"-")),"-")</f>
        <v>-9.9999999656574801E-4</v>
      </c>
      <c r="P1124" s="93">
        <f>IFERROR(IF(Readings[[#This Row],[Obs. Y]]="","-",Readings[[#This Row],[Obs. Y]]-_xlfn.XLOOKUP(Readings[[#This Row],[Sensor ID]],Table_Baseline[Sensor ID],Table_Baseline[Northing '[m']],"-")),"-")</f>
        <v>0</v>
      </c>
      <c r="Q1124" s="93">
        <f>IFERROR(IF(Readings[[#This Row],[Obs. Z]]="","-",Readings[[#This Row],[Obs. Z]]-_xlfn.XLOOKUP(Readings[[#This Row],[Sensor ID]],Table_Baseline[Sensor ID],Table_Baseline[Level '[m']],"-")),"-")</f>
        <v>0</v>
      </c>
      <c r="R1124" s="93">
        <f>IFERROR(IF(Readings[[#This Row],[Reference Angle]]="-","-",(Readings[[#This Row],[Diff E]]*COS(RADIANS(Readings[[#This Row],[Reference Angle]]))-Readings[[#This Row],[Diff N]]*SIN(RADIANS(Readings[[#This Row],[Reference Angle]])))),"-")</f>
        <v>-9.9999999656574801E-4</v>
      </c>
      <c r="S1124" s="93">
        <f>IFERROR(IF(Readings[[#This Row],[Reference Angle]]="-","-",(Readings[[#This Row],[Diff E]]*SIN(RADIANS(Readings[[#This Row],[Reference Angle]]))+Readings[[#This Row],[Diff N]]*COS(RADIANS(Readings[[#This Row],[Reference Angle]])))),"-")</f>
        <v>0</v>
      </c>
      <c r="T1124" s="94">
        <f>IFERROR(VLOOKUP(Readings[[#This Row],[Sensor ID]],Table_Baseline[],COLUMNS(Table_Baseline[[#Headers],[Sensor ID]:[Reference Angle '[Deg']]]),FALSE),"-")</f>
        <v>0</v>
      </c>
      <c r="U1124" s="95" t="str">
        <f>Readings[[#This Row],[Sensor ID]]&amp;"-"&amp;Readings[[#This Row],[Epoch]]</f>
        <v>250-RL-OP-11005-45867.2708333333</v>
      </c>
      <c r="V1124" s="99">
        <f ca="1">IF(Readings[[#This Row],[Epoch]]=OFFSET(Readings[[#This Row],[Epoch]],-1,0),0,1)</f>
        <v>0</v>
      </c>
    </row>
    <row r="1125" spans="4:22" x14ac:dyDescent="0.2">
      <c r="D1125" s="32">
        <v>45867.270833333336</v>
      </c>
      <c r="E1125" s="33" t="s">
        <v>175</v>
      </c>
      <c r="F1125" s="34">
        <v>60040.606</v>
      </c>
      <c r="G1125" s="34">
        <v>363842.86199999996</v>
      </c>
      <c r="H1125" s="34">
        <v>18.771999999999998</v>
      </c>
      <c r="I1125" s="33" t="s">
        <v>85</v>
      </c>
      <c r="J1125" s="33" t="s">
        <v>90</v>
      </c>
      <c r="K1125" s="33">
        <v>7.2</v>
      </c>
      <c r="L1125" s="33">
        <v>1022.4</v>
      </c>
      <c r="M1125" s="33">
        <v>83</v>
      </c>
      <c r="N1125" s="33"/>
      <c r="O1125" s="93">
        <f>IFERROR(IF(Readings[[#This Row],[Obs. X]]="","-",Readings[[#This Row],[Obs. X]]-_xlfn.XLOOKUP(Readings[[#This Row],[Sensor ID]],Table_Baseline[Sensor ID],Table_Baseline[Easting '[m']],"-")),"-")</f>
        <v>-1.0000000038417056E-3</v>
      </c>
      <c r="P1125" s="93">
        <f>IFERROR(IF(Readings[[#This Row],[Obs. Y]]="","-",Readings[[#This Row],[Obs. Y]]-_xlfn.XLOOKUP(Readings[[#This Row],[Sensor ID]],Table_Baseline[Sensor ID],Table_Baseline[Northing '[m']],"-")),"-")</f>
        <v>9.9999993108212948E-4</v>
      </c>
      <c r="Q1125" s="93">
        <f>IFERROR(IF(Readings[[#This Row],[Obs. Z]]="","-",Readings[[#This Row],[Obs. Z]]-_xlfn.XLOOKUP(Readings[[#This Row],[Sensor ID]],Table_Baseline[Sensor ID],Table_Baseline[Level '[m']],"-")),"-")</f>
        <v>0</v>
      </c>
      <c r="R1125" s="93">
        <f>IFERROR(IF(Readings[[#This Row],[Reference Angle]]="-","-",(Readings[[#This Row],[Diff E]]*COS(RADIANS(Readings[[#This Row],[Reference Angle]]))-Readings[[#This Row],[Diff N]]*SIN(RADIANS(Readings[[#This Row],[Reference Angle]])))),"-")</f>
        <v>-1.0000000038417056E-3</v>
      </c>
      <c r="S1125" s="93">
        <f>IFERROR(IF(Readings[[#This Row],[Reference Angle]]="-","-",(Readings[[#This Row],[Diff E]]*SIN(RADIANS(Readings[[#This Row],[Reference Angle]]))+Readings[[#This Row],[Diff N]]*COS(RADIANS(Readings[[#This Row],[Reference Angle]])))),"-")</f>
        <v>9.9999993108212948E-4</v>
      </c>
      <c r="T1125" s="94">
        <f>IFERROR(VLOOKUP(Readings[[#This Row],[Sensor ID]],Table_Baseline[],COLUMNS(Table_Baseline[[#Headers],[Sensor ID]:[Reference Angle '[Deg']]]),FALSE),"-")</f>
        <v>0</v>
      </c>
      <c r="U1125" s="95" t="str">
        <f>Readings[[#This Row],[Sensor ID]]&amp;"-"&amp;Readings[[#This Row],[Epoch]]</f>
        <v>250-RL-OP-11006-45867.2708333333</v>
      </c>
      <c r="V1125" s="99">
        <f ca="1">IF(Readings[[#This Row],[Epoch]]=OFFSET(Readings[[#This Row],[Epoch]],-1,0),0,1)</f>
        <v>0</v>
      </c>
    </row>
    <row r="1126" spans="4:22" x14ac:dyDescent="0.2">
      <c r="D1126" s="32">
        <v>45867.270833333336</v>
      </c>
      <c r="E1126" s="33" t="s">
        <v>178</v>
      </c>
      <c r="F1126" s="34">
        <v>60043.758000000002</v>
      </c>
      <c r="G1126" s="34">
        <v>363843.31599999999</v>
      </c>
      <c r="H1126" s="34">
        <v>18.774000000000001</v>
      </c>
      <c r="I1126" s="33" t="s">
        <v>85</v>
      </c>
      <c r="J1126" s="33" t="s">
        <v>90</v>
      </c>
      <c r="K1126" s="33">
        <v>7.2</v>
      </c>
      <c r="L1126" s="33">
        <v>1022.4</v>
      </c>
      <c r="M1126" s="33">
        <v>83</v>
      </c>
      <c r="N1126" s="33"/>
      <c r="O1126" s="93">
        <f>IFERROR(IF(Readings[[#This Row],[Obs. X]]="","-",Readings[[#This Row],[Obs. X]]-_xlfn.XLOOKUP(Readings[[#This Row],[Sensor ID]],Table_Baseline[Sensor ID],Table_Baseline[Easting '[m']],"-")),"-")</f>
        <v>-9.9999999656574801E-4</v>
      </c>
      <c r="P1126" s="93">
        <f>IFERROR(IF(Readings[[#This Row],[Obs. Y]]="","-",Readings[[#This Row],[Obs. Y]]-_xlfn.XLOOKUP(Readings[[#This Row],[Sensor ID]],Table_Baseline[Sensor ID],Table_Baseline[Northing '[m']],"-")),"-")</f>
        <v>1.9999999785795808E-3</v>
      </c>
      <c r="Q1126" s="93">
        <f>IFERROR(IF(Readings[[#This Row],[Obs. Z]]="","-",Readings[[#This Row],[Obs. Z]]-_xlfn.XLOOKUP(Readings[[#This Row],[Sensor ID]],Table_Baseline[Sensor ID],Table_Baseline[Level '[m']],"-")),"-")</f>
        <v>-9.9999999999766942E-5</v>
      </c>
      <c r="R1126" s="93">
        <f>IFERROR(IF(Readings[[#This Row],[Reference Angle]]="-","-",(Readings[[#This Row],[Diff E]]*COS(RADIANS(Readings[[#This Row],[Reference Angle]]))-Readings[[#This Row],[Diff N]]*SIN(RADIANS(Readings[[#This Row],[Reference Angle]])))),"-")</f>
        <v>-9.9999999656574801E-4</v>
      </c>
      <c r="S1126" s="93">
        <f>IFERROR(IF(Readings[[#This Row],[Reference Angle]]="-","-",(Readings[[#This Row],[Diff E]]*SIN(RADIANS(Readings[[#This Row],[Reference Angle]]))+Readings[[#This Row],[Diff N]]*COS(RADIANS(Readings[[#This Row],[Reference Angle]])))),"-")</f>
        <v>1.9999999785795808E-3</v>
      </c>
      <c r="T1126" s="94">
        <f>IFERROR(VLOOKUP(Readings[[#This Row],[Sensor ID]],Table_Baseline[],COLUMNS(Table_Baseline[[#Headers],[Sensor ID]:[Reference Angle '[Deg']]]),FALSE),"-")</f>
        <v>0</v>
      </c>
      <c r="U1126" s="95" t="str">
        <f>Readings[[#This Row],[Sensor ID]]&amp;"-"&amp;Readings[[#This Row],[Epoch]]</f>
        <v>250-RL-OP-11007-45867.2708333333</v>
      </c>
      <c r="V1126" s="99">
        <f ca="1">IF(Readings[[#This Row],[Epoch]]=OFFSET(Readings[[#This Row],[Epoch]],-1,0),0,1)</f>
        <v>0</v>
      </c>
    </row>
    <row r="1127" spans="4:22" x14ac:dyDescent="0.2">
      <c r="D1127" s="32">
        <v>45867.270833333336</v>
      </c>
      <c r="E1127" s="33" t="s">
        <v>177</v>
      </c>
      <c r="F1127" s="34">
        <v>60043.440999999999</v>
      </c>
      <c r="G1127" s="34">
        <v>363842.04200000002</v>
      </c>
      <c r="H1127" s="34">
        <v>18.768000000000001</v>
      </c>
      <c r="I1127" s="33" t="s">
        <v>85</v>
      </c>
      <c r="J1127" s="33" t="s">
        <v>90</v>
      </c>
      <c r="K1127" s="33">
        <v>7.2</v>
      </c>
      <c r="L1127" s="33">
        <v>1022.4</v>
      </c>
      <c r="M1127" s="33">
        <v>83</v>
      </c>
      <c r="N1127" s="33"/>
      <c r="O1127" s="93">
        <f>IFERROR(IF(Readings[[#This Row],[Obs. X]]="","-",Readings[[#This Row],[Obs. X]]-_xlfn.XLOOKUP(Readings[[#This Row],[Sensor ID]],Table_Baseline[Sensor ID],Table_Baseline[Easting '[m']],"-")),"-")</f>
        <v>0</v>
      </c>
      <c r="P1127" s="93">
        <f>IFERROR(IF(Readings[[#This Row],[Obs. Y]]="","-",Readings[[#This Row],[Obs. Y]]-_xlfn.XLOOKUP(Readings[[#This Row],[Sensor ID]],Table_Baseline[Sensor ID],Table_Baseline[Northing '[m']],"-")),"-")</f>
        <v>1.9999999785795808E-3</v>
      </c>
      <c r="Q1127" s="93">
        <f>IFERROR(IF(Readings[[#This Row],[Obs. Z]]="","-",Readings[[#This Row],[Obs. Z]]-_xlfn.XLOOKUP(Readings[[#This Row],[Sensor ID]],Table_Baseline[Sensor ID],Table_Baseline[Level '[m']],"-")),"-")</f>
        <v>-2.9999999999930083E-4</v>
      </c>
      <c r="R1127" s="93">
        <f>IFERROR(IF(Readings[[#This Row],[Reference Angle]]="-","-",(Readings[[#This Row],[Diff E]]*COS(RADIANS(Readings[[#This Row],[Reference Angle]]))-Readings[[#This Row],[Diff N]]*SIN(RADIANS(Readings[[#This Row],[Reference Angle]])))),"-")</f>
        <v>0</v>
      </c>
      <c r="S1127" s="93">
        <f>IFERROR(IF(Readings[[#This Row],[Reference Angle]]="-","-",(Readings[[#This Row],[Diff E]]*SIN(RADIANS(Readings[[#This Row],[Reference Angle]]))+Readings[[#This Row],[Diff N]]*COS(RADIANS(Readings[[#This Row],[Reference Angle]])))),"-")</f>
        <v>1.9999999785795808E-3</v>
      </c>
      <c r="T1127" s="94">
        <f>IFERROR(VLOOKUP(Readings[[#This Row],[Sensor ID]],Table_Baseline[],COLUMNS(Table_Baseline[[#Headers],[Sensor ID]:[Reference Angle '[Deg']]]),FALSE),"-")</f>
        <v>0</v>
      </c>
      <c r="U1127" s="95" t="str">
        <f>Readings[[#This Row],[Sensor ID]]&amp;"-"&amp;Readings[[#This Row],[Epoch]]</f>
        <v>250-RL-OP-11008-45867.2708333333</v>
      </c>
      <c r="V1127" s="99">
        <f ca="1">IF(Readings[[#This Row],[Epoch]]=OFFSET(Readings[[#This Row],[Epoch]],-1,0),0,1)</f>
        <v>0</v>
      </c>
    </row>
    <row r="1128" spans="4:22" x14ac:dyDescent="0.2">
      <c r="D1128" s="32">
        <v>45867.270833333336</v>
      </c>
      <c r="E1128" s="33" t="s">
        <v>180</v>
      </c>
      <c r="F1128" s="34">
        <v>60046.633000000002</v>
      </c>
      <c r="G1128" s="34">
        <v>363842.48699999996</v>
      </c>
      <c r="H1128" s="34">
        <v>18.777000000000001</v>
      </c>
      <c r="I1128" s="33" t="s">
        <v>85</v>
      </c>
      <c r="J1128" s="33" t="s">
        <v>90</v>
      </c>
      <c r="K1128" s="33">
        <v>7.2</v>
      </c>
      <c r="L1128" s="33">
        <v>1022.4</v>
      </c>
      <c r="M1128" s="33">
        <v>83</v>
      </c>
      <c r="N1128" s="33"/>
      <c r="O1128" s="93">
        <f>IFERROR(IF(Readings[[#This Row],[Obs. X]]="","-",Readings[[#This Row],[Obs. X]]-_xlfn.XLOOKUP(Readings[[#This Row],[Sensor ID]],Table_Baseline[Sensor ID],Table_Baseline[Easting '[m']],"-")),"-")</f>
        <v>0</v>
      </c>
      <c r="P1128" s="93">
        <f>IFERROR(IF(Readings[[#This Row],[Obs. Y]]="","-",Readings[[#This Row],[Obs. Y]]-_xlfn.XLOOKUP(Readings[[#This Row],[Sensor ID]],Table_Baseline[Sensor ID],Table_Baseline[Northing '[m']],"-")),"-")</f>
        <v>1.9999999785795808E-3</v>
      </c>
      <c r="Q1128" s="93">
        <f>IFERROR(IF(Readings[[#This Row],[Obs. Z]]="","-",Readings[[#This Row],[Obs. Z]]-_xlfn.XLOOKUP(Readings[[#This Row],[Sensor ID]],Table_Baseline[Sensor ID],Table_Baseline[Level '[m']],"-")),"-")</f>
        <v>-5.9999999999860165E-4</v>
      </c>
      <c r="R1128" s="93">
        <f>IFERROR(IF(Readings[[#This Row],[Reference Angle]]="-","-",(Readings[[#This Row],[Diff E]]*COS(RADIANS(Readings[[#This Row],[Reference Angle]]))-Readings[[#This Row],[Diff N]]*SIN(RADIANS(Readings[[#This Row],[Reference Angle]])))),"-")</f>
        <v>0</v>
      </c>
      <c r="S1128" s="93">
        <f>IFERROR(IF(Readings[[#This Row],[Reference Angle]]="-","-",(Readings[[#This Row],[Diff E]]*SIN(RADIANS(Readings[[#This Row],[Reference Angle]]))+Readings[[#This Row],[Diff N]]*COS(RADIANS(Readings[[#This Row],[Reference Angle]])))),"-")</f>
        <v>1.9999999785795808E-3</v>
      </c>
      <c r="T1128" s="94">
        <f>IFERROR(VLOOKUP(Readings[[#This Row],[Sensor ID]],Table_Baseline[],COLUMNS(Table_Baseline[[#Headers],[Sensor ID]:[Reference Angle '[Deg']]]),FALSE),"-")</f>
        <v>0</v>
      </c>
      <c r="U1128" s="95" t="str">
        <f>Readings[[#This Row],[Sensor ID]]&amp;"-"&amp;Readings[[#This Row],[Epoch]]</f>
        <v>250-RL-OP-11009-45867.2708333333</v>
      </c>
      <c r="V1128" s="99">
        <f ca="1">IF(Readings[[#This Row],[Epoch]]=OFFSET(Readings[[#This Row],[Epoch]],-1,0),0,1)</f>
        <v>0</v>
      </c>
    </row>
    <row r="1129" spans="4:22" x14ac:dyDescent="0.2">
      <c r="D1129" s="32">
        <v>45867.270833333336</v>
      </c>
      <c r="E1129" s="33" t="s">
        <v>179</v>
      </c>
      <c r="F1129" s="34">
        <v>60046.25</v>
      </c>
      <c r="G1129" s="34">
        <v>363841.228</v>
      </c>
      <c r="H1129" s="34">
        <v>18.77</v>
      </c>
      <c r="I1129" s="33" t="s">
        <v>85</v>
      </c>
      <c r="J1129" s="33" t="s">
        <v>90</v>
      </c>
      <c r="K1129" s="33">
        <v>7.2</v>
      </c>
      <c r="L1129" s="33">
        <v>1022.4</v>
      </c>
      <c r="M1129" s="33">
        <v>83</v>
      </c>
      <c r="N1129" s="33"/>
      <c r="O1129" s="93">
        <f>IFERROR(IF(Readings[[#This Row],[Obs. X]]="","-",Readings[[#This Row],[Obs. X]]-_xlfn.XLOOKUP(Readings[[#This Row],[Sensor ID]],Table_Baseline[Sensor ID],Table_Baseline[Easting '[m']],"-")),"-")</f>
        <v>0</v>
      </c>
      <c r="P1129" s="93">
        <f>IFERROR(IF(Readings[[#This Row],[Obs. Y]]="","-",Readings[[#This Row],[Obs. Y]]-_xlfn.XLOOKUP(Readings[[#This Row],[Sensor ID]],Table_Baseline[Sensor ID],Table_Baseline[Northing '[m']],"-")),"-")</f>
        <v>1.9999999785795808E-3</v>
      </c>
      <c r="Q1129" s="93">
        <f>IFERROR(IF(Readings[[#This Row],[Obs. Z]]="","-",Readings[[#This Row],[Obs. Z]]-_xlfn.XLOOKUP(Readings[[#This Row],[Sensor ID]],Table_Baseline[Sensor ID],Table_Baseline[Level '[m']],"-")),"-")</f>
        <v>1.9999999999953388E-4</v>
      </c>
      <c r="R1129" s="93">
        <f>IFERROR(IF(Readings[[#This Row],[Reference Angle]]="-","-",(Readings[[#This Row],[Diff E]]*COS(RADIANS(Readings[[#This Row],[Reference Angle]]))-Readings[[#This Row],[Diff N]]*SIN(RADIANS(Readings[[#This Row],[Reference Angle]])))),"-")</f>
        <v>0</v>
      </c>
      <c r="S1129" s="93">
        <f>IFERROR(IF(Readings[[#This Row],[Reference Angle]]="-","-",(Readings[[#This Row],[Diff E]]*SIN(RADIANS(Readings[[#This Row],[Reference Angle]]))+Readings[[#This Row],[Diff N]]*COS(RADIANS(Readings[[#This Row],[Reference Angle]])))),"-")</f>
        <v>1.9999999785795808E-3</v>
      </c>
      <c r="T1129" s="94">
        <f>IFERROR(VLOOKUP(Readings[[#This Row],[Sensor ID]],Table_Baseline[],COLUMNS(Table_Baseline[[#Headers],[Sensor ID]:[Reference Angle '[Deg']]]),FALSE),"-")</f>
        <v>0</v>
      </c>
      <c r="U1129" s="95" t="str">
        <f>Readings[[#This Row],[Sensor ID]]&amp;"-"&amp;Readings[[#This Row],[Epoch]]</f>
        <v>250-RL-OP-11010-45867.2708333333</v>
      </c>
      <c r="V1129" s="99">
        <f ca="1">IF(Readings[[#This Row],[Epoch]]=OFFSET(Readings[[#This Row],[Epoch]],-1,0),0,1)</f>
        <v>0</v>
      </c>
    </row>
    <row r="1130" spans="4:22" x14ac:dyDescent="0.2">
      <c r="D1130" s="32">
        <v>45867.270833333336</v>
      </c>
      <c r="E1130" s="33" t="s">
        <v>182</v>
      </c>
      <c r="F1130" s="34">
        <v>60049.398999999998</v>
      </c>
      <c r="G1130" s="34">
        <v>363841.701</v>
      </c>
      <c r="H1130" s="34">
        <v>18.777999999999999</v>
      </c>
      <c r="I1130" s="33" t="s">
        <v>85</v>
      </c>
      <c r="J1130" s="33" t="s">
        <v>90</v>
      </c>
      <c r="K1130" s="33">
        <v>7.2</v>
      </c>
      <c r="L1130" s="33">
        <v>1022.4</v>
      </c>
      <c r="M1130" s="33">
        <v>83</v>
      </c>
      <c r="N1130" s="33"/>
      <c r="O1130" s="93">
        <f>IFERROR(IF(Readings[[#This Row],[Obs. X]]="","-",Readings[[#This Row],[Obs. X]]-_xlfn.XLOOKUP(Readings[[#This Row],[Sensor ID]],Table_Baseline[Sensor ID],Table_Baseline[Easting '[m']],"-")),"-")</f>
        <v>0</v>
      </c>
      <c r="P1130" s="93">
        <f>IFERROR(IF(Readings[[#This Row],[Obs. Y]]="","-",Readings[[#This Row],[Obs. Y]]-_xlfn.XLOOKUP(Readings[[#This Row],[Sensor ID]],Table_Baseline[Sensor ID],Table_Baseline[Northing '[m']],"-")),"-")</f>
        <v>3.0000000260770321E-3</v>
      </c>
      <c r="Q1130" s="93">
        <f>IFERROR(IF(Readings[[#This Row],[Obs. Z]]="","-",Readings[[#This Row],[Obs. Z]]-_xlfn.XLOOKUP(Readings[[#This Row],[Sensor ID]],Table_Baseline[Sensor ID],Table_Baseline[Level '[m']],"-")),"-")</f>
        <v>0</v>
      </c>
      <c r="R1130" s="93">
        <f>IFERROR(IF(Readings[[#This Row],[Reference Angle]]="-","-",(Readings[[#This Row],[Diff E]]*COS(RADIANS(Readings[[#This Row],[Reference Angle]]))-Readings[[#This Row],[Diff N]]*SIN(RADIANS(Readings[[#This Row],[Reference Angle]])))),"-")</f>
        <v>0</v>
      </c>
      <c r="S1130" s="93">
        <f>IFERROR(IF(Readings[[#This Row],[Reference Angle]]="-","-",(Readings[[#This Row],[Diff E]]*SIN(RADIANS(Readings[[#This Row],[Reference Angle]]))+Readings[[#This Row],[Diff N]]*COS(RADIANS(Readings[[#This Row],[Reference Angle]])))),"-")</f>
        <v>3.0000000260770321E-3</v>
      </c>
      <c r="T1130" s="94">
        <f>IFERROR(VLOOKUP(Readings[[#This Row],[Sensor ID]],Table_Baseline[],COLUMNS(Table_Baseline[[#Headers],[Sensor ID]:[Reference Angle '[Deg']]]),FALSE),"-")</f>
        <v>0</v>
      </c>
      <c r="U1130" s="95" t="str">
        <f>Readings[[#This Row],[Sensor ID]]&amp;"-"&amp;Readings[[#This Row],[Epoch]]</f>
        <v>250-RL-OP-11011-45867.2708333333</v>
      </c>
      <c r="V1130" s="99">
        <f ca="1">IF(Readings[[#This Row],[Epoch]]=OFFSET(Readings[[#This Row],[Epoch]],-1,0),0,1)</f>
        <v>0</v>
      </c>
    </row>
    <row r="1131" spans="4:22" x14ac:dyDescent="0.2">
      <c r="D1131" s="32">
        <v>45867.270833333336</v>
      </c>
      <c r="E1131" s="33" t="s">
        <v>181</v>
      </c>
      <c r="F1131" s="34">
        <v>60049.040999999997</v>
      </c>
      <c r="G1131" s="34">
        <v>363840.43700000003</v>
      </c>
      <c r="H1131" s="34">
        <v>18.771000000000001</v>
      </c>
      <c r="I1131" s="33" t="s">
        <v>85</v>
      </c>
      <c r="J1131" s="33" t="s">
        <v>90</v>
      </c>
      <c r="K1131" s="33">
        <v>7.2</v>
      </c>
      <c r="L1131" s="33">
        <v>1022.4</v>
      </c>
      <c r="M1131" s="33">
        <v>83</v>
      </c>
      <c r="N1131" s="33"/>
      <c r="O1131" s="93">
        <f>IFERROR(IF(Readings[[#This Row],[Obs. X]]="","-",Readings[[#This Row],[Obs. X]]-_xlfn.XLOOKUP(Readings[[#This Row],[Sensor ID]],Table_Baseline[Sensor ID],Table_Baseline[Easting '[m']],"-")),"-")</f>
        <v>0</v>
      </c>
      <c r="P1131" s="93">
        <f>IFERROR(IF(Readings[[#This Row],[Obs. Y]]="","-",Readings[[#This Row],[Obs. Y]]-_xlfn.XLOOKUP(Readings[[#This Row],[Sensor ID]],Table_Baseline[Sensor ID],Table_Baseline[Northing '[m']],"-")),"-")</f>
        <v>4.0000000735744834E-3</v>
      </c>
      <c r="Q1131" s="93">
        <f>IFERROR(IF(Readings[[#This Row],[Obs. Z]]="","-",Readings[[#This Row],[Obs. Z]]-_xlfn.XLOOKUP(Readings[[#This Row],[Sensor ID]],Table_Baseline[Sensor ID],Table_Baseline[Level '[m']],"-")),"-")</f>
        <v>-9.9999999999766942E-5</v>
      </c>
      <c r="R1131" s="93">
        <f>IFERROR(IF(Readings[[#This Row],[Reference Angle]]="-","-",(Readings[[#This Row],[Diff E]]*COS(RADIANS(Readings[[#This Row],[Reference Angle]]))-Readings[[#This Row],[Diff N]]*SIN(RADIANS(Readings[[#This Row],[Reference Angle]])))),"-")</f>
        <v>0</v>
      </c>
      <c r="S1131" s="93">
        <f>IFERROR(IF(Readings[[#This Row],[Reference Angle]]="-","-",(Readings[[#This Row],[Diff E]]*SIN(RADIANS(Readings[[#This Row],[Reference Angle]]))+Readings[[#This Row],[Diff N]]*COS(RADIANS(Readings[[#This Row],[Reference Angle]])))),"-")</f>
        <v>4.0000000735744834E-3</v>
      </c>
      <c r="T1131" s="94">
        <f>IFERROR(VLOOKUP(Readings[[#This Row],[Sensor ID]],Table_Baseline[],COLUMNS(Table_Baseline[[#Headers],[Sensor ID]:[Reference Angle '[Deg']]]),FALSE),"-")</f>
        <v>0</v>
      </c>
      <c r="U1131" s="95" t="str">
        <f>Readings[[#This Row],[Sensor ID]]&amp;"-"&amp;Readings[[#This Row],[Epoch]]</f>
        <v>250-RL-OP-11012-45867.2708333333</v>
      </c>
      <c r="V1131" s="99">
        <f ca="1">IF(Readings[[#This Row],[Epoch]]=OFFSET(Readings[[#This Row],[Epoch]],-1,0),0,1)</f>
        <v>0</v>
      </c>
    </row>
    <row r="1132" spans="4:22" x14ac:dyDescent="0.2">
      <c r="D1132" s="32">
        <v>45867.270833333336</v>
      </c>
      <c r="E1132" s="33" t="s">
        <v>184</v>
      </c>
      <c r="F1132" s="34">
        <v>60052.292999999998</v>
      </c>
      <c r="G1132" s="34">
        <v>363840.88899999997</v>
      </c>
      <c r="H1132" s="34">
        <v>18.779</v>
      </c>
      <c r="I1132" s="33" t="s">
        <v>85</v>
      </c>
      <c r="J1132" s="33" t="s">
        <v>90</v>
      </c>
      <c r="K1132" s="33">
        <v>7.2</v>
      </c>
      <c r="L1132" s="33">
        <v>1022.4</v>
      </c>
      <c r="M1132" s="33">
        <v>83</v>
      </c>
      <c r="N1132" s="33"/>
      <c r="O1132" s="93">
        <f>IFERROR(IF(Readings[[#This Row],[Obs. X]]="","-",Readings[[#This Row],[Obs. X]]-_xlfn.XLOOKUP(Readings[[#This Row],[Sensor ID]],Table_Baseline[Sensor ID],Table_Baseline[Easting '[m']],"-")),"-")</f>
        <v>0</v>
      </c>
      <c r="P1132" s="93">
        <f>IFERROR(IF(Readings[[#This Row],[Obs. Y]]="","-",Readings[[#This Row],[Obs. Y]]-_xlfn.XLOOKUP(Readings[[#This Row],[Sensor ID]],Table_Baseline[Sensor ID],Table_Baseline[Northing '[m']],"-")),"-")</f>
        <v>3.9999999571591616E-3</v>
      </c>
      <c r="Q1132" s="93">
        <f>IFERROR(IF(Readings[[#This Row],[Obs. Z]]="","-",Readings[[#This Row],[Obs. Z]]-_xlfn.XLOOKUP(Readings[[#This Row],[Sensor ID]],Table_Baseline[Sensor ID],Table_Baseline[Level '[m']],"-")),"-")</f>
        <v>0</v>
      </c>
      <c r="R1132" s="93">
        <f>IFERROR(IF(Readings[[#This Row],[Reference Angle]]="-","-",(Readings[[#This Row],[Diff E]]*COS(RADIANS(Readings[[#This Row],[Reference Angle]]))-Readings[[#This Row],[Diff N]]*SIN(RADIANS(Readings[[#This Row],[Reference Angle]])))),"-")</f>
        <v>0</v>
      </c>
      <c r="S1132" s="93">
        <f>IFERROR(IF(Readings[[#This Row],[Reference Angle]]="-","-",(Readings[[#This Row],[Diff E]]*SIN(RADIANS(Readings[[#This Row],[Reference Angle]]))+Readings[[#This Row],[Diff N]]*COS(RADIANS(Readings[[#This Row],[Reference Angle]])))),"-")</f>
        <v>3.9999999571591616E-3</v>
      </c>
      <c r="T1132" s="94">
        <f>IFERROR(VLOOKUP(Readings[[#This Row],[Sensor ID]],Table_Baseline[],COLUMNS(Table_Baseline[[#Headers],[Sensor ID]:[Reference Angle '[Deg']]]),FALSE),"-")</f>
        <v>0</v>
      </c>
      <c r="U1132" s="95" t="str">
        <f>Readings[[#This Row],[Sensor ID]]&amp;"-"&amp;Readings[[#This Row],[Epoch]]</f>
        <v>250-RL-OP-11013-45867.2708333333</v>
      </c>
      <c r="V1132" s="99">
        <f ca="1">IF(Readings[[#This Row],[Epoch]]=OFFSET(Readings[[#This Row],[Epoch]],-1,0),0,1)</f>
        <v>0</v>
      </c>
    </row>
    <row r="1133" spans="4:22" x14ac:dyDescent="0.2">
      <c r="D1133" s="32">
        <v>45867.270833333336</v>
      </c>
      <c r="E1133" s="33" t="s">
        <v>183</v>
      </c>
      <c r="F1133" s="34">
        <v>60051.989000000001</v>
      </c>
      <c r="G1133" s="34">
        <v>363839.60800000001</v>
      </c>
      <c r="H1133" s="34">
        <v>18.77</v>
      </c>
      <c r="I1133" s="33" t="s">
        <v>85</v>
      </c>
      <c r="J1133" s="33" t="s">
        <v>90</v>
      </c>
      <c r="K1133" s="33">
        <v>7.2</v>
      </c>
      <c r="L1133" s="33">
        <v>1022.4</v>
      </c>
      <c r="M1133" s="33">
        <v>83</v>
      </c>
      <c r="N1133" s="33"/>
      <c r="O1133" s="93">
        <f>IFERROR(IF(Readings[[#This Row],[Obs. X]]="","-",Readings[[#This Row],[Obs. X]]-_xlfn.XLOOKUP(Readings[[#This Row],[Sensor ID]],Table_Baseline[Sensor ID],Table_Baseline[Easting '[m']],"-")),"-")</f>
        <v>0</v>
      </c>
      <c r="P1133" s="93">
        <f>IFERROR(IF(Readings[[#This Row],[Obs. Y]]="","-",Readings[[#This Row],[Obs. Y]]-_xlfn.XLOOKUP(Readings[[#This Row],[Sensor ID]],Table_Baseline[Sensor ID],Table_Baseline[Northing '[m']],"-")),"-")</f>
        <v>5.0000000046566129E-3</v>
      </c>
      <c r="Q1133" s="93">
        <f>IFERROR(IF(Readings[[#This Row],[Obs. Z]]="","-",Readings[[#This Row],[Obs. Z]]-_xlfn.XLOOKUP(Readings[[#This Row],[Sensor ID]],Table_Baseline[Sensor ID],Table_Baseline[Level '[m']],"-")),"-")</f>
        <v>-9.9999999999766942E-5</v>
      </c>
      <c r="R1133" s="93">
        <f>IFERROR(IF(Readings[[#This Row],[Reference Angle]]="-","-",(Readings[[#This Row],[Diff E]]*COS(RADIANS(Readings[[#This Row],[Reference Angle]]))-Readings[[#This Row],[Diff N]]*SIN(RADIANS(Readings[[#This Row],[Reference Angle]])))),"-")</f>
        <v>0</v>
      </c>
      <c r="S1133" s="93">
        <f>IFERROR(IF(Readings[[#This Row],[Reference Angle]]="-","-",(Readings[[#This Row],[Diff E]]*SIN(RADIANS(Readings[[#This Row],[Reference Angle]]))+Readings[[#This Row],[Diff N]]*COS(RADIANS(Readings[[#This Row],[Reference Angle]])))),"-")</f>
        <v>5.0000000046566129E-3</v>
      </c>
      <c r="T1133" s="94">
        <f>IFERROR(VLOOKUP(Readings[[#This Row],[Sensor ID]],Table_Baseline[],COLUMNS(Table_Baseline[[#Headers],[Sensor ID]:[Reference Angle '[Deg']]]),FALSE),"-")</f>
        <v>0</v>
      </c>
      <c r="U1133" s="95" t="str">
        <f>Readings[[#This Row],[Sensor ID]]&amp;"-"&amp;Readings[[#This Row],[Epoch]]</f>
        <v>250-RL-OP-11014-45867.2708333333</v>
      </c>
      <c r="V1133" s="99">
        <f ca="1">IF(Readings[[#This Row],[Epoch]]=OFFSET(Readings[[#This Row],[Epoch]],-1,0),0,1)</f>
        <v>0</v>
      </c>
    </row>
    <row r="1134" spans="4:22" x14ac:dyDescent="0.2">
      <c r="D1134" s="32">
        <v>45867.270833333336</v>
      </c>
      <c r="E1134" s="33" t="s">
        <v>186</v>
      </c>
      <c r="F1134" s="34">
        <v>60055.196000000004</v>
      </c>
      <c r="G1134" s="34">
        <v>363840.09899999999</v>
      </c>
      <c r="H1134" s="34">
        <v>18.78</v>
      </c>
      <c r="I1134" s="33" t="s">
        <v>85</v>
      </c>
      <c r="J1134" s="33" t="s">
        <v>90</v>
      </c>
      <c r="K1134" s="33">
        <v>7.2</v>
      </c>
      <c r="L1134" s="33">
        <v>1022.4</v>
      </c>
      <c r="M1134" s="33">
        <v>83</v>
      </c>
      <c r="N1134" s="33"/>
      <c r="O1134" s="93">
        <f>IFERROR(IF(Readings[[#This Row],[Obs. X]]="","-",Readings[[#This Row],[Obs. X]]-_xlfn.XLOOKUP(Readings[[#This Row],[Sensor ID]],Table_Baseline[Sensor ID],Table_Baseline[Easting '[m']],"-")),"-")</f>
        <v>0</v>
      </c>
      <c r="P1134" s="93">
        <f>IFERROR(IF(Readings[[#This Row],[Obs. Y]]="","-",Readings[[#This Row],[Obs. Y]]-_xlfn.XLOOKUP(Readings[[#This Row],[Sensor ID]],Table_Baseline[Sensor ID],Table_Baseline[Northing '[m']],"-")),"-")</f>
        <v>4.0000000153668225E-3</v>
      </c>
      <c r="Q1134" s="93">
        <f>IFERROR(IF(Readings[[#This Row],[Obs. Z]]="","-",Readings[[#This Row],[Obs. Z]]-_xlfn.XLOOKUP(Readings[[#This Row],[Sensor ID]],Table_Baseline[Sensor ID],Table_Baseline[Level '[m']],"-")),"-")</f>
        <v>-8.9999999999790248E-4</v>
      </c>
      <c r="R1134" s="93">
        <f>IFERROR(IF(Readings[[#This Row],[Reference Angle]]="-","-",(Readings[[#This Row],[Diff E]]*COS(RADIANS(Readings[[#This Row],[Reference Angle]]))-Readings[[#This Row],[Diff N]]*SIN(RADIANS(Readings[[#This Row],[Reference Angle]])))),"-")</f>
        <v>0</v>
      </c>
      <c r="S1134" s="93">
        <f>IFERROR(IF(Readings[[#This Row],[Reference Angle]]="-","-",(Readings[[#This Row],[Diff E]]*SIN(RADIANS(Readings[[#This Row],[Reference Angle]]))+Readings[[#This Row],[Diff N]]*COS(RADIANS(Readings[[#This Row],[Reference Angle]])))),"-")</f>
        <v>4.0000000153668225E-3</v>
      </c>
      <c r="T1134" s="94">
        <f>IFERROR(VLOOKUP(Readings[[#This Row],[Sensor ID]],Table_Baseline[],COLUMNS(Table_Baseline[[#Headers],[Sensor ID]:[Reference Angle '[Deg']]]),FALSE),"-")</f>
        <v>0</v>
      </c>
      <c r="U1134" s="95" t="str">
        <f>Readings[[#This Row],[Sensor ID]]&amp;"-"&amp;Readings[[#This Row],[Epoch]]</f>
        <v>250-RL-OP-11015-45867.2708333333</v>
      </c>
      <c r="V1134" s="99">
        <f ca="1">IF(Readings[[#This Row],[Epoch]]=OFFSET(Readings[[#This Row],[Epoch]],-1,0),0,1)</f>
        <v>0</v>
      </c>
    </row>
    <row r="1135" spans="4:22" x14ac:dyDescent="0.2">
      <c r="D1135" s="32">
        <v>45867.270833333336</v>
      </c>
      <c r="E1135" s="33" t="s">
        <v>185</v>
      </c>
      <c r="F1135" s="34">
        <v>60054.885000000002</v>
      </c>
      <c r="G1135" s="34">
        <v>363838.80900000001</v>
      </c>
      <c r="H1135" s="34">
        <v>18.771999999999998</v>
      </c>
      <c r="I1135" s="33" t="s">
        <v>85</v>
      </c>
      <c r="J1135" s="33" t="s">
        <v>90</v>
      </c>
      <c r="K1135" s="33">
        <v>7.2</v>
      </c>
      <c r="L1135" s="33">
        <v>1022.4</v>
      </c>
      <c r="M1135" s="33">
        <v>83</v>
      </c>
      <c r="N1135" s="33"/>
      <c r="O1135" s="93">
        <f>IFERROR(IF(Readings[[#This Row],[Obs. X]]="","-",Readings[[#This Row],[Obs. X]]-_xlfn.XLOOKUP(Readings[[#This Row],[Sensor ID]],Table_Baseline[Sensor ID],Table_Baseline[Easting '[m']],"-")),"-")</f>
        <v>-9.9999999656574801E-4</v>
      </c>
      <c r="P1135" s="93">
        <f>IFERROR(IF(Readings[[#This Row],[Obs. Y]]="","-",Readings[[#This Row],[Obs. Y]]-_xlfn.XLOOKUP(Readings[[#This Row],[Sensor ID]],Table_Baseline[Sensor ID],Table_Baseline[Northing '[m']],"-")),"-")</f>
        <v>4.0000000153668225E-3</v>
      </c>
      <c r="Q1135" s="93">
        <f>IFERROR(IF(Readings[[#This Row],[Obs. Z]]="","-",Readings[[#This Row],[Obs. Z]]-_xlfn.XLOOKUP(Readings[[#This Row],[Sensor ID]],Table_Baseline[Sensor ID],Table_Baseline[Level '[m']],"-")),"-")</f>
        <v>-1.1000000000009891E-3</v>
      </c>
      <c r="R1135" s="93">
        <f>IFERROR(IF(Readings[[#This Row],[Reference Angle]]="-","-",(Readings[[#This Row],[Diff E]]*COS(RADIANS(Readings[[#This Row],[Reference Angle]]))-Readings[[#This Row],[Diff N]]*SIN(RADIANS(Readings[[#This Row],[Reference Angle]])))),"-")</f>
        <v>-9.9999999656574801E-4</v>
      </c>
      <c r="S1135" s="93">
        <f>IFERROR(IF(Readings[[#This Row],[Reference Angle]]="-","-",(Readings[[#This Row],[Diff E]]*SIN(RADIANS(Readings[[#This Row],[Reference Angle]]))+Readings[[#This Row],[Diff N]]*COS(RADIANS(Readings[[#This Row],[Reference Angle]])))),"-")</f>
        <v>4.0000000153668225E-3</v>
      </c>
      <c r="T1135" s="94">
        <f>IFERROR(VLOOKUP(Readings[[#This Row],[Sensor ID]],Table_Baseline[],COLUMNS(Table_Baseline[[#Headers],[Sensor ID]:[Reference Angle '[Deg']]]),FALSE),"-")</f>
        <v>0</v>
      </c>
      <c r="U1135" s="95" t="str">
        <f>Readings[[#This Row],[Sensor ID]]&amp;"-"&amp;Readings[[#This Row],[Epoch]]</f>
        <v>250-RL-OP-11016-45867.2708333333</v>
      </c>
      <c r="V1135" s="99">
        <f ca="1">IF(Readings[[#This Row],[Epoch]]=OFFSET(Readings[[#This Row],[Epoch]],-1,0),0,1)</f>
        <v>0</v>
      </c>
    </row>
    <row r="1136" spans="4:22" x14ac:dyDescent="0.2">
      <c r="D1136" s="32">
        <v>45867.270833333336</v>
      </c>
      <c r="E1136" s="33" t="s">
        <v>188</v>
      </c>
      <c r="F1136" s="34">
        <v>60057.951999999997</v>
      </c>
      <c r="G1136" s="34">
        <v>363839.36800000002</v>
      </c>
      <c r="H1136" s="34">
        <v>18.785</v>
      </c>
      <c r="I1136" s="33" t="s">
        <v>85</v>
      </c>
      <c r="J1136" s="33" t="s">
        <v>90</v>
      </c>
      <c r="K1136" s="33">
        <v>7.2</v>
      </c>
      <c r="L1136" s="33">
        <v>1022.4</v>
      </c>
      <c r="M1136" s="33">
        <v>83</v>
      </c>
      <c r="N1136" s="33"/>
      <c r="O1136" s="93">
        <f>IFERROR(IF(Readings[[#This Row],[Obs. X]]="","-",Readings[[#This Row],[Obs. X]]-_xlfn.XLOOKUP(Readings[[#This Row],[Sensor ID]],Table_Baseline[Sensor ID],Table_Baseline[Easting '[m']],"-")),"-")</f>
        <v>0</v>
      </c>
      <c r="P1136" s="93">
        <f>IFERROR(IF(Readings[[#This Row],[Obs. Y]]="","-",Readings[[#This Row],[Obs. Y]]-_xlfn.XLOOKUP(Readings[[#This Row],[Sensor ID]],Table_Baseline[Sensor ID],Table_Baseline[Northing '[m']],"-")),"-")</f>
        <v>6.0000000521540642E-3</v>
      </c>
      <c r="Q1136" s="93">
        <f>IFERROR(IF(Readings[[#This Row],[Obs. Z]]="","-",Readings[[#This Row],[Obs. Z]]-_xlfn.XLOOKUP(Readings[[#This Row],[Sensor ID]],Table_Baseline[Sensor ID],Table_Baseline[Level '[m']],"-")),"-")</f>
        <v>-1.0000000000012221E-3</v>
      </c>
      <c r="R1136" s="93">
        <f>IFERROR(IF(Readings[[#This Row],[Reference Angle]]="-","-",(Readings[[#This Row],[Diff E]]*COS(RADIANS(Readings[[#This Row],[Reference Angle]]))-Readings[[#This Row],[Diff N]]*SIN(RADIANS(Readings[[#This Row],[Reference Angle]])))),"-")</f>
        <v>0</v>
      </c>
      <c r="S1136" s="93">
        <f>IFERROR(IF(Readings[[#This Row],[Reference Angle]]="-","-",(Readings[[#This Row],[Diff E]]*SIN(RADIANS(Readings[[#This Row],[Reference Angle]]))+Readings[[#This Row],[Diff N]]*COS(RADIANS(Readings[[#This Row],[Reference Angle]])))),"-")</f>
        <v>6.0000000521540642E-3</v>
      </c>
      <c r="T1136" s="94">
        <f>IFERROR(VLOOKUP(Readings[[#This Row],[Sensor ID]],Table_Baseline[],COLUMNS(Table_Baseline[[#Headers],[Sensor ID]:[Reference Angle '[Deg']]]),FALSE),"-")</f>
        <v>0</v>
      </c>
      <c r="U1136" s="95" t="str">
        <f>Readings[[#This Row],[Sensor ID]]&amp;"-"&amp;Readings[[#This Row],[Epoch]]</f>
        <v>250-RL-OP-11017-45867.2708333333</v>
      </c>
      <c r="V1136" s="99">
        <f ca="1">IF(Readings[[#This Row],[Epoch]]=OFFSET(Readings[[#This Row],[Epoch]],-1,0),0,1)</f>
        <v>0</v>
      </c>
    </row>
    <row r="1137" spans="4:22" x14ac:dyDescent="0.2">
      <c r="D1137" s="32">
        <v>45867.270833333336</v>
      </c>
      <c r="E1137" s="33" t="s">
        <v>187</v>
      </c>
      <c r="F1137" s="34">
        <v>60057.578999999998</v>
      </c>
      <c r="G1137" s="34">
        <v>363838.103</v>
      </c>
      <c r="H1137" s="34">
        <v>18.774999999999999</v>
      </c>
      <c r="I1137" s="33" t="s">
        <v>85</v>
      </c>
      <c r="J1137" s="33" t="s">
        <v>90</v>
      </c>
      <c r="K1137" s="33">
        <v>7.2</v>
      </c>
      <c r="L1137" s="33">
        <v>1022.4</v>
      </c>
      <c r="M1137" s="33">
        <v>83</v>
      </c>
      <c r="N1137" s="33"/>
      <c r="O1137" s="93">
        <f>IFERROR(IF(Readings[[#This Row],[Obs. X]]="","-",Readings[[#This Row],[Obs. X]]-_xlfn.XLOOKUP(Readings[[#This Row],[Sensor ID]],Table_Baseline[Sensor ID],Table_Baseline[Easting '[m']],"-")),"-")</f>
        <v>0</v>
      </c>
      <c r="P1137" s="93">
        <f>IFERROR(IF(Readings[[#This Row],[Obs. Y]]="","-",Readings[[#This Row],[Obs. Y]]-_xlfn.XLOOKUP(Readings[[#This Row],[Sensor ID]],Table_Baseline[Sensor ID],Table_Baseline[Northing '[m']],"-")),"-")</f>
        <v>5.0000000046566129E-3</v>
      </c>
      <c r="Q1137" s="93">
        <f>IFERROR(IF(Readings[[#This Row],[Obs. Z]]="","-",Readings[[#This Row],[Obs. Z]]-_xlfn.XLOOKUP(Readings[[#This Row],[Sensor ID]],Table_Baseline[Sensor ID],Table_Baseline[Level '[m']],"-")),"-")</f>
        <v>-1.0000000000012221E-3</v>
      </c>
      <c r="R1137" s="93">
        <f>IFERROR(IF(Readings[[#This Row],[Reference Angle]]="-","-",(Readings[[#This Row],[Diff E]]*COS(RADIANS(Readings[[#This Row],[Reference Angle]]))-Readings[[#This Row],[Diff N]]*SIN(RADIANS(Readings[[#This Row],[Reference Angle]])))),"-")</f>
        <v>0</v>
      </c>
      <c r="S1137" s="93">
        <f>IFERROR(IF(Readings[[#This Row],[Reference Angle]]="-","-",(Readings[[#This Row],[Diff E]]*SIN(RADIANS(Readings[[#This Row],[Reference Angle]]))+Readings[[#This Row],[Diff N]]*COS(RADIANS(Readings[[#This Row],[Reference Angle]])))),"-")</f>
        <v>5.0000000046566129E-3</v>
      </c>
      <c r="T1137" s="94">
        <f>IFERROR(VLOOKUP(Readings[[#This Row],[Sensor ID]],Table_Baseline[],COLUMNS(Table_Baseline[[#Headers],[Sensor ID]:[Reference Angle '[Deg']]]),FALSE),"-")</f>
        <v>0</v>
      </c>
      <c r="U1137" s="95" t="str">
        <f>Readings[[#This Row],[Sensor ID]]&amp;"-"&amp;Readings[[#This Row],[Epoch]]</f>
        <v>250-RL-OP-11018-45867.2708333333</v>
      </c>
      <c r="V1137" s="99">
        <f ca="1">IF(Readings[[#This Row],[Epoch]]=OFFSET(Readings[[#This Row],[Epoch]],-1,0),0,1)</f>
        <v>0</v>
      </c>
    </row>
    <row r="1138" spans="4:22" x14ac:dyDescent="0.2">
      <c r="D1138" s="32">
        <v>45867.270833333336</v>
      </c>
      <c r="E1138" s="33" t="s">
        <v>190</v>
      </c>
      <c r="F1138" s="34">
        <v>60060.963000000003</v>
      </c>
      <c r="G1138" s="34">
        <v>363838.60600000003</v>
      </c>
      <c r="H1138" s="34">
        <v>18.794</v>
      </c>
      <c r="I1138" s="33" t="s">
        <v>85</v>
      </c>
      <c r="J1138" s="33" t="s">
        <v>90</v>
      </c>
      <c r="K1138" s="33">
        <v>7.2</v>
      </c>
      <c r="L1138" s="33">
        <v>1022.4</v>
      </c>
      <c r="M1138" s="33">
        <v>83</v>
      </c>
      <c r="N1138" s="33"/>
      <c r="O1138" s="93">
        <f>IFERROR(IF(Readings[[#This Row],[Obs. X]]="","-",Readings[[#This Row],[Obs. X]]-_xlfn.XLOOKUP(Readings[[#This Row],[Sensor ID]],Table_Baseline[Sensor ID],Table_Baseline[Easting '[m']],"-")),"-")</f>
        <v>0</v>
      </c>
      <c r="P1138" s="93">
        <f>IFERROR(IF(Readings[[#This Row],[Obs. Y]]="","-",Readings[[#This Row],[Obs. Y]]-_xlfn.XLOOKUP(Readings[[#This Row],[Sensor ID]],Table_Baseline[Sensor ID],Table_Baseline[Northing '[m']],"-")),"-")</f>
        <v>5.0000000046566129E-3</v>
      </c>
      <c r="Q1138" s="93">
        <f>IFERROR(IF(Readings[[#This Row],[Obs. Z]]="","-",Readings[[#This Row],[Obs. Z]]-_xlfn.XLOOKUP(Readings[[#This Row],[Sensor ID]],Table_Baseline[Sensor ID],Table_Baseline[Level '[m']],"-")),"-")</f>
        <v>-5.9999999999860165E-4</v>
      </c>
      <c r="R1138" s="93">
        <f>IFERROR(IF(Readings[[#This Row],[Reference Angle]]="-","-",(Readings[[#This Row],[Diff E]]*COS(RADIANS(Readings[[#This Row],[Reference Angle]]))-Readings[[#This Row],[Diff N]]*SIN(RADIANS(Readings[[#This Row],[Reference Angle]])))),"-")</f>
        <v>0</v>
      </c>
      <c r="S1138" s="93">
        <f>IFERROR(IF(Readings[[#This Row],[Reference Angle]]="-","-",(Readings[[#This Row],[Diff E]]*SIN(RADIANS(Readings[[#This Row],[Reference Angle]]))+Readings[[#This Row],[Diff N]]*COS(RADIANS(Readings[[#This Row],[Reference Angle]])))),"-")</f>
        <v>5.0000000046566129E-3</v>
      </c>
      <c r="T1138" s="94">
        <f>IFERROR(VLOOKUP(Readings[[#This Row],[Sensor ID]],Table_Baseline[],COLUMNS(Table_Baseline[[#Headers],[Sensor ID]:[Reference Angle '[Deg']]]),FALSE),"-")</f>
        <v>0</v>
      </c>
      <c r="U1138" s="95" t="str">
        <f>Readings[[#This Row],[Sensor ID]]&amp;"-"&amp;Readings[[#This Row],[Epoch]]</f>
        <v>250-RL-OP-11019-45867.2708333333</v>
      </c>
      <c r="V1138" s="99">
        <f ca="1">IF(Readings[[#This Row],[Epoch]]=OFFSET(Readings[[#This Row],[Epoch]],-1,0),0,1)</f>
        <v>0</v>
      </c>
    </row>
    <row r="1139" spans="4:22" x14ac:dyDescent="0.2">
      <c r="D1139" s="32">
        <v>45867.270833333336</v>
      </c>
      <c r="E1139" s="33" t="s">
        <v>189</v>
      </c>
      <c r="F1139" s="34">
        <v>60060.639999999999</v>
      </c>
      <c r="G1139" s="34">
        <v>363837.32799999998</v>
      </c>
      <c r="H1139" s="34">
        <v>18.782</v>
      </c>
      <c r="I1139" s="33" t="s">
        <v>85</v>
      </c>
      <c r="J1139" s="33" t="s">
        <v>90</v>
      </c>
      <c r="K1139" s="33">
        <v>7.2</v>
      </c>
      <c r="L1139" s="33">
        <v>1022.4</v>
      </c>
      <c r="M1139" s="33">
        <v>83</v>
      </c>
      <c r="N1139" s="33"/>
      <c r="O1139" s="93">
        <f>IFERROR(IF(Readings[[#This Row],[Obs. X]]="","-",Readings[[#This Row],[Obs. X]]-_xlfn.XLOOKUP(Readings[[#This Row],[Sensor ID]],Table_Baseline[Sensor ID],Table_Baseline[Easting '[m']],"-")),"-")</f>
        <v>0</v>
      </c>
      <c r="P1139" s="93">
        <f>IFERROR(IF(Readings[[#This Row],[Obs. Y]]="","-",Readings[[#This Row],[Obs. Y]]-_xlfn.XLOOKUP(Readings[[#This Row],[Sensor ID]],Table_Baseline[Sensor ID],Table_Baseline[Northing '[m']],"-")),"-")</f>
        <v>5.9999999939464033E-3</v>
      </c>
      <c r="Q1139" s="93">
        <f>IFERROR(IF(Readings[[#This Row],[Obs. Z]]="","-",Readings[[#This Row],[Obs. Z]]-_xlfn.XLOOKUP(Readings[[#This Row],[Sensor ID]],Table_Baseline[Sensor ID],Table_Baseline[Level '[m']],"-")),"-")</f>
        <v>-1.5999999999998238E-3</v>
      </c>
      <c r="R1139" s="93">
        <f>IFERROR(IF(Readings[[#This Row],[Reference Angle]]="-","-",(Readings[[#This Row],[Diff E]]*COS(RADIANS(Readings[[#This Row],[Reference Angle]]))-Readings[[#This Row],[Diff N]]*SIN(RADIANS(Readings[[#This Row],[Reference Angle]])))),"-")</f>
        <v>0</v>
      </c>
      <c r="S1139" s="93">
        <f>IFERROR(IF(Readings[[#This Row],[Reference Angle]]="-","-",(Readings[[#This Row],[Diff E]]*SIN(RADIANS(Readings[[#This Row],[Reference Angle]]))+Readings[[#This Row],[Diff N]]*COS(RADIANS(Readings[[#This Row],[Reference Angle]])))),"-")</f>
        <v>5.9999999939464033E-3</v>
      </c>
      <c r="T1139" s="94">
        <f>IFERROR(VLOOKUP(Readings[[#This Row],[Sensor ID]],Table_Baseline[],COLUMNS(Table_Baseline[[#Headers],[Sensor ID]:[Reference Angle '[Deg']]]),FALSE),"-")</f>
        <v>0</v>
      </c>
      <c r="U1139" s="95" t="str">
        <f>Readings[[#This Row],[Sensor ID]]&amp;"-"&amp;Readings[[#This Row],[Epoch]]</f>
        <v>250-RL-OP-11020-45867.2708333333</v>
      </c>
      <c r="V1139" s="99">
        <f ca="1">IF(Readings[[#This Row],[Epoch]]=OFFSET(Readings[[#This Row],[Epoch]],-1,0),0,1)</f>
        <v>0</v>
      </c>
    </row>
    <row r="1140" spans="4:22" x14ac:dyDescent="0.2">
      <c r="D1140" s="32">
        <v>45867.270833333336</v>
      </c>
      <c r="E1140" s="33" t="s">
        <v>192</v>
      </c>
      <c r="F1140" s="34">
        <v>60063.750999999997</v>
      </c>
      <c r="G1140" s="34">
        <v>363837.92300000001</v>
      </c>
      <c r="H1140" s="34">
        <v>18.808</v>
      </c>
      <c r="I1140" s="33" t="s">
        <v>85</v>
      </c>
      <c r="J1140" s="33" t="s">
        <v>90</v>
      </c>
      <c r="K1140" s="33">
        <v>7.2</v>
      </c>
      <c r="L1140" s="33">
        <v>1022.4</v>
      </c>
      <c r="M1140" s="33">
        <v>83</v>
      </c>
      <c r="N1140" s="33"/>
      <c r="O1140" s="93">
        <f>IFERROR(IF(Readings[[#This Row],[Obs. X]]="","-",Readings[[#This Row],[Obs. X]]-_xlfn.XLOOKUP(Readings[[#This Row],[Sensor ID]],Table_Baseline[Sensor ID],Table_Baseline[Easting '[m']],"-")),"-")</f>
        <v>0</v>
      </c>
      <c r="P1140" s="93">
        <f>IFERROR(IF(Readings[[#This Row],[Obs. Y]]="","-",Readings[[#This Row],[Obs. Y]]-_xlfn.XLOOKUP(Readings[[#This Row],[Sensor ID]],Table_Baseline[Sensor ID],Table_Baseline[Northing '[m']],"-")),"-")</f>
        <v>5.0000000046566129E-3</v>
      </c>
      <c r="Q1140" s="93">
        <f>IFERROR(IF(Readings[[#This Row],[Obs. Z]]="","-",Readings[[#This Row],[Obs. Z]]-_xlfn.XLOOKUP(Readings[[#This Row],[Sensor ID]],Table_Baseline[Sensor ID],Table_Baseline[Level '[m']],"-")),"-")</f>
        <v>-1.0000000000012221E-3</v>
      </c>
      <c r="R1140" s="93">
        <f>IFERROR(IF(Readings[[#This Row],[Reference Angle]]="-","-",(Readings[[#This Row],[Diff E]]*COS(RADIANS(Readings[[#This Row],[Reference Angle]]))-Readings[[#This Row],[Diff N]]*SIN(RADIANS(Readings[[#This Row],[Reference Angle]])))),"-")</f>
        <v>0</v>
      </c>
      <c r="S1140" s="93">
        <f>IFERROR(IF(Readings[[#This Row],[Reference Angle]]="-","-",(Readings[[#This Row],[Diff E]]*SIN(RADIANS(Readings[[#This Row],[Reference Angle]]))+Readings[[#This Row],[Diff N]]*COS(RADIANS(Readings[[#This Row],[Reference Angle]])))),"-")</f>
        <v>5.0000000046566129E-3</v>
      </c>
      <c r="T1140" s="94">
        <f>IFERROR(VLOOKUP(Readings[[#This Row],[Sensor ID]],Table_Baseline[],COLUMNS(Table_Baseline[[#Headers],[Sensor ID]:[Reference Angle '[Deg']]]),FALSE),"-")</f>
        <v>0</v>
      </c>
      <c r="U1140" s="95" t="str">
        <f>Readings[[#This Row],[Sensor ID]]&amp;"-"&amp;Readings[[#This Row],[Epoch]]</f>
        <v>250-RL-OP-11021-45867.2708333333</v>
      </c>
      <c r="V1140" s="99">
        <f ca="1">IF(Readings[[#This Row],[Epoch]]=OFFSET(Readings[[#This Row],[Epoch]],-1,0),0,1)</f>
        <v>0</v>
      </c>
    </row>
    <row r="1141" spans="4:22" x14ac:dyDescent="0.2">
      <c r="D1141" s="32">
        <v>45867.270833333336</v>
      </c>
      <c r="E1141" s="33" t="s">
        <v>191</v>
      </c>
      <c r="F1141" s="34">
        <v>60063.421999999999</v>
      </c>
      <c r="G1141" s="34">
        <v>363836.641</v>
      </c>
      <c r="H1141" s="34">
        <v>18.792999999999999</v>
      </c>
      <c r="I1141" s="33" t="s">
        <v>85</v>
      </c>
      <c r="J1141" s="33" t="s">
        <v>90</v>
      </c>
      <c r="K1141" s="33">
        <v>7.2</v>
      </c>
      <c r="L1141" s="33">
        <v>1022.4</v>
      </c>
      <c r="M1141" s="33">
        <v>83</v>
      </c>
      <c r="N1141" s="33"/>
      <c r="O1141" s="93">
        <f>IFERROR(IF(Readings[[#This Row],[Obs. X]]="","-",Readings[[#This Row],[Obs. X]]-_xlfn.XLOOKUP(Readings[[#This Row],[Sensor ID]],Table_Baseline[Sensor ID],Table_Baseline[Easting '[m']],"-")),"-")</f>
        <v>0</v>
      </c>
      <c r="P1141" s="93">
        <f>IFERROR(IF(Readings[[#This Row],[Obs. Y]]="","-",Readings[[#This Row],[Obs. Y]]-_xlfn.XLOOKUP(Readings[[#This Row],[Sensor ID]],Table_Baseline[Sensor ID],Table_Baseline[Northing '[m']],"-")),"-")</f>
        <v>5.0000000046566129E-3</v>
      </c>
      <c r="Q1141" s="93">
        <f>IFERROR(IF(Readings[[#This Row],[Obs. Z]]="","-",Readings[[#This Row],[Obs. Z]]-_xlfn.XLOOKUP(Readings[[#This Row],[Sensor ID]],Table_Baseline[Sensor ID],Table_Baseline[Level '[m']],"-")),"-")</f>
        <v>-1.8999999999991246E-3</v>
      </c>
      <c r="R1141" s="93">
        <f>IFERROR(IF(Readings[[#This Row],[Reference Angle]]="-","-",(Readings[[#This Row],[Diff E]]*COS(RADIANS(Readings[[#This Row],[Reference Angle]]))-Readings[[#This Row],[Diff N]]*SIN(RADIANS(Readings[[#This Row],[Reference Angle]])))),"-")</f>
        <v>0</v>
      </c>
      <c r="S1141" s="93">
        <f>IFERROR(IF(Readings[[#This Row],[Reference Angle]]="-","-",(Readings[[#This Row],[Diff E]]*SIN(RADIANS(Readings[[#This Row],[Reference Angle]]))+Readings[[#This Row],[Diff N]]*COS(RADIANS(Readings[[#This Row],[Reference Angle]])))),"-")</f>
        <v>5.0000000046566129E-3</v>
      </c>
      <c r="T1141" s="94">
        <f>IFERROR(VLOOKUP(Readings[[#This Row],[Sensor ID]],Table_Baseline[],COLUMNS(Table_Baseline[[#Headers],[Sensor ID]:[Reference Angle '[Deg']]]),FALSE),"-")</f>
        <v>0</v>
      </c>
      <c r="U1141" s="95" t="str">
        <f>Readings[[#This Row],[Sensor ID]]&amp;"-"&amp;Readings[[#This Row],[Epoch]]</f>
        <v>250-RL-OP-11022-45867.2708333333</v>
      </c>
      <c r="V1141" s="99">
        <f ca="1">IF(Readings[[#This Row],[Epoch]]=OFFSET(Readings[[#This Row],[Epoch]],-1,0),0,1)</f>
        <v>0</v>
      </c>
    </row>
    <row r="1142" spans="4:22" x14ac:dyDescent="0.2">
      <c r="D1142" s="32">
        <v>45867.270833333336</v>
      </c>
      <c r="E1142" s="33" t="s">
        <v>165</v>
      </c>
      <c r="F1142" s="34">
        <v>60034.538999999997</v>
      </c>
      <c r="G1142" s="34">
        <v>363843.38099999999</v>
      </c>
      <c r="H1142" s="34">
        <v>19.331</v>
      </c>
      <c r="I1142" s="33" t="s">
        <v>85</v>
      </c>
      <c r="J1142" s="33" t="s">
        <v>90</v>
      </c>
      <c r="K1142" s="33">
        <v>7.2</v>
      </c>
      <c r="L1142" s="33">
        <v>1022.4</v>
      </c>
      <c r="M1142" s="33">
        <v>83</v>
      </c>
      <c r="N1142" s="33"/>
      <c r="O1142" s="93" t="str">
        <f>IFERROR(IF(Readings[[#This Row],[Obs. X]]="","-",Readings[[#This Row],[Obs. X]]-_xlfn.XLOOKUP(Readings[[#This Row],[Sensor ID]],Table_Baseline[Sensor ID],Table_Baseline[Easting '[m']],"-")),"-")</f>
        <v>-</v>
      </c>
      <c r="P1142" s="93" t="str">
        <f>IFERROR(IF(Readings[[#This Row],[Obs. Y]]="","-",Readings[[#This Row],[Obs. Y]]-_xlfn.XLOOKUP(Readings[[#This Row],[Sensor ID]],Table_Baseline[Sensor ID],Table_Baseline[Northing '[m']],"-")),"-")</f>
        <v>-</v>
      </c>
      <c r="Q1142" s="93" t="str">
        <f>IFERROR(IF(Readings[[#This Row],[Obs. Z]]="","-",Readings[[#This Row],[Obs. Z]]-_xlfn.XLOOKUP(Readings[[#This Row],[Sensor ID]],Table_Baseline[Sensor ID],Table_Baseline[Level '[m']],"-")),"-")</f>
        <v>-</v>
      </c>
      <c r="R1142" s="93" t="str">
        <f>IFERROR(IF(Readings[[#This Row],[Reference Angle]]="-","-",(Readings[[#This Row],[Diff E]]*COS(RADIANS(Readings[[#This Row],[Reference Angle]]))-Readings[[#This Row],[Diff N]]*SIN(RADIANS(Readings[[#This Row],[Reference Angle]])))),"-")</f>
        <v>-</v>
      </c>
      <c r="S1142" s="93" t="str">
        <f>IFERROR(IF(Readings[[#This Row],[Reference Angle]]="-","-",(Readings[[#This Row],[Diff E]]*SIN(RADIANS(Readings[[#This Row],[Reference Angle]]))+Readings[[#This Row],[Diff N]]*COS(RADIANS(Readings[[#This Row],[Reference Angle]])))),"-")</f>
        <v>-</v>
      </c>
      <c r="T1142" s="94" t="str">
        <f>IFERROR(VLOOKUP(Readings[[#This Row],[Sensor ID]],Table_Baseline[],COLUMNS(Table_Baseline[[#Headers],[Sensor ID]:[Reference Angle '[Deg']]]),FALSE),"-")</f>
        <v>-</v>
      </c>
      <c r="U1142" s="95" t="str">
        <f>Readings[[#This Row],[Sensor ID]]&amp;"-"&amp;Readings[[#This Row],[Epoch]]</f>
        <v>250-ST-OP-500-45867.2708333333</v>
      </c>
      <c r="V1142" s="99">
        <f ca="1">IF(Readings[[#This Row],[Epoch]]=OFFSET(Readings[[#This Row],[Epoch]],-1,0),0,1)</f>
        <v>0</v>
      </c>
    </row>
    <row r="1143" spans="4:22" x14ac:dyDescent="0.2">
      <c r="D1143" s="32">
        <v>45867.270833333336</v>
      </c>
      <c r="E1143" s="33" t="s">
        <v>166</v>
      </c>
      <c r="F1143" s="34">
        <v>60040.286999999997</v>
      </c>
      <c r="G1143" s="34">
        <v>363841.73</v>
      </c>
      <c r="H1143" s="34">
        <v>19.321999999999999</v>
      </c>
      <c r="I1143" s="33" t="s">
        <v>85</v>
      </c>
      <c r="J1143" s="33" t="s">
        <v>90</v>
      </c>
      <c r="K1143" s="33">
        <v>7.2</v>
      </c>
      <c r="L1143" s="33">
        <v>1022.4</v>
      </c>
      <c r="M1143" s="33">
        <v>83</v>
      </c>
      <c r="N1143" s="33"/>
      <c r="O1143" s="93" t="str">
        <f>IFERROR(IF(Readings[[#This Row],[Obs. X]]="","-",Readings[[#This Row],[Obs. X]]-_xlfn.XLOOKUP(Readings[[#This Row],[Sensor ID]],Table_Baseline[Sensor ID],Table_Baseline[Easting '[m']],"-")),"-")</f>
        <v>-</v>
      </c>
      <c r="P1143" s="93" t="str">
        <f>IFERROR(IF(Readings[[#This Row],[Obs. Y]]="","-",Readings[[#This Row],[Obs. Y]]-_xlfn.XLOOKUP(Readings[[#This Row],[Sensor ID]],Table_Baseline[Sensor ID],Table_Baseline[Northing '[m']],"-")),"-")</f>
        <v>-</v>
      </c>
      <c r="Q1143" s="93" t="str">
        <f>IFERROR(IF(Readings[[#This Row],[Obs. Z]]="","-",Readings[[#This Row],[Obs. Z]]-_xlfn.XLOOKUP(Readings[[#This Row],[Sensor ID]],Table_Baseline[Sensor ID],Table_Baseline[Level '[m']],"-")),"-")</f>
        <v>-</v>
      </c>
      <c r="R1143" s="93" t="str">
        <f>IFERROR(IF(Readings[[#This Row],[Reference Angle]]="-","-",(Readings[[#This Row],[Diff E]]*COS(RADIANS(Readings[[#This Row],[Reference Angle]]))-Readings[[#This Row],[Diff N]]*SIN(RADIANS(Readings[[#This Row],[Reference Angle]])))),"-")</f>
        <v>-</v>
      </c>
      <c r="S1143" s="93" t="str">
        <f>IFERROR(IF(Readings[[#This Row],[Reference Angle]]="-","-",(Readings[[#This Row],[Diff E]]*SIN(RADIANS(Readings[[#This Row],[Reference Angle]]))+Readings[[#This Row],[Diff N]]*COS(RADIANS(Readings[[#This Row],[Reference Angle]])))),"-")</f>
        <v>-</v>
      </c>
      <c r="T1143" s="94" t="str">
        <f>IFERROR(VLOOKUP(Readings[[#This Row],[Sensor ID]],Table_Baseline[],COLUMNS(Table_Baseline[[#Headers],[Sensor ID]:[Reference Angle '[Deg']]]),FALSE),"-")</f>
        <v>-</v>
      </c>
      <c r="U1143" s="95" t="str">
        <f>Readings[[#This Row],[Sensor ID]]&amp;"-"&amp;Readings[[#This Row],[Epoch]]</f>
        <v>250-ST-OP-501-45867.2708333333</v>
      </c>
      <c r="V1143" s="99">
        <f ca="1">IF(Readings[[#This Row],[Epoch]]=OFFSET(Readings[[#This Row],[Epoch]],-1,0),0,1)</f>
        <v>0</v>
      </c>
    </row>
    <row r="1144" spans="4:22" x14ac:dyDescent="0.2">
      <c r="D1144" s="32">
        <v>45867.270833333336</v>
      </c>
      <c r="E1144" s="33" t="s">
        <v>167</v>
      </c>
      <c r="F1144" s="34">
        <v>60045.921999999999</v>
      </c>
      <c r="G1144" s="34">
        <v>363840.10200000001</v>
      </c>
      <c r="H1144" s="34">
        <v>19.334</v>
      </c>
      <c r="I1144" s="33" t="s">
        <v>85</v>
      </c>
      <c r="J1144" s="33" t="s">
        <v>90</v>
      </c>
      <c r="K1144" s="33">
        <v>7.2</v>
      </c>
      <c r="L1144" s="33">
        <v>1022.4</v>
      </c>
      <c r="M1144" s="33">
        <v>83</v>
      </c>
      <c r="N1144" s="33"/>
      <c r="O1144" s="93" t="str">
        <f>IFERROR(IF(Readings[[#This Row],[Obs. X]]="","-",Readings[[#This Row],[Obs. X]]-_xlfn.XLOOKUP(Readings[[#This Row],[Sensor ID]],Table_Baseline[Sensor ID],Table_Baseline[Easting '[m']],"-")),"-")</f>
        <v>-</v>
      </c>
      <c r="P1144" s="93" t="str">
        <f>IFERROR(IF(Readings[[#This Row],[Obs. Y]]="","-",Readings[[#This Row],[Obs. Y]]-_xlfn.XLOOKUP(Readings[[#This Row],[Sensor ID]],Table_Baseline[Sensor ID],Table_Baseline[Northing '[m']],"-")),"-")</f>
        <v>-</v>
      </c>
      <c r="Q1144" s="93" t="str">
        <f>IFERROR(IF(Readings[[#This Row],[Obs. Z]]="","-",Readings[[#This Row],[Obs. Z]]-_xlfn.XLOOKUP(Readings[[#This Row],[Sensor ID]],Table_Baseline[Sensor ID],Table_Baseline[Level '[m']],"-")),"-")</f>
        <v>-</v>
      </c>
      <c r="R1144" s="93" t="str">
        <f>IFERROR(IF(Readings[[#This Row],[Reference Angle]]="-","-",(Readings[[#This Row],[Diff E]]*COS(RADIANS(Readings[[#This Row],[Reference Angle]]))-Readings[[#This Row],[Diff N]]*SIN(RADIANS(Readings[[#This Row],[Reference Angle]])))),"-")</f>
        <v>-</v>
      </c>
      <c r="S1144" s="93" t="str">
        <f>IFERROR(IF(Readings[[#This Row],[Reference Angle]]="-","-",(Readings[[#This Row],[Diff E]]*SIN(RADIANS(Readings[[#This Row],[Reference Angle]]))+Readings[[#This Row],[Diff N]]*COS(RADIANS(Readings[[#This Row],[Reference Angle]])))),"-")</f>
        <v>-</v>
      </c>
      <c r="T1144" s="94" t="str">
        <f>IFERROR(VLOOKUP(Readings[[#This Row],[Sensor ID]],Table_Baseline[],COLUMNS(Table_Baseline[[#Headers],[Sensor ID]:[Reference Angle '[Deg']]]),FALSE),"-")</f>
        <v>-</v>
      </c>
      <c r="U1144" s="95" t="str">
        <f>Readings[[#This Row],[Sensor ID]]&amp;"-"&amp;Readings[[#This Row],[Epoch]]</f>
        <v>250-ST-OP-502-45867.2708333333</v>
      </c>
      <c r="V1144" s="99">
        <f ca="1">IF(Readings[[#This Row],[Epoch]]=OFFSET(Readings[[#This Row],[Epoch]],-1,0),0,1)</f>
        <v>0</v>
      </c>
    </row>
    <row r="1145" spans="4:22" x14ac:dyDescent="0.2">
      <c r="D1145" s="32">
        <v>45867.270833333336</v>
      </c>
      <c r="E1145" s="33" t="s">
        <v>168</v>
      </c>
      <c r="F1145" s="34">
        <v>60049.767999999996</v>
      </c>
      <c r="G1145" s="34">
        <v>363838.995</v>
      </c>
      <c r="H1145" s="34">
        <v>19.344999999999999</v>
      </c>
      <c r="I1145" s="33" t="s">
        <v>85</v>
      </c>
      <c r="J1145" s="33" t="s">
        <v>90</v>
      </c>
      <c r="K1145" s="33">
        <v>7.2</v>
      </c>
      <c r="L1145" s="33">
        <v>1022.4</v>
      </c>
      <c r="M1145" s="33">
        <v>83</v>
      </c>
      <c r="N1145" s="33"/>
      <c r="O1145" s="93" t="str">
        <f>IFERROR(IF(Readings[[#This Row],[Obs. X]]="","-",Readings[[#This Row],[Obs. X]]-_xlfn.XLOOKUP(Readings[[#This Row],[Sensor ID]],Table_Baseline[Sensor ID],Table_Baseline[Easting '[m']],"-")),"-")</f>
        <v>-</v>
      </c>
      <c r="P1145" s="93" t="str">
        <f>IFERROR(IF(Readings[[#This Row],[Obs. Y]]="","-",Readings[[#This Row],[Obs. Y]]-_xlfn.XLOOKUP(Readings[[#This Row],[Sensor ID]],Table_Baseline[Sensor ID],Table_Baseline[Northing '[m']],"-")),"-")</f>
        <v>-</v>
      </c>
      <c r="Q1145" s="93" t="str">
        <f>IFERROR(IF(Readings[[#This Row],[Obs. Z]]="","-",Readings[[#This Row],[Obs. Z]]-_xlfn.XLOOKUP(Readings[[#This Row],[Sensor ID]],Table_Baseline[Sensor ID],Table_Baseline[Level '[m']],"-")),"-")</f>
        <v>-</v>
      </c>
      <c r="R1145" s="93" t="str">
        <f>IFERROR(IF(Readings[[#This Row],[Reference Angle]]="-","-",(Readings[[#This Row],[Diff E]]*COS(RADIANS(Readings[[#This Row],[Reference Angle]]))-Readings[[#This Row],[Diff N]]*SIN(RADIANS(Readings[[#This Row],[Reference Angle]])))),"-")</f>
        <v>-</v>
      </c>
      <c r="S1145" s="93" t="str">
        <f>IFERROR(IF(Readings[[#This Row],[Reference Angle]]="-","-",(Readings[[#This Row],[Diff E]]*SIN(RADIANS(Readings[[#This Row],[Reference Angle]]))+Readings[[#This Row],[Diff N]]*COS(RADIANS(Readings[[#This Row],[Reference Angle]])))),"-")</f>
        <v>-</v>
      </c>
      <c r="T1145" s="94" t="str">
        <f>IFERROR(VLOOKUP(Readings[[#This Row],[Sensor ID]],Table_Baseline[],COLUMNS(Table_Baseline[[#Headers],[Sensor ID]:[Reference Angle '[Deg']]]),FALSE),"-")</f>
        <v>-</v>
      </c>
      <c r="U1145" s="95" t="str">
        <f>Readings[[#This Row],[Sensor ID]]&amp;"-"&amp;Readings[[#This Row],[Epoch]]</f>
        <v>250-ST-OP-503-45867.2708333333</v>
      </c>
      <c r="V1145" s="99">
        <f ca="1">IF(Readings[[#This Row],[Epoch]]=OFFSET(Readings[[#This Row],[Epoch]],-1,0),0,1)</f>
        <v>0</v>
      </c>
    </row>
    <row r="1146" spans="4:22" x14ac:dyDescent="0.2">
      <c r="D1146" s="32">
        <v>45867.270833333336</v>
      </c>
      <c r="E1146" s="33" t="s">
        <v>169</v>
      </c>
      <c r="F1146" s="34">
        <v>60053.608999999997</v>
      </c>
      <c r="G1146" s="34">
        <v>363837.88399999996</v>
      </c>
      <c r="H1146" s="34">
        <v>19.356000000000002</v>
      </c>
      <c r="I1146" s="33" t="s">
        <v>85</v>
      </c>
      <c r="J1146" s="33" t="s">
        <v>90</v>
      </c>
      <c r="K1146" s="33">
        <v>7.2</v>
      </c>
      <c r="L1146" s="33">
        <v>1022.4</v>
      </c>
      <c r="M1146" s="33">
        <v>83</v>
      </c>
      <c r="N1146" s="33"/>
      <c r="O1146" s="93" t="str">
        <f>IFERROR(IF(Readings[[#This Row],[Obs. X]]="","-",Readings[[#This Row],[Obs. X]]-_xlfn.XLOOKUP(Readings[[#This Row],[Sensor ID]],Table_Baseline[Sensor ID],Table_Baseline[Easting '[m']],"-")),"-")</f>
        <v>-</v>
      </c>
      <c r="P1146" s="93" t="str">
        <f>IFERROR(IF(Readings[[#This Row],[Obs. Y]]="","-",Readings[[#This Row],[Obs. Y]]-_xlfn.XLOOKUP(Readings[[#This Row],[Sensor ID]],Table_Baseline[Sensor ID],Table_Baseline[Northing '[m']],"-")),"-")</f>
        <v>-</v>
      </c>
      <c r="Q1146" s="93" t="str">
        <f>IFERROR(IF(Readings[[#This Row],[Obs. Z]]="","-",Readings[[#This Row],[Obs. Z]]-_xlfn.XLOOKUP(Readings[[#This Row],[Sensor ID]],Table_Baseline[Sensor ID],Table_Baseline[Level '[m']],"-")),"-")</f>
        <v>-</v>
      </c>
      <c r="R1146" s="93" t="str">
        <f>IFERROR(IF(Readings[[#This Row],[Reference Angle]]="-","-",(Readings[[#This Row],[Diff E]]*COS(RADIANS(Readings[[#This Row],[Reference Angle]]))-Readings[[#This Row],[Diff N]]*SIN(RADIANS(Readings[[#This Row],[Reference Angle]])))),"-")</f>
        <v>-</v>
      </c>
      <c r="S1146" s="93" t="str">
        <f>IFERROR(IF(Readings[[#This Row],[Reference Angle]]="-","-",(Readings[[#This Row],[Diff E]]*SIN(RADIANS(Readings[[#This Row],[Reference Angle]]))+Readings[[#This Row],[Diff N]]*COS(RADIANS(Readings[[#This Row],[Reference Angle]])))),"-")</f>
        <v>-</v>
      </c>
      <c r="T1146" s="94" t="str">
        <f>IFERROR(VLOOKUP(Readings[[#This Row],[Sensor ID]],Table_Baseline[],COLUMNS(Table_Baseline[[#Headers],[Sensor ID]:[Reference Angle '[Deg']]]),FALSE),"-")</f>
        <v>-</v>
      </c>
      <c r="U1146" s="95" t="str">
        <f>Readings[[#This Row],[Sensor ID]]&amp;"-"&amp;Readings[[#This Row],[Epoch]]</f>
        <v>250-ST-OP-504-45867.2708333333</v>
      </c>
      <c r="V1146" s="99">
        <f ca="1">IF(Readings[[#This Row],[Epoch]]=OFFSET(Readings[[#This Row],[Epoch]],-1,0),0,1)</f>
        <v>0</v>
      </c>
    </row>
    <row r="1147" spans="4:22" x14ac:dyDescent="0.2">
      <c r="D1147" s="204">
        <v>45867.270833333336</v>
      </c>
      <c r="E1147" s="151" t="s">
        <v>170</v>
      </c>
      <c r="F1147" s="152">
        <v>60060.065000000002</v>
      </c>
      <c r="G1147" s="152">
        <v>363836.02500000002</v>
      </c>
      <c r="H1147" s="152">
        <v>19.356000000000002</v>
      </c>
      <c r="I1147" s="151" t="s">
        <v>85</v>
      </c>
      <c r="J1147" s="151" t="s">
        <v>90</v>
      </c>
      <c r="K1147" s="151">
        <v>7.2</v>
      </c>
      <c r="L1147" s="151">
        <v>1022.4</v>
      </c>
      <c r="M1147" s="151">
        <v>83</v>
      </c>
      <c r="N1147" s="151"/>
      <c r="O1147" s="96" t="str">
        <f>IFERROR(IF(Readings[[#This Row],[Obs. X]]="","-",Readings[[#This Row],[Obs. X]]-_xlfn.XLOOKUP(Readings[[#This Row],[Sensor ID]],Table_Baseline[Sensor ID],Table_Baseline[Easting '[m']],"-")),"-")</f>
        <v>-</v>
      </c>
      <c r="P1147" s="96" t="str">
        <f>IFERROR(IF(Readings[[#This Row],[Obs. Y]]="","-",Readings[[#This Row],[Obs. Y]]-_xlfn.XLOOKUP(Readings[[#This Row],[Sensor ID]],Table_Baseline[Sensor ID],Table_Baseline[Northing '[m']],"-")),"-")</f>
        <v>-</v>
      </c>
      <c r="Q1147" s="96" t="str">
        <f>IFERROR(IF(Readings[[#This Row],[Obs. Z]]="","-",Readings[[#This Row],[Obs. Z]]-_xlfn.XLOOKUP(Readings[[#This Row],[Sensor ID]],Table_Baseline[Sensor ID],Table_Baseline[Level '[m']],"-")),"-")</f>
        <v>-</v>
      </c>
      <c r="R1147" s="96" t="str">
        <f>IFERROR(IF(Readings[[#This Row],[Reference Angle]]="-","-",(Readings[[#This Row],[Diff E]]*COS(RADIANS(Readings[[#This Row],[Reference Angle]]))-Readings[[#This Row],[Diff N]]*SIN(RADIANS(Readings[[#This Row],[Reference Angle]])))),"-")</f>
        <v>-</v>
      </c>
      <c r="S1147" s="96" t="str">
        <f>IFERROR(IF(Readings[[#This Row],[Reference Angle]]="-","-",(Readings[[#This Row],[Diff E]]*SIN(RADIANS(Readings[[#This Row],[Reference Angle]]))+Readings[[#This Row],[Diff N]]*COS(RADIANS(Readings[[#This Row],[Reference Angle]])))),"-")</f>
        <v>-</v>
      </c>
      <c r="T1147" s="97" t="str">
        <f>IFERROR(VLOOKUP(Readings[[#This Row],[Sensor ID]],Table_Baseline[],COLUMNS(Table_Baseline[[#Headers],[Sensor ID]:[Reference Angle '[Deg']]]),FALSE),"-")</f>
        <v>-</v>
      </c>
      <c r="U1147" s="98" t="str">
        <f>Readings[[#This Row],[Sensor ID]]&amp;"-"&amp;Readings[[#This Row],[Epoch]]</f>
        <v>250-ST-OP-505-45867.2708333333</v>
      </c>
      <c r="V1147" s="100">
        <f ca="1">IF(Readings[[#This Row],[Epoch]]=OFFSET(Readings[[#This Row],[Epoch]],-1,0),0,1)</f>
        <v>0</v>
      </c>
    </row>
    <row r="1148" spans="4:22" x14ac:dyDescent="0.2">
      <c r="D1148" s="32">
        <v>45869.291666666664</v>
      </c>
      <c r="E1148" s="33" t="s">
        <v>172</v>
      </c>
      <c r="F1148" s="34">
        <v>60035.339</v>
      </c>
      <c r="G1148" s="34">
        <v>363845.73800000001</v>
      </c>
      <c r="H1148" s="34">
        <v>18.782</v>
      </c>
      <c r="I1148" s="33" t="s">
        <v>85</v>
      </c>
      <c r="J1148" s="33" t="s">
        <v>90</v>
      </c>
      <c r="K1148" s="33">
        <v>7.5</v>
      </c>
      <c r="L1148" s="33">
        <v>1017.1</v>
      </c>
      <c r="M1148" s="33">
        <v>79</v>
      </c>
      <c r="N1148" s="33"/>
      <c r="O1148" s="93">
        <f>IFERROR(IF(Readings[[#This Row],[Obs. X]]="","-",Readings[[#This Row],[Obs. X]]-_xlfn.XLOOKUP(Readings[[#This Row],[Sensor ID]],Table_Baseline[Sensor ID],Table_Baseline[Easting '[m']],"-")),"-")</f>
        <v>-9.9999999656574801E-4</v>
      </c>
      <c r="P1148" s="93">
        <f>IFERROR(IF(Readings[[#This Row],[Obs. Y]]="","-",Readings[[#This Row],[Obs. Y]]-_xlfn.XLOOKUP(Readings[[#This Row],[Sensor ID]],Table_Baseline[Sensor ID],Table_Baseline[Northing '[m']],"-")),"-")</f>
        <v>-9.9999998928979039E-4</v>
      </c>
      <c r="Q1148" s="93">
        <f>IFERROR(IF(Readings[[#This Row],[Obs. Z]]="","-",Readings[[#This Row],[Obs. Z]]-_xlfn.XLOOKUP(Readings[[#This Row],[Sensor ID]],Table_Baseline[Sensor ID],Table_Baseline[Level '[m']],"-")),"-")</f>
        <v>0</v>
      </c>
      <c r="R1148" s="93">
        <f>IFERROR(IF(Readings[[#This Row],[Reference Angle]]="-","-",(Readings[[#This Row],[Diff E]]*COS(RADIANS(Readings[[#This Row],[Reference Angle]]))-Readings[[#This Row],[Diff N]]*SIN(RADIANS(Readings[[#This Row],[Reference Angle]])))),"-")</f>
        <v>-9.9999999656574801E-4</v>
      </c>
      <c r="S1148" s="93">
        <f>IFERROR(IF(Readings[[#This Row],[Reference Angle]]="-","-",(Readings[[#This Row],[Diff E]]*SIN(RADIANS(Readings[[#This Row],[Reference Angle]]))+Readings[[#This Row],[Diff N]]*COS(RADIANS(Readings[[#This Row],[Reference Angle]])))),"-")</f>
        <v>-9.9999998928979039E-4</v>
      </c>
      <c r="T1148" s="94">
        <f>IFERROR(VLOOKUP(Readings[[#This Row],[Sensor ID]],Table_Baseline[],COLUMNS(Table_Baseline[[#Headers],[Sensor ID]:[Reference Angle '[Deg']]]),FALSE),"-")</f>
        <v>0</v>
      </c>
      <c r="U1148" s="95" t="str">
        <f>Readings[[#This Row],[Sensor ID]]&amp;"-"&amp;Readings[[#This Row],[Epoch]]</f>
        <v>250-RL-OP-11001-45869.2916666667</v>
      </c>
      <c r="V1148" s="99">
        <f ca="1">IF(Readings[[#This Row],[Epoch]]=OFFSET(Readings[[#This Row],[Epoch]],-1,0),0,1)</f>
        <v>1</v>
      </c>
    </row>
    <row r="1149" spans="4:22" x14ac:dyDescent="0.2">
      <c r="D1149" s="32">
        <v>45869.291666666664</v>
      </c>
      <c r="E1149" s="33" t="s">
        <v>171</v>
      </c>
      <c r="F1149" s="34">
        <v>60034.959000000003</v>
      </c>
      <c r="G1149" s="34">
        <v>363844.47100000002</v>
      </c>
      <c r="H1149" s="34">
        <v>18.777999999999999</v>
      </c>
      <c r="I1149" s="33" t="s">
        <v>85</v>
      </c>
      <c r="J1149" s="33" t="s">
        <v>90</v>
      </c>
      <c r="K1149" s="33">
        <v>7.5</v>
      </c>
      <c r="L1149" s="33">
        <v>1017.1</v>
      </c>
      <c r="M1149" s="33">
        <v>79</v>
      </c>
      <c r="N1149" s="33"/>
      <c r="O1149" s="93">
        <f>IFERROR(IF(Readings[[#This Row],[Obs. X]]="","-",Readings[[#This Row],[Obs. X]]-_xlfn.XLOOKUP(Readings[[#This Row],[Sensor ID]],Table_Baseline[Sensor ID],Table_Baseline[Easting '[m']],"-")),"-")</f>
        <v>0</v>
      </c>
      <c r="P1149" s="93">
        <f>IFERROR(IF(Readings[[#This Row],[Obs. Y]]="","-",Readings[[#This Row],[Obs. Y]]-_xlfn.XLOOKUP(Readings[[#This Row],[Sensor ID]],Table_Baseline[Sensor ID],Table_Baseline[Northing '[m']],"-")),"-")</f>
        <v>0</v>
      </c>
      <c r="Q1149" s="93">
        <f>IFERROR(IF(Readings[[#This Row],[Obs. Z]]="","-",Readings[[#This Row],[Obs. Z]]-_xlfn.XLOOKUP(Readings[[#This Row],[Sensor ID]],Table_Baseline[Sensor ID],Table_Baseline[Level '[m']],"-")),"-")</f>
        <v>-9.9999999999766942E-5</v>
      </c>
      <c r="R1149" s="93">
        <f>IFERROR(IF(Readings[[#This Row],[Reference Angle]]="-","-",(Readings[[#This Row],[Diff E]]*COS(RADIANS(Readings[[#This Row],[Reference Angle]]))-Readings[[#This Row],[Diff N]]*SIN(RADIANS(Readings[[#This Row],[Reference Angle]])))),"-")</f>
        <v>0</v>
      </c>
      <c r="S1149" s="93">
        <f>IFERROR(IF(Readings[[#This Row],[Reference Angle]]="-","-",(Readings[[#This Row],[Diff E]]*SIN(RADIANS(Readings[[#This Row],[Reference Angle]]))+Readings[[#This Row],[Diff N]]*COS(RADIANS(Readings[[#This Row],[Reference Angle]])))),"-")</f>
        <v>0</v>
      </c>
      <c r="T1149" s="94">
        <f>IFERROR(VLOOKUP(Readings[[#This Row],[Sensor ID]],Table_Baseline[],COLUMNS(Table_Baseline[[#Headers],[Sensor ID]:[Reference Angle '[Deg']]]),FALSE),"-")</f>
        <v>0</v>
      </c>
      <c r="U1149" s="95" t="str">
        <f>Readings[[#This Row],[Sensor ID]]&amp;"-"&amp;Readings[[#This Row],[Epoch]]</f>
        <v>250-RL-OP-11002-45869.2916666667</v>
      </c>
      <c r="V1149" s="99">
        <f ca="1">IF(Readings[[#This Row],[Epoch]]=OFFSET(Readings[[#This Row],[Epoch]],-1,0),0,1)</f>
        <v>0</v>
      </c>
    </row>
    <row r="1150" spans="4:22" x14ac:dyDescent="0.2">
      <c r="D1150" s="32">
        <v>45869.291666666664</v>
      </c>
      <c r="E1150" s="33" t="s">
        <v>174</v>
      </c>
      <c r="F1150" s="34">
        <v>60038.116999999998</v>
      </c>
      <c r="G1150" s="34">
        <v>363844.94500000001</v>
      </c>
      <c r="H1150" s="34">
        <v>18.777999999999999</v>
      </c>
      <c r="I1150" s="33" t="s">
        <v>85</v>
      </c>
      <c r="J1150" s="33" t="s">
        <v>90</v>
      </c>
      <c r="K1150" s="33">
        <v>7.5</v>
      </c>
      <c r="L1150" s="33">
        <v>1017.1</v>
      </c>
      <c r="M1150" s="33">
        <v>79</v>
      </c>
      <c r="N1150" s="33"/>
      <c r="O1150" s="93">
        <f>IFERROR(IF(Readings[[#This Row],[Obs. X]]="","-",Readings[[#This Row],[Obs. X]]-_xlfn.XLOOKUP(Readings[[#This Row],[Sensor ID]],Table_Baseline[Sensor ID],Table_Baseline[Easting '[m']],"-")),"-")</f>
        <v>-1.0000000038417056E-3</v>
      </c>
      <c r="P1150" s="93">
        <f>IFERROR(IF(Readings[[#This Row],[Obs. Y]]="","-",Readings[[#This Row],[Obs. Y]]-_xlfn.XLOOKUP(Readings[[#This Row],[Sensor ID]],Table_Baseline[Sensor ID],Table_Baseline[Northing '[m']],"-")),"-")</f>
        <v>0</v>
      </c>
      <c r="Q1150" s="93">
        <f>IFERROR(IF(Readings[[#This Row],[Obs. Z]]="","-",Readings[[#This Row],[Obs. Z]]-_xlfn.XLOOKUP(Readings[[#This Row],[Sensor ID]],Table_Baseline[Sensor ID],Table_Baseline[Level '[m']],"-")),"-")</f>
        <v>-8.0000000000168825E-4</v>
      </c>
      <c r="R1150" s="93">
        <f>IFERROR(IF(Readings[[#This Row],[Reference Angle]]="-","-",(Readings[[#This Row],[Diff E]]*COS(RADIANS(Readings[[#This Row],[Reference Angle]]))-Readings[[#This Row],[Diff N]]*SIN(RADIANS(Readings[[#This Row],[Reference Angle]])))),"-")</f>
        <v>-1.0000000038417056E-3</v>
      </c>
      <c r="S1150" s="93">
        <f>IFERROR(IF(Readings[[#This Row],[Reference Angle]]="-","-",(Readings[[#This Row],[Diff E]]*SIN(RADIANS(Readings[[#This Row],[Reference Angle]]))+Readings[[#This Row],[Diff N]]*COS(RADIANS(Readings[[#This Row],[Reference Angle]])))),"-")</f>
        <v>0</v>
      </c>
      <c r="T1150" s="94">
        <f>IFERROR(VLOOKUP(Readings[[#This Row],[Sensor ID]],Table_Baseline[],COLUMNS(Table_Baseline[[#Headers],[Sensor ID]:[Reference Angle '[Deg']]]),FALSE),"-")</f>
        <v>0</v>
      </c>
      <c r="U1150" s="95" t="str">
        <f>Readings[[#This Row],[Sensor ID]]&amp;"-"&amp;Readings[[#This Row],[Epoch]]</f>
        <v>250-RL-OP-11003-45869.2916666667</v>
      </c>
      <c r="V1150" s="99">
        <f ca="1">IF(Readings[[#This Row],[Epoch]]=OFFSET(Readings[[#This Row],[Epoch]],-1,0),0,1)</f>
        <v>0</v>
      </c>
    </row>
    <row r="1151" spans="4:22" x14ac:dyDescent="0.2">
      <c r="D1151" s="32">
        <v>45869.291666666664</v>
      </c>
      <c r="E1151" s="33" t="s">
        <v>173</v>
      </c>
      <c r="F1151" s="34">
        <v>60037.803999999996</v>
      </c>
      <c r="G1151" s="34">
        <v>363843.65700000001</v>
      </c>
      <c r="H1151" s="34">
        <v>18.777999999999999</v>
      </c>
      <c r="I1151" s="33" t="s">
        <v>85</v>
      </c>
      <c r="J1151" s="33" t="s">
        <v>90</v>
      </c>
      <c r="K1151" s="33">
        <v>7.5</v>
      </c>
      <c r="L1151" s="33">
        <v>1017.1</v>
      </c>
      <c r="M1151" s="33">
        <v>79</v>
      </c>
      <c r="N1151" s="33"/>
      <c r="O1151" s="93">
        <f>IFERROR(IF(Readings[[#This Row],[Obs. X]]="","-",Readings[[#This Row],[Obs. X]]-_xlfn.XLOOKUP(Readings[[#This Row],[Sensor ID]],Table_Baseline[Sensor ID],Table_Baseline[Easting '[m']],"-")),"-")</f>
        <v>-1.0000000038417056E-3</v>
      </c>
      <c r="P1151" s="93">
        <f>IFERROR(IF(Readings[[#This Row],[Obs. Y]]="","-",Readings[[#This Row],[Obs. Y]]-_xlfn.XLOOKUP(Readings[[#This Row],[Sensor ID]],Table_Baseline[Sensor ID],Table_Baseline[Northing '[m']],"-")),"-")</f>
        <v>0</v>
      </c>
      <c r="Q1151" s="93">
        <f>IFERROR(IF(Readings[[#This Row],[Obs. Z]]="","-",Readings[[#This Row],[Obs. Z]]-_xlfn.XLOOKUP(Readings[[#This Row],[Sensor ID]],Table_Baseline[Sensor ID],Table_Baseline[Level '[m']],"-")),"-")</f>
        <v>-5.0000000000238742E-4</v>
      </c>
      <c r="R1151" s="93">
        <f>IFERROR(IF(Readings[[#This Row],[Reference Angle]]="-","-",(Readings[[#This Row],[Diff E]]*COS(RADIANS(Readings[[#This Row],[Reference Angle]]))-Readings[[#This Row],[Diff N]]*SIN(RADIANS(Readings[[#This Row],[Reference Angle]])))),"-")</f>
        <v>-1.0000000038417056E-3</v>
      </c>
      <c r="S1151" s="93">
        <f>IFERROR(IF(Readings[[#This Row],[Reference Angle]]="-","-",(Readings[[#This Row],[Diff E]]*SIN(RADIANS(Readings[[#This Row],[Reference Angle]]))+Readings[[#This Row],[Diff N]]*COS(RADIANS(Readings[[#This Row],[Reference Angle]])))),"-")</f>
        <v>0</v>
      </c>
      <c r="T1151" s="94">
        <f>IFERROR(VLOOKUP(Readings[[#This Row],[Sensor ID]],Table_Baseline[],COLUMNS(Table_Baseline[[#Headers],[Sensor ID]:[Reference Angle '[Deg']]]),FALSE),"-")</f>
        <v>0</v>
      </c>
      <c r="U1151" s="95" t="str">
        <f>Readings[[#This Row],[Sensor ID]]&amp;"-"&amp;Readings[[#This Row],[Epoch]]</f>
        <v>250-RL-OP-11004-45869.2916666667</v>
      </c>
      <c r="V1151" s="99">
        <f ca="1">IF(Readings[[#This Row],[Epoch]]=OFFSET(Readings[[#This Row],[Epoch]],-1,0),0,1)</f>
        <v>0</v>
      </c>
    </row>
    <row r="1152" spans="4:22" x14ac:dyDescent="0.2">
      <c r="D1152" s="32">
        <v>45869.291666666664</v>
      </c>
      <c r="E1152" s="33" t="s">
        <v>176</v>
      </c>
      <c r="F1152" s="34">
        <v>60040.968000000001</v>
      </c>
      <c r="G1152" s="34">
        <v>363844.11800000002</v>
      </c>
      <c r="H1152" s="34">
        <v>18.779</v>
      </c>
      <c r="I1152" s="33" t="s">
        <v>85</v>
      </c>
      <c r="J1152" s="33" t="s">
        <v>90</v>
      </c>
      <c r="K1152" s="33">
        <v>7.5</v>
      </c>
      <c r="L1152" s="33">
        <v>1017.1</v>
      </c>
      <c r="M1152" s="33">
        <v>79</v>
      </c>
      <c r="N1152" s="33"/>
      <c r="O1152" s="93">
        <f>IFERROR(IF(Readings[[#This Row],[Obs. X]]="","-",Readings[[#This Row],[Obs. X]]-_xlfn.XLOOKUP(Readings[[#This Row],[Sensor ID]],Table_Baseline[Sensor ID],Table_Baseline[Easting '[m']],"-")),"-")</f>
        <v>-9.9999999656574801E-4</v>
      </c>
      <c r="P1152" s="93">
        <f>IFERROR(IF(Readings[[#This Row],[Obs. Y]]="","-",Readings[[#This Row],[Obs. Y]]-_xlfn.XLOOKUP(Readings[[#This Row],[Sensor ID]],Table_Baseline[Sensor ID],Table_Baseline[Northing '[m']],"-")),"-")</f>
        <v>0</v>
      </c>
      <c r="Q1152" s="93">
        <f>IFERROR(IF(Readings[[#This Row],[Obs. Z]]="","-",Readings[[#This Row],[Obs. Z]]-_xlfn.XLOOKUP(Readings[[#This Row],[Sensor ID]],Table_Baseline[Sensor ID],Table_Baseline[Level '[m']],"-")),"-")</f>
        <v>0</v>
      </c>
      <c r="R1152" s="93">
        <f>IFERROR(IF(Readings[[#This Row],[Reference Angle]]="-","-",(Readings[[#This Row],[Diff E]]*COS(RADIANS(Readings[[#This Row],[Reference Angle]]))-Readings[[#This Row],[Diff N]]*SIN(RADIANS(Readings[[#This Row],[Reference Angle]])))),"-")</f>
        <v>-9.9999999656574801E-4</v>
      </c>
      <c r="S1152" s="93">
        <f>IFERROR(IF(Readings[[#This Row],[Reference Angle]]="-","-",(Readings[[#This Row],[Diff E]]*SIN(RADIANS(Readings[[#This Row],[Reference Angle]]))+Readings[[#This Row],[Diff N]]*COS(RADIANS(Readings[[#This Row],[Reference Angle]])))),"-")</f>
        <v>0</v>
      </c>
      <c r="T1152" s="94">
        <f>IFERROR(VLOOKUP(Readings[[#This Row],[Sensor ID]],Table_Baseline[],COLUMNS(Table_Baseline[[#Headers],[Sensor ID]:[Reference Angle '[Deg']]]),FALSE),"-")</f>
        <v>0</v>
      </c>
      <c r="U1152" s="95" t="str">
        <f>Readings[[#This Row],[Sensor ID]]&amp;"-"&amp;Readings[[#This Row],[Epoch]]</f>
        <v>250-RL-OP-11005-45869.2916666667</v>
      </c>
      <c r="V1152" s="99">
        <f ca="1">IF(Readings[[#This Row],[Epoch]]=OFFSET(Readings[[#This Row],[Epoch]],-1,0),0,1)</f>
        <v>0</v>
      </c>
    </row>
    <row r="1153" spans="4:22" x14ac:dyDescent="0.2">
      <c r="D1153" s="32">
        <v>45869.291666666664</v>
      </c>
      <c r="E1153" s="33" t="s">
        <v>175</v>
      </c>
      <c r="F1153" s="34">
        <v>60040.606</v>
      </c>
      <c r="G1153" s="34">
        <v>363842.86199999996</v>
      </c>
      <c r="H1153" s="34">
        <v>18.771999999999998</v>
      </c>
      <c r="I1153" s="33" t="s">
        <v>85</v>
      </c>
      <c r="J1153" s="33" t="s">
        <v>90</v>
      </c>
      <c r="K1153" s="33">
        <v>7.5</v>
      </c>
      <c r="L1153" s="33">
        <v>1017.1</v>
      </c>
      <c r="M1153" s="33">
        <v>79</v>
      </c>
      <c r="N1153" s="33"/>
      <c r="O1153" s="93">
        <f>IFERROR(IF(Readings[[#This Row],[Obs. X]]="","-",Readings[[#This Row],[Obs. X]]-_xlfn.XLOOKUP(Readings[[#This Row],[Sensor ID]],Table_Baseline[Sensor ID],Table_Baseline[Easting '[m']],"-")),"-")</f>
        <v>-1.0000000038417056E-3</v>
      </c>
      <c r="P1153" s="93">
        <f>IFERROR(IF(Readings[[#This Row],[Obs. Y]]="","-",Readings[[#This Row],[Obs. Y]]-_xlfn.XLOOKUP(Readings[[#This Row],[Sensor ID]],Table_Baseline[Sensor ID],Table_Baseline[Northing '[m']],"-")),"-")</f>
        <v>9.9999993108212948E-4</v>
      </c>
      <c r="Q1153" s="93">
        <f>IFERROR(IF(Readings[[#This Row],[Obs. Z]]="","-",Readings[[#This Row],[Obs. Z]]-_xlfn.XLOOKUP(Readings[[#This Row],[Sensor ID]],Table_Baseline[Sensor ID],Table_Baseline[Level '[m']],"-")),"-")</f>
        <v>0</v>
      </c>
      <c r="R1153" s="93">
        <f>IFERROR(IF(Readings[[#This Row],[Reference Angle]]="-","-",(Readings[[#This Row],[Diff E]]*COS(RADIANS(Readings[[#This Row],[Reference Angle]]))-Readings[[#This Row],[Diff N]]*SIN(RADIANS(Readings[[#This Row],[Reference Angle]])))),"-")</f>
        <v>-1.0000000038417056E-3</v>
      </c>
      <c r="S1153" s="93">
        <f>IFERROR(IF(Readings[[#This Row],[Reference Angle]]="-","-",(Readings[[#This Row],[Diff E]]*SIN(RADIANS(Readings[[#This Row],[Reference Angle]]))+Readings[[#This Row],[Diff N]]*COS(RADIANS(Readings[[#This Row],[Reference Angle]])))),"-")</f>
        <v>9.9999993108212948E-4</v>
      </c>
      <c r="T1153" s="94">
        <f>IFERROR(VLOOKUP(Readings[[#This Row],[Sensor ID]],Table_Baseline[],COLUMNS(Table_Baseline[[#Headers],[Sensor ID]:[Reference Angle '[Deg']]]),FALSE),"-")</f>
        <v>0</v>
      </c>
      <c r="U1153" s="95" t="str">
        <f>Readings[[#This Row],[Sensor ID]]&amp;"-"&amp;Readings[[#This Row],[Epoch]]</f>
        <v>250-RL-OP-11006-45869.2916666667</v>
      </c>
      <c r="V1153" s="99">
        <f ca="1">IF(Readings[[#This Row],[Epoch]]=OFFSET(Readings[[#This Row],[Epoch]],-1,0),0,1)</f>
        <v>0</v>
      </c>
    </row>
    <row r="1154" spans="4:22" x14ac:dyDescent="0.2">
      <c r="D1154" s="32">
        <v>45869.291666666664</v>
      </c>
      <c r="E1154" s="33" t="s">
        <v>178</v>
      </c>
      <c r="F1154" s="34">
        <v>60043.758000000002</v>
      </c>
      <c r="G1154" s="34">
        <v>363843.31599999999</v>
      </c>
      <c r="H1154" s="34">
        <v>18.774000000000001</v>
      </c>
      <c r="I1154" s="33" t="s">
        <v>85</v>
      </c>
      <c r="J1154" s="33" t="s">
        <v>90</v>
      </c>
      <c r="K1154" s="33">
        <v>7.5</v>
      </c>
      <c r="L1154" s="33">
        <v>1017.1</v>
      </c>
      <c r="M1154" s="33">
        <v>79</v>
      </c>
      <c r="N1154" s="33"/>
      <c r="O1154" s="93">
        <f>IFERROR(IF(Readings[[#This Row],[Obs. X]]="","-",Readings[[#This Row],[Obs. X]]-_xlfn.XLOOKUP(Readings[[#This Row],[Sensor ID]],Table_Baseline[Sensor ID],Table_Baseline[Easting '[m']],"-")),"-")</f>
        <v>-9.9999999656574801E-4</v>
      </c>
      <c r="P1154" s="93">
        <f>IFERROR(IF(Readings[[#This Row],[Obs. Y]]="","-",Readings[[#This Row],[Obs. Y]]-_xlfn.XLOOKUP(Readings[[#This Row],[Sensor ID]],Table_Baseline[Sensor ID],Table_Baseline[Northing '[m']],"-")),"-")</f>
        <v>1.9999999785795808E-3</v>
      </c>
      <c r="Q1154" s="93">
        <f>IFERROR(IF(Readings[[#This Row],[Obs. Z]]="","-",Readings[[#This Row],[Obs. Z]]-_xlfn.XLOOKUP(Readings[[#This Row],[Sensor ID]],Table_Baseline[Sensor ID],Table_Baseline[Level '[m']],"-")),"-")</f>
        <v>-9.9999999999766942E-5</v>
      </c>
      <c r="R1154" s="93">
        <f>IFERROR(IF(Readings[[#This Row],[Reference Angle]]="-","-",(Readings[[#This Row],[Diff E]]*COS(RADIANS(Readings[[#This Row],[Reference Angle]]))-Readings[[#This Row],[Diff N]]*SIN(RADIANS(Readings[[#This Row],[Reference Angle]])))),"-")</f>
        <v>-9.9999999656574801E-4</v>
      </c>
      <c r="S1154" s="93">
        <f>IFERROR(IF(Readings[[#This Row],[Reference Angle]]="-","-",(Readings[[#This Row],[Diff E]]*SIN(RADIANS(Readings[[#This Row],[Reference Angle]]))+Readings[[#This Row],[Diff N]]*COS(RADIANS(Readings[[#This Row],[Reference Angle]])))),"-")</f>
        <v>1.9999999785795808E-3</v>
      </c>
      <c r="T1154" s="94">
        <f>IFERROR(VLOOKUP(Readings[[#This Row],[Sensor ID]],Table_Baseline[],COLUMNS(Table_Baseline[[#Headers],[Sensor ID]:[Reference Angle '[Deg']]]),FALSE),"-")</f>
        <v>0</v>
      </c>
      <c r="U1154" s="95" t="str">
        <f>Readings[[#This Row],[Sensor ID]]&amp;"-"&amp;Readings[[#This Row],[Epoch]]</f>
        <v>250-RL-OP-11007-45869.2916666667</v>
      </c>
      <c r="V1154" s="99">
        <f ca="1">IF(Readings[[#This Row],[Epoch]]=OFFSET(Readings[[#This Row],[Epoch]],-1,0),0,1)</f>
        <v>0</v>
      </c>
    </row>
    <row r="1155" spans="4:22" x14ac:dyDescent="0.2">
      <c r="D1155" s="32">
        <v>45869.291666666664</v>
      </c>
      <c r="E1155" s="33" t="s">
        <v>177</v>
      </c>
      <c r="F1155" s="34">
        <v>60043.440999999999</v>
      </c>
      <c r="G1155" s="34">
        <v>363842.04200000002</v>
      </c>
      <c r="H1155" s="34">
        <v>18.768000000000001</v>
      </c>
      <c r="I1155" s="33" t="s">
        <v>85</v>
      </c>
      <c r="J1155" s="33" t="s">
        <v>90</v>
      </c>
      <c r="K1155" s="33">
        <v>7.5</v>
      </c>
      <c r="L1155" s="33">
        <v>1017.1</v>
      </c>
      <c r="M1155" s="33">
        <v>79</v>
      </c>
      <c r="N1155" s="33"/>
      <c r="O1155" s="93">
        <f>IFERROR(IF(Readings[[#This Row],[Obs. X]]="","-",Readings[[#This Row],[Obs. X]]-_xlfn.XLOOKUP(Readings[[#This Row],[Sensor ID]],Table_Baseline[Sensor ID],Table_Baseline[Easting '[m']],"-")),"-")</f>
        <v>0</v>
      </c>
      <c r="P1155" s="93">
        <f>IFERROR(IF(Readings[[#This Row],[Obs. Y]]="","-",Readings[[#This Row],[Obs. Y]]-_xlfn.XLOOKUP(Readings[[#This Row],[Sensor ID]],Table_Baseline[Sensor ID],Table_Baseline[Northing '[m']],"-")),"-")</f>
        <v>1.9999999785795808E-3</v>
      </c>
      <c r="Q1155" s="93">
        <f>IFERROR(IF(Readings[[#This Row],[Obs. Z]]="","-",Readings[[#This Row],[Obs. Z]]-_xlfn.XLOOKUP(Readings[[#This Row],[Sensor ID]],Table_Baseline[Sensor ID],Table_Baseline[Level '[m']],"-")),"-")</f>
        <v>-2.9999999999930083E-4</v>
      </c>
      <c r="R1155" s="93">
        <f>IFERROR(IF(Readings[[#This Row],[Reference Angle]]="-","-",(Readings[[#This Row],[Diff E]]*COS(RADIANS(Readings[[#This Row],[Reference Angle]]))-Readings[[#This Row],[Diff N]]*SIN(RADIANS(Readings[[#This Row],[Reference Angle]])))),"-")</f>
        <v>0</v>
      </c>
      <c r="S1155" s="93">
        <f>IFERROR(IF(Readings[[#This Row],[Reference Angle]]="-","-",(Readings[[#This Row],[Diff E]]*SIN(RADIANS(Readings[[#This Row],[Reference Angle]]))+Readings[[#This Row],[Diff N]]*COS(RADIANS(Readings[[#This Row],[Reference Angle]])))),"-")</f>
        <v>1.9999999785795808E-3</v>
      </c>
      <c r="T1155" s="94">
        <f>IFERROR(VLOOKUP(Readings[[#This Row],[Sensor ID]],Table_Baseline[],COLUMNS(Table_Baseline[[#Headers],[Sensor ID]:[Reference Angle '[Deg']]]),FALSE),"-")</f>
        <v>0</v>
      </c>
      <c r="U1155" s="95" t="str">
        <f>Readings[[#This Row],[Sensor ID]]&amp;"-"&amp;Readings[[#This Row],[Epoch]]</f>
        <v>250-RL-OP-11008-45869.2916666667</v>
      </c>
      <c r="V1155" s="99">
        <f ca="1">IF(Readings[[#This Row],[Epoch]]=OFFSET(Readings[[#This Row],[Epoch]],-1,0),0,1)</f>
        <v>0</v>
      </c>
    </row>
    <row r="1156" spans="4:22" x14ac:dyDescent="0.2">
      <c r="D1156" s="32">
        <v>45869.291666666664</v>
      </c>
      <c r="E1156" s="33" t="s">
        <v>180</v>
      </c>
      <c r="F1156" s="34">
        <v>60046.633000000002</v>
      </c>
      <c r="G1156" s="34">
        <v>363842.48699999996</v>
      </c>
      <c r="H1156" s="34">
        <v>18.777000000000001</v>
      </c>
      <c r="I1156" s="33" t="s">
        <v>85</v>
      </c>
      <c r="J1156" s="33" t="s">
        <v>90</v>
      </c>
      <c r="K1156" s="33">
        <v>7.5</v>
      </c>
      <c r="L1156" s="33">
        <v>1017.1</v>
      </c>
      <c r="M1156" s="33">
        <v>79</v>
      </c>
      <c r="N1156" s="33"/>
      <c r="O1156" s="93">
        <f>IFERROR(IF(Readings[[#This Row],[Obs. X]]="","-",Readings[[#This Row],[Obs. X]]-_xlfn.XLOOKUP(Readings[[#This Row],[Sensor ID]],Table_Baseline[Sensor ID],Table_Baseline[Easting '[m']],"-")),"-")</f>
        <v>0</v>
      </c>
      <c r="P1156" s="93">
        <f>IFERROR(IF(Readings[[#This Row],[Obs. Y]]="","-",Readings[[#This Row],[Obs. Y]]-_xlfn.XLOOKUP(Readings[[#This Row],[Sensor ID]],Table_Baseline[Sensor ID],Table_Baseline[Northing '[m']],"-")),"-")</f>
        <v>1.9999999785795808E-3</v>
      </c>
      <c r="Q1156" s="93">
        <f>IFERROR(IF(Readings[[#This Row],[Obs. Z]]="","-",Readings[[#This Row],[Obs. Z]]-_xlfn.XLOOKUP(Readings[[#This Row],[Sensor ID]],Table_Baseline[Sensor ID],Table_Baseline[Level '[m']],"-")),"-")</f>
        <v>-5.9999999999860165E-4</v>
      </c>
      <c r="R1156" s="93">
        <f>IFERROR(IF(Readings[[#This Row],[Reference Angle]]="-","-",(Readings[[#This Row],[Diff E]]*COS(RADIANS(Readings[[#This Row],[Reference Angle]]))-Readings[[#This Row],[Diff N]]*SIN(RADIANS(Readings[[#This Row],[Reference Angle]])))),"-")</f>
        <v>0</v>
      </c>
      <c r="S1156" s="93">
        <f>IFERROR(IF(Readings[[#This Row],[Reference Angle]]="-","-",(Readings[[#This Row],[Diff E]]*SIN(RADIANS(Readings[[#This Row],[Reference Angle]]))+Readings[[#This Row],[Diff N]]*COS(RADIANS(Readings[[#This Row],[Reference Angle]])))),"-")</f>
        <v>1.9999999785795808E-3</v>
      </c>
      <c r="T1156" s="94">
        <f>IFERROR(VLOOKUP(Readings[[#This Row],[Sensor ID]],Table_Baseline[],COLUMNS(Table_Baseline[[#Headers],[Sensor ID]:[Reference Angle '[Deg']]]),FALSE),"-")</f>
        <v>0</v>
      </c>
      <c r="U1156" s="95" t="str">
        <f>Readings[[#This Row],[Sensor ID]]&amp;"-"&amp;Readings[[#This Row],[Epoch]]</f>
        <v>250-RL-OP-11009-45869.2916666667</v>
      </c>
      <c r="V1156" s="99">
        <f ca="1">IF(Readings[[#This Row],[Epoch]]=OFFSET(Readings[[#This Row],[Epoch]],-1,0),0,1)</f>
        <v>0</v>
      </c>
    </row>
    <row r="1157" spans="4:22" x14ac:dyDescent="0.2">
      <c r="D1157" s="32">
        <v>45869.291666666664</v>
      </c>
      <c r="E1157" s="33" t="s">
        <v>179</v>
      </c>
      <c r="F1157" s="34">
        <v>60046.249000000003</v>
      </c>
      <c r="G1157" s="34">
        <v>363841.228</v>
      </c>
      <c r="H1157" s="34">
        <v>18.77</v>
      </c>
      <c r="I1157" s="33" t="s">
        <v>85</v>
      </c>
      <c r="J1157" s="33" t="s">
        <v>90</v>
      </c>
      <c r="K1157" s="33">
        <v>7.5</v>
      </c>
      <c r="L1157" s="33">
        <v>1017.1</v>
      </c>
      <c r="M1157" s="33">
        <v>79</v>
      </c>
      <c r="N1157" s="33"/>
      <c r="O1157" s="93">
        <f>IFERROR(IF(Readings[[#This Row],[Obs. X]]="","-",Readings[[#This Row],[Obs. X]]-_xlfn.XLOOKUP(Readings[[#This Row],[Sensor ID]],Table_Baseline[Sensor ID],Table_Baseline[Easting '[m']],"-")),"-")</f>
        <v>-9.9999999656574801E-4</v>
      </c>
      <c r="P1157" s="93">
        <f>IFERROR(IF(Readings[[#This Row],[Obs. Y]]="","-",Readings[[#This Row],[Obs. Y]]-_xlfn.XLOOKUP(Readings[[#This Row],[Sensor ID]],Table_Baseline[Sensor ID],Table_Baseline[Northing '[m']],"-")),"-")</f>
        <v>1.9999999785795808E-3</v>
      </c>
      <c r="Q1157" s="93">
        <f>IFERROR(IF(Readings[[#This Row],[Obs. Z]]="","-",Readings[[#This Row],[Obs. Z]]-_xlfn.XLOOKUP(Readings[[#This Row],[Sensor ID]],Table_Baseline[Sensor ID],Table_Baseline[Level '[m']],"-")),"-")</f>
        <v>1.9999999999953388E-4</v>
      </c>
      <c r="R1157" s="93">
        <f>IFERROR(IF(Readings[[#This Row],[Reference Angle]]="-","-",(Readings[[#This Row],[Diff E]]*COS(RADIANS(Readings[[#This Row],[Reference Angle]]))-Readings[[#This Row],[Diff N]]*SIN(RADIANS(Readings[[#This Row],[Reference Angle]])))),"-")</f>
        <v>-9.9999999656574801E-4</v>
      </c>
      <c r="S1157" s="93">
        <f>IFERROR(IF(Readings[[#This Row],[Reference Angle]]="-","-",(Readings[[#This Row],[Diff E]]*SIN(RADIANS(Readings[[#This Row],[Reference Angle]]))+Readings[[#This Row],[Diff N]]*COS(RADIANS(Readings[[#This Row],[Reference Angle]])))),"-")</f>
        <v>1.9999999785795808E-3</v>
      </c>
      <c r="T1157" s="94">
        <f>IFERROR(VLOOKUP(Readings[[#This Row],[Sensor ID]],Table_Baseline[],COLUMNS(Table_Baseline[[#Headers],[Sensor ID]:[Reference Angle '[Deg']]]),FALSE),"-")</f>
        <v>0</v>
      </c>
      <c r="U1157" s="95" t="str">
        <f>Readings[[#This Row],[Sensor ID]]&amp;"-"&amp;Readings[[#This Row],[Epoch]]</f>
        <v>250-RL-OP-11010-45869.2916666667</v>
      </c>
      <c r="V1157" s="99">
        <f ca="1">IF(Readings[[#This Row],[Epoch]]=OFFSET(Readings[[#This Row],[Epoch]],-1,0),0,1)</f>
        <v>0</v>
      </c>
    </row>
    <row r="1158" spans="4:22" x14ac:dyDescent="0.2">
      <c r="D1158" s="32">
        <v>45869.291666666664</v>
      </c>
      <c r="E1158" s="33" t="s">
        <v>182</v>
      </c>
      <c r="F1158" s="34">
        <v>60049.398999999998</v>
      </c>
      <c r="G1158" s="34">
        <v>363841.7</v>
      </c>
      <c r="H1158" s="34">
        <v>18.777999999999999</v>
      </c>
      <c r="I1158" s="33" t="s">
        <v>85</v>
      </c>
      <c r="J1158" s="33" t="s">
        <v>90</v>
      </c>
      <c r="K1158" s="33">
        <v>7.5</v>
      </c>
      <c r="L1158" s="33">
        <v>1017.1</v>
      </c>
      <c r="M1158" s="33">
        <v>79</v>
      </c>
      <c r="N1158" s="33"/>
      <c r="O1158" s="93">
        <f>IFERROR(IF(Readings[[#This Row],[Obs. X]]="","-",Readings[[#This Row],[Obs. X]]-_xlfn.XLOOKUP(Readings[[#This Row],[Sensor ID]],Table_Baseline[Sensor ID],Table_Baseline[Easting '[m']],"-")),"-")</f>
        <v>0</v>
      </c>
      <c r="P1158" s="93">
        <f>IFERROR(IF(Readings[[#This Row],[Obs. Y]]="","-",Readings[[#This Row],[Obs. Y]]-_xlfn.XLOOKUP(Readings[[#This Row],[Sensor ID]],Table_Baseline[Sensor ID],Table_Baseline[Northing '[m']],"-")),"-")</f>
        <v>2.0000000367872417E-3</v>
      </c>
      <c r="Q1158" s="93">
        <f>IFERROR(IF(Readings[[#This Row],[Obs. Z]]="","-",Readings[[#This Row],[Obs. Z]]-_xlfn.XLOOKUP(Readings[[#This Row],[Sensor ID]],Table_Baseline[Sensor ID],Table_Baseline[Level '[m']],"-")),"-")</f>
        <v>0</v>
      </c>
      <c r="R1158" s="93">
        <f>IFERROR(IF(Readings[[#This Row],[Reference Angle]]="-","-",(Readings[[#This Row],[Diff E]]*COS(RADIANS(Readings[[#This Row],[Reference Angle]]))-Readings[[#This Row],[Diff N]]*SIN(RADIANS(Readings[[#This Row],[Reference Angle]])))),"-")</f>
        <v>0</v>
      </c>
      <c r="S1158" s="93">
        <f>IFERROR(IF(Readings[[#This Row],[Reference Angle]]="-","-",(Readings[[#This Row],[Diff E]]*SIN(RADIANS(Readings[[#This Row],[Reference Angle]]))+Readings[[#This Row],[Diff N]]*COS(RADIANS(Readings[[#This Row],[Reference Angle]])))),"-")</f>
        <v>2.0000000367872417E-3</v>
      </c>
      <c r="T1158" s="94">
        <f>IFERROR(VLOOKUP(Readings[[#This Row],[Sensor ID]],Table_Baseline[],COLUMNS(Table_Baseline[[#Headers],[Sensor ID]:[Reference Angle '[Deg']]]),FALSE),"-")</f>
        <v>0</v>
      </c>
      <c r="U1158" s="95" t="str">
        <f>Readings[[#This Row],[Sensor ID]]&amp;"-"&amp;Readings[[#This Row],[Epoch]]</f>
        <v>250-RL-OP-11011-45869.2916666667</v>
      </c>
      <c r="V1158" s="99">
        <f ca="1">IF(Readings[[#This Row],[Epoch]]=OFFSET(Readings[[#This Row],[Epoch]],-1,0),0,1)</f>
        <v>0</v>
      </c>
    </row>
    <row r="1159" spans="4:22" x14ac:dyDescent="0.2">
      <c r="D1159" s="32">
        <v>45869.291666666664</v>
      </c>
      <c r="E1159" s="33" t="s">
        <v>181</v>
      </c>
      <c r="F1159" s="34">
        <v>60049.040999999997</v>
      </c>
      <c r="G1159" s="34">
        <v>363840.43700000003</v>
      </c>
      <c r="H1159" s="34">
        <v>18.771000000000001</v>
      </c>
      <c r="I1159" s="33" t="s">
        <v>85</v>
      </c>
      <c r="J1159" s="33" t="s">
        <v>90</v>
      </c>
      <c r="K1159" s="33">
        <v>7.5</v>
      </c>
      <c r="L1159" s="33">
        <v>1017.1</v>
      </c>
      <c r="M1159" s="33">
        <v>79</v>
      </c>
      <c r="N1159" s="33"/>
      <c r="O1159" s="93">
        <f>IFERROR(IF(Readings[[#This Row],[Obs. X]]="","-",Readings[[#This Row],[Obs. X]]-_xlfn.XLOOKUP(Readings[[#This Row],[Sensor ID]],Table_Baseline[Sensor ID],Table_Baseline[Easting '[m']],"-")),"-")</f>
        <v>0</v>
      </c>
      <c r="P1159" s="93">
        <f>IFERROR(IF(Readings[[#This Row],[Obs. Y]]="","-",Readings[[#This Row],[Obs. Y]]-_xlfn.XLOOKUP(Readings[[#This Row],[Sensor ID]],Table_Baseline[Sensor ID],Table_Baseline[Northing '[m']],"-")),"-")</f>
        <v>4.0000000735744834E-3</v>
      </c>
      <c r="Q1159" s="93">
        <f>IFERROR(IF(Readings[[#This Row],[Obs. Z]]="","-",Readings[[#This Row],[Obs. Z]]-_xlfn.XLOOKUP(Readings[[#This Row],[Sensor ID]],Table_Baseline[Sensor ID],Table_Baseline[Level '[m']],"-")),"-")</f>
        <v>-9.9999999999766942E-5</v>
      </c>
      <c r="R1159" s="93">
        <f>IFERROR(IF(Readings[[#This Row],[Reference Angle]]="-","-",(Readings[[#This Row],[Diff E]]*COS(RADIANS(Readings[[#This Row],[Reference Angle]]))-Readings[[#This Row],[Diff N]]*SIN(RADIANS(Readings[[#This Row],[Reference Angle]])))),"-")</f>
        <v>0</v>
      </c>
      <c r="S1159" s="93">
        <f>IFERROR(IF(Readings[[#This Row],[Reference Angle]]="-","-",(Readings[[#This Row],[Diff E]]*SIN(RADIANS(Readings[[#This Row],[Reference Angle]]))+Readings[[#This Row],[Diff N]]*COS(RADIANS(Readings[[#This Row],[Reference Angle]])))),"-")</f>
        <v>4.0000000735744834E-3</v>
      </c>
      <c r="T1159" s="94">
        <f>IFERROR(VLOOKUP(Readings[[#This Row],[Sensor ID]],Table_Baseline[],COLUMNS(Table_Baseline[[#Headers],[Sensor ID]:[Reference Angle '[Deg']]]),FALSE),"-")</f>
        <v>0</v>
      </c>
      <c r="U1159" s="95" t="str">
        <f>Readings[[#This Row],[Sensor ID]]&amp;"-"&amp;Readings[[#This Row],[Epoch]]</f>
        <v>250-RL-OP-11012-45869.2916666667</v>
      </c>
      <c r="V1159" s="99">
        <f ca="1">IF(Readings[[#This Row],[Epoch]]=OFFSET(Readings[[#This Row],[Epoch]],-1,0),0,1)</f>
        <v>0</v>
      </c>
    </row>
    <row r="1160" spans="4:22" x14ac:dyDescent="0.2">
      <c r="D1160" s="32">
        <v>45869.291666666664</v>
      </c>
      <c r="E1160" s="33" t="s">
        <v>184</v>
      </c>
      <c r="F1160" s="34">
        <v>60052.292999999998</v>
      </c>
      <c r="G1160" s="34">
        <v>363840.88899999997</v>
      </c>
      <c r="H1160" s="34">
        <v>18.777999999999999</v>
      </c>
      <c r="I1160" s="33" t="s">
        <v>85</v>
      </c>
      <c r="J1160" s="33" t="s">
        <v>90</v>
      </c>
      <c r="K1160" s="33">
        <v>7.5</v>
      </c>
      <c r="L1160" s="33">
        <v>1017.1</v>
      </c>
      <c r="M1160" s="33">
        <v>79</v>
      </c>
      <c r="N1160" s="33"/>
      <c r="O1160" s="93">
        <f>IFERROR(IF(Readings[[#This Row],[Obs. X]]="","-",Readings[[#This Row],[Obs. X]]-_xlfn.XLOOKUP(Readings[[#This Row],[Sensor ID]],Table_Baseline[Sensor ID],Table_Baseline[Easting '[m']],"-")),"-")</f>
        <v>0</v>
      </c>
      <c r="P1160" s="93">
        <f>IFERROR(IF(Readings[[#This Row],[Obs. Y]]="","-",Readings[[#This Row],[Obs. Y]]-_xlfn.XLOOKUP(Readings[[#This Row],[Sensor ID]],Table_Baseline[Sensor ID],Table_Baseline[Northing '[m']],"-")),"-")</f>
        <v>3.9999999571591616E-3</v>
      </c>
      <c r="Q1160" s="93">
        <f>IFERROR(IF(Readings[[#This Row],[Obs. Z]]="","-",Readings[[#This Row],[Obs. Z]]-_xlfn.XLOOKUP(Readings[[#This Row],[Sensor ID]],Table_Baseline[Sensor ID],Table_Baseline[Level '[m']],"-")),"-")</f>
        <v>-1.0000000000012221E-3</v>
      </c>
      <c r="R1160" s="93">
        <f>IFERROR(IF(Readings[[#This Row],[Reference Angle]]="-","-",(Readings[[#This Row],[Diff E]]*COS(RADIANS(Readings[[#This Row],[Reference Angle]]))-Readings[[#This Row],[Diff N]]*SIN(RADIANS(Readings[[#This Row],[Reference Angle]])))),"-")</f>
        <v>0</v>
      </c>
      <c r="S1160" s="93">
        <f>IFERROR(IF(Readings[[#This Row],[Reference Angle]]="-","-",(Readings[[#This Row],[Diff E]]*SIN(RADIANS(Readings[[#This Row],[Reference Angle]]))+Readings[[#This Row],[Diff N]]*COS(RADIANS(Readings[[#This Row],[Reference Angle]])))),"-")</f>
        <v>3.9999999571591616E-3</v>
      </c>
      <c r="T1160" s="94">
        <f>IFERROR(VLOOKUP(Readings[[#This Row],[Sensor ID]],Table_Baseline[],COLUMNS(Table_Baseline[[#Headers],[Sensor ID]:[Reference Angle '[Deg']]]),FALSE),"-")</f>
        <v>0</v>
      </c>
      <c r="U1160" s="95" t="str">
        <f>Readings[[#This Row],[Sensor ID]]&amp;"-"&amp;Readings[[#This Row],[Epoch]]</f>
        <v>250-RL-OP-11013-45869.2916666667</v>
      </c>
      <c r="V1160" s="99">
        <f ca="1">IF(Readings[[#This Row],[Epoch]]=OFFSET(Readings[[#This Row],[Epoch]],-1,0),0,1)</f>
        <v>0</v>
      </c>
    </row>
    <row r="1161" spans="4:22" x14ac:dyDescent="0.2">
      <c r="D1161" s="32">
        <v>45869.291666666664</v>
      </c>
      <c r="E1161" s="33" t="s">
        <v>183</v>
      </c>
      <c r="F1161" s="34">
        <v>60051.989000000001</v>
      </c>
      <c r="G1161" s="34">
        <v>363839.60699999996</v>
      </c>
      <c r="H1161" s="34">
        <v>18.768999999999998</v>
      </c>
      <c r="I1161" s="33" t="s">
        <v>85</v>
      </c>
      <c r="J1161" s="33" t="s">
        <v>90</v>
      </c>
      <c r="K1161" s="33">
        <v>7.5</v>
      </c>
      <c r="L1161" s="33">
        <v>1017.1</v>
      </c>
      <c r="M1161" s="33">
        <v>79</v>
      </c>
      <c r="N1161" s="33"/>
      <c r="O1161" s="93">
        <f>IFERROR(IF(Readings[[#This Row],[Obs. X]]="","-",Readings[[#This Row],[Obs. X]]-_xlfn.XLOOKUP(Readings[[#This Row],[Sensor ID]],Table_Baseline[Sensor ID],Table_Baseline[Easting '[m']],"-")),"-")</f>
        <v>0</v>
      </c>
      <c r="P1161" s="93">
        <f>IFERROR(IF(Readings[[#This Row],[Obs. Y]]="","-",Readings[[#This Row],[Obs. Y]]-_xlfn.XLOOKUP(Readings[[#This Row],[Sensor ID]],Table_Baseline[Sensor ID],Table_Baseline[Northing '[m']],"-")),"-")</f>
        <v>3.9999999571591616E-3</v>
      </c>
      <c r="Q1161" s="93">
        <f>IFERROR(IF(Readings[[#This Row],[Obs. Z]]="","-",Readings[[#This Row],[Obs. Z]]-_xlfn.XLOOKUP(Readings[[#This Row],[Sensor ID]],Table_Baseline[Sensor ID],Table_Baseline[Level '[m']],"-")),"-")</f>
        <v>-1.1000000000009891E-3</v>
      </c>
      <c r="R1161" s="93">
        <f>IFERROR(IF(Readings[[#This Row],[Reference Angle]]="-","-",(Readings[[#This Row],[Diff E]]*COS(RADIANS(Readings[[#This Row],[Reference Angle]]))-Readings[[#This Row],[Diff N]]*SIN(RADIANS(Readings[[#This Row],[Reference Angle]])))),"-")</f>
        <v>0</v>
      </c>
      <c r="S1161" s="93">
        <f>IFERROR(IF(Readings[[#This Row],[Reference Angle]]="-","-",(Readings[[#This Row],[Diff E]]*SIN(RADIANS(Readings[[#This Row],[Reference Angle]]))+Readings[[#This Row],[Diff N]]*COS(RADIANS(Readings[[#This Row],[Reference Angle]])))),"-")</f>
        <v>3.9999999571591616E-3</v>
      </c>
      <c r="T1161" s="94">
        <f>IFERROR(VLOOKUP(Readings[[#This Row],[Sensor ID]],Table_Baseline[],COLUMNS(Table_Baseline[[#Headers],[Sensor ID]:[Reference Angle '[Deg']]]),FALSE),"-")</f>
        <v>0</v>
      </c>
      <c r="U1161" s="95" t="str">
        <f>Readings[[#This Row],[Sensor ID]]&amp;"-"&amp;Readings[[#This Row],[Epoch]]</f>
        <v>250-RL-OP-11014-45869.2916666667</v>
      </c>
      <c r="V1161" s="99">
        <f ca="1">IF(Readings[[#This Row],[Epoch]]=OFFSET(Readings[[#This Row],[Epoch]],-1,0),0,1)</f>
        <v>0</v>
      </c>
    </row>
    <row r="1162" spans="4:22" x14ac:dyDescent="0.2">
      <c r="D1162" s="32">
        <v>45869.291666666664</v>
      </c>
      <c r="E1162" s="33" t="s">
        <v>186</v>
      </c>
      <c r="F1162" s="34">
        <v>60055.196000000004</v>
      </c>
      <c r="G1162" s="34">
        <v>363840.09899999999</v>
      </c>
      <c r="H1162" s="34">
        <v>18.78</v>
      </c>
      <c r="I1162" s="33" t="s">
        <v>85</v>
      </c>
      <c r="J1162" s="33" t="s">
        <v>90</v>
      </c>
      <c r="K1162" s="33">
        <v>7.5</v>
      </c>
      <c r="L1162" s="33">
        <v>1017.1</v>
      </c>
      <c r="M1162" s="33">
        <v>79</v>
      </c>
      <c r="N1162" s="33"/>
      <c r="O1162" s="93">
        <f>IFERROR(IF(Readings[[#This Row],[Obs. X]]="","-",Readings[[#This Row],[Obs. X]]-_xlfn.XLOOKUP(Readings[[#This Row],[Sensor ID]],Table_Baseline[Sensor ID],Table_Baseline[Easting '[m']],"-")),"-")</f>
        <v>0</v>
      </c>
      <c r="P1162" s="93">
        <f>IFERROR(IF(Readings[[#This Row],[Obs. Y]]="","-",Readings[[#This Row],[Obs. Y]]-_xlfn.XLOOKUP(Readings[[#This Row],[Sensor ID]],Table_Baseline[Sensor ID],Table_Baseline[Northing '[m']],"-")),"-")</f>
        <v>4.0000000153668225E-3</v>
      </c>
      <c r="Q1162" s="93">
        <f>IFERROR(IF(Readings[[#This Row],[Obs. Z]]="","-",Readings[[#This Row],[Obs. Z]]-_xlfn.XLOOKUP(Readings[[#This Row],[Sensor ID]],Table_Baseline[Sensor ID],Table_Baseline[Level '[m']],"-")),"-")</f>
        <v>-8.9999999999790248E-4</v>
      </c>
      <c r="R1162" s="93">
        <f>IFERROR(IF(Readings[[#This Row],[Reference Angle]]="-","-",(Readings[[#This Row],[Diff E]]*COS(RADIANS(Readings[[#This Row],[Reference Angle]]))-Readings[[#This Row],[Diff N]]*SIN(RADIANS(Readings[[#This Row],[Reference Angle]])))),"-")</f>
        <v>0</v>
      </c>
      <c r="S1162" s="93">
        <f>IFERROR(IF(Readings[[#This Row],[Reference Angle]]="-","-",(Readings[[#This Row],[Diff E]]*SIN(RADIANS(Readings[[#This Row],[Reference Angle]]))+Readings[[#This Row],[Diff N]]*COS(RADIANS(Readings[[#This Row],[Reference Angle]])))),"-")</f>
        <v>4.0000000153668225E-3</v>
      </c>
      <c r="T1162" s="94">
        <f>IFERROR(VLOOKUP(Readings[[#This Row],[Sensor ID]],Table_Baseline[],COLUMNS(Table_Baseline[[#Headers],[Sensor ID]:[Reference Angle '[Deg']]]),FALSE),"-")</f>
        <v>0</v>
      </c>
      <c r="U1162" s="95" t="str">
        <f>Readings[[#This Row],[Sensor ID]]&amp;"-"&amp;Readings[[#This Row],[Epoch]]</f>
        <v>250-RL-OP-11015-45869.2916666667</v>
      </c>
      <c r="V1162" s="99">
        <f ca="1">IF(Readings[[#This Row],[Epoch]]=OFFSET(Readings[[#This Row],[Epoch]],-1,0),0,1)</f>
        <v>0</v>
      </c>
    </row>
    <row r="1163" spans="4:22" x14ac:dyDescent="0.2">
      <c r="D1163" s="32">
        <v>45869.291666666664</v>
      </c>
      <c r="E1163" s="33" t="s">
        <v>185</v>
      </c>
      <c r="F1163" s="34">
        <v>60054.885000000002</v>
      </c>
      <c r="G1163" s="34">
        <v>363838.80900000001</v>
      </c>
      <c r="H1163" s="34">
        <v>18.771999999999998</v>
      </c>
      <c r="I1163" s="33" t="s">
        <v>85</v>
      </c>
      <c r="J1163" s="33" t="s">
        <v>90</v>
      </c>
      <c r="K1163" s="33">
        <v>7.5</v>
      </c>
      <c r="L1163" s="33">
        <v>1017.1</v>
      </c>
      <c r="M1163" s="33">
        <v>79</v>
      </c>
      <c r="N1163" s="33"/>
      <c r="O1163" s="93">
        <f>IFERROR(IF(Readings[[#This Row],[Obs. X]]="","-",Readings[[#This Row],[Obs. X]]-_xlfn.XLOOKUP(Readings[[#This Row],[Sensor ID]],Table_Baseline[Sensor ID],Table_Baseline[Easting '[m']],"-")),"-")</f>
        <v>-9.9999999656574801E-4</v>
      </c>
      <c r="P1163" s="93">
        <f>IFERROR(IF(Readings[[#This Row],[Obs. Y]]="","-",Readings[[#This Row],[Obs. Y]]-_xlfn.XLOOKUP(Readings[[#This Row],[Sensor ID]],Table_Baseline[Sensor ID],Table_Baseline[Northing '[m']],"-")),"-")</f>
        <v>4.0000000153668225E-3</v>
      </c>
      <c r="Q1163" s="93">
        <f>IFERROR(IF(Readings[[#This Row],[Obs. Z]]="","-",Readings[[#This Row],[Obs. Z]]-_xlfn.XLOOKUP(Readings[[#This Row],[Sensor ID]],Table_Baseline[Sensor ID],Table_Baseline[Level '[m']],"-")),"-")</f>
        <v>-1.1000000000009891E-3</v>
      </c>
      <c r="R1163" s="93">
        <f>IFERROR(IF(Readings[[#This Row],[Reference Angle]]="-","-",(Readings[[#This Row],[Diff E]]*COS(RADIANS(Readings[[#This Row],[Reference Angle]]))-Readings[[#This Row],[Diff N]]*SIN(RADIANS(Readings[[#This Row],[Reference Angle]])))),"-")</f>
        <v>-9.9999999656574801E-4</v>
      </c>
      <c r="S1163" s="93">
        <f>IFERROR(IF(Readings[[#This Row],[Reference Angle]]="-","-",(Readings[[#This Row],[Diff E]]*SIN(RADIANS(Readings[[#This Row],[Reference Angle]]))+Readings[[#This Row],[Diff N]]*COS(RADIANS(Readings[[#This Row],[Reference Angle]])))),"-")</f>
        <v>4.0000000153668225E-3</v>
      </c>
      <c r="T1163" s="94">
        <f>IFERROR(VLOOKUP(Readings[[#This Row],[Sensor ID]],Table_Baseline[],COLUMNS(Table_Baseline[[#Headers],[Sensor ID]:[Reference Angle '[Deg']]]),FALSE),"-")</f>
        <v>0</v>
      </c>
      <c r="U1163" s="95" t="str">
        <f>Readings[[#This Row],[Sensor ID]]&amp;"-"&amp;Readings[[#This Row],[Epoch]]</f>
        <v>250-RL-OP-11016-45869.2916666667</v>
      </c>
      <c r="V1163" s="99">
        <f ca="1">IF(Readings[[#This Row],[Epoch]]=OFFSET(Readings[[#This Row],[Epoch]],-1,0),0,1)</f>
        <v>0</v>
      </c>
    </row>
    <row r="1164" spans="4:22" x14ac:dyDescent="0.2">
      <c r="D1164" s="32">
        <v>45869.291666666664</v>
      </c>
      <c r="E1164" s="33" t="s">
        <v>188</v>
      </c>
      <c r="F1164" s="34">
        <v>60057.951999999997</v>
      </c>
      <c r="G1164" s="34">
        <v>363839.36699999997</v>
      </c>
      <c r="H1164" s="34">
        <v>18.785</v>
      </c>
      <c r="I1164" s="33" t="s">
        <v>85</v>
      </c>
      <c r="J1164" s="33" t="s">
        <v>90</v>
      </c>
      <c r="K1164" s="33">
        <v>7.5</v>
      </c>
      <c r="L1164" s="33">
        <v>1017.1</v>
      </c>
      <c r="M1164" s="33">
        <v>79</v>
      </c>
      <c r="N1164" s="33"/>
      <c r="O1164" s="93">
        <f>IFERROR(IF(Readings[[#This Row],[Obs. X]]="","-",Readings[[#This Row],[Obs. X]]-_xlfn.XLOOKUP(Readings[[#This Row],[Sensor ID]],Table_Baseline[Sensor ID],Table_Baseline[Easting '[m']],"-")),"-")</f>
        <v>0</v>
      </c>
      <c r="P1164" s="93">
        <f>IFERROR(IF(Readings[[#This Row],[Obs. Y]]="","-",Readings[[#This Row],[Obs. Y]]-_xlfn.XLOOKUP(Readings[[#This Row],[Sensor ID]],Table_Baseline[Sensor ID],Table_Baseline[Northing '[m']],"-")),"-")</f>
        <v>5.0000000046566129E-3</v>
      </c>
      <c r="Q1164" s="93">
        <f>IFERROR(IF(Readings[[#This Row],[Obs. Z]]="","-",Readings[[#This Row],[Obs. Z]]-_xlfn.XLOOKUP(Readings[[#This Row],[Sensor ID]],Table_Baseline[Sensor ID],Table_Baseline[Level '[m']],"-")),"-")</f>
        <v>-1.0000000000012221E-3</v>
      </c>
      <c r="R1164" s="93">
        <f>IFERROR(IF(Readings[[#This Row],[Reference Angle]]="-","-",(Readings[[#This Row],[Diff E]]*COS(RADIANS(Readings[[#This Row],[Reference Angle]]))-Readings[[#This Row],[Diff N]]*SIN(RADIANS(Readings[[#This Row],[Reference Angle]])))),"-")</f>
        <v>0</v>
      </c>
      <c r="S1164" s="93">
        <f>IFERROR(IF(Readings[[#This Row],[Reference Angle]]="-","-",(Readings[[#This Row],[Diff E]]*SIN(RADIANS(Readings[[#This Row],[Reference Angle]]))+Readings[[#This Row],[Diff N]]*COS(RADIANS(Readings[[#This Row],[Reference Angle]])))),"-")</f>
        <v>5.0000000046566129E-3</v>
      </c>
      <c r="T1164" s="94">
        <f>IFERROR(VLOOKUP(Readings[[#This Row],[Sensor ID]],Table_Baseline[],COLUMNS(Table_Baseline[[#Headers],[Sensor ID]:[Reference Angle '[Deg']]]),FALSE),"-")</f>
        <v>0</v>
      </c>
      <c r="U1164" s="95" t="str">
        <f>Readings[[#This Row],[Sensor ID]]&amp;"-"&amp;Readings[[#This Row],[Epoch]]</f>
        <v>250-RL-OP-11017-45869.2916666667</v>
      </c>
      <c r="V1164" s="99">
        <f ca="1">IF(Readings[[#This Row],[Epoch]]=OFFSET(Readings[[#This Row],[Epoch]],-1,0),0,1)</f>
        <v>0</v>
      </c>
    </row>
    <row r="1165" spans="4:22" x14ac:dyDescent="0.2">
      <c r="D1165" s="32">
        <v>45869.291666666664</v>
      </c>
      <c r="E1165" s="33" t="s">
        <v>187</v>
      </c>
      <c r="F1165" s="34">
        <v>60057.578999999998</v>
      </c>
      <c r="G1165" s="34">
        <v>363838.103</v>
      </c>
      <c r="H1165" s="34">
        <v>18.774999999999999</v>
      </c>
      <c r="I1165" s="33" t="s">
        <v>85</v>
      </c>
      <c r="J1165" s="33" t="s">
        <v>90</v>
      </c>
      <c r="K1165" s="33">
        <v>7.5</v>
      </c>
      <c r="L1165" s="33">
        <v>1017.1</v>
      </c>
      <c r="M1165" s="33">
        <v>79</v>
      </c>
      <c r="N1165" s="33"/>
      <c r="O1165" s="93">
        <f>IFERROR(IF(Readings[[#This Row],[Obs. X]]="","-",Readings[[#This Row],[Obs. X]]-_xlfn.XLOOKUP(Readings[[#This Row],[Sensor ID]],Table_Baseline[Sensor ID],Table_Baseline[Easting '[m']],"-")),"-")</f>
        <v>0</v>
      </c>
      <c r="P1165" s="93">
        <f>IFERROR(IF(Readings[[#This Row],[Obs. Y]]="","-",Readings[[#This Row],[Obs. Y]]-_xlfn.XLOOKUP(Readings[[#This Row],[Sensor ID]],Table_Baseline[Sensor ID],Table_Baseline[Northing '[m']],"-")),"-")</f>
        <v>5.0000000046566129E-3</v>
      </c>
      <c r="Q1165" s="93">
        <f>IFERROR(IF(Readings[[#This Row],[Obs. Z]]="","-",Readings[[#This Row],[Obs. Z]]-_xlfn.XLOOKUP(Readings[[#This Row],[Sensor ID]],Table_Baseline[Sensor ID],Table_Baseline[Level '[m']],"-")),"-")</f>
        <v>-1.0000000000012221E-3</v>
      </c>
      <c r="R1165" s="93">
        <f>IFERROR(IF(Readings[[#This Row],[Reference Angle]]="-","-",(Readings[[#This Row],[Diff E]]*COS(RADIANS(Readings[[#This Row],[Reference Angle]]))-Readings[[#This Row],[Diff N]]*SIN(RADIANS(Readings[[#This Row],[Reference Angle]])))),"-")</f>
        <v>0</v>
      </c>
      <c r="S1165" s="93">
        <f>IFERROR(IF(Readings[[#This Row],[Reference Angle]]="-","-",(Readings[[#This Row],[Diff E]]*SIN(RADIANS(Readings[[#This Row],[Reference Angle]]))+Readings[[#This Row],[Diff N]]*COS(RADIANS(Readings[[#This Row],[Reference Angle]])))),"-")</f>
        <v>5.0000000046566129E-3</v>
      </c>
      <c r="T1165" s="94">
        <f>IFERROR(VLOOKUP(Readings[[#This Row],[Sensor ID]],Table_Baseline[],COLUMNS(Table_Baseline[[#Headers],[Sensor ID]:[Reference Angle '[Deg']]]),FALSE),"-")</f>
        <v>0</v>
      </c>
      <c r="U1165" s="95" t="str">
        <f>Readings[[#This Row],[Sensor ID]]&amp;"-"&amp;Readings[[#This Row],[Epoch]]</f>
        <v>250-RL-OP-11018-45869.2916666667</v>
      </c>
      <c r="V1165" s="99">
        <f ca="1">IF(Readings[[#This Row],[Epoch]]=OFFSET(Readings[[#This Row],[Epoch]],-1,0),0,1)</f>
        <v>0</v>
      </c>
    </row>
    <row r="1166" spans="4:22" x14ac:dyDescent="0.2">
      <c r="D1166" s="32">
        <v>45869.291666666664</v>
      </c>
      <c r="E1166" s="33" t="s">
        <v>190</v>
      </c>
      <c r="F1166" s="34">
        <v>60060.963000000003</v>
      </c>
      <c r="G1166" s="34">
        <v>363838.60600000003</v>
      </c>
      <c r="H1166" s="34">
        <v>18.794</v>
      </c>
      <c r="I1166" s="33" t="s">
        <v>85</v>
      </c>
      <c r="J1166" s="33" t="s">
        <v>90</v>
      </c>
      <c r="K1166" s="33">
        <v>7.5</v>
      </c>
      <c r="L1166" s="33">
        <v>1017.1</v>
      </c>
      <c r="M1166" s="33">
        <v>79</v>
      </c>
      <c r="N1166" s="33"/>
      <c r="O1166" s="93">
        <f>IFERROR(IF(Readings[[#This Row],[Obs. X]]="","-",Readings[[#This Row],[Obs. X]]-_xlfn.XLOOKUP(Readings[[#This Row],[Sensor ID]],Table_Baseline[Sensor ID],Table_Baseline[Easting '[m']],"-")),"-")</f>
        <v>0</v>
      </c>
      <c r="P1166" s="93">
        <f>IFERROR(IF(Readings[[#This Row],[Obs. Y]]="","-",Readings[[#This Row],[Obs. Y]]-_xlfn.XLOOKUP(Readings[[#This Row],[Sensor ID]],Table_Baseline[Sensor ID],Table_Baseline[Northing '[m']],"-")),"-")</f>
        <v>5.0000000046566129E-3</v>
      </c>
      <c r="Q1166" s="93">
        <f>IFERROR(IF(Readings[[#This Row],[Obs. Z]]="","-",Readings[[#This Row],[Obs. Z]]-_xlfn.XLOOKUP(Readings[[#This Row],[Sensor ID]],Table_Baseline[Sensor ID],Table_Baseline[Level '[m']],"-")),"-")</f>
        <v>-5.9999999999860165E-4</v>
      </c>
      <c r="R1166" s="93">
        <f>IFERROR(IF(Readings[[#This Row],[Reference Angle]]="-","-",(Readings[[#This Row],[Diff E]]*COS(RADIANS(Readings[[#This Row],[Reference Angle]]))-Readings[[#This Row],[Diff N]]*SIN(RADIANS(Readings[[#This Row],[Reference Angle]])))),"-")</f>
        <v>0</v>
      </c>
      <c r="S1166" s="93">
        <f>IFERROR(IF(Readings[[#This Row],[Reference Angle]]="-","-",(Readings[[#This Row],[Diff E]]*SIN(RADIANS(Readings[[#This Row],[Reference Angle]]))+Readings[[#This Row],[Diff N]]*COS(RADIANS(Readings[[#This Row],[Reference Angle]])))),"-")</f>
        <v>5.0000000046566129E-3</v>
      </c>
      <c r="T1166" s="94">
        <f>IFERROR(VLOOKUP(Readings[[#This Row],[Sensor ID]],Table_Baseline[],COLUMNS(Table_Baseline[[#Headers],[Sensor ID]:[Reference Angle '[Deg']]]),FALSE),"-")</f>
        <v>0</v>
      </c>
      <c r="U1166" s="95" t="str">
        <f>Readings[[#This Row],[Sensor ID]]&amp;"-"&amp;Readings[[#This Row],[Epoch]]</f>
        <v>250-RL-OP-11019-45869.2916666667</v>
      </c>
      <c r="V1166" s="99">
        <f ca="1">IF(Readings[[#This Row],[Epoch]]=OFFSET(Readings[[#This Row],[Epoch]],-1,0),0,1)</f>
        <v>0</v>
      </c>
    </row>
    <row r="1167" spans="4:22" x14ac:dyDescent="0.2">
      <c r="D1167" s="32">
        <v>45869.291666666664</v>
      </c>
      <c r="E1167" s="33" t="s">
        <v>189</v>
      </c>
      <c r="F1167" s="34">
        <v>60060.639999999999</v>
      </c>
      <c r="G1167" s="34">
        <v>363837.32699999999</v>
      </c>
      <c r="H1167" s="34">
        <v>18.782</v>
      </c>
      <c r="I1167" s="33" t="s">
        <v>85</v>
      </c>
      <c r="J1167" s="33" t="s">
        <v>90</v>
      </c>
      <c r="K1167" s="33">
        <v>7.5</v>
      </c>
      <c r="L1167" s="33">
        <v>1017.1</v>
      </c>
      <c r="M1167" s="33">
        <v>79</v>
      </c>
      <c r="N1167" s="33"/>
      <c r="O1167" s="93">
        <f>IFERROR(IF(Readings[[#This Row],[Obs. X]]="","-",Readings[[#This Row],[Obs. X]]-_xlfn.XLOOKUP(Readings[[#This Row],[Sensor ID]],Table_Baseline[Sensor ID],Table_Baseline[Easting '[m']],"-")),"-")</f>
        <v>0</v>
      </c>
      <c r="P1167" s="93">
        <f>IFERROR(IF(Readings[[#This Row],[Obs. Y]]="","-",Readings[[#This Row],[Obs. Y]]-_xlfn.XLOOKUP(Readings[[#This Row],[Sensor ID]],Table_Baseline[Sensor ID],Table_Baseline[Northing '[m']],"-")),"-")</f>
        <v>5.0000000046566129E-3</v>
      </c>
      <c r="Q1167" s="93">
        <f>IFERROR(IF(Readings[[#This Row],[Obs. Z]]="","-",Readings[[#This Row],[Obs. Z]]-_xlfn.XLOOKUP(Readings[[#This Row],[Sensor ID]],Table_Baseline[Sensor ID],Table_Baseline[Level '[m']],"-")),"-")</f>
        <v>-1.5999999999998238E-3</v>
      </c>
      <c r="R1167" s="93">
        <f>IFERROR(IF(Readings[[#This Row],[Reference Angle]]="-","-",(Readings[[#This Row],[Diff E]]*COS(RADIANS(Readings[[#This Row],[Reference Angle]]))-Readings[[#This Row],[Diff N]]*SIN(RADIANS(Readings[[#This Row],[Reference Angle]])))),"-")</f>
        <v>0</v>
      </c>
      <c r="S1167" s="93">
        <f>IFERROR(IF(Readings[[#This Row],[Reference Angle]]="-","-",(Readings[[#This Row],[Diff E]]*SIN(RADIANS(Readings[[#This Row],[Reference Angle]]))+Readings[[#This Row],[Diff N]]*COS(RADIANS(Readings[[#This Row],[Reference Angle]])))),"-")</f>
        <v>5.0000000046566129E-3</v>
      </c>
      <c r="T1167" s="94">
        <f>IFERROR(VLOOKUP(Readings[[#This Row],[Sensor ID]],Table_Baseline[],COLUMNS(Table_Baseline[[#Headers],[Sensor ID]:[Reference Angle '[Deg']]]),FALSE),"-")</f>
        <v>0</v>
      </c>
      <c r="U1167" s="95" t="str">
        <f>Readings[[#This Row],[Sensor ID]]&amp;"-"&amp;Readings[[#This Row],[Epoch]]</f>
        <v>250-RL-OP-11020-45869.2916666667</v>
      </c>
      <c r="V1167" s="99">
        <f ca="1">IF(Readings[[#This Row],[Epoch]]=OFFSET(Readings[[#This Row],[Epoch]],-1,0),0,1)</f>
        <v>0</v>
      </c>
    </row>
    <row r="1168" spans="4:22" x14ac:dyDescent="0.2">
      <c r="D1168" s="32">
        <v>45869.291666666664</v>
      </c>
      <c r="E1168" s="33" t="s">
        <v>192</v>
      </c>
      <c r="F1168" s="34">
        <v>60063.750999999997</v>
      </c>
      <c r="G1168" s="34">
        <v>363837.92200000002</v>
      </c>
      <c r="H1168" s="34">
        <v>18.808</v>
      </c>
      <c r="I1168" s="33" t="s">
        <v>85</v>
      </c>
      <c r="J1168" s="33" t="s">
        <v>90</v>
      </c>
      <c r="K1168" s="33">
        <v>7.5</v>
      </c>
      <c r="L1168" s="33">
        <v>1017.1</v>
      </c>
      <c r="M1168" s="33">
        <v>79</v>
      </c>
      <c r="N1168" s="33"/>
      <c r="O1168" s="93">
        <f>IFERROR(IF(Readings[[#This Row],[Obs. X]]="","-",Readings[[#This Row],[Obs. X]]-_xlfn.XLOOKUP(Readings[[#This Row],[Sensor ID]],Table_Baseline[Sensor ID],Table_Baseline[Easting '[m']],"-")),"-")</f>
        <v>0</v>
      </c>
      <c r="P1168" s="93">
        <f>IFERROR(IF(Readings[[#This Row],[Obs. Y]]="","-",Readings[[#This Row],[Obs. Y]]-_xlfn.XLOOKUP(Readings[[#This Row],[Sensor ID]],Table_Baseline[Sensor ID],Table_Baseline[Northing '[m']],"-")),"-")</f>
        <v>4.0000000153668225E-3</v>
      </c>
      <c r="Q1168" s="93">
        <f>IFERROR(IF(Readings[[#This Row],[Obs. Z]]="","-",Readings[[#This Row],[Obs. Z]]-_xlfn.XLOOKUP(Readings[[#This Row],[Sensor ID]],Table_Baseline[Sensor ID],Table_Baseline[Level '[m']],"-")),"-")</f>
        <v>-1.0000000000012221E-3</v>
      </c>
      <c r="R1168" s="93">
        <f>IFERROR(IF(Readings[[#This Row],[Reference Angle]]="-","-",(Readings[[#This Row],[Diff E]]*COS(RADIANS(Readings[[#This Row],[Reference Angle]]))-Readings[[#This Row],[Diff N]]*SIN(RADIANS(Readings[[#This Row],[Reference Angle]])))),"-")</f>
        <v>0</v>
      </c>
      <c r="S1168" s="93">
        <f>IFERROR(IF(Readings[[#This Row],[Reference Angle]]="-","-",(Readings[[#This Row],[Diff E]]*SIN(RADIANS(Readings[[#This Row],[Reference Angle]]))+Readings[[#This Row],[Diff N]]*COS(RADIANS(Readings[[#This Row],[Reference Angle]])))),"-")</f>
        <v>4.0000000153668225E-3</v>
      </c>
      <c r="T1168" s="94">
        <f>IFERROR(VLOOKUP(Readings[[#This Row],[Sensor ID]],Table_Baseline[],COLUMNS(Table_Baseline[[#Headers],[Sensor ID]:[Reference Angle '[Deg']]]),FALSE),"-")</f>
        <v>0</v>
      </c>
      <c r="U1168" s="95" t="str">
        <f>Readings[[#This Row],[Sensor ID]]&amp;"-"&amp;Readings[[#This Row],[Epoch]]</f>
        <v>250-RL-OP-11021-45869.2916666667</v>
      </c>
      <c r="V1168" s="99">
        <f ca="1">IF(Readings[[#This Row],[Epoch]]=OFFSET(Readings[[#This Row],[Epoch]],-1,0),0,1)</f>
        <v>0</v>
      </c>
    </row>
    <row r="1169" spans="4:22" x14ac:dyDescent="0.2">
      <c r="D1169" s="32">
        <v>45869.291666666664</v>
      </c>
      <c r="E1169" s="33" t="s">
        <v>191</v>
      </c>
      <c r="F1169" s="34">
        <v>60063.421999999999</v>
      </c>
      <c r="G1169" s="34">
        <v>363836.641</v>
      </c>
      <c r="H1169" s="34">
        <v>18.792999999999999</v>
      </c>
      <c r="I1169" s="33" t="s">
        <v>85</v>
      </c>
      <c r="J1169" s="33" t="s">
        <v>90</v>
      </c>
      <c r="K1169" s="33">
        <v>7.5</v>
      </c>
      <c r="L1169" s="33">
        <v>1017.1</v>
      </c>
      <c r="M1169" s="33">
        <v>79</v>
      </c>
      <c r="N1169" s="33"/>
      <c r="O1169" s="93">
        <f>IFERROR(IF(Readings[[#This Row],[Obs. X]]="","-",Readings[[#This Row],[Obs. X]]-_xlfn.XLOOKUP(Readings[[#This Row],[Sensor ID]],Table_Baseline[Sensor ID],Table_Baseline[Easting '[m']],"-")),"-")</f>
        <v>0</v>
      </c>
      <c r="P1169" s="93">
        <f>IFERROR(IF(Readings[[#This Row],[Obs. Y]]="","-",Readings[[#This Row],[Obs. Y]]-_xlfn.XLOOKUP(Readings[[#This Row],[Sensor ID]],Table_Baseline[Sensor ID],Table_Baseline[Northing '[m']],"-")),"-")</f>
        <v>5.0000000046566129E-3</v>
      </c>
      <c r="Q1169" s="93">
        <f>IFERROR(IF(Readings[[#This Row],[Obs. Z]]="","-",Readings[[#This Row],[Obs. Z]]-_xlfn.XLOOKUP(Readings[[#This Row],[Sensor ID]],Table_Baseline[Sensor ID],Table_Baseline[Level '[m']],"-")),"-")</f>
        <v>-1.8999999999991246E-3</v>
      </c>
      <c r="R1169" s="93">
        <f>IFERROR(IF(Readings[[#This Row],[Reference Angle]]="-","-",(Readings[[#This Row],[Diff E]]*COS(RADIANS(Readings[[#This Row],[Reference Angle]]))-Readings[[#This Row],[Diff N]]*SIN(RADIANS(Readings[[#This Row],[Reference Angle]])))),"-")</f>
        <v>0</v>
      </c>
      <c r="S1169" s="93">
        <f>IFERROR(IF(Readings[[#This Row],[Reference Angle]]="-","-",(Readings[[#This Row],[Diff E]]*SIN(RADIANS(Readings[[#This Row],[Reference Angle]]))+Readings[[#This Row],[Diff N]]*COS(RADIANS(Readings[[#This Row],[Reference Angle]])))),"-")</f>
        <v>5.0000000046566129E-3</v>
      </c>
      <c r="T1169" s="94">
        <f>IFERROR(VLOOKUP(Readings[[#This Row],[Sensor ID]],Table_Baseline[],COLUMNS(Table_Baseline[[#Headers],[Sensor ID]:[Reference Angle '[Deg']]]),FALSE),"-")</f>
        <v>0</v>
      </c>
      <c r="U1169" s="95" t="str">
        <f>Readings[[#This Row],[Sensor ID]]&amp;"-"&amp;Readings[[#This Row],[Epoch]]</f>
        <v>250-RL-OP-11022-45869.2916666667</v>
      </c>
      <c r="V1169" s="99">
        <f ca="1">IF(Readings[[#This Row],[Epoch]]=OFFSET(Readings[[#This Row],[Epoch]],-1,0),0,1)</f>
        <v>0</v>
      </c>
    </row>
    <row r="1170" spans="4:22" x14ac:dyDescent="0.2">
      <c r="D1170" s="32">
        <v>45869.291666666664</v>
      </c>
      <c r="E1170" s="33" t="s">
        <v>165</v>
      </c>
      <c r="F1170" s="34">
        <v>60034.538999999997</v>
      </c>
      <c r="G1170" s="34">
        <v>363843.38099999999</v>
      </c>
      <c r="H1170" s="34">
        <v>19.331</v>
      </c>
      <c r="I1170" s="33" t="s">
        <v>85</v>
      </c>
      <c r="J1170" s="33" t="s">
        <v>90</v>
      </c>
      <c r="K1170" s="33">
        <v>7.5</v>
      </c>
      <c r="L1170" s="33">
        <v>1017.1</v>
      </c>
      <c r="M1170" s="33">
        <v>79</v>
      </c>
      <c r="N1170" s="33"/>
      <c r="O1170" s="93" t="str">
        <f>IFERROR(IF(Readings[[#This Row],[Obs. X]]="","-",Readings[[#This Row],[Obs. X]]-_xlfn.XLOOKUP(Readings[[#This Row],[Sensor ID]],Table_Baseline[Sensor ID],Table_Baseline[Easting '[m']],"-")),"-")</f>
        <v>-</v>
      </c>
      <c r="P1170" s="93" t="str">
        <f>IFERROR(IF(Readings[[#This Row],[Obs. Y]]="","-",Readings[[#This Row],[Obs. Y]]-_xlfn.XLOOKUP(Readings[[#This Row],[Sensor ID]],Table_Baseline[Sensor ID],Table_Baseline[Northing '[m']],"-")),"-")</f>
        <v>-</v>
      </c>
      <c r="Q1170" s="93" t="str">
        <f>IFERROR(IF(Readings[[#This Row],[Obs. Z]]="","-",Readings[[#This Row],[Obs. Z]]-_xlfn.XLOOKUP(Readings[[#This Row],[Sensor ID]],Table_Baseline[Sensor ID],Table_Baseline[Level '[m']],"-")),"-")</f>
        <v>-</v>
      </c>
      <c r="R1170" s="93" t="str">
        <f>IFERROR(IF(Readings[[#This Row],[Reference Angle]]="-","-",(Readings[[#This Row],[Diff E]]*COS(RADIANS(Readings[[#This Row],[Reference Angle]]))-Readings[[#This Row],[Diff N]]*SIN(RADIANS(Readings[[#This Row],[Reference Angle]])))),"-")</f>
        <v>-</v>
      </c>
      <c r="S1170" s="93" t="str">
        <f>IFERROR(IF(Readings[[#This Row],[Reference Angle]]="-","-",(Readings[[#This Row],[Diff E]]*SIN(RADIANS(Readings[[#This Row],[Reference Angle]]))+Readings[[#This Row],[Diff N]]*COS(RADIANS(Readings[[#This Row],[Reference Angle]])))),"-")</f>
        <v>-</v>
      </c>
      <c r="T1170" s="94" t="str">
        <f>IFERROR(VLOOKUP(Readings[[#This Row],[Sensor ID]],Table_Baseline[],COLUMNS(Table_Baseline[[#Headers],[Sensor ID]:[Reference Angle '[Deg']]]),FALSE),"-")</f>
        <v>-</v>
      </c>
      <c r="U1170" s="95" t="str">
        <f>Readings[[#This Row],[Sensor ID]]&amp;"-"&amp;Readings[[#This Row],[Epoch]]</f>
        <v>250-ST-OP-500-45869.2916666667</v>
      </c>
      <c r="V1170" s="99">
        <f ca="1">IF(Readings[[#This Row],[Epoch]]=OFFSET(Readings[[#This Row],[Epoch]],-1,0),0,1)</f>
        <v>0</v>
      </c>
    </row>
    <row r="1171" spans="4:22" x14ac:dyDescent="0.2">
      <c r="D1171" s="32">
        <v>45869.291666666664</v>
      </c>
      <c r="E1171" s="33" t="s">
        <v>166</v>
      </c>
      <c r="F1171" s="34">
        <v>60040.286999999997</v>
      </c>
      <c r="G1171" s="34">
        <v>363841.73</v>
      </c>
      <c r="H1171" s="34">
        <v>19.321000000000002</v>
      </c>
      <c r="I1171" s="33" t="s">
        <v>85</v>
      </c>
      <c r="J1171" s="33" t="s">
        <v>90</v>
      </c>
      <c r="K1171" s="33">
        <v>7.5</v>
      </c>
      <c r="L1171" s="33">
        <v>1017.1</v>
      </c>
      <c r="M1171" s="33">
        <v>79</v>
      </c>
      <c r="N1171" s="33"/>
      <c r="O1171" s="93" t="str">
        <f>IFERROR(IF(Readings[[#This Row],[Obs. X]]="","-",Readings[[#This Row],[Obs. X]]-_xlfn.XLOOKUP(Readings[[#This Row],[Sensor ID]],Table_Baseline[Sensor ID],Table_Baseline[Easting '[m']],"-")),"-")</f>
        <v>-</v>
      </c>
      <c r="P1171" s="93" t="str">
        <f>IFERROR(IF(Readings[[#This Row],[Obs. Y]]="","-",Readings[[#This Row],[Obs. Y]]-_xlfn.XLOOKUP(Readings[[#This Row],[Sensor ID]],Table_Baseline[Sensor ID],Table_Baseline[Northing '[m']],"-")),"-")</f>
        <v>-</v>
      </c>
      <c r="Q1171" s="93" t="str">
        <f>IFERROR(IF(Readings[[#This Row],[Obs. Z]]="","-",Readings[[#This Row],[Obs. Z]]-_xlfn.XLOOKUP(Readings[[#This Row],[Sensor ID]],Table_Baseline[Sensor ID],Table_Baseline[Level '[m']],"-")),"-")</f>
        <v>-</v>
      </c>
      <c r="R1171" s="93" t="str">
        <f>IFERROR(IF(Readings[[#This Row],[Reference Angle]]="-","-",(Readings[[#This Row],[Diff E]]*COS(RADIANS(Readings[[#This Row],[Reference Angle]]))-Readings[[#This Row],[Diff N]]*SIN(RADIANS(Readings[[#This Row],[Reference Angle]])))),"-")</f>
        <v>-</v>
      </c>
      <c r="S1171" s="93" t="str">
        <f>IFERROR(IF(Readings[[#This Row],[Reference Angle]]="-","-",(Readings[[#This Row],[Diff E]]*SIN(RADIANS(Readings[[#This Row],[Reference Angle]]))+Readings[[#This Row],[Diff N]]*COS(RADIANS(Readings[[#This Row],[Reference Angle]])))),"-")</f>
        <v>-</v>
      </c>
      <c r="T1171" s="94" t="str">
        <f>IFERROR(VLOOKUP(Readings[[#This Row],[Sensor ID]],Table_Baseline[],COLUMNS(Table_Baseline[[#Headers],[Sensor ID]:[Reference Angle '[Deg']]]),FALSE),"-")</f>
        <v>-</v>
      </c>
      <c r="U1171" s="95" t="str">
        <f>Readings[[#This Row],[Sensor ID]]&amp;"-"&amp;Readings[[#This Row],[Epoch]]</f>
        <v>250-ST-OP-501-45869.2916666667</v>
      </c>
      <c r="V1171" s="99">
        <f ca="1">IF(Readings[[#This Row],[Epoch]]=OFFSET(Readings[[#This Row],[Epoch]],-1,0),0,1)</f>
        <v>0</v>
      </c>
    </row>
    <row r="1172" spans="4:22" x14ac:dyDescent="0.2">
      <c r="D1172" s="32">
        <v>45869.291666666664</v>
      </c>
      <c r="E1172" s="33" t="s">
        <v>167</v>
      </c>
      <c r="F1172" s="34">
        <v>60045.921999999999</v>
      </c>
      <c r="G1172" s="34">
        <v>363840.10100000002</v>
      </c>
      <c r="H1172" s="34">
        <v>19.334</v>
      </c>
      <c r="I1172" s="33" t="s">
        <v>85</v>
      </c>
      <c r="J1172" s="33" t="s">
        <v>90</v>
      </c>
      <c r="K1172" s="33">
        <v>7.5</v>
      </c>
      <c r="L1172" s="33">
        <v>1017.1</v>
      </c>
      <c r="M1172" s="33">
        <v>79</v>
      </c>
      <c r="N1172" s="33"/>
      <c r="O1172" s="93" t="str">
        <f>IFERROR(IF(Readings[[#This Row],[Obs. X]]="","-",Readings[[#This Row],[Obs. X]]-_xlfn.XLOOKUP(Readings[[#This Row],[Sensor ID]],Table_Baseline[Sensor ID],Table_Baseline[Easting '[m']],"-")),"-")</f>
        <v>-</v>
      </c>
      <c r="P1172" s="93" t="str">
        <f>IFERROR(IF(Readings[[#This Row],[Obs. Y]]="","-",Readings[[#This Row],[Obs. Y]]-_xlfn.XLOOKUP(Readings[[#This Row],[Sensor ID]],Table_Baseline[Sensor ID],Table_Baseline[Northing '[m']],"-")),"-")</f>
        <v>-</v>
      </c>
      <c r="Q1172" s="93" t="str">
        <f>IFERROR(IF(Readings[[#This Row],[Obs. Z]]="","-",Readings[[#This Row],[Obs. Z]]-_xlfn.XLOOKUP(Readings[[#This Row],[Sensor ID]],Table_Baseline[Sensor ID],Table_Baseline[Level '[m']],"-")),"-")</f>
        <v>-</v>
      </c>
      <c r="R1172" s="93" t="str">
        <f>IFERROR(IF(Readings[[#This Row],[Reference Angle]]="-","-",(Readings[[#This Row],[Diff E]]*COS(RADIANS(Readings[[#This Row],[Reference Angle]]))-Readings[[#This Row],[Diff N]]*SIN(RADIANS(Readings[[#This Row],[Reference Angle]])))),"-")</f>
        <v>-</v>
      </c>
      <c r="S1172" s="93" t="str">
        <f>IFERROR(IF(Readings[[#This Row],[Reference Angle]]="-","-",(Readings[[#This Row],[Diff E]]*SIN(RADIANS(Readings[[#This Row],[Reference Angle]]))+Readings[[#This Row],[Diff N]]*COS(RADIANS(Readings[[#This Row],[Reference Angle]])))),"-")</f>
        <v>-</v>
      </c>
      <c r="T1172" s="94" t="str">
        <f>IFERROR(VLOOKUP(Readings[[#This Row],[Sensor ID]],Table_Baseline[],COLUMNS(Table_Baseline[[#Headers],[Sensor ID]:[Reference Angle '[Deg']]]),FALSE),"-")</f>
        <v>-</v>
      </c>
      <c r="U1172" s="95" t="str">
        <f>Readings[[#This Row],[Sensor ID]]&amp;"-"&amp;Readings[[#This Row],[Epoch]]</f>
        <v>250-ST-OP-502-45869.2916666667</v>
      </c>
      <c r="V1172" s="99">
        <f ca="1">IF(Readings[[#This Row],[Epoch]]=OFFSET(Readings[[#This Row],[Epoch]],-1,0),0,1)</f>
        <v>0</v>
      </c>
    </row>
    <row r="1173" spans="4:22" x14ac:dyDescent="0.2">
      <c r="D1173" s="32">
        <v>45869.291666666664</v>
      </c>
      <c r="E1173" s="33" t="s">
        <v>168</v>
      </c>
      <c r="F1173" s="34">
        <v>60049.767999999996</v>
      </c>
      <c r="G1173" s="34">
        <v>363838.995</v>
      </c>
      <c r="H1173" s="34">
        <v>19.344999999999999</v>
      </c>
      <c r="I1173" s="33" t="s">
        <v>85</v>
      </c>
      <c r="J1173" s="33" t="s">
        <v>90</v>
      </c>
      <c r="K1173" s="33">
        <v>7.5</v>
      </c>
      <c r="L1173" s="33">
        <v>1017.1</v>
      </c>
      <c r="M1173" s="33">
        <v>79</v>
      </c>
      <c r="N1173" s="33"/>
      <c r="O1173" s="93" t="str">
        <f>IFERROR(IF(Readings[[#This Row],[Obs. X]]="","-",Readings[[#This Row],[Obs. X]]-_xlfn.XLOOKUP(Readings[[#This Row],[Sensor ID]],Table_Baseline[Sensor ID],Table_Baseline[Easting '[m']],"-")),"-")</f>
        <v>-</v>
      </c>
      <c r="P1173" s="93" t="str">
        <f>IFERROR(IF(Readings[[#This Row],[Obs. Y]]="","-",Readings[[#This Row],[Obs. Y]]-_xlfn.XLOOKUP(Readings[[#This Row],[Sensor ID]],Table_Baseline[Sensor ID],Table_Baseline[Northing '[m']],"-")),"-")</f>
        <v>-</v>
      </c>
      <c r="Q1173" s="93" t="str">
        <f>IFERROR(IF(Readings[[#This Row],[Obs. Z]]="","-",Readings[[#This Row],[Obs. Z]]-_xlfn.XLOOKUP(Readings[[#This Row],[Sensor ID]],Table_Baseline[Sensor ID],Table_Baseline[Level '[m']],"-")),"-")</f>
        <v>-</v>
      </c>
      <c r="R1173" s="93" t="str">
        <f>IFERROR(IF(Readings[[#This Row],[Reference Angle]]="-","-",(Readings[[#This Row],[Diff E]]*COS(RADIANS(Readings[[#This Row],[Reference Angle]]))-Readings[[#This Row],[Diff N]]*SIN(RADIANS(Readings[[#This Row],[Reference Angle]])))),"-")</f>
        <v>-</v>
      </c>
      <c r="S1173" s="93" t="str">
        <f>IFERROR(IF(Readings[[#This Row],[Reference Angle]]="-","-",(Readings[[#This Row],[Diff E]]*SIN(RADIANS(Readings[[#This Row],[Reference Angle]]))+Readings[[#This Row],[Diff N]]*COS(RADIANS(Readings[[#This Row],[Reference Angle]])))),"-")</f>
        <v>-</v>
      </c>
      <c r="T1173" s="94" t="str">
        <f>IFERROR(VLOOKUP(Readings[[#This Row],[Sensor ID]],Table_Baseline[],COLUMNS(Table_Baseline[[#Headers],[Sensor ID]:[Reference Angle '[Deg']]]),FALSE),"-")</f>
        <v>-</v>
      </c>
      <c r="U1173" s="95" t="str">
        <f>Readings[[#This Row],[Sensor ID]]&amp;"-"&amp;Readings[[#This Row],[Epoch]]</f>
        <v>250-ST-OP-503-45869.2916666667</v>
      </c>
      <c r="V1173" s="99">
        <f ca="1">IF(Readings[[#This Row],[Epoch]]=OFFSET(Readings[[#This Row],[Epoch]],-1,0),0,1)</f>
        <v>0</v>
      </c>
    </row>
    <row r="1174" spans="4:22" x14ac:dyDescent="0.2">
      <c r="D1174" s="32">
        <v>45869.291666666664</v>
      </c>
      <c r="E1174" s="33" t="s">
        <v>169</v>
      </c>
      <c r="F1174" s="34">
        <v>60053.608999999997</v>
      </c>
      <c r="G1174" s="34">
        <v>363837.88399999996</v>
      </c>
      <c r="H1174" s="34">
        <v>19.356000000000002</v>
      </c>
      <c r="I1174" s="33" t="s">
        <v>85</v>
      </c>
      <c r="J1174" s="33" t="s">
        <v>90</v>
      </c>
      <c r="K1174" s="33">
        <v>7.5</v>
      </c>
      <c r="L1174" s="33">
        <v>1017.1</v>
      </c>
      <c r="M1174" s="33">
        <v>79</v>
      </c>
      <c r="N1174" s="33"/>
      <c r="O1174" s="93" t="str">
        <f>IFERROR(IF(Readings[[#This Row],[Obs. X]]="","-",Readings[[#This Row],[Obs. X]]-_xlfn.XLOOKUP(Readings[[#This Row],[Sensor ID]],Table_Baseline[Sensor ID],Table_Baseline[Easting '[m']],"-")),"-")</f>
        <v>-</v>
      </c>
      <c r="P1174" s="93" t="str">
        <f>IFERROR(IF(Readings[[#This Row],[Obs. Y]]="","-",Readings[[#This Row],[Obs. Y]]-_xlfn.XLOOKUP(Readings[[#This Row],[Sensor ID]],Table_Baseline[Sensor ID],Table_Baseline[Northing '[m']],"-")),"-")</f>
        <v>-</v>
      </c>
      <c r="Q1174" s="93" t="str">
        <f>IFERROR(IF(Readings[[#This Row],[Obs. Z]]="","-",Readings[[#This Row],[Obs. Z]]-_xlfn.XLOOKUP(Readings[[#This Row],[Sensor ID]],Table_Baseline[Sensor ID],Table_Baseline[Level '[m']],"-")),"-")</f>
        <v>-</v>
      </c>
      <c r="R1174" s="93" t="str">
        <f>IFERROR(IF(Readings[[#This Row],[Reference Angle]]="-","-",(Readings[[#This Row],[Diff E]]*COS(RADIANS(Readings[[#This Row],[Reference Angle]]))-Readings[[#This Row],[Diff N]]*SIN(RADIANS(Readings[[#This Row],[Reference Angle]])))),"-")</f>
        <v>-</v>
      </c>
      <c r="S1174" s="93" t="str">
        <f>IFERROR(IF(Readings[[#This Row],[Reference Angle]]="-","-",(Readings[[#This Row],[Diff E]]*SIN(RADIANS(Readings[[#This Row],[Reference Angle]]))+Readings[[#This Row],[Diff N]]*COS(RADIANS(Readings[[#This Row],[Reference Angle]])))),"-")</f>
        <v>-</v>
      </c>
      <c r="T1174" s="94" t="str">
        <f>IFERROR(VLOOKUP(Readings[[#This Row],[Sensor ID]],Table_Baseline[],COLUMNS(Table_Baseline[[#Headers],[Sensor ID]:[Reference Angle '[Deg']]]),FALSE),"-")</f>
        <v>-</v>
      </c>
      <c r="U1174" s="95" t="str">
        <f>Readings[[#This Row],[Sensor ID]]&amp;"-"&amp;Readings[[#This Row],[Epoch]]</f>
        <v>250-ST-OP-504-45869.2916666667</v>
      </c>
      <c r="V1174" s="99">
        <f ca="1">IF(Readings[[#This Row],[Epoch]]=OFFSET(Readings[[#This Row],[Epoch]],-1,0),0,1)</f>
        <v>0</v>
      </c>
    </row>
    <row r="1175" spans="4:22" x14ac:dyDescent="0.2">
      <c r="D1175" s="204">
        <v>45869.291666666664</v>
      </c>
      <c r="E1175" s="151" t="s">
        <v>170</v>
      </c>
      <c r="F1175" s="152">
        <v>60060.065000000002</v>
      </c>
      <c r="G1175" s="152">
        <v>363836.02500000002</v>
      </c>
      <c r="H1175" s="152">
        <v>19.356000000000002</v>
      </c>
      <c r="I1175" s="151" t="s">
        <v>85</v>
      </c>
      <c r="J1175" s="151" t="s">
        <v>90</v>
      </c>
      <c r="K1175" s="151">
        <v>7.5</v>
      </c>
      <c r="L1175" s="151">
        <v>1017.1</v>
      </c>
      <c r="M1175" s="151">
        <v>79</v>
      </c>
      <c r="N1175" s="151"/>
      <c r="O1175" s="96" t="str">
        <f>IFERROR(IF(Readings[[#This Row],[Obs. X]]="","-",Readings[[#This Row],[Obs. X]]-_xlfn.XLOOKUP(Readings[[#This Row],[Sensor ID]],Table_Baseline[Sensor ID],Table_Baseline[Easting '[m']],"-")),"-")</f>
        <v>-</v>
      </c>
      <c r="P1175" s="96" t="str">
        <f>IFERROR(IF(Readings[[#This Row],[Obs. Y]]="","-",Readings[[#This Row],[Obs. Y]]-_xlfn.XLOOKUP(Readings[[#This Row],[Sensor ID]],Table_Baseline[Sensor ID],Table_Baseline[Northing '[m']],"-")),"-")</f>
        <v>-</v>
      </c>
      <c r="Q1175" s="96" t="str">
        <f>IFERROR(IF(Readings[[#This Row],[Obs. Z]]="","-",Readings[[#This Row],[Obs. Z]]-_xlfn.XLOOKUP(Readings[[#This Row],[Sensor ID]],Table_Baseline[Sensor ID],Table_Baseline[Level '[m']],"-")),"-")</f>
        <v>-</v>
      </c>
      <c r="R1175" s="96" t="str">
        <f>IFERROR(IF(Readings[[#This Row],[Reference Angle]]="-","-",(Readings[[#This Row],[Diff E]]*COS(RADIANS(Readings[[#This Row],[Reference Angle]]))-Readings[[#This Row],[Diff N]]*SIN(RADIANS(Readings[[#This Row],[Reference Angle]])))),"-")</f>
        <v>-</v>
      </c>
      <c r="S1175" s="96" t="str">
        <f>IFERROR(IF(Readings[[#This Row],[Reference Angle]]="-","-",(Readings[[#This Row],[Diff E]]*SIN(RADIANS(Readings[[#This Row],[Reference Angle]]))+Readings[[#This Row],[Diff N]]*COS(RADIANS(Readings[[#This Row],[Reference Angle]])))),"-")</f>
        <v>-</v>
      </c>
      <c r="T1175" s="97" t="str">
        <f>IFERROR(VLOOKUP(Readings[[#This Row],[Sensor ID]],Table_Baseline[],COLUMNS(Table_Baseline[[#Headers],[Sensor ID]:[Reference Angle '[Deg']]]),FALSE),"-")</f>
        <v>-</v>
      </c>
      <c r="U1175" s="98" t="str">
        <f>Readings[[#This Row],[Sensor ID]]&amp;"-"&amp;Readings[[#This Row],[Epoch]]</f>
        <v>250-ST-OP-505-45869.2916666667</v>
      </c>
      <c r="V1175" s="100">
        <f ca="1">IF(Readings[[#This Row],[Epoch]]=OFFSET(Readings[[#This Row],[Epoch]],-1,0),0,1)</f>
        <v>0</v>
      </c>
    </row>
    <row r="1176" spans="4:22" x14ac:dyDescent="0.2">
      <c r="D1176" s="32">
        <v>45873.291666666664</v>
      </c>
      <c r="E1176" s="33" t="s">
        <v>172</v>
      </c>
      <c r="F1176" s="34">
        <v>60035.339</v>
      </c>
      <c r="G1176" s="34">
        <v>363845.73800000001</v>
      </c>
      <c r="H1176" s="34">
        <v>18.782</v>
      </c>
      <c r="I1176" s="33" t="s">
        <v>85</v>
      </c>
      <c r="J1176" s="33" t="s">
        <v>90</v>
      </c>
      <c r="K1176" s="33">
        <v>13.9</v>
      </c>
      <c r="L1176" s="33">
        <v>1016</v>
      </c>
      <c r="M1176" s="33">
        <v>57</v>
      </c>
      <c r="N1176" s="33"/>
      <c r="O1176" s="93">
        <f>IFERROR(IF(Readings[[#This Row],[Obs. X]]="","-",Readings[[#This Row],[Obs. X]]-_xlfn.XLOOKUP(Readings[[#This Row],[Sensor ID]],Table_Baseline[Sensor ID],Table_Baseline[Easting '[m']],"-")),"-")</f>
        <v>-9.9999999656574801E-4</v>
      </c>
      <c r="P1176" s="93">
        <f>IFERROR(IF(Readings[[#This Row],[Obs. Y]]="","-",Readings[[#This Row],[Obs. Y]]-_xlfn.XLOOKUP(Readings[[#This Row],[Sensor ID]],Table_Baseline[Sensor ID],Table_Baseline[Northing '[m']],"-")),"-")</f>
        <v>-9.9999998928979039E-4</v>
      </c>
      <c r="Q1176" s="93">
        <f>IFERROR(IF(Readings[[#This Row],[Obs. Z]]="","-",Readings[[#This Row],[Obs. Z]]-_xlfn.XLOOKUP(Readings[[#This Row],[Sensor ID]],Table_Baseline[Sensor ID],Table_Baseline[Level '[m']],"-")),"-")</f>
        <v>0</v>
      </c>
      <c r="R1176" s="93">
        <f>IFERROR(IF(Readings[[#This Row],[Reference Angle]]="-","-",(Readings[[#This Row],[Diff E]]*COS(RADIANS(Readings[[#This Row],[Reference Angle]]))-Readings[[#This Row],[Diff N]]*SIN(RADIANS(Readings[[#This Row],[Reference Angle]])))),"-")</f>
        <v>-9.9999999656574801E-4</v>
      </c>
      <c r="S1176" s="93">
        <f>IFERROR(IF(Readings[[#This Row],[Reference Angle]]="-","-",(Readings[[#This Row],[Diff E]]*SIN(RADIANS(Readings[[#This Row],[Reference Angle]]))+Readings[[#This Row],[Diff N]]*COS(RADIANS(Readings[[#This Row],[Reference Angle]])))),"-")</f>
        <v>-9.9999998928979039E-4</v>
      </c>
      <c r="T1176" s="94">
        <f>IFERROR(VLOOKUP(Readings[[#This Row],[Sensor ID]],Table_Baseline[],COLUMNS(Table_Baseline[[#Headers],[Sensor ID]:[Reference Angle '[Deg']]]),FALSE),"-")</f>
        <v>0</v>
      </c>
      <c r="U1176" s="95" t="str">
        <f>Readings[[#This Row],[Sensor ID]]&amp;"-"&amp;Readings[[#This Row],[Epoch]]</f>
        <v>250-RL-OP-11001-45873.2916666667</v>
      </c>
      <c r="V1176" s="99">
        <f ca="1">IF(Readings[[#This Row],[Epoch]]=OFFSET(Readings[[#This Row],[Epoch]],-1,0),0,1)</f>
        <v>1</v>
      </c>
    </row>
    <row r="1177" spans="4:22" x14ac:dyDescent="0.2">
      <c r="D1177" s="32">
        <v>45873.291666666664</v>
      </c>
      <c r="E1177" s="33" t="s">
        <v>171</v>
      </c>
      <c r="F1177" s="34">
        <v>60034.957999999999</v>
      </c>
      <c r="G1177" s="34">
        <v>363844.47100000002</v>
      </c>
      <c r="H1177" s="34">
        <v>18.777999999999999</v>
      </c>
      <c r="I1177" s="33" t="s">
        <v>85</v>
      </c>
      <c r="J1177" s="33" t="s">
        <v>90</v>
      </c>
      <c r="K1177" s="33">
        <v>13.9</v>
      </c>
      <c r="L1177" s="33">
        <v>1016</v>
      </c>
      <c r="M1177" s="33">
        <v>57</v>
      </c>
      <c r="N1177" s="33"/>
      <c r="O1177" s="93">
        <f>IFERROR(IF(Readings[[#This Row],[Obs. X]]="","-",Readings[[#This Row],[Obs. X]]-_xlfn.XLOOKUP(Readings[[#This Row],[Sensor ID]],Table_Baseline[Sensor ID],Table_Baseline[Easting '[m']],"-")),"-")</f>
        <v>-1.0000000038417056E-3</v>
      </c>
      <c r="P1177" s="93">
        <f>IFERROR(IF(Readings[[#This Row],[Obs. Y]]="","-",Readings[[#This Row],[Obs. Y]]-_xlfn.XLOOKUP(Readings[[#This Row],[Sensor ID]],Table_Baseline[Sensor ID],Table_Baseline[Northing '[m']],"-")),"-")</f>
        <v>0</v>
      </c>
      <c r="Q1177" s="93">
        <f>IFERROR(IF(Readings[[#This Row],[Obs. Z]]="","-",Readings[[#This Row],[Obs. Z]]-_xlfn.XLOOKUP(Readings[[#This Row],[Sensor ID]],Table_Baseline[Sensor ID],Table_Baseline[Level '[m']],"-")),"-")</f>
        <v>-9.9999999999766942E-5</v>
      </c>
      <c r="R1177" s="93">
        <f>IFERROR(IF(Readings[[#This Row],[Reference Angle]]="-","-",(Readings[[#This Row],[Diff E]]*COS(RADIANS(Readings[[#This Row],[Reference Angle]]))-Readings[[#This Row],[Diff N]]*SIN(RADIANS(Readings[[#This Row],[Reference Angle]])))),"-")</f>
        <v>-1.0000000038417056E-3</v>
      </c>
      <c r="S1177" s="93">
        <f>IFERROR(IF(Readings[[#This Row],[Reference Angle]]="-","-",(Readings[[#This Row],[Diff E]]*SIN(RADIANS(Readings[[#This Row],[Reference Angle]]))+Readings[[#This Row],[Diff N]]*COS(RADIANS(Readings[[#This Row],[Reference Angle]])))),"-")</f>
        <v>0</v>
      </c>
      <c r="T1177" s="94">
        <f>IFERROR(VLOOKUP(Readings[[#This Row],[Sensor ID]],Table_Baseline[],COLUMNS(Table_Baseline[[#Headers],[Sensor ID]:[Reference Angle '[Deg']]]),FALSE),"-")</f>
        <v>0</v>
      </c>
      <c r="U1177" s="95" t="str">
        <f>Readings[[#This Row],[Sensor ID]]&amp;"-"&amp;Readings[[#This Row],[Epoch]]</f>
        <v>250-RL-OP-11002-45873.2916666667</v>
      </c>
      <c r="V1177" s="99">
        <f ca="1">IF(Readings[[#This Row],[Epoch]]=OFFSET(Readings[[#This Row],[Epoch]],-1,0),0,1)</f>
        <v>0</v>
      </c>
    </row>
    <row r="1178" spans="4:22" x14ac:dyDescent="0.2">
      <c r="D1178" s="32">
        <v>45873.291666666664</v>
      </c>
      <c r="E1178" s="33" t="s">
        <v>174</v>
      </c>
      <c r="F1178" s="34">
        <v>60038.116999999998</v>
      </c>
      <c r="G1178" s="34">
        <v>363844.94500000001</v>
      </c>
      <c r="H1178" s="34">
        <v>18.777999999999999</v>
      </c>
      <c r="I1178" s="33" t="s">
        <v>85</v>
      </c>
      <c r="J1178" s="33" t="s">
        <v>90</v>
      </c>
      <c r="K1178" s="33">
        <v>13.9</v>
      </c>
      <c r="L1178" s="33">
        <v>1016</v>
      </c>
      <c r="M1178" s="33">
        <v>57</v>
      </c>
      <c r="N1178" s="33"/>
      <c r="O1178" s="93">
        <f>IFERROR(IF(Readings[[#This Row],[Obs. X]]="","-",Readings[[#This Row],[Obs. X]]-_xlfn.XLOOKUP(Readings[[#This Row],[Sensor ID]],Table_Baseline[Sensor ID],Table_Baseline[Easting '[m']],"-")),"-")</f>
        <v>-1.0000000038417056E-3</v>
      </c>
      <c r="P1178" s="93">
        <f>IFERROR(IF(Readings[[#This Row],[Obs. Y]]="","-",Readings[[#This Row],[Obs. Y]]-_xlfn.XLOOKUP(Readings[[#This Row],[Sensor ID]],Table_Baseline[Sensor ID],Table_Baseline[Northing '[m']],"-")),"-")</f>
        <v>0</v>
      </c>
      <c r="Q1178" s="93">
        <f>IFERROR(IF(Readings[[#This Row],[Obs. Z]]="","-",Readings[[#This Row],[Obs. Z]]-_xlfn.XLOOKUP(Readings[[#This Row],[Sensor ID]],Table_Baseline[Sensor ID],Table_Baseline[Level '[m']],"-")),"-")</f>
        <v>-8.0000000000168825E-4</v>
      </c>
      <c r="R1178" s="93">
        <f>IFERROR(IF(Readings[[#This Row],[Reference Angle]]="-","-",(Readings[[#This Row],[Diff E]]*COS(RADIANS(Readings[[#This Row],[Reference Angle]]))-Readings[[#This Row],[Diff N]]*SIN(RADIANS(Readings[[#This Row],[Reference Angle]])))),"-")</f>
        <v>-1.0000000038417056E-3</v>
      </c>
      <c r="S1178" s="93">
        <f>IFERROR(IF(Readings[[#This Row],[Reference Angle]]="-","-",(Readings[[#This Row],[Diff E]]*SIN(RADIANS(Readings[[#This Row],[Reference Angle]]))+Readings[[#This Row],[Diff N]]*COS(RADIANS(Readings[[#This Row],[Reference Angle]])))),"-")</f>
        <v>0</v>
      </c>
      <c r="T1178" s="94">
        <f>IFERROR(VLOOKUP(Readings[[#This Row],[Sensor ID]],Table_Baseline[],COLUMNS(Table_Baseline[[#Headers],[Sensor ID]:[Reference Angle '[Deg']]]),FALSE),"-")</f>
        <v>0</v>
      </c>
      <c r="U1178" s="95" t="str">
        <f>Readings[[#This Row],[Sensor ID]]&amp;"-"&amp;Readings[[#This Row],[Epoch]]</f>
        <v>250-RL-OP-11003-45873.2916666667</v>
      </c>
      <c r="V1178" s="99">
        <f ca="1">IF(Readings[[#This Row],[Epoch]]=OFFSET(Readings[[#This Row],[Epoch]],-1,0),0,1)</f>
        <v>0</v>
      </c>
    </row>
    <row r="1179" spans="4:22" x14ac:dyDescent="0.2">
      <c r="D1179" s="32">
        <v>45873.291666666664</v>
      </c>
      <c r="E1179" s="33" t="s">
        <v>173</v>
      </c>
      <c r="F1179" s="34">
        <v>60037.803999999996</v>
      </c>
      <c r="G1179" s="34">
        <v>363843.65700000001</v>
      </c>
      <c r="H1179" s="34">
        <v>18.777999999999999</v>
      </c>
      <c r="I1179" s="33" t="s">
        <v>85</v>
      </c>
      <c r="J1179" s="33" t="s">
        <v>90</v>
      </c>
      <c r="K1179" s="33">
        <v>13.9</v>
      </c>
      <c r="L1179" s="33">
        <v>1016</v>
      </c>
      <c r="M1179" s="33">
        <v>57</v>
      </c>
      <c r="N1179" s="33"/>
      <c r="O1179" s="93">
        <f>IFERROR(IF(Readings[[#This Row],[Obs. X]]="","-",Readings[[#This Row],[Obs. X]]-_xlfn.XLOOKUP(Readings[[#This Row],[Sensor ID]],Table_Baseline[Sensor ID],Table_Baseline[Easting '[m']],"-")),"-")</f>
        <v>-1.0000000038417056E-3</v>
      </c>
      <c r="P1179" s="93">
        <f>IFERROR(IF(Readings[[#This Row],[Obs. Y]]="","-",Readings[[#This Row],[Obs. Y]]-_xlfn.XLOOKUP(Readings[[#This Row],[Sensor ID]],Table_Baseline[Sensor ID],Table_Baseline[Northing '[m']],"-")),"-")</f>
        <v>0</v>
      </c>
      <c r="Q1179" s="93">
        <f>IFERROR(IF(Readings[[#This Row],[Obs. Z]]="","-",Readings[[#This Row],[Obs. Z]]-_xlfn.XLOOKUP(Readings[[#This Row],[Sensor ID]],Table_Baseline[Sensor ID],Table_Baseline[Level '[m']],"-")),"-")</f>
        <v>-5.0000000000238742E-4</v>
      </c>
      <c r="R1179" s="93">
        <f>IFERROR(IF(Readings[[#This Row],[Reference Angle]]="-","-",(Readings[[#This Row],[Diff E]]*COS(RADIANS(Readings[[#This Row],[Reference Angle]]))-Readings[[#This Row],[Diff N]]*SIN(RADIANS(Readings[[#This Row],[Reference Angle]])))),"-")</f>
        <v>-1.0000000038417056E-3</v>
      </c>
      <c r="S1179" s="93">
        <f>IFERROR(IF(Readings[[#This Row],[Reference Angle]]="-","-",(Readings[[#This Row],[Diff E]]*SIN(RADIANS(Readings[[#This Row],[Reference Angle]]))+Readings[[#This Row],[Diff N]]*COS(RADIANS(Readings[[#This Row],[Reference Angle]])))),"-")</f>
        <v>0</v>
      </c>
      <c r="T1179" s="94">
        <f>IFERROR(VLOOKUP(Readings[[#This Row],[Sensor ID]],Table_Baseline[],COLUMNS(Table_Baseline[[#Headers],[Sensor ID]:[Reference Angle '[Deg']]]),FALSE),"-")</f>
        <v>0</v>
      </c>
      <c r="U1179" s="95" t="str">
        <f>Readings[[#This Row],[Sensor ID]]&amp;"-"&amp;Readings[[#This Row],[Epoch]]</f>
        <v>250-RL-OP-11004-45873.2916666667</v>
      </c>
      <c r="V1179" s="99">
        <f ca="1">IF(Readings[[#This Row],[Epoch]]=OFFSET(Readings[[#This Row],[Epoch]],-1,0),0,1)</f>
        <v>0</v>
      </c>
    </row>
    <row r="1180" spans="4:22" x14ac:dyDescent="0.2">
      <c r="D1180" s="32">
        <v>45873.291666666664</v>
      </c>
      <c r="E1180" s="33" t="s">
        <v>176</v>
      </c>
      <c r="F1180" s="34">
        <v>60040.968000000001</v>
      </c>
      <c r="G1180" s="34">
        <v>363844.11800000002</v>
      </c>
      <c r="H1180" s="34">
        <v>18.777999999999999</v>
      </c>
      <c r="I1180" s="33" t="s">
        <v>85</v>
      </c>
      <c r="J1180" s="33" t="s">
        <v>90</v>
      </c>
      <c r="K1180" s="33">
        <v>13.9</v>
      </c>
      <c r="L1180" s="33">
        <v>1016</v>
      </c>
      <c r="M1180" s="33">
        <v>57</v>
      </c>
      <c r="N1180" s="33"/>
      <c r="O1180" s="93">
        <f>IFERROR(IF(Readings[[#This Row],[Obs. X]]="","-",Readings[[#This Row],[Obs. X]]-_xlfn.XLOOKUP(Readings[[#This Row],[Sensor ID]],Table_Baseline[Sensor ID],Table_Baseline[Easting '[m']],"-")),"-")</f>
        <v>-9.9999999656574801E-4</v>
      </c>
      <c r="P1180" s="93">
        <f>IFERROR(IF(Readings[[#This Row],[Obs. Y]]="","-",Readings[[#This Row],[Obs. Y]]-_xlfn.XLOOKUP(Readings[[#This Row],[Sensor ID]],Table_Baseline[Sensor ID],Table_Baseline[Northing '[m']],"-")),"-")</f>
        <v>0</v>
      </c>
      <c r="Q1180" s="93">
        <f>IFERROR(IF(Readings[[#This Row],[Obs. Z]]="","-",Readings[[#This Row],[Obs. Z]]-_xlfn.XLOOKUP(Readings[[#This Row],[Sensor ID]],Table_Baseline[Sensor ID],Table_Baseline[Level '[m']],"-")),"-")</f>
        <v>-1.0000000000012221E-3</v>
      </c>
      <c r="R1180" s="93">
        <f>IFERROR(IF(Readings[[#This Row],[Reference Angle]]="-","-",(Readings[[#This Row],[Diff E]]*COS(RADIANS(Readings[[#This Row],[Reference Angle]]))-Readings[[#This Row],[Diff N]]*SIN(RADIANS(Readings[[#This Row],[Reference Angle]])))),"-")</f>
        <v>-9.9999999656574801E-4</v>
      </c>
      <c r="S1180" s="93">
        <f>IFERROR(IF(Readings[[#This Row],[Reference Angle]]="-","-",(Readings[[#This Row],[Diff E]]*SIN(RADIANS(Readings[[#This Row],[Reference Angle]]))+Readings[[#This Row],[Diff N]]*COS(RADIANS(Readings[[#This Row],[Reference Angle]])))),"-")</f>
        <v>0</v>
      </c>
      <c r="T1180" s="94">
        <f>IFERROR(VLOOKUP(Readings[[#This Row],[Sensor ID]],Table_Baseline[],COLUMNS(Table_Baseline[[#Headers],[Sensor ID]:[Reference Angle '[Deg']]]),FALSE),"-")</f>
        <v>0</v>
      </c>
      <c r="U1180" s="95" t="str">
        <f>Readings[[#This Row],[Sensor ID]]&amp;"-"&amp;Readings[[#This Row],[Epoch]]</f>
        <v>250-RL-OP-11005-45873.2916666667</v>
      </c>
      <c r="V1180" s="99">
        <f ca="1">IF(Readings[[#This Row],[Epoch]]=OFFSET(Readings[[#This Row],[Epoch]],-1,0),0,1)</f>
        <v>0</v>
      </c>
    </row>
    <row r="1181" spans="4:22" x14ac:dyDescent="0.2">
      <c r="D1181" s="32">
        <v>45873.291666666664</v>
      </c>
      <c r="E1181" s="33" t="s">
        <v>175</v>
      </c>
      <c r="F1181" s="34">
        <v>60040.606</v>
      </c>
      <c r="G1181" s="34">
        <v>363842.86199999996</v>
      </c>
      <c r="H1181" s="34">
        <v>18.771000000000001</v>
      </c>
      <c r="I1181" s="33" t="s">
        <v>85</v>
      </c>
      <c r="J1181" s="33" t="s">
        <v>90</v>
      </c>
      <c r="K1181" s="33">
        <v>13.9</v>
      </c>
      <c r="L1181" s="33">
        <v>1016</v>
      </c>
      <c r="M1181" s="33">
        <v>57</v>
      </c>
      <c r="N1181" s="33"/>
      <c r="O1181" s="93">
        <f>IFERROR(IF(Readings[[#This Row],[Obs. X]]="","-",Readings[[#This Row],[Obs. X]]-_xlfn.XLOOKUP(Readings[[#This Row],[Sensor ID]],Table_Baseline[Sensor ID],Table_Baseline[Easting '[m']],"-")),"-")</f>
        <v>-1.0000000038417056E-3</v>
      </c>
      <c r="P1181" s="93">
        <f>IFERROR(IF(Readings[[#This Row],[Obs. Y]]="","-",Readings[[#This Row],[Obs. Y]]-_xlfn.XLOOKUP(Readings[[#This Row],[Sensor ID]],Table_Baseline[Sensor ID],Table_Baseline[Northing '[m']],"-")),"-")</f>
        <v>9.9999993108212948E-4</v>
      </c>
      <c r="Q1181" s="93">
        <f>IFERROR(IF(Readings[[#This Row],[Obs. Z]]="","-",Readings[[#This Row],[Obs. Z]]-_xlfn.XLOOKUP(Readings[[#This Row],[Sensor ID]],Table_Baseline[Sensor ID],Table_Baseline[Level '[m']],"-")),"-")</f>
        <v>-9.9999999999766942E-4</v>
      </c>
      <c r="R1181" s="93">
        <f>IFERROR(IF(Readings[[#This Row],[Reference Angle]]="-","-",(Readings[[#This Row],[Diff E]]*COS(RADIANS(Readings[[#This Row],[Reference Angle]]))-Readings[[#This Row],[Diff N]]*SIN(RADIANS(Readings[[#This Row],[Reference Angle]])))),"-")</f>
        <v>-1.0000000038417056E-3</v>
      </c>
      <c r="S1181" s="93">
        <f>IFERROR(IF(Readings[[#This Row],[Reference Angle]]="-","-",(Readings[[#This Row],[Diff E]]*SIN(RADIANS(Readings[[#This Row],[Reference Angle]]))+Readings[[#This Row],[Diff N]]*COS(RADIANS(Readings[[#This Row],[Reference Angle]])))),"-")</f>
        <v>9.9999993108212948E-4</v>
      </c>
      <c r="T1181" s="94">
        <f>IFERROR(VLOOKUP(Readings[[#This Row],[Sensor ID]],Table_Baseline[],COLUMNS(Table_Baseline[[#Headers],[Sensor ID]:[Reference Angle '[Deg']]]),FALSE),"-")</f>
        <v>0</v>
      </c>
      <c r="U1181" s="95" t="str">
        <f>Readings[[#This Row],[Sensor ID]]&amp;"-"&amp;Readings[[#This Row],[Epoch]]</f>
        <v>250-RL-OP-11006-45873.2916666667</v>
      </c>
      <c r="V1181" s="99">
        <f ca="1">IF(Readings[[#This Row],[Epoch]]=OFFSET(Readings[[#This Row],[Epoch]],-1,0),0,1)</f>
        <v>0</v>
      </c>
    </row>
    <row r="1182" spans="4:22" x14ac:dyDescent="0.2">
      <c r="D1182" s="32">
        <v>45873.291666666664</v>
      </c>
      <c r="E1182" s="33" t="s">
        <v>178</v>
      </c>
      <c r="F1182" s="34">
        <v>60043.758000000002</v>
      </c>
      <c r="G1182" s="34">
        <v>363843.31599999999</v>
      </c>
      <c r="H1182" s="34">
        <v>18.773</v>
      </c>
      <c r="I1182" s="33" t="s">
        <v>85</v>
      </c>
      <c r="J1182" s="33" t="s">
        <v>90</v>
      </c>
      <c r="K1182" s="33">
        <v>13.9</v>
      </c>
      <c r="L1182" s="33">
        <v>1016</v>
      </c>
      <c r="M1182" s="33">
        <v>57</v>
      </c>
      <c r="N1182" s="33"/>
      <c r="O1182" s="93">
        <f>IFERROR(IF(Readings[[#This Row],[Obs. X]]="","-",Readings[[#This Row],[Obs. X]]-_xlfn.XLOOKUP(Readings[[#This Row],[Sensor ID]],Table_Baseline[Sensor ID],Table_Baseline[Easting '[m']],"-")),"-")</f>
        <v>-9.9999999656574801E-4</v>
      </c>
      <c r="P1182" s="93">
        <f>IFERROR(IF(Readings[[#This Row],[Obs. Y]]="","-",Readings[[#This Row],[Obs. Y]]-_xlfn.XLOOKUP(Readings[[#This Row],[Sensor ID]],Table_Baseline[Sensor ID],Table_Baseline[Northing '[m']],"-")),"-")</f>
        <v>1.9999999785795808E-3</v>
      </c>
      <c r="Q1182" s="93">
        <f>IFERROR(IF(Readings[[#This Row],[Obs. Z]]="","-",Readings[[#This Row],[Obs. Z]]-_xlfn.XLOOKUP(Readings[[#This Row],[Sensor ID]],Table_Baseline[Sensor ID],Table_Baseline[Level '[m']],"-")),"-")</f>
        <v>-1.1000000000009891E-3</v>
      </c>
      <c r="R1182" s="93">
        <f>IFERROR(IF(Readings[[#This Row],[Reference Angle]]="-","-",(Readings[[#This Row],[Diff E]]*COS(RADIANS(Readings[[#This Row],[Reference Angle]]))-Readings[[#This Row],[Diff N]]*SIN(RADIANS(Readings[[#This Row],[Reference Angle]])))),"-")</f>
        <v>-9.9999999656574801E-4</v>
      </c>
      <c r="S1182" s="93">
        <f>IFERROR(IF(Readings[[#This Row],[Reference Angle]]="-","-",(Readings[[#This Row],[Diff E]]*SIN(RADIANS(Readings[[#This Row],[Reference Angle]]))+Readings[[#This Row],[Diff N]]*COS(RADIANS(Readings[[#This Row],[Reference Angle]])))),"-")</f>
        <v>1.9999999785795808E-3</v>
      </c>
      <c r="T1182" s="94">
        <f>IFERROR(VLOOKUP(Readings[[#This Row],[Sensor ID]],Table_Baseline[],COLUMNS(Table_Baseline[[#Headers],[Sensor ID]:[Reference Angle '[Deg']]]),FALSE),"-")</f>
        <v>0</v>
      </c>
      <c r="U1182" s="95" t="str">
        <f>Readings[[#This Row],[Sensor ID]]&amp;"-"&amp;Readings[[#This Row],[Epoch]]</f>
        <v>250-RL-OP-11007-45873.2916666667</v>
      </c>
      <c r="V1182" s="99">
        <f ca="1">IF(Readings[[#This Row],[Epoch]]=OFFSET(Readings[[#This Row],[Epoch]],-1,0),0,1)</f>
        <v>0</v>
      </c>
    </row>
    <row r="1183" spans="4:22" x14ac:dyDescent="0.2">
      <c r="D1183" s="32">
        <v>45873.291666666664</v>
      </c>
      <c r="E1183" s="33" t="s">
        <v>177</v>
      </c>
      <c r="F1183" s="34">
        <v>60043.440999999999</v>
      </c>
      <c r="G1183" s="34">
        <v>363842.04200000002</v>
      </c>
      <c r="H1183" s="34">
        <v>18.768000000000001</v>
      </c>
      <c r="I1183" s="33" t="s">
        <v>85</v>
      </c>
      <c r="J1183" s="33" t="s">
        <v>90</v>
      </c>
      <c r="K1183" s="33">
        <v>13.9</v>
      </c>
      <c r="L1183" s="33">
        <v>1016</v>
      </c>
      <c r="M1183" s="33">
        <v>57</v>
      </c>
      <c r="N1183" s="33"/>
      <c r="O1183" s="93">
        <f>IFERROR(IF(Readings[[#This Row],[Obs. X]]="","-",Readings[[#This Row],[Obs. X]]-_xlfn.XLOOKUP(Readings[[#This Row],[Sensor ID]],Table_Baseline[Sensor ID],Table_Baseline[Easting '[m']],"-")),"-")</f>
        <v>0</v>
      </c>
      <c r="P1183" s="93">
        <f>IFERROR(IF(Readings[[#This Row],[Obs. Y]]="","-",Readings[[#This Row],[Obs. Y]]-_xlfn.XLOOKUP(Readings[[#This Row],[Sensor ID]],Table_Baseline[Sensor ID],Table_Baseline[Northing '[m']],"-")),"-")</f>
        <v>1.9999999785795808E-3</v>
      </c>
      <c r="Q1183" s="93">
        <f>IFERROR(IF(Readings[[#This Row],[Obs. Z]]="","-",Readings[[#This Row],[Obs. Z]]-_xlfn.XLOOKUP(Readings[[#This Row],[Sensor ID]],Table_Baseline[Sensor ID],Table_Baseline[Level '[m']],"-")),"-")</f>
        <v>-2.9999999999930083E-4</v>
      </c>
      <c r="R1183" s="93">
        <f>IFERROR(IF(Readings[[#This Row],[Reference Angle]]="-","-",(Readings[[#This Row],[Diff E]]*COS(RADIANS(Readings[[#This Row],[Reference Angle]]))-Readings[[#This Row],[Diff N]]*SIN(RADIANS(Readings[[#This Row],[Reference Angle]])))),"-")</f>
        <v>0</v>
      </c>
      <c r="S1183" s="93">
        <f>IFERROR(IF(Readings[[#This Row],[Reference Angle]]="-","-",(Readings[[#This Row],[Diff E]]*SIN(RADIANS(Readings[[#This Row],[Reference Angle]]))+Readings[[#This Row],[Diff N]]*COS(RADIANS(Readings[[#This Row],[Reference Angle]])))),"-")</f>
        <v>1.9999999785795808E-3</v>
      </c>
      <c r="T1183" s="94">
        <f>IFERROR(VLOOKUP(Readings[[#This Row],[Sensor ID]],Table_Baseline[],COLUMNS(Table_Baseline[[#Headers],[Sensor ID]:[Reference Angle '[Deg']]]),FALSE),"-")</f>
        <v>0</v>
      </c>
      <c r="U1183" s="95" t="str">
        <f>Readings[[#This Row],[Sensor ID]]&amp;"-"&amp;Readings[[#This Row],[Epoch]]</f>
        <v>250-RL-OP-11008-45873.2916666667</v>
      </c>
      <c r="V1183" s="99">
        <f ca="1">IF(Readings[[#This Row],[Epoch]]=OFFSET(Readings[[#This Row],[Epoch]],-1,0),0,1)</f>
        <v>0</v>
      </c>
    </row>
    <row r="1184" spans="4:22" x14ac:dyDescent="0.2">
      <c r="D1184" s="32">
        <v>45873.291666666664</v>
      </c>
      <c r="E1184" s="33" t="s">
        <v>180</v>
      </c>
      <c r="F1184" s="34">
        <v>60046.633000000002</v>
      </c>
      <c r="G1184" s="34">
        <v>363842.48600000003</v>
      </c>
      <c r="H1184" s="34">
        <v>18.777000000000001</v>
      </c>
      <c r="I1184" s="33" t="s">
        <v>85</v>
      </c>
      <c r="J1184" s="33" t="s">
        <v>90</v>
      </c>
      <c r="K1184" s="33">
        <v>13.9</v>
      </c>
      <c r="L1184" s="33">
        <v>1016</v>
      </c>
      <c r="M1184" s="33">
        <v>57</v>
      </c>
      <c r="N1184" s="33"/>
      <c r="O1184" s="93">
        <f>IFERROR(IF(Readings[[#This Row],[Obs. X]]="","-",Readings[[#This Row],[Obs. X]]-_xlfn.XLOOKUP(Readings[[#This Row],[Sensor ID]],Table_Baseline[Sensor ID],Table_Baseline[Easting '[m']],"-")),"-")</f>
        <v>0</v>
      </c>
      <c r="P1184" s="93">
        <f>IFERROR(IF(Readings[[#This Row],[Obs. Y]]="","-",Readings[[#This Row],[Obs. Y]]-_xlfn.XLOOKUP(Readings[[#This Row],[Sensor ID]],Table_Baseline[Sensor ID],Table_Baseline[Northing '[m']],"-")),"-")</f>
        <v>1.0000000474974513E-3</v>
      </c>
      <c r="Q1184" s="93">
        <f>IFERROR(IF(Readings[[#This Row],[Obs. Z]]="","-",Readings[[#This Row],[Obs. Z]]-_xlfn.XLOOKUP(Readings[[#This Row],[Sensor ID]],Table_Baseline[Sensor ID],Table_Baseline[Level '[m']],"-")),"-")</f>
        <v>-5.9999999999860165E-4</v>
      </c>
      <c r="R1184" s="93">
        <f>IFERROR(IF(Readings[[#This Row],[Reference Angle]]="-","-",(Readings[[#This Row],[Diff E]]*COS(RADIANS(Readings[[#This Row],[Reference Angle]]))-Readings[[#This Row],[Diff N]]*SIN(RADIANS(Readings[[#This Row],[Reference Angle]])))),"-")</f>
        <v>0</v>
      </c>
      <c r="S1184" s="93">
        <f>IFERROR(IF(Readings[[#This Row],[Reference Angle]]="-","-",(Readings[[#This Row],[Diff E]]*SIN(RADIANS(Readings[[#This Row],[Reference Angle]]))+Readings[[#This Row],[Diff N]]*COS(RADIANS(Readings[[#This Row],[Reference Angle]])))),"-")</f>
        <v>1.0000000474974513E-3</v>
      </c>
      <c r="T1184" s="94">
        <f>IFERROR(VLOOKUP(Readings[[#This Row],[Sensor ID]],Table_Baseline[],COLUMNS(Table_Baseline[[#Headers],[Sensor ID]:[Reference Angle '[Deg']]]),FALSE),"-")</f>
        <v>0</v>
      </c>
      <c r="U1184" s="95" t="str">
        <f>Readings[[#This Row],[Sensor ID]]&amp;"-"&amp;Readings[[#This Row],[Epoch]]</f>
        <v>250-RL-OP-11009-45873.2916666667</v>
      </c>
      <c r="V1184" s="99">
        <f ca="1">IF(Readings[[#This Row],[Epoch]]=OFFSET(Readings[[#This Row],[Epoch]],-1,0),0,1)</f>
        <v>0</v>
      </c>
    </row>
    <row r="1185" spans="4:22" x14ac:dyDescent="0.2">
      <c r="D1185" s="32">
        <v>45873.291666666664</v>
      </c>
      <c r="E1185" s="33" t="s">
        <v>179</v>
      </c>
      <c r="F1185" s="34">
        <v>60046.249000000003</v>
      </c>
      <c r="G1185" s="34">
        <v>363841.228</v>
      </c>
      <c r="H1185" s="34">
        <v>18.77</v>
      </c>
      <c r="I1185" s="33" t="s">
        <v>85</v>
      </c>
      <c r="J1185" s="33" t="s">
        <v>90</v>
      </c>
      <c r="K1185" s="33">
        <v>13.9</v>
      </c>
      <c r="L1185" s="33">
        <v>1016</v>
      </c>
      <c r="M1185" s="33">
        <v>57</v>
      </c>
      <c r="N1185" s="33"/>
      <c r="O1185" s="93">
        <f>IFERROR(IF(Readings[[#This Row],[Obs. X]]="","-",Readings[[#This Row],[Obs. X]]-_xlfn.XLOOKUP(Readings[[#This Row],[Sensor ID]],Table_Baseline[Sensor ID],Table_Baseline[Easting '[m']],"-")),"-")</f>
        <v>-9.9999999656574801E-4</v>
      </c>
      <c r="P1185" s="93">
        <f>IFERROR(IF(Readings[[#This Row],[Obs. Y]]="","-",Readings[[#This Row],[Obs. Y]]-_xlfn.XLOOKUP(Readings[[#This Row],[Sensor ID]],Table_Baseline[Sensor ID],Table_Baseline[Northing '[m']],"-")),"-")</f>
        <v>1.9999999785795808E-3</v>
      </c>
      <c r="Q1185" s="93">
        <f>IFERROR(IF(Readings[[#This Row],[Obs. Z]]="","-",Readings[[#This Row],[Obs. Z]]-_xlfn.XLOOKUP(Readings[[#This Row],[Sensor ID]],Table_Baseline[Sensor ID],Table_Baseline[Level '[m']],"-")),"-")</f>
        <v>1.9999999999953388E-4</v>
      </c>
      <c r="R1185" s="93">
        <f>IFERROR(IF(Readings[[#This Row],[Reference Angle]]="-","-",(Readings[[#This Row],[Diff E]]*COS(RADIANS(Readings[[#This Row],[Reference Angle]]))-Readings[[#This Row],[Diff N]]*SIN(RADIANS(Readings[[#This Row],[Reference Angle]])))),"-")</f>
        <v>-9.9999999656574801E-4</v>
      </c>
      <c r="S1185" s="93">
        <f>IFERROR(IF(Readings[[#This Row],[Reference Angle]]="-","-",(Readings[[#This Row],[Diff E]]*SIN(RADIANS(Readings[[#This Row],[Reference Angle]]))+Readings[[#This Row],[Diff N]]*COS(RADIANS(Readings[[#This Row],[Reference Angle]])))),"-")</f>
        <v>1.9999999785795808E-3</v>
      </c>
      <c r="T1185" s="94">
        <f>IFERROR(VLOOKUP(Readings[[#This Row],[Sensor ID]],Table_Baseline[],COLUMNS(Table_Baseline[[#Headers],[Sensor ID]:[Reference Angle '[Deg']]]),FALSE),"-")</f>
        <v>0</v>
      </c>
      <c r="U1185" s="95" t="str">
        <f>Readings[[#This Row],[Sensor ID]]&amp;"-"&amp;Readings[[#This Row],[Epoch]]</f>
        <v>250-RL-OP-11010-45873.2916666667</v>
      </c>
      <c r="V1185" s="99">
        <f ca="1">IF(Readings[[#This Row],[Epoch]]=OFFSET(Readings[[#This Row],[Epoch]],-1,0),0,1)</f>
        <v>0</v>
      </c>
    </row>
    <row r="1186" spans="4:22" x14ac:dyDescent="0.2">
      <c r="D1186" s="32">
        <v>45873.291666666664</v>
      </c>
      <c r="E1186" s="33" t="s">
        <v>182</v>
      </c>
      <c r="F1186" s="34">
        <v>60049.398000000001</v>
      </c>
      <c r="G1186" s="34">
        <v>363841.7</v>
      </c>
      <c r="H1186" s="34">
        <v>18.777999999999999</v>
      </c>
      <c r="I1186" s="33" t="s">
        <v>85</v>
      </c>
      <c r="J1186" s="33" t="s">
        <v>90</v>
      </c>
      <c r="K1186" s="33">
        <v>13.9</v>
      </c>
      <c r="L1186" s="33">
        <v>1016</v>
      </c>
      <c r="M1186" s="33">
        <v>57</v>
      </c>
      <c r="N1186" s="33"/>
      <c r="O1186" s="93">
        <f>IFERROR(IF(Readings[[#This Row],[Obs. X]]="","-",Readings[[#This Row],[Obs. X]]-_xlfn.XLOOKUP(Readings[[#This Row],[Sensor ID]],Table_Baseline[Sensor ID],Table_Baseline[Easting '[m']],"-")),"-")</f>
        <v>-9.9999999656574801E-4</v>
      </c>
      <c r="P1186" s="93">
        <f>IFERROR(IF(Readings[[#This Row],[Obs. Y]]="","-",Readings[[#This Row],[Obs. Y]]-_xlfn.XLOOKUP(Readings[[#This Row],[Sensor ID]],Table_Baseline[Sensor ID],Table_Baseline[Northing '[m']],"-")),"-")</f>
        <v>2.0000000367872417E-3</v>
      </c>
      <c r="Q1186" s="93">
        <f>IFERROR(IF(Readings[[#This Row],[Obs. Z]]="","-",Readings[[#This Row],[Obs. Z]]-_xlfn.XLOOKUP(Readings[[#This Row],[Sensor ID]],Table_Baseline[Sensor ID],Table_Baseline[Level '[m']],"-")),"-")</f>
        <v>0</v>
      </c>
      <c r="R1186" s="93">
        <f>IFERROR(IF(Readings[[#This Row],[Reference Angle]]="-","-",(Readings[[#This Row],[Diff E]]*COS(RADIANS(Readings[[#This Row],[Reference Angle]]))-Readings[[#This Row],[Diff N]]*SIN(RADIANS(Readings[[#This Row],[Reference Angle]])))),"-")</f>
        <v>-9.9999999656574801E-4</v>
      </c>
      <c r="S1186" s="93">
        <f>IFERROR(IF(Readings[[#This Row],[Reference Angle]]="-","-",(Readings[[#This Row],[Diff E]]*SIN(RADIANS(Readings[[#This Row],[Reference Angle]]))+Readings[[#This Row],[Diff N]]*COS(RADIANS(Readings[[#This Row],[Reference Angle]])))),"-")</f>
        <v>2.0000000367872417E-3</v>
      </c>
      <c r="T1186" s="94">
        <f>IFERROR(VLOOKUP(Readings[[#This Row],[Sensor ID]],Table_Baseline[],COLUMNS(Table_Baseline[[#Headers],[Sensor ID]:[Reference Angle '[Deg']]]),FALSE),"-")</f>
        <v>0</v>
      </c>
      <c r="U1186" s="95" t="str">
        <f>Readings[[#This Row],[Sensor ID]]&amp;"-"&amp;Readings[[#This Row],[Epoch]]</f>
        <v>250-RL-OP-11011-45873.2916666667</v>
      </c>
      <c r="V1186" s="99">
        <f ca="1">IF(Readings[[#This Row],[Epoch]]=OFFSET(Readings[[#This Row],[Epoch]],-1,0),0,1)</f>
        <v>0</v>
      </c>
    </row>
    <row r="1187" spans="4:22" x14ac:dyDescent="0.2">
      <c r="D1187" s="32">
        <v>45873.291666666664</v>
      </c>
      <c r="E1187" s="33" t="s">
        <v>181</v>
      </c>
      <c r="F1187" s="34">
        <v>60049.040999999997</v>
      </c>
      <c r="G1187" s="34">
        <v>363840.43599999999</v>
      </c>
      <c r="H1187" s="34">
        <v>18.771000000000001</v>
      </c>
      <c r="I1187" s="33" t="s">
        <v>85</v>
      </c>
      <c r="J1187" s="33" t="s">
        <v>90</v>
      </c>
      <c r="K1187" s="33">
        <v>13.9</v>
      </c>
      <c r="L1187" s="33">
        <v>1016</v>
      </c>
      <c r="M1187" s="33">
        <v>57</v>
      </c>
      <c r="N1187" s="33"/>
      <c r="O1187" s="93">
        <f>IFERROR(IF(Readings[[#This Row],[Obs. X]]="","-",Readings[[#This Row],[Obs. X]]-_xlfn.XLOOKUP(Readings[[#This Row],[Sensor ID]],Table_Baseline[Sensor ID],Table_Baseline[Easting '[m']],"-")),"-")</f>
        <v>0</v>
      </c>
      <c r="P1187" s="93">
        <f>IFERROR(IF(Readings[[#This Row],[Obs. Y]]="","-",Readings[[#This Row],[Obs. Y]]-_xlfn.XLOOKUP(Readings[[#This Row],[Sensor ID]],Table_Baseline[Sensor ID],Table_Baseline[Northing '[m']],"-")),"-")</f>
        <v>3.0000000260770321E-3</v>
      </c>
      <c r="Q1187" s="93">
        <f>IFERROR(IF(Readings[[#This Row],[Obs. Z]]="","-",Readings[[#This Row],[Obs. Z]]-_xlfn.XLOOKUP(Readings[[#This Row],[Sensor ID]],Table_Baseline[Sensor ID],Table_Baseline[Level '[m']],"-")),"-")</f>
        <v>-9.9999999999766942E-5</v>
      </c>
      <c r="R1187" s="93">
        <f>IFERROR(IF(Readings[[#This Row],[Reference Angle]]="-","-",(Readings[[#This Row],[Diff E]]*COS(RADIANS(Readings[[#This Row],[Reference Angle]]))-Readings[[#This Row],[Diff N]]*SIN(RADIANS(Readings[[#This Row],[Reference Angle]])))),"-")</f>
        <v>0</v>
      </c>
      <c r="S1187" s="93">
        <f>IFERROR(IF(Readings[[#This Row],[Reference Angle]]="-","-",(Readings[[#This Row],[Diff E]]*SIN(RADIANS(Readings[[#This Row],[Reference Angle]]))+Readings[[#This Row],[Diff N]]*COS(RADIANS(Readings[[#This Row],[Reference Angle]])))),"-")</f>
        <v>3.0000000260770321E-3</v>
      </c>
      <c r="T1187" s="94">
        <f>IFERROR(VLOOKUP(Readings[[#This Row],[Sensor ID]],Table_Baseline[],COLUMNS(Table_Baseline[[#Headers],[Sensor ID]:[Reference Angle '[Deg']]]),FALSE),"-")</f>
        <v>0</v>
      </c>
      <c r="U1187" s="95" t="str">
        <f>Readings[[#This Row],[Sensor ID]]&amp;"-"&amp;Readings[[#This Row],[Epoch]]</f>
        <v>250-RL-OP-11012-45873.2916666667</v>
      </c>
      <c r="V1187" s="99">
        <f ca="1">IF(Readings[[#This Row],[Epoch]]=OFFSET(Readings[[#This Row],[Epoch]],-1,0),0,1)</f>
        <v>0</v>
      </c>
    </row>
    <row r="1188" spans="4:22" x14ac:dyDescent="0.2">
      <c r="D1188" s="32">
        <v>45873.291666666664</v>
      </c>
      <c r="E1188" s="33" t="s">
        <v>184</v>
      </c>
      <c r="F1188" s="34">
        <v>60052.292999999998</v>
      </c>
      <c r="G1188" s="34">
        <v>363840.88800000004</v>
      </c>
      <c r="H1188" s="34">
        <v>18.777999999999999</v>
      </c>
      <c r="I1188" s="33" t="s">
        <v>85</v>
      </c>
      <c r="J1188" s="33" t="s">
        <v>90</v>
      </c>
      <c r="K1188" s="33">
        <v>13.9</v>
      </c>
      <c r="L1188" s="33">
        <v>1016</v>
      </c>
      <c r="M1188" s="33">
        <v>57</v>
      </c>
      <c r="N1188" s="33"/>
      <c r="O1188" s="93">
        <f>IFERROR(IF(Readings[[#This Row],[Obs. X]]="","-",Readings[[#This Row],[Obs. X]]-_xlfn.XLOOKUP(Readings[[#This Row],[Sensor ID]],Table_Baseline[Sensor ID],Table_Baseline[Easting '[m']],"-")),"-")</f>
        <v>0</v>
      </c>
      <c r="P1188" s="93">
        <f>IFERROR(IF(Readings[[#This Row],[Obs. Y]]="","-",Readings[[#This Row],[Obs. Y]]-_xlfn.XLOOKUP(Readings[[#This Row],[Sensor ID]],Table_Baseline[Sensor ID],Table_Baseline[Northing '[m']],"-")),"-")</f>
        <v>3.0000000260770321E-3</v>
      </c>
      <c r="Q1188" s="93">
        <f>IFERROR(IF(Readings[[#This Row],[Obs. Z]]="","-",Readings[[#This Row],[Obs. Z]]-_xlfn.XLOOKUP(Readings[[#This Row],[Sensor ID]],Table_Baseline[Sensor ID],Table_Baseline[Level '[m']],"-")),"-")</f>
        <v>-1.0000000000012221E-3</v>
      </c>
      <c r="R1188" s="93">
        <f>IFERROR(IF(Readings[[#This Row],[Reference Angle]]="-","-",(Readings[[#This Row],[Diff E]]*COS(RADIANS(Readings[[#This Row],[Reference Angle]]))-Readings[[#This Row],[Diff N]]*SIN(RADIANS(Readings[[#This Row],[Reference Angle]])))),"-")</f>
        <v>0</v>
      </c>
      <c r="S1188" s="93">
        <f>IFERROR(IF(Readings[[#This Row],[Reference Angle]]="-","-",(Readings[[#This Row],[Diff E]]*SIN(RADIANS(Readings[[#This Row],[Reference Angle]]))+Readings[[#This Row],[Diff N]]*COS(RADIANS(Readings[[#This Row],[Reference Angle]])))),"-")</f>
        <v>3.0000000260770321E-3</v>
      </c>
      <c r="T1188" s="94">
        <f>IFERROR(VLOOKUP(Readings[[#This Row],[Sensor ID]],Table_Baseline[],COLUMNS(Table_Baseline[[#Headers],[Sensor ID]:[Reference Angle '[Deg']]]),FALSE),"-")</f>
        <v>0</v>
      </c>
      <c r="U1188" s="95" t="str">
        <f>Readings[[#This Row],[Sensor ID]]&amp;"-"&amp;Readings[[#This Row],[Epoch]]</f>
        <v>250-RL-OP-11013-45873.2916666667</v>
      </c>
      <c r="V1188" s="99">
        <f ca="1">IF(Readings[[#This Row],[Epoch]]=OFFSET(Readings[[#This Row],[Epoch]],-1,0),0,1)</f>
        <v>0</v>
      </c>
    </row>
    <row r="1189" spans="4:22" x14ac:dyDescent="0.2">
      <c r="D1189" s="32">
        <v>45873.291666666664</v>
      </c>
      <c r="E1189" s="33" t="s">
        <v>183</v>
      </c>
      <c r="F1189" s="34">
        <v>60051.989000000001</v>
      </c>
      <c r="G1189" s="34">
        <v>363839.60699999996</v>
      </c>
      <c r="H1189" s="34">
        <v>18.768999999999998</v>
      </c>
      <c r="I1189" s="33" t="s">
        <v>85</v>
      </c>
      <c r="J1189" s="33" t="s">
        <v>90</v>
      </c>
      <c r="K1189" s="33">
        <v>13.9</v>
      </c>
      <c r="L1189" s="33">
        <v>1016</v>
      </c>
      <c r="M1189" s="33">
        <v>57</v>
      </c>
      <c r="N1189" s="33"/>
      <c r="O1189" s="93">
        <f>IFERROR(IF(Readings[[#This Row],[Obs. X]]="","-",Readings[[#This Row],[Obs. X]]-_xlfn.XLOOKUP(Readings[[#This Row],[Sensor ID]],Table_Baseline[Sensor ID],Table_Baseline[Easting '[m']],"-")),"-")</f>
        <v>0</v>
      </c>
      <c r="P1189" s="93">
        <f>IFERROR(IF(Readings[[#This Row],[Obs. Y]]="","-",Readings[[#This Row],[Obs. Y]]-_xlfn.XLOOKUP(Readings[[#This Row],[Sensor ID]],Table_Baseline[Sensor ID],Table_Baseline[Northing '[m']],"-")),"-")</f>
        <v>3.9999999571591616E-3</v>
      </c>
      <c r="Q1189" s="93">
        <f>IFERROR(IF(Readings[[#This Row],[Obs. Z]]="","-",Readings[[#This Row],[Obs. Z]]-_xlfn.XLOOKUP(Readings[[#This Row],[Sensor ID]],Table_Baseline[Sensor ID],Table_Baseline[Level '[m']],"-")),"-")</f>
        <v>-1.1000000000009891E-3</v>
      </c>
      <c r="R1189" s="93">
        <f>IFERROR(IF(Readings[[#This Row],[Reference Angle]]="-","-",(Readings[[#This Row],[Diff E]]*COS(RADIANS(Readings[[#This Row],[Reference Angle]]))-Readings[[#This Row],[Diff N]]*SIN(RADIANS(Readings[[#This Row],[Reference Angle]])))),"-")</f>
        <v>0</v>
      </c>
      <c r="S1189" s="93">
        <f>IFERROR(IF(Readings[[#This Row],[Reference Angle]]="-","-",(Readings[[#This Row],[Diff E]]*SIN(RADIANS(Readings[[#This Row],[Reference Angle]]))+Readings[[#This Row],[Diff N]]*COS(RADIANS(Readings[[#This Row],[Reference Angle]])))),"-")</f>
        <v>3.9999999571591616E-3</v>
      </c>
      <c r="T1189" s="94">
        <f>IFERROR(VLOOKUP(Readings[[#This Row],[Sensor ID]],Table_Baseline[],COLUMNS(Table_Baseline[[#Headers],[Sensor ID]:[Reference Angle '[Deg']]]),FALSE),"-")</f>
        <v>0</v>
      </c>
      <c r="U1189" s="95" t="str">
        <f>Readings[[#This Row],[Sensor ID]]&amp;"-"&amp;Readings[[#This Row],[Epoch]]</f>
        <v>250-RL-OP-11014-45873.2916666667</v>
      </c>
      <c r="V1189" s="99">
        <f ca="1">IF(Readings[[#This Row],[Epoch]]=OFFSET(Readings[[#This Row],[Epoch]],-1,0),0,1)</f>
        <v>0</v>
      </c>
    </row>
    <row r="1190" spans="4:22" x14ac:dyDescent="0.2">
      <c r="D1190" s="32">
        <v>45873.291666666664</v>
      </c>
      <c r="E1190" s="33" t="s">
        <v>186</v>
      </c>
      <c r="F1190" s="34">
        <v>60055.196000000004</v>
      </c>
      <c r="G1190" s="34">
        <v>363840.09899999999</v>
      </c>
      <c r="H1190" s="34">
        <v>18.78</v>
      </c>
      <c r="I1190" s="33" t="s">
        <v>85</v>
      </c>
      <c r="J1190" s="33" t="s">
        <v>90</v>
      </c>
      <c r="K1190" s="33">
        <v>13.9</v>
      </c>
      <c r="L1190" s="33">
        <v>1016</v>
      </c>
      <c r="M1190" s="33">
        <v>57</v>
      </c>
      <c r="N1190" s="33"/>
      <c r="O1190" s="93">
        <f>IFERROR(IF(Readings[[#This Row],[Obs. X]]="","-",Readings[[#This Row],[Obs. X]]-_xlfn.XLOOKUP(Readings[[#This Row],[Sensor ID]],Table_Baseline[Sensor ID],Table_Baseline[Easting '[m']],"-")),"-")</f>
        <v>0</v>
      </c>
      <c r="P1190" s="93">
        <f>IFERROR(IF(Readings[[#This Row],[Obs. Y]]="","-",Readings[[#This Row],[Obs. Y]]-_xlfn.XLOOKUP(Readings[[#This Row],[Sensor ID]],Table_Baseline[Sensor ID],Table_Baseline[Northing '[m']],"-")),"-")</f>
        <v>4.0000000153668225E-3</v>
      </c>
      <c r="Q1190" s="93">
        <f>IFERROR(IF(Readings[[#This Row],[Obs. Z]]="","-",Readings[[#This Row],[Obs. Z]]-_xlfn.XLOOKUP(Readings[[#This Row],[Sensor ID]],Table_Baseline[Sensor ID],Table_Baseline[Level '[m']],"-")),"-")</f>
        <v>-8.9999999999790248E-4</v>
      </c>
      <c r="R1190" s="93">
        <f>IFERROR(IF(Readings[[#This Row],[Reference Angle]]="-","-",(Readings[[#This Row],[Diff E]]*COS(RADIANS(Readings[[#This Row],[Reference Angle]]))-Readings[[#This Row],[Diff N]]*SIN(RADIANS(Readings[[#This Row],[Reference Angle]])))),"-")</f>
        <v>0</v>
      </c>
      <c r="S1190" s="93">
        <f>IFERROR(IF(Readings[[#This Row],[Reference Angle]]="-","-",(Readings[[#This Row],[Diff E]]*SIN(RADIANS(Readings[[#This Row],[Reference Angle]]))+Readings[[#This Row],[Diff N]]*COS(RADIANS(Readings[[#This Row],[Reference Angle]])))),"-")</f>
        <v>4.0000000153668225E-3</v>
      </c>
      <c r="T1190" s="94">
        <f>IFERROR(VLOOKUP(Readings[[#This Row],[Sensor ID]],Table_Baseline[],COLUMNS(Table_Baseline[[#Headers],[Sensor ID]:[Reference Angle '[Deg']]]),FALSE),"-")</f>
        <v>0</v>
      </c>
      <c r="U1190" s="95" t="str">
        <f>Readings[[#This Row],[Sensor ID]]&amp;"-"&amp;Readings[[#This Row],[Epoch]]</f>
        <v>250-RL-OP-11015-45873.2916666667</v>
      </c>
      <c r="V1190" s="99">
        <f ca="1">IF(Readings[[#This Row],[Epoch]]=OFFSET(Readings[[#This Row],[Epoch]],-1,0),0,1)</f>
        <v>0</v>
      </c>
    </row>
    <row r="1191" spans="4:22" x14ac:dyDescent="0.2">
      <c r="D1191" s="32">
        <v>45873.291666666664</v>
      </c>
      <c r="E1191" s="33" t="s">
        <v>185</v>
      </c>
      <c r="F1191" s="34">
        <v>60054.885000000002</v>
      </c>
      <c r="G1191" s="34">
        <v>363838.80900000001</v>
      </c>
      <c r="H1191" s="34">
        <v>18.771999999999998</v>
      </c>
      <c r="I1191" s="33" t="s">
        <v>85</v>
      </c>
      <c r="J1191" s="33" t="s">
        <v>90</v>
      </c>
      <c r="K1191" s="33">
        <v>13.9</v>
      </c>
      <c r="L1191" s="33">
        <v>1016</v>
      </c>
      <c r="M1191" s="33">
        <v>57</v>
      </c>
      <c r="N1191" s="33"/>
      <c r="O1191" s="93">
        <f>IFERROR(IF(Readings[[#This Row],[Obs. X]]="","-",Readings[[#This Row],[Obs. X]]-_xlfn.XLOOKUP(Readings[[#This Row],[Sensor ID]],Table_Baseline[Sensor ID],Table_Baseline[Easting '[m']],"-")),"-")</f>
        <v>-9.9999999656574801E-4</v>
      </c>
      <c r="P1191" s="93">
        <f>IFERROR(IF(Readings[[#This Row],[Obs. Y]]="","-",Readings[[#This Row],[Obs. Y]]-_xlfn.XLOOKUP(Readings[[#This Row],[Sensor ID]],Table_Baseline[Sensor ID],Table_Baseline[Northing '[m']],"-")),"-")</f>
        <v>4.0000000153668225E-3</v>
      </c>
      <c r="Q1191" s="93">
        <f>IFERROR(IF(Readings[[#This Row],[Obs. Z]]="","-",Readings[[#This Row],[Obs. Z]]-_xlfn.XLOOKUP(Readings[[#This Row],[Sensor ID]],Table_Baseline[Sensor ID],Table_Baseline[Level '[m']],"-")),"-")</f>
        <v>-1.1000000000009891E-3</v>
      </c>
      <c r="R1191" s="93">
        <f>IFERROR(IF(Readings[[#This Row],[Reference Angle]]="-","-",(Readings[[#This Row],[Diff E]]*COS(RADIANS(Readings[[#This Row],[Reference Angle]]))-Readings[[#This Row],[Diff N]]*SIN(RADIANS(Readings[[#This Row],[Reference Angle]])))),"-")</f>
        <v>-9.9999999656574801E-4</v>
      </c>
      <c r="S1191" s="93">
        <f>IFERROR(IF(Readings[[#This Row],[Reference Angle]]="-","-",(Readings[[#This Row],[Diff E]]*SIN(RADIANS(Readings[[#This Row],[Reference Angle]]))+Readings[[#This Row],[Diff N]]*COS(RADIANS(Readings[[#This Row],[Reference Angle]])))),"-")</f>
        <v>4.0000000153668225E-3</v>
      </c>
      <c r="T1191" s="94">
        <f>IFERROR(VLOOKUP(Readings[[#This Row],[Sensor ID]],Table_Baseline[],COLUMNS(Table_Baseline[[#Headers],[Sensor ID]:[Reference Angle '[Deg']]]),FALSE),"-")</f>
        <v>0</v>
      </c>
      <c r="U1191" s="95" t="str">
        <f>Readings[[#This Row],[Sensor ID]]&amp;"-"&amp;Readings[[#This Row],[Epoch]]</f>
        <v>250-RL-OP-11016-45873.2916666667</v>
      </c>
      <c r="V1191" s="99">
        <f ca="1">IF(Readings[[#This Row],[Epoch]]=OFFSET(Readings[[#This Row],[Epoch]],-1,0),0,1)</f>
        <v>0</v>
      </c>
    </row>
    <row r="1192" spans="4:22" x14ac:dyDescent="0.2">
      <c r="D1192" s="32">
        <v>45873.291666666664</v>
      </c>
      <c r="E1192" s="33" t="s">
        <v>188</v>
      </c>
      <c r="F1192" s="34">
        <v>60057.951999999997</v>
      </c>
      <c r="G1192" s="34">
        <v>363839.36699999997</v>
      </c>
      <c r="H1192" s="34">
        <v>18.785</v>
      </c>
      <c r="I1192" s="33" t="s">
        <v>85</v>
      </c>
      <c r="J1192" s="33" t="s">
        <v>90</v>
      </c>
      <c r="K1192" s="33">
        <v>13.9</v>
      </c>
      <c r="L1192" s="33">
        <v>1016</v>
      </c>
      <c r="M1192" s="33">
        <v>57</v>
      </c>
      <c r="N1192" s="33"/>
      <c r="O1192" s="93">
        <f>IFERROR(IF(Readings[[#This Row],[Obs. X]]="","-",Readings[[#This Row],[Obs. X]]-_xlfn.XLOOKUP(Readings[[#This Row],[Sensor ID]],Table_Baseline[Sensor ID],Table_Baseline[Easting '[m']],"-")),"-")</f>
        <v>0</v>
      </c>
      <c r="P1192" s="93">
        <f>IFERROR(IF(Readings[[#This Row],[Obs. Y]]="","-",Readings[[#This Row],[Obs. Y]]-_xlfn.XLOOKUP(Readings[[#This Row],[Sensor ID]],Table_Baseline[Sensor ID],Table_Baseline[Northing '[m']],"-")),"-")</f>
        <v>5.0000000046566129E-3</v>
      </c>
      <c r="Q1192" s="93">
        <f>IFERROR(IF(Readings[[#This Row],[Obs. Z]]="","-",Readings[[#This Row],[Obs. Z]]-_xlfn.XLOOKUP(Readings[[#This Row],[Sensor ID]],Table_Baseline[Sensor ID],Table_Baseline[Level '[m']],"-")),"-")</f>
        <v>-1.0000000000012221E-3</v>
      </c>
      <c r="R1192" s="93">
        <f>IFERROR(IF(Readings[[#This Row],[Reference Angle]]="-","-",(Readings[[#This Row],[Diff E]]*COS(RADIANS(Readings[[#This Row],[Reference Angle]]))-Readings[[#This Row],[Diff N]]*SIN(RADIANS(Readings[[#This Row],[Reference Angle]])))),"-")</f>
        <v>0</v>
      </c>
      <c r="S1192" s="93">
        <f>IFERROR(IF(Readings[[#This Row],[Reference Angle]]="-","-",(Readings[[#This Row],[Diff E]]*SIN(RADIANS(Readings[[#This Row],[Reference Angle]]))+Readings[[#This Row],[Diff N]]*COS(RADIANS(Readings[[#This Row],[Reference Angle]])))),"-")</f>
        <v>5.0000000046566129E-3</v>
      </c>
      <c r="T1192" s="94">
        <f>IFERROR(VLOOKUP(Readings[[#This Row],[Sensor ID]],Table_Baseline[],COLUMNS(Table_Baseline[[#Headers],[Sensor ID]:[Reference Angle '[Deg']]]),FALSE),"-")</f>
        <v>0</v>
      </c>
      <c r="U1192" s="95" t="str">
        <f>Readings[[#This Row],[Sensor ID]]&amp;"-"&amp;Readings[[#This Row],[Epoch]]</f>
        <v>250-RL-OP-11017-45873.2916666667</v>
      </c>
      <c r="V1192" s="99">
        <f ca="1">IF(Readings[[#This Row],[Epoch]]=OFFSET(Readings[[#This Row],[Epoch]],-1,0),0,1)</f>
        <v>0</v>
      </c>
    </row>
    <row r="1193" spans="4:22" x14ac:dyDescent="0.2">
      <c r="D1193" s="32">
        <v>45873.291666666664</v>
      </c>
      <c r="E1193" s="33" t="s">
        <v>187</v>
      </c>
      <c r="F1193" s="34">
        <v>60057.578999999998</v>
      </c>
      <c r="G1193" s="34">
        <v>363838.103</v>
      </c>
      <c r="H1193" s="34">
        <v>18.774999999999999</v>
      </c>
      <c r="I1193" s="33" t="s">
        <v>85</v>
      </c>
      <c r="J1193" s="33" t="s">
        <v>90</v>
      </c>
      <c r="K1193" s="33">
        <v>13.9</v>
      </c>
      <c r="L1193" s="33">
        <v>1016</v>
      </c>
      <c r="M1193" s="33">
        <v>57</v>
      </c>
      <c r="N1193" s="33"/>
      <c r="O1193" s="93">
        <f>IFERROR(IF(Readings[[#This Row],[Obs. X]]="","-",Readings[[#This Row],[Obs. X]]-_xlfn.XLOOKUP(Readings[[#This Row],[Sensor ID]],Table_Baseline[Sensor ID],Table_Baseline[Easting '[m']],"-")),"-")</f>
        <v>0</v>
      </c>
      <c r="P1193" s="93">
        <f>IFERROR(IF(Readings[[#This Row],[Obs. Y]]="","-",Readings[[#This Row],[Obs. Y]]-_xlfn.XLOOKUP(Readings[[#This Row],[Sensor ID]],Table_Baseline[Sensor ID],Table_Baseline[Northing '[m']],"-")),"-")</f>
        <v>5.0000000046566129E-3</v>
      </c>
      <c r="Q1193" s="93">
        <f>IFERROR(IF(Readings[[#This Row],[Obs. Z]]="","-",Readings[[#This Row],[Obs. Z]]-_xlfn.XLOOKUP(Readings[[#This Row],[Sensor ID]],Table_Baseline[Sensor ID],Table_Baseline[Level '[m']],"-")),"-")</f>
        <v>-1.0000000000012221E-3</v>
      </c>
      <c r="R1193" s="93">
        <f>IFERROR(IF(Readings[[#This Row],[Reference Angle]]="-","-",(Readings[[#This Row],[Diff E]]*COS(RADIANS(Readings[[#This Row],[Reference Angle]]))-Readings[[#This Row],[Diff N]]*SIN(RADIANS(Readings[[#This Row],[Reference Angle]])))),"-")</f>
        <v>0</v>
      </c>
      <c r="S1193" s="93">
        <f>IFERROR(IF(Readings[[#This Row],[Reference Angle]]="-","-",(Readings[[#This Row],[Diff E]]*SIN(RADIANS(Readings[[#This Row],[Reference Angle]]))+Readings[[#This Row],[Diff N]]*COS(RADIANS(Readings[[#This Row],[Reference Angle]])))),"-")</f>
        <v>5.0000000046566129E-3</v>
      </c>
      <c r="T1193" s="94">
        <f>IFERROR(VLOOKUP(Readings[[#This Row],[Sensor ID]],Table_Baseline[],COLUMNS(Table_Baseline[[#Headers],[Sensor ID]:[Reference Angle '[Deg']]]),FALSE),"-")</f>
        <v>0</v>
      </c>
      <c r="U1193" s="95" t="str">
        <f>Readings[[#This Row],[Sensor ID]]&amp;"-"&amp;Readings[[#This Row],[Epoch]]</f>
        <v>250-RL-OP-11018-45873.2916666667</v>
      </c>
      <c r="V1193" s="99">
        <f ca="1">IF(Readings[[#This Row],[Epoch]]=OFFSET(Readings[[#This Row],[Epoch]],-1,0),0,1)</f>
        <v>0</v>
      </c>
    </row>
    <row r="1194" spans="4:22" x14ac:dyDescent="0.2">
      <c r="D1194" s="32">
        <v>45873.291666666664</v>
      </c>
      <c r="E1194" s="33" t="s">
        <v>190</v>
      </c>
      <c r="F1194" s="34">
        <v>60060.963000000003</v>
      </c>
      <c r="G1194" s="34">
        <v>363838.60600000003</v>
      </c>
      <c r="H1194" s="34">
        <v>18.792999999999999</v>
      </c>
      <c r="I1194" s="33" t="s">
        <v>85</v>
      </c>
      <c r="J1194" s="33" t="s">
        <v>90</v>
      </c>
      <c r="K1194" s="33">
        <v>13.9</v>
      </c>
      <c r="L1194" s="33">
        <v>1016</v>
      </c>
      <c r="M1194" s="33">
        <v>57</v>
      </c>
      <c r="N1194" s="33"/>
      <c r="O1194" s="93">
        <f>IFERROR(IF(Readings[[#This Row],[Obs. X]]="","-",Readings[[#This Row],[Obs. X]]-_xlfn.XLOOKUP(Readings[[#This Row],[Sensor ID]],Table_Baseline[Sensor ID],Table_Baseline[Easting '[m']],"-")),"-")</f>
        <v>0</v>
      </c>
      <c r="P1194" s="93">
        <f>IFERROR(IF(Readings[[#This Row],[Obs. Y]]="","-",Readings[[#This Row],[Obs. Y]]-_xlfn.XLOOKUP(Readings[[#This Row],[Sensor ID]],Table_Baseline[Sensor ID],Table_Baseline[Northing '[m']],"-")),"-")</f>
        <v>5.0000000046566129E-3</v>
      </c>
      <c r="Q1194" s="93">
        <f>IFERROR(IF(Readings[[#This Row],[Obs. Z]]="","-",Readings[[#This Row],[Obs. Z]]-_xlfn.XLOOKUP(Readings[[#This Row],[Sensor ID]],Table_Baseline[Sensor ID],Table_Baseline[Level '[m']],"-")),"-")</f>
        <v>-1.5999999999998238E-3</v>
      </c>
      <c r="R1194" s="93">
        <f>IFERROR(IF(Readings[[#This Row],[Reference Angle]]="-","-",(Readings[[#This Row],[Diff E]]*COS(RADIANS(Readings[[#This Row],[Reference Angle]]))-Readings[[#This Row],[Diff N]]*SIN(RADIANS(Readings[[#This Row],[Reference Angle]])))),"-")</f>
        <v>0</v>
      </c>
      <c r="S1194" s="93">
        <f>IFERROR(IF(Readings[[#This Row],[Reference Angle]]="-","-",(Readings[[#This Row],[Diff E]]*SIN(RADIANS(Readings[[#This Row],[Reference Angle]]))+Readings[[#This Row],[Diff N]]*COS(RADIANS(Readings[[#This Row],[Reference Angle]])))),"-")</f>
        <v>5.0000000046566129E-3</v>
      </c>
      <c r="T1194" s="94">
        <f>IFERROR(VLOOKUP(Readings[[#This Row],[Sensor ID]],Table_Baseline[],COLUMNS(Table_Baseline[[#Headers],[Sensor ID]:[Reference Angle '[Deg']]]),FALSE),"-")</f>
        <v>0</v>
      </c>
      <c r="U1194" s="95" t="str">
        <f>Readings[[#This Row],[Sensor ID]]&amp;"-"&amp;Readings[[#This Row],[Epoch]]</f>
        <v>250-RL-OP-11019-45873.2916666667</v>
      </c>
      <c r="V1194" s="99">
        <f ca="1">IF(Readings[[#This Row],[Epoch]]=OFFSET(Readings[[#This Row],[Epoch]],-1,0),0,1)</f>
        <v>0</v>
      </c>
    </row>
    <row r="1195" spans="4:22" x14ac:dyDescent="0.2">
      <c r="D1195" s="32">
        <v>45873.291666666664</v>
      </c>
      <c r="E1195" s="33" t="s">
        <v>189</v>
      </c>
      <c r="F1195" s="34">
        <v>60060.639999999999</v>
      </c>
      <c r="G1195" s="34">
        <v>363837.32699999999</v>
      </c>
      <c r="H1195" s="34">
        <v>18.782</v>
      </c>
      <c r="I1195" s="33" t="s">
        <v>85</v>
      </c>
      <c r="J1195" s="33" t="s">
        <v>90</v>
      </c>
      <c r="K1195" s="33">
        <v>13.9</v>
      </c>
      <c r="L1195" s="33">
        <v>1016</v>
      </c>
      <c r="M1195" s="33">
        <v>57</v>
      </c>
      <c r="N1195" s="33"/>
      <c r="O1195" s="93">
        <f>IFERROR(IF(Readings[[#This Row],[Obs. X]]="","-",Readings[[#This Row],[Obs. X]]-_xlfn.XLOOKUP(Readings[[#This Row],[Sensor ID]],Table_Baseline[Sensor ID],Table_Baseline[Easting '[m']],"-")),"-")</f>
        <v>0</v>
      </c>
      <c r="P1195" s="93">
        <f>IFERROR(IF(Readings[[#This Row],[Obs. Y]]="","-",Readings[[#This Row],[Obs. Y]]-_xlfn.XLOOKUP(Readings[[#This Row],[Sensor ID]],Table_Baseline[Sensor ID],Table_Baseline[Northing '[m']],"-")),"-")</f>
        <v>5.0000000046566129E-3</v>
      </c>
      <c r="Q1195" s="93">
        <f>IFERROR(IF(Readings[[#This Row],[Obs. Z]]="","-",Readings[[#This Row],[Obs. Z]]-_xlfn.XLOOKUP(Readings[[#This Row],[Sensor ID]],Table_Baseline[Sensor ID],Table_Baseline[Level '[m']],"-")),"-")</f>
        <v>-1.5999999999998238E-3</v>
      </c>
      <c r="R1195" s="93">
        <f>IFERROR(IF(Readings[[#This Row],[Reference Angle]]="-","-",(Readings[[#This Row],[Diff E]]*COS(RADIANS(Readings[[#This Row],[Reference Angle]]))-Readings[[#This Row],[Diff N]]*SIN(RADIANS(Readings[[#This Row],[Reference Angle]])))),"-")</f>
        <v>0</v>
      </c>
      <c r="S1195" s="93">
        <f>IFERROR(IF(Readings[[#This Row],[Reference Angle]]="-","-",(Readings[[#This Row],[Diff E]]*SIN(RADIANS(Readings[[#This Row],[Reference Angle]]))+Readings[[#This Row],[Diff N]]*COS(RADIANS(Readings[[#This Row],[Reference Angle]])))),"-")</f>
        <v>5.0000000046566129E-3</v>
      </c>
      <c r="T1195" s="94">
        <f>IFERROR(VLOOKUP(Readings[[#This Row],[Sensor ID]],Table_Baseline[],COLUMNS(Table_Baseline[[#Headers],[Sensor ID]:[Reference Angle '[Deg']]]),FALSE),"-")</f>
        <v>0</v>
      </c>
      <c r="U1195" s="95" t="str">
        <f>Readings[[#This Row],[Sensor ID]]&amp;"-"&amp;Readings[[#This Row],[Epoch]]</f>
        <v>250-RL-OP-11020-45873.2916666667</v>
      </c>
      <c r="V1195" s="99">
        <f ca="1">IF(Readings[[#This Row],[Epoch]]=OFFSET(Readings[[#This Row],[Epoch]],-1,0),0,1)</f>
        <v>0</v>
      </c>
    </row>
    <row r="1196" spans="4:22" x14ac:dyDescent="0.2">
      <c r="D1196" s="32">
        <v>45873.291666666664</v>
      </c>
      <c r="E1196" s="33" t="s">
        <v>192</v>
      </c>
      <c r="F1196" s="34">
        <v>60063.75</v>
      </c>
      <c r="G1196" s="34">
        <v>363837.92300000001</v>
      </c>
      <c r="H1196" s="34">
        <v>18.808</v>
      </c>
      <c r="I1196" s="33" t="s">
        <v>85</v>
      </c>
      <c r="J1196" s="33" t="s">
        <v>90</v>
      </c>
      <c r="K1196" s="33">
        <v>13.9</v>
      </c>
      <c r="L1196" s="33">
        <v>1016</v>
      </c>
      <c r="M1196" s="33">
        <v>57</v>
      </c>
      <c r="N1196" s="33"/>
      <c r="O1196" s="93">
        <f>IFERROR(IF(Readings[[#This Row],[Obs. X]]="","-",Readings[[#This Row],[Obs. X]]-_xlfn.XLOOKUP(Readings[[#This Row],[Sensor ID]],Table_Baseline[Sensor ID],Table_Baseline[Easting '[m']],"-")),"-")</f>
        <v>-9.9999999656574801E-4</v>
      </c>
      <c r="P1196" s="93">
        <f>IFERROR(IF(Readings[[#This Row],[Obs. Y]]="","-",Readings[[#This Row],[Obs. Y]]-_xlfn.XLOOKUP(Readings[[#This Row],[Sensor ID]],Table_Baseline[Sensor ID],Table_Baseline[Northing '[m']],"-")),"-")</f>
        <v>5.0000000046566129E-3</v>
      </c>
      <c r="Q1196" s="93">
        <f>IFERROR(IF(Readings[[#This Row],[Obs. Z]]="","-",Readings[[#This Row],[Obs. Z]]-_xlfn.XLOOKUP(Readings[[#This Row],[Sensor ID]],Table_Baseline[Sensor ID],Table_Baseline[Level '[m']],"-")),"-")</f>
        <v>-1.0000000000012221E-3</v>
      </c>
      <c r="R1196" s="93">
        <f>IFERROR(IF(Readings[[#This Row],[Reference Angle]]="-","-",(Readings[[#This Row],[Diff E]]*COS(RADIANS(Readings[[#This Row],[Reference Angle]]))-Readings[[#This Row],[Diff N]]*SIN(RADIANS(Readings[[#This Row],[Reference Angle]])))),"-")</f>
        <v>-9.9999999656574801E-4</v>
      </c>
      <c r="S1196" s="93">
        <f>IFERROR(IF(Readings[[#This Row],[Reference Angle]]="-","-",(Readings[[#This Row],[Diff E]]*SIN(RADIANS(Readings[[#This Row],[Reference Angle]]))+Readings[[#This Row],[Diff N]]*COS(RADIANS(Readings[[#This Row],[Reference Angle]])))),"-")</f>
        <v>5.0000000046566129E-3</v>
      </c>
      <c r="T1196" s="94">
        <f>IFERROR(VLOOKUP(Readings[[#This Row],[Sensor ID]],Table_Baseline[],COLUMNS(Table_Baseline[[#Headers],[Sensor ID]:[Reference Angle '[Deg']]]),FALSE),"-")</f>
        <v>0</v>
      </c>
      <c r="U1196" s="95" t="str">
        <f>Readings[[#This Row],[Sensor ID]]&amp;"-"&amp;Readings[[#This Row],[Epoch]]</f>
        <v>250-RL-OP-11021-45873.2916666667</v>
      </c>
      <c r="V1196" s="99">
        <f ca="1">IF(Readings[[#This Row],[Epoch]]=OFFSET(Readings[[#This Row],[Epoch]],-1,0),0,1)</f>
        <v>0</v>
      </c>
    </row>
    <row r="1197" spans="4:22" x14ac:dyDescent="0.2">
      <c r="D1197" s="32">
        <v>45873.291666666664</v>
      </c>
      <c r="E1197" s="33" t="s">
        <v>191</v>
      </c>
      <c r="F1197" s="34">
        <v>60063.421999999999</v>
      </c>
      <c r="G1197" s="34">
        <v>363836.641</v>
      </c>
      <c r="H1197" s="34">
        <v>18.792999999999999</v>
      </c>
      <c r="I1197" s="33" t="s">
        <v>85</v>
      </c>
      <c r="J1197" s="33" t="s">
        <v>90</v>
      </c>
      <c r="K1197" s="33">
        <v>13.9</v>
      </c>
      <c r="L1197" s="33">
        <v>1016</v>
      </c>
      <c r="M1197" s="33">
        <v>57</v>
      </c>
      <c r="N1197" s="33"/>
      <c r="O1197" s="93">
        <f>IFERROR(IF(Readings[[#This Row],[Obs. X]]="","-",Readings[[#This Row],[Obs. X]]-_xlfn.XLOOKUP(Readings[[#This Row],[Sensor ID]],Table_Baseline[Sensor ID],Table_Baseline[Easting '[m']],"-")),"-")</f>
        <v>0</v>
      </c>
      <c r="P1197" s="93">
        <f>IFERROR(IF(Readings[[#This Row],[Obs. Y]]="","-",Readings[[#This Row],[Obs. Y]]-_xlfn.XLOOKUP(Readings[[#This Row],[Sensor ID]],Table_Baseline[Sensor ID],Table_Baseline[Northing '[m']],"-")),"-")</f>
        <v>5.0000000046566129E-3</v>
      </c>
      <c r="Q1197" s="93">
        <f>IFERROR(IF(Readings[[#This Row],[Obs. Z]]="","-",Readings[[#This Row],[Obs. Z]]-_xlfn.XLOOKUP(Readings[[#This Row],[Sensor ID]],Table_Baseline[Sensor ID],Table_Baseline[Level '[m']],"-")),"-")</f>
        <v>-1.8999999999991246E-3</v>
      </c>
      <c r="R1197" s="93">
        <f>IFERROR(IF(Readings[[#This Row],[Reference Angle]]="-","-",(Readings[[#This Row],[Diff E]]*COS(RADIANS(Readings[[#This Row],[Reference Angle]]))-Readings[[#This Row],[Diff N]]*SIN(RADIANS(Readings[[#This Row],[Reference Angle]])))),"-")</f>
        <v>0</v>
      </c>
      <c r="S1197" s="93">
        <f>IFERROR(IF(Readings[[#This Row],[Reference Angle]]="-","-",(Readings[[#This Row],[Diff E]]*SIN(RADIANS(Readings[[#This Row],[Reference Angle]]))+Readings[[#This Row],[Diff N]]*COS(RADIANS(Readings[[#This Row],[Reference Angle]])))),"-")</f>
        <v>5.0000000046566129E-3</v>
      </c>
      <c r="T1197" s="94">
        <f>IFERROR(VLOOKUP(Readings[[#This Row],[Sensor ID]],Table_Baseline[],COLUMNS(Table_Baseline[[#Headers],[Sensor ID]:[Reference Angle '[Deg']]]),FALSE),"-")</f>
        <v>0</v>
      </c>
      <c r="U1197" s="95" t="str">
        <f>Readings[[#This Row],[Sensor ID]]&amp;"-"&amp;Readings[[#This Row],[Epoch]]</f>
        <v>250-RL-OP-11022-45873.2916666667</v>
      </c>
      <c r="V1197" s="99">
        <f ca="1">IF(Readings[[#This Row],[Epoch]]=OFFSET(Readings[[#This Row],[Epoch]],-1,0),0,1)</f>
        <v>0</v>
      </c>
    </row>
    <row r="1198" spans="4:22" x14ac:dyDescent="0.2">
      <c r="D1198" s="32">
        <v>45873.291666666664</v>
      </c>
      <c r="E1198" s="33" t="s">
        <v>165</v>
      </c>
      <c r="F1198" s="34">
        <v>60034.538999999997</v>
      </c>
      <c r="G1198" s="34">
        <v>363843.38099999999</v>
      </c>
      <c r="H1198" s="34">
        <v>19.331</v>
      </c>
      <c r="I1198" s="33" t="s">
        <v>85</v>
      </c>
      <c r="J1198" s="33" t="s">
        <v>90</v>
      </c>
      <c r="K1198" s="33">
        <v>13.9</v>
      </c>
      <c r="L1198" s="33">
        <v>1016</v>
      </c>
      <c r="M1198" s="33">
        <v>57</v>
      </c>
      <c r="N1198" s="33"/>
      <c r="O1198" s="93" t="str">
        <f>IFERROR(IF(Readings[[#This Row],[Obs. X]]="","-",Readings[[#This Row],[Obs. X]]-_xlfn.XLOOKUP(Readings[[#This Row],[Sensor ID]],Table_Baseline[Sensor ID],Table_Baseline[Easting '[m']],"-")),"-")</f>
        <v>-</v>
      </c>
      <c r="P1198" s="93" t="str">
        <f>IFERROR(IF(Readings[[#This Row],[Obs. Y]]="","-",Readings[[#This Row],[Obs. Y]]-_xlfn.XLOOKUP(Readings[[#This Row],[Sensor ID]],Table_Baseline[Sensor ID],Table_Baseline[Northing '[m']],"-")),"-")</f>
        <v>-</v>
      </c>
      <c r="Q1198" s="93" t="str">
        <f>IFERROR(IF(Readings[[#This Row],[Obs. Z]]="","-",Readings[[#This Row],[Obs. Z]]-_xlfn.XLOOKUP(Readings[[#This Row],[Sensor ID]],Table_Baseline[Sensor ID],Table_Baseline[Level '[m']],"-")),"-")</f>
        <v>-</v>
      </c>
      <c r="R1198" s="93" t="str">
        <f>IFERROR(IF(Readings[[#This Row],[Reference Angle]]="-","-",(Readings[[#This Row],[Diff E]]*COS(RADIANS(Readings[[#This Row],[Reference Angle]]))-Readings[[#This Row],[Diff N]]*SIN(RADIANS(Readings[[#This Row],[Reference Angle]])))),"-")</f>
        <v>-</v>
      </c>
      <c r="S1198" s="93" t="str">
        <f>IFERROR(IF(Readings[[#This Row],[Reference Angle]]="-","-",(Readings[[#This Row],[Diff E]]*SIN(RADIANS(Readings[[#This Row],[Reference Angle]]))+Readings[[#This Row],[Diff N]]*COS(RADIANS(Readings[[#This Row],[Reference Angle]])))),"-")</f>
        <v>-</v>
      </c>
      <c r="T1198" s="94" t="str">
        <f>IFERROR(VLOOKUP(Readings[[#This Row],[Sensor ID]],Table_Baseline[],COLUMNS(Table_Baseline[[#Headers],[Sensor ID]:[Reference Angle '[Deg']]]),FALSE),"-")</f>
        <v>-</v>
      </c>
      <c r="U1198" s="95" t="str">
        <f>Readings[[#This Row],[Sensor ID]]&amp;"-"&amp;Readings[[#This Row],[Epoch]]</f>
        <v>250-ST-OP-500-45873.2916666667</v>
      </c>
      <c r="V1198" s="99">
        <f ca="1">IF(Readings[[#This Row],[Epoch]]=OFFSET(Readings[[#This Row],[Epoch]],-1,0),0,1)</f>
        <v>0</v>
      </c>
    </row>
    <row r="1199" spans="4:22" x14ac:dyDescent="0.2">
      <c r="D1199" s="32">
        <v>45873.291666666664</v>
      </c>
      <c r="E1199" s="33" t="s">
        <v>166</v>
      </c>
      <c r="F1199" s="34">
        <v>60040.286999999997</v>
      </c>
      <c r="G1199" s="34">
        <v>363841.72899999999</v>
      </c>
      <c r="H1199" s="34">
        <v>19.321000000000002</v>
      </c>
      <c r="I1199" s="33" t="s">
        <v>85</v>
      </c>
      <c r="J1199" s="33" t="s">
        <v>90</v>
      </c>
      <c r="K1199" s="33">
        <v>13.9</v>
      </c>
      <c r="L1199" s="33">
        <v>1016</v>
      </c>
      <c r="M1199" s="33">
        <v>57</v>
      </c>
      <c r="N1199" s="33"/>
      <c r="O1199" s="93" t="str">
        <f>IFERROR(IF(Readings[[#This Row],[Obs. X]]="","-",Readings[[#This Row],[Obs. X]]-_xlfn.XLOOKUP(Readings[[#This Row],[Sensor ID]],Table_Baseline[Sensor ID],Table_Baseline[Easting '[m']],"-")),"-")</f>
        <v>-</v>
      </c>
      <c r="P1199" s="93" t="str">
        <f>IFERROR(IF(Readings[[#This Row],[Obs. Y]]="","-",Readings[[#This Row],[Obs. Y]]-_xlfn.XLOOKUP(Readings[[#This Row],[Sensor ID]],Table_Baseline[Sensor ID],Table_Baseline[Northing '[m']],"-")),"-")</f>
        <v>-</v>
      </c>
      <c r="Q1199" s="93" t="str">
        <f>IFERROR(IF(Readings[[#This Row],[Obs. Z]]="","-",Readings[[#This Row],[Obs. Z]]-_xlfn.XLOOKUP(Readings[[#This Row],[Sensor ID]],Table_Baseline[Sensor ID],Table_Baseline[Level '[m']],"-")),"-")</f>
        <v>-</v>
      </c>
      <c r="R1199" s="93" t="str">
        <f>IFERROR(IF(Readings[[#This Row],[Reference Angle]]="-","-",(Readings[[#This Row],[Diff E]]*COS(RADIANS(Readings[[#This Row],[Reference Angle]]))-Readings[[#This Row],[Diff N]]*SIN(RADIANS(Readings[[#This Row],[Reference Angle]])))),"-")</f>
        <v>-</v>
      </c>
      <c r="S1199" s="93" t="str">
        <f>IFERROR(IF(Readings[[#This Row],[Reference Angle]]="-","-",(Readings[[#This Row],[Diff E]]*SIN(RADIANS(Readings[[#This Row],[Reference Angle]]))+Readings[[#This Row],[Diff N]]*COS(RADIANS(Readings[[#This Row],[Reference Angle]])))),"-")</f>
        <v>-</v>
      </c>
      <c r="T1199" s="94" t="str">
        <f>IFERROR(VLOOKUP(Readings[[#This Row],[Sensor ID]],Table_Baseline[],COLUMNS(Table_Baseline[[#Headers],[Sensor ID]:[Reference Angle '[Deg']]]),FALSE),"-")</f>
        <v>-</v>
      </c>
      <c r="U1199" s="95" t="str">
        <f>Readings[[#This Row],[Sensor ID]]&amp;"-"&amp;Readings[[#This Row],[Epoch]]</f>
        <v>250-ST-OP-501-45873.2916666667</v>
      </c>
      <c r="V1199" s="99">
        <f ca="1">IF(Readings[[#This Row],[Epoch]]=OFFSET(Readings[[#This Row],[Epoch]],-1,0),0,1)</f>
        <v>0</v>
      </c>
    </row>
    <row r="1200" spans="4:22" x14ac:dyDescent="0.2">
      <c r="D1200" s="32">
        <v>45873.291666666664</v>
      </c>
      <c r="E1200" s="33" t="s">
        <v>167</v>
      </c>
      <c r="F1200" s="34">
        <v>60045.921999999999</v>
      </c>
      <c r="G1200" s="34">
        <v>363840.10100000002</v>
      </c>
      <c r="H1200" s="34">
        <v>19.334</v>
      </c>
      <c r="I1200" s="33" t="s">
        <v>85</v>
      </c>
      <c r="J1200" s="33" t="s">
        <v>90</v>
      </c>
      <c r="K1200" s="33">
        <v>13.9</v>
      </c>
      <c r="L1200" s="33">
        <v>1016</v>
      </c>
      <c r="M1200" s="33">
        <v>57</v>
      </c>
      <c r="N1200" s="33"/>
      <c r="O1200" s="93" t="str">
        <f>IFERROR(IF(Readings[[#This Row],[Obs. X]]="","-",Readings[[#This Row],[Obs. X]]-_xlfn.XLOOKUP(Readings[[#This Row],[Sensor ID]],Table_Baseline[Sensor ID],Table_Baseline[Easting '[m']],"-")),"-")</f>
        <v>-</v>
      </c>
      <c r="P1200" s="93" t="str">
        <f>IFERROR(IF(Readings[[#This Row],[Obs. Y]]="","-",Readings[[#This Row],[Obs. Y]]-_xlfn.XLOOKUP(Readings[[#This Row],[Sensor ID]],Table_Baseline[Sensor ID],Table_Baseline[Northing '[m']],"-")),"-")</f>
        <v>-</v>
      </c>
      <c r="Q1200" s="93" t="str">
        <f>IFERROR(IF(Readings[[#This Row],[Obs. Z]]="","-",Readings[[#This Row],[Obs. Z]]-_xlfn.XLOOKUP(Readings[[#This Row],[Sensor ID]],Table_Baseline[Sensor ID],Table_Baseline[Level '[m']],"-")),"-")</f>
        <v>-</v>
      </c>
      <c r="R1200" s="93" t="str">
        <f>IFERROR(IF(Readings[[#This Row],[Reference Angle]]="-","-",(Readings[[#This Row],[Diff E]]*COS(RADIANS(Readings[[#This Row],[Reference Angle]]))-Readings[[#This Row],[Diff N]]*SIN(RADIANS(Readings[[#This Row],[Reference Angle]])))),"-")</f>
        <v>-</v>
      </c>
      <c r="S1200" s="93" t="str">
        <f>IFERROR(IF(Readings[[#This Row],[Reference Angle]]="-","-",(Readings[[#This Row],[Diff E]]*SIN(RADIANS(Readings[[#This Row],[Reference Angle]]))+Readings[[#This Row],[Diff N]]*COS(RADIANS(Readings[[#This Row],[Reference Angle]])))),"-")</f>
        <v>-</v>
      </c>
      <c r="T1200" s="94" t="str">
        <f>IFERROR(VLOOKUP(Readings[[#This Row],[Sensor ID]],Table_Baseline[],COLUMNS(Table_Baseline[[#Headers],[Sensor ID]:[Reference Angle '[Deg']]]),FALSE),"-")</f>
        <v>-</v>
      </c>
      <c r="U1200" s="95" t="str">
        <f>Readings[[#This Row],[Sensor ID]]&amp;"-"&amp;Readings[[#This Row],[Epoch]]</f>
        <v>250-ST-OP-502-45873.2916666667</v>
      </c>
      <c r="V1200" s="99">
        <f ca="1">IF(Readings[[#This Row],[Epoch]]=OFFSET(Readings[[#This Row],[Epoch]],-1,0),0,1)</f>
        <v>0</v>
      </c>
    </row>
    <row r="1201" spans="4:22" x14ac:dyDescent="0.2">
      <c r="D1201" s="32">
        <v>45873.291666666664</v>
      </c>
      <c r="E1201" s="33" t="s">
        <v>168</v>
      </c>
      <c r="F1201" s="34">
        <v>60049.767999999996</v>
      </c>
      <c r="G1201" s="34">
        <v>363838.99400000001</v>
      </c>
      <c r="H1201" s="34">
        <v>19.344999999999999</v>
      </c>
      <c r="I1201" s="33" t="s">
        <v>85</v>
      </c>
      <c r="J1201" s="33" t="s">
        <v>90</v>
      </c>
      <c r="K1201" s="33">
        <v>13.9</v>
      </c>
      <c r="L1201" s="33">
        <v>1016</v>
      </c>
      <c r="M1201" s="33">
        <v>57</v>
      </c>
      <c r="N1201" s="33"/>
      <c r="O1201" s="93" t="str">
        <f>IFERROR(IF(Readings[[#This Row],[Obs. X]]="","-",Readings[[#This Row],[Obs. X]]-_xlfn.XLOOKUP(Readings[[#This Row],[Sensor ID]],Table_Baseline[Sensor ID],Table_Baseline[Easting '[m']],"-")),"-")</f>
        <v>-</v>
      </c>
      <c r="P1201" s="93" t="str">
        <f>IFERROR(IF(Readings[[#This Row],[Obs. Y]]="","-",Readings[[#This Row],[Obs. Y]]-_xlfn.XLOOKUP(Readings[[#This Row],[Sensor ID]],Table_Baseline[Sensor ID],Table_Baseline[Northing '[m']],"-")),"-")</f>
        <v>-</v>
      </c>
      <c r="Q1201" s="93" t="str">
        <f>IFERROR(IF(Readings[[#This Row],[Obs. Z]]="","-",Readings[[#This Row],[Obs. Z]]-_xlfn.XLOOKUP(Readings[[#This Row],[Sensor ID]],Table_Baseline[Sensor ID],Table_Baseline[Level '[m']],"-")),"-")</f>
        <v>-</v>
      </c>
      <c r="R1201" s="93" t="str">
        <f>IFERROR(IF(Readings[[#This Row],[Reference Angle]]="-","-",(Readings[[#This Row],[Diff E]]*COS(RADIANS(Readings[[#This Row],[Reference Angle]]))-Readings[[#This Row],[Diff N]]*SIN(RADIANS(Readings[[#This Row],[Reference Angle]])))),"-")</f>
        <v>-</v>
      </c>
      <c r="S1201" s="93" t="str">
        <f>IFERROR(IF(Readings[[#This Row],[Reference Angle]]="-","-",(Readings[[#This Row],[Diff E]]*SIN(RADIANS(Readings[[#This Row],[Reference Angle]]))+Readings[[#This Row],[Diff N]]*COS(RADIANS(Readings[[#This Row],[Reference Angle]])))),"-")</f>
        <v>-</v>
      </c>
      <c r="T1201" s="94" t="str">
        <f>IFERROR(VLOOKUP(Readings[[#This Row],[Sensor ID]],Table_Baseline[],COLUMNS(Table_Baseline[[#Headers],[Sensor ID]:[Reference Angle '[Deg']]]),FALSE),"-")</f>
        <v>-</v>
      </c>
      <c r="U1201" s="95" t="str">
        <f>Readings[[#This Row],[Sensor ID]]&amp;"-"&amp;Readings[[#This Row],[Epoch]]</f>
        <v>250-ST-OP-503-45873.2916666667</v>
      </c>
      <c r="V1201" s="99">
        <f ca="1">IF(Readings[[#This Row],[Epoch]]=OFFSET(Readings[[#This Row],[Epoch]],-1,0),0,1)</f>
        <v>0</v>
      </c>
    </row>
    <row r="1202" spans="4:22" x14ac:dyDescent="0.2">
      <c r="D1202" s="32">
        <v>45873.291666666664</v>
      </c>
      <c r="E1202" s="33" t="s">
        <v>169</v>
      </c>
      <c r="F1202" s="34">
        <v>60053.608999999997</v>
      </c>
      <c r="G1202" s="34">
        <v>363837.88300000003</v>
      </c>
      <c r="H1202" s="34">
        <v>19.356000000000002</v>
      </c>
      <c r="I1202" s="33" t="s">
        <v>85</v>
      </c>
      <c r="J1202" s="33" t="s">
        <v>90</v>
      </c>
      <c r="K1202" s="33">
        <v>13.9</v>
      </c>
      <c r="L1202" s="33">
        <v>1016</v>
      </c>
      <c r="M1202" s="33">
        <v>57</v>
      </c>
      <c r="N1202" s="33"/>
      <c r="O1202" s="93" t="str">
        <f>IFERROR(IF(Readings[[#This Row],[Obs. X]]="","-",Readings[[#This Row],[Obs. X]]-_xlfn.XLOOKUP(Readings[[#This Row],[Sensor ID]],Table_Baseline[Sensor ID],Table_Baseline[Easting '[m']],"-")),"-")</f>
        <v>-</v>
      </c>
      <c r="P1202" s="93" t="str">
        <f>IFERROR(IF(Readings[[#This Row],[Obs. Y]]="","-",Readings[[#This Row],[Obs. Y]]-_xlfn.XLOOKUP(Readings[[#This Row],[Sensor ID]],Table_Baseline[Sensor ID],Table_Baseline[Northing '[m']],"-")),"-")</f>
        <v>-</v>
      </c>
      <c r="Q1202" s="93" t="str">
        <f>IFERROR(IF(Readings[[#This Row],[Obs. Z]]="","-",Readings[[#This Row],[Obs. Z]]-_xlfn.XLOOKUP(Readings[[#This Row],[Sensor ID]],Table_Baseline[Sensor ID],Table_Baseline[Level '[m']],"-")),"-")</f>
        <v>-</v>
      </c>
      <c r="R1202" s="93" t="str">
        <f>IFERROR(IF(Readings[[#This Row],[Reference Angle]]="-","-",(Readings[[#This Row],[Diff E]]*COS(RADIANS(Readings[[#This Row],[Reference Angle]]))-Readings[[#This Row],[Diff N]]*SIN(RADIANS(Readings[[#This Row],[Reference Angle]])))),"-")</f>
        <v>-</v>
      </c>
      <c r="S1202" s="93" t="str">
        <f>IFERROR(IF(Readings[[#This Row],[Reference Angle]]="-","-",(Readings[[#This Row],[Diff E]]*SIN(RADIANS(Readings[[#This Row],[Reference Angle]]))+Readings[[#This Row],[Diff N]]*COS(RADIANS(Readings[[#This Row],[Reference Angle]])))),"-")</f>
        <v>-</v>
      </c>
      <c r="T1202" s="94" t="str">
        <f>IFERROR(VLOOKUP(Readings[[#This Row],[Sensor ID]],Table_Baseline[],COLUMNS(Table_Baseline[[#Headers],[Sensor ID]:[Reference Angle '[Deg']]]),FALSE),"-")</f>
        <v>-</v>
      </c>
      <c r="U1202" s="95" t="str">
        <f>Readings[[#This Row],[Sensor ID]]&amp;"-"&amp;Readings[[#This Row],[Epoch]]</f>
        <v>250-ST-OP-504-45873.2916666667</v>
      </c>
      <c r="V1202" s="99">
        <f ca="1">IF(Readings[[#This Row],[Epoch]]=OFFSET(Readings[[#This Row],[Epoch]],-1,0),0,1)</f>
        <v>0</v>
      </c>
    </row>
    <row r="1203" spans="4:22" x14ac:dyDescent="0.2">
      <c r="D1203" s="204">
        <v>45873.291666666664</v>
      </c>
      <c r="E1203" s="151" t="s">
        <v>170</v>
      </c>
      <c r="F1203" s="152">
        <v>60060.065000000002</v>
      </c>
      <c r="G1203" s="152">
        <v>363836.02500000002</v>
      </c>
      <c r="H1203" s="152">
        <v>19.356000000000002</v>
      </c>
      <c r="I1203" s="151" t="s">
        <v>85</v>
      </c>
      <c r="J1203" s="151" t="s">
        <v>90</v>
      </c>
      <c r="K1203" s="151">
        <v>13.9</v>
      </c>
      <c r="L1203" s="151">
        <v>1016</v>
      </c>
      <c r="M1203" s="151">
        <v>57</v>
      </c>
      <c r="N1203" s="151"/>
      <c r="O1203" s="96" t="str">
        <f>IFERROR(IF(Readings[[#This Row],[Obs. X]]="","-",Readings[[#This Row],[Obs. X]]-_xlfn.XLOOKUP(Readings[[#This Row],[Sensor ID]],Table_Baseline[Sensor ID],Table_Baseline[Easting '[m']],"-")),"-")</f>
        <v>-</v>
      </c>
      <c r="P1203" s="96" t="str">
        <f>IFERROR(IF(Readings[[#This Row],[Obs. Y]]="","-",Readings[[#This Row],[Obs. Y]]-_xlfn.XLOOKUP(Readings[[#This Row],[Sensor ID]],Table_Baseline[Sensor ID],Table_Baseline[Northing '[m']],"-")),"-")</f>
        <v>-</v>
      </c>
      <c r="Q1203" s="96" t="str">
        <f>IFERROR(IF(Readings[[#This Row],[Obs. Z]]="","-",Readings[[#This Row],[Obs. Z]]-_xlfn.XLOOKUP(Readings[[#This Row],[Sensor ID]],Table_Baseline[Sensor ID],Table_Baseline[Level '[m']],"-")),"-")</f>
        <v>-</v>
      </c>
      <c r="R1203" s="96" t="str">
        <f>IFERROR(IF(Readings[[#This Row],[Reference Angle]]="-","-",(Readings[[#This Row],[Diff E]]*COS(RADIANS(Readings[[#This Row],[Reference Angle]]))-Readings[[#This Row],[Diff N]]*SIN(RADIANS(Readings[[#This Row],[Reference Angle]])))),"-")</f>
        <v>-</v>
      </c>
      <c r="S1203" s="96" t="str">
        <f>IFERROR(IF(Readings[[#This Row],[Reference Angle]]="-","-",(Readings[[#This Row],[Diff E]]*SIN(RADIANS(Readings[[#This Row],[Reference Angle]]))+Readings[[#This Row],[Diff N]]*COS(RADIANS(Readings[[#This Row],[Reference Angle]])))),"-")</f>
        <v>-</v>
      </c>
      <c r="T1203" s="97" t="str">
        <f>IFERROR(VLOOKUP(Readings[[#This Row],[Sensor ID]],Table_Baseline[],COLUMNS(Table_Baseline[[#Headers],[Sensor ID]:[Reference Angle '[Deg']]]),FALSE),"-")</f>
        <v>-</v>
      </c>
      <c r="U1203" s="98" t="str">
        <f>Readings[[#This Row],[Sensor ID]]&amp;"-"&amp;Readings[[#This Row],[Epoch]]</f>
        <v>250-ST-OP-505-45873.2916666667</v>
      </c>
      <c r="V1203" s="100">
        <f ca="1">IF(Readings[[#This Row],[Epoch]]=OFFSET(Readings[[#This Row],[Epoch]],-1,0),0,1)</f>
        <v>0</v>
      </c>
    </row>
    <row r="1204" spans="4:22" x14ac:dyDescent="0.2">
      <c r="D1204" s="32">
        <v>45881.291666666664</v>
      </c>
      <c r="E1204" s="33" t="s">
        <v>172</v>
      </c>
      <c r="F1204" s="34">
        <v>60035.339</v>
      </c>
      <c r="G1204" s="34">
        <v>363845.73800000001</v>
      </c>
      <c r="H1204" s="34">
        <v>18.782</v>
      </c>
      <c r="I1204" s="33" t="s">
        <v>85</v>
      </c>
      <c r="J1204" s="33" t="s">
        <v>90</v>
      </c>
      <c r="K1204" s="33">
        <v>10.5</v>
      </c>
      <c r="L1204" s="33">
        <v>1023.9</v>
      </c>
      <c r="M1204" s="33">
        <v>90</v>
      </c>
      <c r="N1204" s="33"/>
      <c r="O1204" s="93">
        <f>IFERROR(IF(Readings[[#This Row],[Obs. X]]="","-",Readings[[#This Row],[Obs. X]]-_xlfn.XLOOKUP(Readings[[#This Row],[Sensor ID]],Table_Baseline[Sensor ID],Table_Baseline[Easting '[m']],"-")),"-")</f>
        <v>-9.9999999656574801E-4</v>
      </c>
      <c r="P1204" s="93">
        <f>IFERROR(IF(Readings[[#This Row],[Obs. Y]]="","-",Readings[[#This Row],[Obs. Y]]-_xlfn.XLOOKUP(Readings[[#This Row],[Sensor ID]],Table_Baseline[Sensor ID],Table_Baseline[Northing '[m']],"-")),"-")</f>
        <v>-9.9999998928979039E-4</v>
      </c>
      <c r="Q1204" s="93">
        <f>IFERROR(IF(Readings[[#This Row],[Obs. Z]]="","-",Readings[[#This Row],[Obs. Z]]-_xlfn.XLOOKUP(Readings[[#This Row],[Sensor ID]],Table_Baseline[Sensor ID],Table_Baseline[Level '[m']],"-")),"-")</f>
        <v>0</v>
      </c>
      <c r="R1204" s="93">
        <f>IFERROR(IF(Readings[[#This Row],[Reference Angle]]="-","-",(Readings[[#This Row],[Diff E]]*COS(RADIANS(Readings[[#This Row],[Reference Angle]]))-Readings[[#This Row],[Diff N]]*SIN(RADIANS(Readings[[#This Row],[Reference Angle]])))),"-")</f>
        <v>-9.9999999656574801E-4</v>
      </c>
      <c r="S1204" s="93">
        <f>IFERROR(IF(Readings[[#This Row],[Reference Angle]]="-","-",(Readings[[#This Row],[Diff E]]*SIN(RADIANS(Readings[[#This Row],[Reference Angle]]))+Readings[[#This Row],[Diff N]]*COS(RADIANS(Readings[[#This Row],[Reference Angle]])))),"-")</f>
        <v>-9.9999998928979039E-4</v>
      </c>
      <c r="T1204" s="94">
        <f>IFERROR(VLOOKUP(Readings[[#This Row],[Sensor ID]],Table_Baseline[],COLUMNS(Table_Baseline[[#Headers],[Sensor ID]:[Reference Angle '[Deg']]]),FALSE),"-")</f>
        <v>0</v>
      </c>
      <c r="U1204" s="95" t="str">
        <f>Readings[[#This Row],[Sensor ID]]&amp;"-"&amp;Readings[[#This Row],[Epoch]]</f>
        <v>250-RL-OP-11001-45881.2916666667</v>
      </c>
      <c r="V1204" s="99">
        <f ca="1">IF(Readings[[#This Row],[Epoch]]=OFFSET(Readings[[#This Row],[Epoch]],-1,0),0,1)</f>
        <v>1</v>
      </c>
    </row>
    <row r="1205" spans="4:22" x14ac:dyDescent="0.2">
      <c r="D1205" s="32">
        <v>45881.291666666664</v>
      </c>
      <c r="E1205" s="33" t="s">
        <v>171</v>
      </c>
      <c r="F1205" s="34">
        <v>60034.957999999999</v>
      </c>
      <c r="G1205" s="34">
        <v>363844.47</v>
      </c>
      <c r="H1205" s="34">
        <v>18.777999999999999</v>
      </c>
      <c r="I1205" s="33" t="s">
        <v>85</v>
      </c>
      <c r="J1205" s="33" t="s">
        <v>90</v>
      </c>
      <c r="K1205" s="33">
        <v>10.5</v>
      </c>
      <c r="L1205" s="33">
        <v>1023.9</v>
      </c>
      <c r="M1205" s="33">
        <v>90</v>
      </c>
      <c r="N1205" s="33"/>
      <c r="O1205" s="93">
        <f>IFERROR(IF(Readings[[#This Row],[Obs. X]]="","-",Readings[[#This Row],[Obs. X]]-_xlfn.XLOOKUP(Readings[[#This Row],[Sensor ID]],Table_Baseline[Sensor ID],Table_Baseline[Easting '[m']],"-")),"-")</f>
        <v>-1.0000000038417056E-3</v>
      </c>
      <c r="P1205" s="93">
        <f>IFERROR(IF(Readings[[#This Row],[Obs. Y]]="","-",Readings[[#This Row],[Obs. Y]]-_xlfn.XLOOKUP(Readings[[#This Row],[Sensor ID]],Table_Baseline[Sensor ID],Table_Baseline[Northing '[m']],"-")),"-")</f>
        <v>-1.0000000474974513E-3</v>
      </c>
      <c r="Q1205" s="93">
        <f>IFERROR(IF(Readings[[#This Row],[Obs. Z]]="","-",Readings[[#This Row],[Obs. Z]]-_xlfn.XLOOKUP(Readings[[#This Row],[Sensor ID]],Table_Baseline[Sensor ID],Table_Baseline[Level '[m']],"-")),"-")</f>
        <v>-9.9999999999766942E-5</v>
      </c>
      <c r="R1205" s="93">
        <f>IFERROR(IF(Readings[[#This Row],[Reference Angle]]="-","-",(Readings[[#This Row],[Diff E]]*COS(RADIANS(Readings[[#This Row],[Reference Angle]]))-Readings[[#This Row],[Diff N]]*SIN(RADIANS(Readings[[#This Row],[Reference Angle]])))),"-")</f>
        <v>-1.0000000038417056E-3</v>
      </c>
      <c r="S1205" s="93">
        <f>IFERROR(IF(Readings[[#This Row],[Reference Angle]]="-","-",(Readings[[#This Row],[Diff E]]*SIN(RADIANS(Readings[[#This Row],[Reference Angle]]))+Readings[[#This Row],[Diff N]]*COS(RADIANS(Readings[[#This Row],[Reference Angle]])))),"-")</f>
        <v>-1.0000000474974513E-3</v>
      </c>
      <c r="T1205" s="94">
        <f>IFERROR(VLOOKUP(Readings[[#This Row],[Sensor ID]],Table_Baseline[],COLUMNS(Table_Baseline[[#Headers],[Sensor ID]:[Reference Angle '[Deg']]]),FALSE),"-")</f>
        <v>0</v>
      </c>
      <c r="U1205" s="95" t="str">
        <f>Readings[[#This Row],[Sensor ID]]&amp;"-"&amp;Readings[[#This Row],[Epoch]]</f>
        <v>250-RL-OP-11002-45881.2916666667</v>
      </c>
      <c r="V1205" s="99">
        <f ca="1">IF(Readings[[#This Row],[Epoch]]=OFFSET(Readings[[#This Row],[Epoch]],-1,0),0,1)</f>
        <v>0</v>
      </c>
    </row>
    <row r="1206" spans="4:22" x14ac:dyDescent="0.2">
      <c r="D1206" s="32">
        <v>45881.291666666664</v>
      </c>
      <c r="E1206" s="33" t="s">
        <v>174</v>
      </c>
      <c r="F1206" s="34">
        <v>60038.116999999998</v>
      </c>
      <c r="G1206" s="34">
        <v>363844.94400000002</v>
      </c>
      <c r="H1206" s="34">
        <v>18.777999999999999</v>
      </c>
      <c r="I1206" s="33" t="s">
        <v>85</v>
      </c>
      <c r="J1206" s="33" t="s">
        <v>90</v>
      </c>
      <c r="K1206" s="33">
        <v>10.5</v>
      </c>
      <c r="L1206" s="33">
        <v>1023.9</v>
      </c>
      <c r="M1206" s="33">
        <v>90</v>
      </c>
      <c r="N1206" s="33"/>
      <c r="O1206" s="93">
        <f>IFERROR(IF(Readings[[#This Row],[Obs. X]]="","-",Readings[[#This Row],[Obs. X]]-_xlfn.XLOOKUP(Readings[[#This Row],[Sensor ID]],Table_Baseline[Sensor ID],Table_Baseline[Easting '[m']],"-")),"-")</f>
        <v>-1.0000000038417056E-3</v>
      </c>
      <c r="P1206" s="93">
        <f>IFERROR(IF(Readings[[#This Row],[Obs. Y]]="","-",Readings[[#This Row],[Obs. Y]]-_xlfn.XLOOKUP(Readings[[#This Row],[Sensor ID]],Table_Baseline[Sensor ID],Table_Baseline[Northing '[m']],"-")),"-")</f>
        <v>-9.9999998928979039E-4</v>
      </c>
      <c r="Q1206" s="93">
        <f>IFERROR(IF(Readings[[#This Row],[Obs. Z]]="","-",Readings[[#This Row],[Obs. Z]]-_xlfn.XLOOKUP(Readings[[#This Row],[Sensor ID]],Table_Baseline[Sensor ID],Table_Baseline[Level '[m']],"-")),"-")</f>
        <v>-8.0000000000168825E-4</v>
      </c>
      <c r="R1206" s="93">
        <f>IFERROR(IF(Readings[[#This Row],[Reference Angle]]="-","-",(Readings[[#This Row],[Diff E]]*COS(RADIANS(Readings[[#This Row],[Reference Angle]]))-Readings[[#This Row],[Diff N]]*SIN(RADIANS(Readings[[#This Row],[Reference Angle]])))),"-")</f>
        <v>-1.0000000038417056E-3</v>
      </c>
      <c r="S1206" s="93">
        <f>IFERROR(IF(Readings[[#This Row],[Reference Angle]]="-","-",(Readings[[#This Row],[Diff E]]*SIN(RADIANS(Readings[[#This Row],[Reference Angle]]))+Readings[[#This Row],[Diff N]]*COS(RADIANS(Readings[[#This Row],[Reference Angle]])))),"-")</f>
        <v>-9.9999998928979039E-4</v>
      </c>
      <c r="T1206" s="94">
        <f>IFERROR(VLOOKUP(Readings[[#This Row],[Sensor ID]],Table_Baseline[],COLUMNS(Table_Baseline[[#Headers],[Sensor ID]:[Reference Angle '[Deg']]]),FALSE),"-")</f>
        <v>0</v>
      </c>
      <c r="U1206" s="95" t="str">
        <f>Readings[[#This Row],[Sensor ID]]&amp;"-"&amp;Readings[[#This Row],[Epoch]]</f>
        <v>250-RL-OP-11003-45881.2916666667</v>
      </c>
      <c r="V1206" s="99">
        <f ca="1">IF(Readings[[#This Row],[Epoch]]=OFFSET(Readings[[#This Row],[Epoch]],-1,0),0,1)</f>
        <v>0</v>
      </c>
    </row>
    <row r="1207" spans="4:22" x14ac:dyDescent="0.2">
      <c r="D1207" s="32">
        <v>45881.291666666664</v>
      </c>
      <c r="E1207" s="33" t="s">
        <v>173</v>
      </c>
      <c r="F1207" s="34">
        <v>60037.803999999996</v>
      </c>
      <c r="G1207" s="34">
        <v>363843.65700000001</v>
      </c>
      <c r="H1207" s="34">
        <v>18.777999999999999</v>
      </c>
      <c r="I1207" s="33" t="s">
        <v>85</v>
      </c>
      <c r="J1207" s="33" t="s">
        <v>90</v>
      </c>
      <c r="K1207" s="33">
        <v>10.5</v>
      </c>
      <c r="L1207" s="33">
        <v>1023.9</v>
      </c>
      <c r="M1207" s="33">
        <v>90</v>
      </c>
      <c r="N1207" s="33"/>
      <c r="O1207" s="93">
        <f>IFERROR(IF(Readings[[#This Row],[Obs. X]]="","-",Readings[[#This Row],[Obs. X]]-_xlfn.XLOOKUP(Readings[[#This Row],[Sensor ID]],Table_Baseline[Sensor ID],Table_Baseline[Easting '[m']],"-")),"-")</f>
        <v>-1.0000000038417056E-3</v>
      </c>
      <c r="P1207" s="93">
        <f>IFERROR(IF(Readings[[#This Row],[Obs. Y]]="","-",Readings[[#This Row],[Obs. Y]]-_xlfn.XLOOKUP(Readings[[#This Row],[Sensor ID]],Table_Baseline[Sensor ID],Table_Baseline[Northing '[m']],"-")),"-")</f>
        <v>0</v>
      </c>
      <c r="Q1207" s="93">
        <f>IFERROR(IF(Readings[[#This Row],[Obs. Z]]="","-",Readings[[#This Row],[Obs. Z]]-_xlfn.XLOOKUP(Readings[[#This Row],[Sensor ID]],Table_Baseline[Sensor ID],Table_Baseline[Level '[m']],"-")),"-")</f>
        <v>-5.0000000000238742E-4</v>
      </c>
      <c r="R1207" s="93">
        <f>IFERROR(IF(Readings[[#This Row],[Reference Angle]]="-","-",(Readings[[#This Row],[Diff E]]*COS(RADIANS(Readings[[#This Row],[Reference Angle]]))-Readings[[#This Row],[Diff N]]*SIN(RADIANS(Readings[[#This Row],[Reference Angle]])))),"-")</f>
        <v>-1.0000000038417056E-3</v>
      </c>
      <c r="S1207" s="93">
        <f>IFERROR(IF(Readings[[#This Row],[Reference Angle]]="-","-",(Readings[[#This Row],[Diff E]]*SIN(RADIANS(Readings[[#This Row],[Reference Angle]]))+Readings[[#This Row],[Diff N]]*COS(RADIANS(Readings[[#This Row],[Reference Angle]])))),"-")</f>
        <v>0</v>
      </c>
      <c r="T1207" s="94">
        <f>IFERROR(VLOOKUP(Readings[[#This Row],[Sensor ID]],Table_Baseline[],COLUMNS(Table_Baseline[[#Headers],[Sensor ID]:[Reference Angle '[Deg']]]),FALSE),"-")</f>
        <v>0</v>
      </c>
      <c r="U1207" s="95" t="str">
        <f>Readings[[#This Row],[Sensor ID]]&amp;"-"&amp;Readings[[#This Row],[Epoch]]</f>
        <v>250-RL-OP-11004-45881.2916666667</v>
      </c>
      <c r="V1207" s="99">
        <f ca="1">IF(Readings[[#This Row],[Epoch]]=OFFSET(Readings[[#This Row],[Epoch]],-1,0),0,1)</f>
        <v>0</v>
      </c>
    </row>
    <row r="1208" spans="4:22" x14ac:dyDescent="0.2">
      <c r="D1208" s="32">
        <v>45881.291666666664</v>
      </c>
      <c r="E1208" s="33" t="s">
        <v>176</v>
      </c>
      <c r="F1208" s="34">
        <v>60040.968000000001</v>
      </c>
      <c r="G1208" s="34">
        <v>363844.11800000002</v>
      </c>
      <c r="H1208" s="34">
        <v>18.779</v>
      </c>
      <c r="I1208" s="33" t="s">
        <v>85</v>
      </c>
      <c r="J1208" s="33" t="s">
        <v>90</v>
      </c>
      <c r="K1208" s="33">
        <v>10.5</v>
      </c>
      <c r="L1208" s="33">
        <v>1023.9</v>
      </c>
      <c r="M1208" s="33">
        <v>90</v>
      </c>
      <c r="N1208" s="33"/>
      <c r="O1208" s="93">
        <f>IFERROR(IF(Readings[[#This Row],[Obs. X]]="","-",Readings[[#This Row],[Obs. X]]-_xlfn.XLOOKUP(Readings[[#This Row],[Sensor ID]],Table_Baseline[Sensor ID],Table_Baseline[Easting '[m']],"-")),"-")</f>
        <v>-9.9999999656574801E-4</v>
      </c>
      <c r="P1208" s="93">
        <f>IFERROR(IF(Readings[[#This Row],[Obs. Y]]="","-",Readings[[#This Row],[Obs. Y]]-_xlfn.XLOOKUP(Readings[[#This Row],[Sensor ID]],Table_Baseline[Sensor ID],Table_Baseline[Northing '[m']],"-")),"-")</f>
        <v>0</v>
      </c>
      <c r="Q1208" s="93">
        <f>IFERROR(IF(Readings[[#This Row],[Obs. Z]]="","-",Readings[[#This Row],[Obs. Z]]-_xlfn.XLOOKUP(Readings[[#This Row],[Sensor ID]],Table_Baseline[Sensor ID],Table_Baseline[Level '[m']],"-")),"-")</f>
        <v>0</v>
      </c>
      <c r="R1208" s="93">
        <f>IFERROR(IF(Readings[[#This Row],[Reference Angle]]="-","-",(Readings[[#This Row],[Diff E]]*COS(RADIANS(Readings[[#This Row],[Reference Angle]]))-Readings[[#This Row],[Diff N]]*SIN(RADIANS(Readings[[#This Row],[Reference Angle]])))),"-")</f>
        <v>-9.9999999656574801E-4</v>
      </c>
      <c r="S1208" s="93">
        <f>IFERROR(IF(Readings[[#This Row],[Reference Angle]]="-","-",(Readings[[#This Row],[Diff E]]*SIN(RADIANS(Readings[[#This Row],[Reference Angle]]))+Readings[[#This Row],[Diff N]]*COS(RADIANS(Readings[[#This Row],[Reference Angle]])))),"-")</f>
        <v>0</v>
      </c>
      <c r="T1208" s="94">
        <f>IFERROR(VLOOKUP(Readings[[#This Row],[Sensor ID]],Table_Baseline[],COLUMNS(Table_Baseline[[#Headers],[Sensor ID]:[Reference Angle '[Deg']]]),FALSE),"-")</f>
        <v>0</v>
      </c>
      <c r="U1208" s="95" t="str">
        <f>Readings[[#This Row],[Sensor ID]]&amp;"-"&amp;Readings[[#This Row],[Epoch]]</f>
        <v>250-RL-OP-11005-45881.2916666667</v>
      </c>
      <c r="V1208" s="99">
        <f ca="1">IF(Readings[[#This Row],[Epoch]]=OFFSET(Readings[[#This Row],[Epoch]],-1,0),0,1)</f>
        <v>0</v>
      </c>
    </row>
    <row r="1209" spans="4:22" x14ac:dyDescent="0.2">
      <c r="D1209" s="32">
        <v>45881.291666666664</v>
      </c>
      <c r="E1209" s="33" t="s">
        <v>175</v>
      </c>
      <c r="F1209" s="34">
        <v>60040.606</v>
      </c>
      <c r="G1209" s="34">
        <v>363842.86100000003</v>
      </c>
      <c r="H1209" s="34">
        <v>18.771999999999998</v>
      </c>
      <c r="I1209" s="33" t="s">
        <v>85</v>
      </c>
      <c r="J1209" s="33" t="s">
        <v>90</v>
      </c>
      <c r="K1209" s="33">
        <v>10.5</v>
      </c>
      <c r="L1209" s="33">
        <v>1023.9</v>
      </c>
      <c r="M1209" s="33">
        <v>90</v>
      </c>
      <c r="N1209" s="33"/>
      <c r="O1209" s="93">
        <f>IFERROR(IF(Readings[[#This Row],[Obs. X]]="","-",Readings[[#This Row],[Obs. X]]-_xlfn.XLOOKUP(Readings[[#This Row],[Sensor ID]],Table_Baseline[Sensor ID],Table_Baseline[Easting '[m']],"-")),"-")</f>
        <v>-1.0000000038417056E-3</v>
      </c>
      <c r="P1209" s="93">
        <f>IFERROR(IF(Readings[[#This Row],[Obs. Y]]="","-",Readings[[#This Row],[Obs. Y]]-_xlfn.XLOOKUP(Readings[[#This Row],[Sensor ID]],Table_Baseline[Sensor ID],Table_Baseline[Northing '[m']],"-")),"-")</f>
        <v>0</v>
      </c>
      <c r="Q1209" s="93">
        <f>IFERROR(IF(Readings[[#This Row],[Obs. Z]]="","-",Readings[[#This Row],[Obs. Z]]-_xlfn.XLOOKUP(Readings[[#This Row],[Sensor ID]],Table_Baseline[Sensor ID],Table_Baseline[Level '[m']],"-")),"-")</f>
        <v>0</v>
      </c>
      <c r="R1209" s="93">
        <f>IFERROR(IF(Readings[[#This Row],[Reference Angle]]="-","-",(Readings[[#This Row],[Diff E]]*COS(RADIANS(Readings[[#This Row],[Reference Angle]]))-Readings[[#This Row],[Diff N]]*SIN(RADIANS(Readings[[#This Row],[Reference Angle]])))),"-")</f>
        <v>-1.0000000038417056E-3</v>
      </c>
      <c r="S1209" s="93">
        <f>IFERROR(IF(Readings[[#This Row],[Reference Angle]]="-","-",(Readings[[#This Row],[Diff E]]*SIN(RADIANS(Readings[[#This Row],[Reference Angle]]))+Readings[[#This Row],[Diff N]]*COS(RADIANS(Readings[[#This Row],[Reference Angle]])))),"-")</f>
        <v>0</v>
      </c>
      <c r="T1209" s="94">
        <f>IFERROR(VLOOKUP(Readings[[#This Row],[Sensor ID]],Table_Baseline[],COLUMNS(Table_Baseline[[#Headers],[Sensor ID]:[Reference Angle '[Deg']]]),FALSE),"-")</f>
        <v>0</v>
      </c>
      <c r="U1209" s="95" t="str">
        <f>Readings[[#This Row],[Sensor ID]]&amp;"-"&amp;Readings[[#This Row],[Epoch]]</f>
        <v>250-RL-OP-11006-45881.2916666667</v>
      </c>
      <c r="V1209" s="99">
        <f ca="1">IF(Readings[[#This Row],[Epoch]]=OFFSET(Readings[[#This Row],[Epoch]],-1,0),0,1)</f>
        <v>0</v>
      </c>
    </row>
    <row r="1210" spans="4:22" x14ac:dyDescent="0.2">
      <c r="D1210" s="32">
        <v>45881.291666666664</v>
      </c>
      <c r="E1210" s="33" t="s">
        <v>178</v>
      </c>
      <c r="F1210" s="34">
        <v>60043.758000000002</v>
      </c>
      <c r="G1210" s="34">
        <v>363843.315</v>
      </c>
      <c r="H1210" s="34">
        <v>18.774000000000001</v>
      </c>
      <c r="I1210" s="33" t="s">
        <v>85</v>
      </c>
      <c r="J1210" s="33" t="s">
        <v>90</v>
      </c>
      <c r="K1210" s="33">
        <v>10.5</v>
      </c>
      <c r="L1210" s="33">
        <v>1023.9</v>
      </c>
      <c r="M1210" s="33">
        <v>90</v>
      </c>
      <c r="N1210" s="33"/>
      <c r="O1210" s="93">
        <f>IFERROR(IF(Readings[[#This Row],[Obs. X]]="","-",Readings[[#This Row],[Obs. X]]-_xlfn.XLOOKUP(Readings[[#This Row],[Sensor ID]],Table_Baseline[Sensor ID],Table_Baseline[Easting '[m']],"-")),"-")</f>
        <v>-9.9999999656574801E-4</v>
      </c>
      <c r="P1210" s="93">
        <f>IFERROR(IF(Readings[[#This Row],[Obs. Y]]="","-",Readings[[#This Row],[Obs. Y]]-_xlfn.XLOOKUP(Readings[[#This Row],[Sensor ID]],Table_Baseline[Sensor ID],Table_Baseline[Northing '[m']],"-")),"-")</f>
        <v>9.9999998928979039E-4</v>
      </c>
      <c r="Q1210" s="93">
        <f>IFERROR(IF(Readings[[#This Row],[Obs. Z]]="","-",Readings[[#This Row],[Obs. Z]]-_xlfn.XLOOKUP(Readings[[#This Row],[Sensor ID]],Table_Baseline[Sensor ID],Table_Baseline[Level '[m']],"-")),"-")</f>
        <v>-9.9999999999766942E-5</v>
      </c>
      <c r="R1210" s="93">
        <f>IFERROR(IF(Readings[[#This Row],[Reference Angle]]="-","-",(Readings[[#This Row],[Diff E]]*COS(RADIANS(Readings[[#This Row],[Reference Angle]]))-Readings[[#This Row],[Diff N]]*SIN(RADIANS(Readings[[#This Row],[Reference Angle]])))),"-")</f>
        <v>-9.9999999656574801E-4</v>
      </c>
      <c r="S1210" s="93">
        <f>IFERROR(IF(Readings[[#This Row],[Reference Angle]]="-","-",(Readings[[#This Row],[Diff E]]*SIN(RADIANS(Readings[[#This Row],[Reference Angle]]))+Readings[[#This Row],[Diff N]]*COS(RADIANS(Readings[[#This Row],[Reference Angle]])))),"-")</f>
        <v>9.9999998928979039E-4</v>
      </c>
      <c r="T1210" s="94">
        <f>IFERROR(VLOOKUP(Readings[[#This Row],[Sensor ID]],Table_Baseline[],COLUMNS(Table_Baseline[[#Headers],[Sensor ID]:[Reference Angle '[Deg']]]),FALSE),"-")</f>
        <v>0</v>
      </c>
      <c r="U1210" s="95" t="str">
        <f>Readings[[#This Row],[Sensor ID]]&amp;"-"&amp;Readings[[#This Row],[Epoch]]</f>
        <v>250-RL-OP-11007-45881.2916666667</v>
      </c>
      <c r="V1210" s="99">
        <f ca="1">IF(Readings[[#This Row],[Epoch]]=OFFSET(Readings[[#This Row],[Epoch]],-1,0),0,1)</f>
        <v>0</v>
      </c>
    </row>
    <row r="1211" spans="4:22" x14ac:dyDescent="0.2">
      <c r="D1211" s="32">
        <v>45881.291666666664</v>
      </c>
      <c r="E1211" s="33" t="s">
        <v>177</v>
      </c>
      <c r="F1211" s="34">
        <v>60043.440999999999</v>
      </c>
      <c r="G1211" s="34">
        <v>363842.04099999997</v>
      </c>
      <c r="H1211" s="34">
        <v>18.768999999999998</v>
      </c>
      <c r="I1211" s="33" t="s">
        <v>85</v>
      </c>
      <c r="J1211" s="33" t="s">
        <v>90</v>
      </c>
      <c r="K1211" s="33">
        <v>10.5</v>
      </c>
      <c r="L1211" s="33">
        <v>1023.9</v>
      </c>
      <c r="M1211" s="33">
        <v>90</v>
      </c>
      <c r="N1211" s="33"/>
      <c r="O1211" s="93">
        <f>IFERROR(IF(Readings[[#This Row],[Obs. X]]="","-",Readings[[#This Row],[Obs. X]]-_xlfn.XLOOKUP(Readings[[#This Row],[Sensor ID]],Table_Baseline[Sensor ID],Table_Baseline[Easting '[m']],"-")),"-")</f>
        <v>0</v>
      </c>
      <c r="P1211" s="93">
        <f>IFERROR(IF(Readings[[#This Row],[Obs. Y]]="","-",Readings[[#This Row],[Obs. Y]]-_xlfn.XLOOKUP(Readings[[#This Row],[Sensor ID]],Table_Baseline[Sensor ID],Table_Baseline[Northing '[m']],"-")),"-")</f>
        <v>9.9999993108212948E-4</v>
      </c>
      <c r="Q1211" s="93">
        <f>IFERROR(IF(Readings[[#This Row],[Obs. Z]]="","-",Readings[[#This Row],[Obs. Z]]-_xlfn.XLOOKUP(Readings[[#This Row],[Sensor ID]],Table_Baseline[Sensor ID],Table_Baseline[Level '[m']],"-")),"-")</f>
        <v>6.9999999999836859E-4</v>
      </c>
      <c r="R1211" s="93">
        <f>IFERROR(IF(Readings[[#This Row],[Reference Angle]]="-","-",(Readings[[#This Row],[Diff E]]*COS(RADIANS(Readings[[#This Row],[Reference Angle]]))-Readings[[#This Row],[Diff N]]*SIN(RADIANS(Readings[[#This Row],[Reference Angle]])))),"-")</f>
        <v>0</v>
      </c>
      <c r="S1211" s="93">
        <f>IFERROR(IF(Readings[[#This Row],[Reference Angle]]="-","-",(Readings[[#This Row],[Diff E]]*SIN(RADIANS(Readings[[#This Row],[Reference Angle]]))+Readings[[#This Row],[Diff N]]*COS(RADIANS(Readings[[#This Row],[Reference Angle]])))),"-")</f>
        <v>9.9999993108212948E-4</v>
      </c>
      <c r="T1211" s="94">
        <f>IFERROR(VLOOKUP(Readings[[#This Row],[Sensor ID]],Table_Baseline[],COLUMNS(Table_Baseline[[#Headers],[Sensor ID]:[Reference Angle '[Deg']]]),FALSE),"-")</f>
        <v>0</v>
      </c>
      <c r="U1211" s="95" t="str">
        <f>Readings[[#This Row],[Sensor ID]]&amp;"-"&amp;Readings[[#This Row],[Epoch]]</f>
        <v>250-RL-OP-11008-45881.2916666667</v>
      </c>
      <c r="V1211" s="99">
        <f ca="1">IF(Readings[[#This Row],[Epoch]]=OFFSET(Readings[[#This Row],[Epoch]],-1,0),0,1)</f>
        <v>0</v>
      </c>
    </row>
    <row r="1212" spans="4:22" x14ac:dyDescent="0.2">
      <c r="D1212" s="32">
        <v>45881.291666666664</v>
      </c>
      <c r="E1212" s="33" t="s">
        <v>180</v>
      </c>
      <c r="F1212" s="34">
        <v>60046.633000000002</v>
      </c>
      <c r="G1212" s="34">
        <v>363842.48600000003</v>
      </c>
      <c r="H1212" s="34">
        <v>18.777000000000001</v>
      </c>
      <c r="I1212" s="33" t="s">
        <v>85</v>
      </c>
      <c r="J1212" s="33" t="s">
        <v>90</v>
      </c>
      <c r="K1212" s="33">
        <v>10.5</v>
      </c>
      <c r="L1212" s="33">
        <v>1023.9</v>
      </c>
      <c r="M1212" s="33">
        <v>90</v>
      </c>
      <c r="N1212" s="33"/>
      <c r="O1212" s="93">
        <f>IFERROR(IF(Readings[[#This Row],[Obs. X]]="","-",Readings[[#This Row],[Obs. X]]-_xlfn.XLOOKUP(Readings[[#This Row],[Sensor ID]],Table_Baseline[Sensor ID],Table_Baseline[Easting '[m']],"-")),"-")</f>
        <v>0</v>
      </c>
      <c r="P1212" s="93">
        <f>IFERROR(IF(Readings[[#This Row],[Obs. Y]]="","-",Readings[[#This Row],[Obs. Y]]-_xlfn.XLOOKUP(Readings[[#This Row],[Sensor ID]],Table_Baseline[Sensor ID],Table_Baseline[Northing '[m']],"-")),"-")</f>
        <v>1.0000000474974513E-3</v>
      </c>
      <c r="Q1212" s="93">
        <f>IFERROR(IF(Readings[[#This Row],[Obs. Z]]="","-",Readings[[#This Row],[Obs. Z]]-_xlfn.XLOOKUP(Readings[[#This Row],[Sensor ID]],Table_Baseline[Sensor ID],Table_Baseline[Level '[m']],"-")),"-")</f>
        <v>-5.9999999999860165E-4</v>
      </c>
      <c r="R1212" s="93">
        <f>IFERROR(IF(Readings[[#This Row],[Reference Angle]]="-","-",(Readings[[#This Row],[Diff E]]*COS(RADIANS(Readings[[#This Row],[Reference Angle]]))-Readings[[#This Row],[Diff N]]*SIN(RADIANS(Readings[[#This Row],[Reference Angle]])))),"-")</f>
        <v>0</v>
      </c>
      <c r="S1212" s="93">
        <f>IFERROR(IF(Readings[[#This Row],[Reference Angle]]="-","-",(Readings[[#This Row],[Diff E]]*SIN(RADIANS(Readings[[#This Row],[Reference Angle]]))+Readings[[#This Row],[Diff N]]*COS(RADIANS(Readings[[#This Row],[Reference Angle]])))),"-")</f>
        <v>1.0000000474974513E-3</v>
      </c>
      <c r="T1212" s="94">
        <f>IFERROR(VLOOKUP(Readings[[#This Row],[Sensor ID]],Table_Baseline[],COLUMNS(Table_Baseline[[#Headers],[Sensor ID]:[Reference Angle '[Deg']]]),FALSE),"-")</f>
        <v>0</v>
      </c>
      <c r="U1212" s="95" t="str">
        <f>Readings[[#This Row],[Sensor ID]]&amp;"-"&amp;Readings[[#This Row],[Epoch]]</f>
        <v>250-RL-OP-11009-45881.2916666667</v>
      </c>
      <c r="V1212" s="99">
        <f ca="1">IF(Readings[[#This Row],[Epoch]]=OFFSET(Readings[[#This Row],[Epoch]],-1,0),0,1)</f>
        <v>0</v>
      </c>
    </row>
    <row r="1213" spans="4:22" x14ac:dyDescent="0.2">
      <c r="D1213" s="32">
        <v>45881.291666666664</v>
      </c>
      <c r="E1213" s="33" t="s">
        <v>179</v>
      </c>
      <c r="F1213" s="34">
        <v>60046.25</v>
      </c>
      <c r="G1213" s="34">
        <v>363841.22700000001</v>
      </c>
      <c r="H1213" s="34">
        <v>18.77</v>
      </c>
      <c r="I1213" s="33" t="s">
        <v>85</v>
      </c>
      <c r="J1213" s="33" t="s">
        <v>90</v>
      </c>
      <c r="K1213" s="33">
        <v>10.5</v>
      </c>
      <c r="L1213" s="33">
        <v>1023.9</v>
      </c>
      <c r="M1213" s="33">
        <v>90</v>
      </c>
      <c r="N1213" s="33"/>
      <c r="O1213" s="93">
        <f>IFERROR(IF(Readings[[#This Row],[Obs. X]]="","-",Readings[[#This Row],[Obs. X]]-_xlfn.XLOOKUP(Readings[[#This Row],[Sensor ID]],Table_Baseline[Sensor ID],Table_Baseline[Easting '[m']],"-")),"-")</f>
        <v>0</v>
      </c>
      <c r="P1213" s="93">
        <f>IFERROR(IF(Readings[[#This Row],[Obs. Y]]="","-",Readings[[#This Row],[Obs. Y]]-_xlfn.XLOOKUP(Readings[[#This Row],[Sensor ID]],Table_Baseline[Sensor ID],Table_Baseline[Northing '[m']],"-")),"-")</f>
        <v>9.9999998928979039E-4</v>
      </c>
      <c r="Q1213" s="93">
        <f>IFERROR(IF(Readings[[#This Row],[Obs. Z]]="","-",Readings[[#This Row],[Obs. Z]]-_xlfn.XLOOKUP(Readings[[#This Row],[Sensor ID]],Table_Baseline[Sensor ID],Table_Baseline[Level '[m']],"-")),"-")</f>
        <v>1.9999999999953388E-4</v>
      </c>
      <c r="R1213" s="93">
        <f>IFERROR(IF(Readings[[#This Row],[Reference Angle]]="-","-",(Readings[[#This Row],[Diff E]]*COS(RADIANS(Readings[[#This Row],[Reference Angle]]))-Readings[[#This Row],[Diff N]]*SIN(RADIANS(Readings[[#This Row],[Reference Angle]])))),"-")</f>
        <v>0</v>
      </c>
      <c r="S1213" s="93">
        <f>IFERROR(IF(Readings[[#This Row],[Reference Angle]]="-","-",(Readings[[#This Row],[Diff E]]*SIN(RADIANS(Readings[[#This Row],[Reference Angle]]))+Readings[[#This Row],[Diff N]]*COS(RADIANS(Readings[[#This Row],[Reference Angle]])))),"-")</f>
        <v>9.9999998928979039E-4</v>
      </c>
      <c r="T1213" s="94">
        <f>IFERROR(VLOOKUP(Readings[[#This Row],[Sensor ID]],Table_Baseline[],COLUMNS(Table_Baseline[[#Headers],[Sensor ID]:[Reference Angle '[Deg']]]),FALSE),"-")</f>
        <v>0</v>
      </c>
      <c r="U1213" s="95" t="str">
        <f>Readings[[#This Row],[Sensor ID]]&amp;"-"&amp;Readings[[#This Row],[Epoch]]</f>
        <v>250-RL-OP-11010-45881.2916666667</v>
      </c>
      <c r="V1213" s="99">
        <f ca="1">IF(Readings[[#This Row],[Epoch]]=OFFSET(Readings[[#This Row],[Epoch]],-1,0),0,1)</f>
        <v>0</v>
      </c>
    </row>
    <row r="1214" spans="4:22" x14ac:dyDescent="0.2">
      <c r="D1214" s="32">
        <v>45881.291666666664</v>
      </c>
      <c r="E1214" s="33" t="s">
        <v>182</v>
      </c>
      <c r="F1214" s="34">
        <v>60049.398999999998</v>
      </c>
      <c r="G1214" s="34">
        <v>363841.7</v>
      </c>
      <c r="H1214" s="34">
        <v>18.777999999999999</v>
      </c>
      <c r="I1214" s="33" t="s">
        <v>85</v>
      </c>
      <c r="J1214" s="33" t="s">
        <v>90</v>
      </c>
      <c r="K1214" s="33">
        <v>10.5</v>
      </c>
      <c r="L1214" s="33">
        <v>1023.9</v>
      </c>
      <c r="M1214" s="33">
        <v>90</v>
      </c>
      <c r="N1214" s="33"/>
      <c r="O1214" s="93">
        <f>IFERROR(IF(Readings[[#This Row],[Obs. X]]="","-",Readings[[#This Row],[Obs. X]]-_xlfn.XLOOKUP(Readings[[#This Row],[Sensor ID]],Table_Baseline[Sensor ID],Table_Baseline[Easting '[m']],"-")),"-")</f>
        <v>0</v>
      </c>
      <c r="P1214" s="93">
        <f>IFERROR(IF(Readings[[#This Row],[Obs. Y]]="","-",Readings[[#This Row],[Obs. Y]]-_xlfn.XLOOKUP(Readings[[#This Row],[Sensor ID]],Table_Baseline[Sensor ID],Table_Baseline[Northing '[m']],"-")),"-")</f>
        <v>2.0000000367872417E-3</v>
      </c>
      <c r="Q1214" s="93">
        <f>IFERROR(IF(Readings[[#This Row],[Obs. Z]]="","-",Readings[[#This Row],[Obs. Z]]-_xlfn.XLOOKUP(Readings[[#This Row],[Sensor ID]],Table_Baseline[Sensor ID],Table_Baseline[Level '[m']],"-")),"-")</f>
        <v>0</v>
      </c>
      <c r="R1214" s="93">
        <f>IFERROR(IF(Readings[[#This Row],[Reference Angle]]="-","-",(Readings[[#This Row],[Diff E]]*COS(RADIANS(Readings[[#This Row],[Reference Angle]]))-Readings[[#This Row],[Diff N]]*SIN(RADIANS(Readings[[#This Row],[Reference Angle]])))),"-")</f>
        <v>0</v>
      </c>
      <c r="S1214" s="93">
        <f>IFERROR(IF(Readings[[#This Row],[Reference Angle]]="-","-",(Readings[[#This Row],[Diff E]]*SIN(RADIANS(Readings[[#This Row],[Reference Angle]]))+Readings[[#This Row],[Diff N]]*COS(RADIANS(Readings[[#This Row],[Reference Angle]])))),"-")</f>
        <v>2.0000000367872417E-3</v>
      </c>
      <c r="T1214" s="94">
        <f>IFERROR(VLOOKUP(Readings[[#This Row],[Sensor ID]],Table_Baseline[],COLUMNS(Table_Baseline[[#Headers],[Sensor ID]:[Reference Angle '[Deg']]]),FALSE),"-")</f>
        <v>0</v>
      </c>
      <c r="U1214" s="95" t="str">
        <f>Readings[[#This Row],[Sensor ID]]&amp;"-"&amp;Readings[[#This Row],[Epoch]]</f>
        <v>250-RL-OP-11011-45881.2916666667</v>
      </c>
      <c r="V1214" s="99">
        <f ca="1">IF(Readings[[#This Row],[Epoch]]=OFFSET(Readings[[#This Row],[Epoch]],-1,0),0,1)</f>
        <v>0</v>
      </c>
    </row>
    <row r="1215" spans="4:22" x14ac:dyDescent="0.2">
      <c r="D1215" s="32">
        <v>45881.291666666664</v>
      </c>
      <c r="E1215" s="33" t="s">
        <v>181</v>
      </c>
      <c r="F1215" s="34">
        <v>60049.040999999997</v>
      </c>
      <c r="G1215" s="34">
        <v>363840.43599999999</v>
      </c>
      <c r="H1215" s="34">
        <v>18.771000000000001</v>
      </c>
      <c r="I1215" s="33" t="s">
        <v>85</v>
      </c>
      <c r="J1215" s="33" t="s">
        <v>90</v>
      </c>
      <c r="K1215" s="33">
        <v>10.5</v>
      </c>
      <c r="L1215" s="33">
        <v>1023.9</v>
      </c>
      <c r="M1215" s="33">
        <v>90</v>
      </c>
      <c r="N1215" s="33"/>
      <c r="O1215" s="93">
        <f>IFERROR(IF(Readings[[#This Row],[Obs. X]]="","-",Readings[[#This Row],[Obs. X]]-_xlfn.XLOOKUP(Readings[[#This Row],[Sensor ID]],Table_Baseline[Sensor ID],Table_Baseline[Easting '[m']],"-")),"-")</f>
        <v>0</v>
      </c>
      <c r="P1215" s="93">
        <f>IFERROR(IF(Readings[[#This Row],[Obs. Y]]="","-",Readings[[#This Row],[Obs. Y]]-_xlfn.XLOOKUP(Readings[[#This Row],[Sensor ID]],Table_Baseline[Sensor ID],Table_Baseline[Northing '[m']],"-")),"-")</f>
        <v>3.0000000260770321E-3</v>
      </c>
      <c r="Q1215" s="93">
        <f>IFERROR(IF(Readings[[#This Row],[Obs. Z]]="","-",Readings[[#This Row],[Obs. Z]]-_xlfn.XLOOKUP(Readings[[#This Row],[Sensor ID]],Table_Baseline[Sensor ID],Table_Baseline[Level '[m']],"-")),"-")</f>
        <v>-9.9999999999766942E-5</v>
      </c>
      <c r="R1215" s="93">
        <f>IFERROR(IF(Readings[[#This Row],[Reference Angle]]="-","-",(Readings[[#This Row],[Diff E]]*COS(RADIANS(Readings[[#This Row],[Reference Angle]]))-Readings[[#This Row],[Diff N]]*SIN(RADIANS(Readings[[#This Row],[Reference Angle]])))),"-")</f>
        <v>0</v>
      </c>
      <c r="S1215" s="93">
        <f>IFERROR(IF(Readings[[#This Row],[Reference Angle]]="-","-",(Readings[[#This Row],[Diff E]]*SIN(RADIANS(Readings[[#This Row],[Reference Angle]]))+Readings[[#This Row],[Diff N]]*COS(RADIANS(Readings[[#This Row],[Reference Angle]])))),"-")</f>
        <v>3.0000000260770321E-3</v>
      </c>
      <c r="T1215" s="94">
        <f>IFERROR(VLOOKUP(Readings[[#This Row],[Sensor ID]],Table_Baseline[],COLUMNS(Table_Baseline[[#Headers],[Sensor ID]:[Reference Angle '[Deg']]]),FALSE),"-")</f>
        <v>0</v>
      </c>
      <c r="U1215" s="95" t="str">
        <f>Readings[[#This Row],[Sensor ID]]&amp;"-"&amp;Readings[[#This Row],[Epoch]]</f>
        <v>250-RL-OP-11012-45881.2916666667</v>
      </c>
      <c r="V1215" s="99">
        <f ca="1">IF(Readings[[#This Row],[Epoch]]=OFFSET(Readings[[#This Row],[Epoch]],-1,0),0,1)</f>
        <v>0</v>
      </c>
    </row>
    <row r="1216" spans="4:22" x14ac:dyDescent="0.2">
      <c r="D1216" s="32">
        <v>45881.291666666664</v>
      </c>
      <c r="E1216" s="33" t="s">
        <v>184</v>
      </c>
      <c r="F1216" s="34">
        <v>60052.292999999998</v>
      </c>
      <c r="G1216" s="34">
        <v>363840.88800000004</v>
      </c>
      <c r="H1216" s="34">
        <v>18.779</v>
      </c>
      <c r="I1216" s="33" t="s">
        <v>85</v>
      </c>
      <c r="J1216" s="33" t="s">
        <v>90</v>
      </c>
      <c r="K1216" s="33">
        <v>10.5</v>
      </c>
      <c r="L1216" s="33">
        <v>1023.9</v>
      </c>
      <c r="M1216" s="33">
        <v>90</v>
      </c>
      <c r="N1216" s="33"/>
      <c r="O1216" s="93">
        <f>IFERROR(IF(Readings[[#This Row],[Obs. X]]="","-",Readings[[#This Row],[Obs. X]]-_xlfn.XLOOKUP(Readings[[#This Row],[Sensor ID]],Table_Baseline[Sensor ID],Table_Baseline[Easting '[m']],"-")),"-")</f>
        <v>0</v>
      </c>
      <c r="P1216" s="93">
        <f>IFERROR(IF(Readings[[#This Row],[Obs. Y]]="","-",Readings[[#This Row],[Obs. Y]]-_xlfn.XLOOKUP(Readings[[#This Row],[Sensor ID]],Table_Baseline[Sensor ID],Table_Baseline[Northing '[m']],"-")),"-")</f>
        <v>3.0000000260770321E-3</v>
      </c>
      <c r="Q1216" s="93">
        <f>IFERROR(IF(Readings[[#This Row],[Obs. Z]]="","-",Readings[[#This Row],[Obs. Z]]-_xlfn.XLOOKUP(Readings[[#This Row],[Sensor ID]],Table_Baseline[Sensor ID],Table_Baseline[Level '[m']],"-")),"-")</f>
        <v>0</v>
      </c>
      <c r="R1216" s="93">
        <f>IFERROR(IF(Readings[[#This Row],[Reference Angle]]="-","-",(Readings[[#This Row],[Diff E]]*COS(RADIANS(Readings[[#This Row],[Reference Angle]]))-Readings[[#This Row],[Diff N]]*SIN(RADIANS(Readings[[#This Row],[Reference Angle]])))),"-")</f>
        <v>0</v>
      </c>
      <c r="S1216" s="93">
        <f>IFERROR(IF(Readings[[#This Row],[Reference Angle]]="-","-",(Readings[[#This Row],[Diff E]]*SIN(RADIANS(Readings[[#This Row],[Reference Angle]]))+Readings[[#This Row],[Diff N]]*COS(RADIANS(Readings[[#This Row],[Reference Angle]])))),"-")</f>
        <v>3.0000000260770321E-3</v>
      </c>
      <c r="T1216" s="94">
        <f>IFERROR(VLOOKUP(Readings[[#This Row],[Sensor ID]],Table_Baseline[],COLUMNS(Table_Baseline[[#Headers],[Sensor ID]:[Reference Angle '[Deg']]]),FALSE),"-")</f>
        <v>0</v>
      </c>
      <c r="U1216" s="95" t="str">
        <f>Readings[[#This Row],[Sensor ID]]&amp;"-"&amp;Readings[[#This Row],[Epoch]]</f>
        <v>250-RL-OP-11013-45881.2916666667</v>
      </c>
      <c r="V1216" s="99">
        <f ca="1">IF(Readings[[#This Row],[Epoch]]=OFFSET(Readings[[#This Row],[Epoch]],-1,0),0,1)</f>
        <v>0</v>
      </c>
    </row>
    <row r="1217" spans="4:22" x14ac:dyDescent="0.2">
      <c r="D1217" s="32">
        <v>45881.291666666664</v>
      </c>
      <c r="E1217" s="33" t="s">
        <v>183</v>
      </c>
      <c r="F1217" s="34">
        <v>60051.989000000001</v>
      </c>
      <c r="G1217" s="34">
        <v>363839.60600000003</v>
      </c>
      <c r="H1217" s="34">
        <v>18.77</v>
      </c>
      <c r="I1217" s="33" t="s">
        <v>85</v>
      </c>
      <c r="J1217" s="33" t="s">
        <v>90</v>
      </c>
      <c r="K1217" s="33">
        <v>10.5</v>
      </c>
      <c r="L1217" s="33">
        <v>1023.9</v>
      </c>
      <c r="M1217" s="33">
        <v>90</v>
      </c>
      <c r="N1217" s="33"/>
      <c r="O1217" s="93">
        <f>IFERROR(IF(Readings[[#This Row],[Obs. X]]="","-",Readings[[#This Row],[Obs. X]]-_xlfn.XLOOKUP(Readings[[#This Row],[Sensor ID]],Table_Baseline[Sensor ID],Table_Baseline[Easting '[m']],"-")),"-")</f>
        <v>0</v>
      </c>
      <c r="P1217" s="93">
        <f>IFERROR(IF(Readings[[#This Row],[Obs. Y]]="","-",Readings[[#This Row],[Obs. Y]]-_xlfn.XLOOKUP(Readings[[#This Row],[Sensor ID]],Table_Baseline[Sensor ID],Table_Baseline[Northing '[m']],"-")),"-")</f>
        <v>3.0000000260770321E-3</v>
      </c>
      <c r="Q1217" s="93">
        <f>IFERROR(IF(Readings[[#This Row],[Obs. Z]]="","-",Readings[[#This Row],[Obs. Z]]-_xlfn.XLOOKUP(Readings[[#This Row],[Sensor ID]],Table_Baseline[Sensor ID],Table_Baseline[Level '[m']],"-")),"-")</f>
        <v>-9.9999999999766942E-5</v>
      </c>
      <c r="R1217" s="93">
        <f>IFERROR(IF(Readings[[#This Row],[Reference Angle]]="-","-",(Readings[[#This Row],[Diff E]]*COS(RADIANS(Readings[[#This Row],[Reference Angle]]))-Readings[[#This Row],[Diff N]]*SIN(RADIANS(Readings[[#This Row],[Reference Angle]])))),"-")</f>
        <v>0</v>
      </c>
      <c r="S1217" s="93">
        <f>IFERROR(IF(Readings[[#This Row],[Reference Angle]]="-","-",(Readings[[#This Row],[Diff E]]*SIN(RADIANS(Readings[[#This Row],[Reference Angle]]))+Readings[[#This Row],[Diff N]]*COS(RADIANS(Readings[[#This Row],[Reference Angle]])))),"-")</f>
        <v>3.0000000260770321E-3</v>
      </c>
      <c r="T1217" s="94">
        <f>IFERROR(VLOOKUP(Readings[[#This Row],[Sensor ID]],Table_Baseline[],COLUMNS(Table_Baseline[[#Headers],[Sensor ID]:[Reference Angle '[Deg']]]),FALSE),"-")</f>
        <v>0</v>
      </c>
      <c r="U1217" s="95" t="str">
        <f>Readings[[#This Row],[Sensor ID]]&amp;"-"&amp;Readings[[#This Row],[Epoch]]</f>
        <v>250-RL-OP-11014-45881.2916666667</v>
      </c>
      <c r="V1217" s="99">
        <f ca="1">IF(Readings[[#This Row],[Epoch]]=OFFSET(Readings[[#This Row],[Epoch]],-1,0),0,1)</f>
        <v>0</v>
      </c>
    </row>
    <row r="1218" spans="4:22" x14ac:dyDescent="0.2">
      <c r="D1218" s="32">
        <v>45881.291666666664</v>
      </c>
      <c r="E1218" s="33" t="s">
        <v>186</v>
      </c>
      <c r="F1218" s="34">
        <v>60055.196000000004</v>
      </c>
      <c r="G1218" s="34">
        <v>363840.098</v>
      </c>
      <c r="H1218" s="34">
        <v>18.78</v>
      </c>
      <c r="I1218" s="33" t="s">
        <v>85</v>
      </c>
      <c r="J1218" s="33" t="s">
        <v>90</v>
      </c>
      <c r="K1218" s="33">
        <v>10.5</v>
      </c>
      <c r="L1218" s="33">
        <v>1023.9</v>
      </c>
      <c r="M1218" s="33">
        <v>90</v>
      </c>
      <c r="N1218" s="33"/>
      <c r="O1218" s="93">
        <f>IFERROR(IF(Readings[[#This Row],[Obs. X]]="","-",Readings[[#This Row],[Obs. X]]-_xlfn.XLOOKUP(Readings[[#This Row],[Sensor ID]],Table_Baseline[Sensor ID],Table_Baseline[Easting '[m']],"-")),"-")</f>
        <v>0</v>
      </c>
      <c r="P1218" s="93">
        <f>IFERROR(IF(Readings[[#This Row],[Obs. Y]]="","-",Readings[[#This Row],[Obs. Y]]-_xlfn.XLOOKUP(Readings[[#This Row],[Sensor ID]],Table_Baseline[Sensor ID],Table_Baseline[Northing '[m']],"-")),"-")</f>
        <v>3.0000000260770321E-3</v>
      </c>
      <c r="Q1218" s="93">
        <f>IFERROR(IF(Readings[[#This Row],[Obs. Z]]="","-",Readings[[#This Row],[Obs. Z]]-_xlfn.XLOOKUP(Readings[[#This Row],[Sensor ID]],Table_Baseline[Sensor ID],Table_Baseline[Level '[m']],"-")),"-")</f>
        <v>-8.9999999999790248E-4</v>
      </c>
      <c r="R1218" s="93">
        <f>IFERROR(IF(Readings[[#This Row],[Reference Angle]]="-","-",(Readings[[#This Row],[Diff E]]*COS(RADIANS(Readings[[#This Row],[Reference Angle]]))-Readings[[#This Row],[Diff N]]*SIN(RADIANS(Readings[[#This Row],[Reference Angle]])))),"-")</f>
        <v>0</v>
      </c>
      <c r="S1218" s="93">
        <f>IFERROR(IF(Readings[[#This Row],[Reference Angle]]="-","-",(Readings[[#This Row],[Diff E]]*SIN(RADIANS(Readings[[#This Row],[Reference Angle]]))+Readings[[#This Row],[Diff N]]*COS(RADIANS(Readings[[#This Row],[Reference Angle]])))),"-")</f>
        <v>3.0000000260770321E-3</v>
      </c>
      <c r="T1218" s="94">
        <f>IFERROR(VLOOKUP(Readings[[#This Row],[Sensor ID]],Table_Baseline[],COLUMNS(Table_Baseline[[#Headers],[Sensor ID]:[Reference Angle '[Deg']]]),FALSE),"-")</f>
        <v>0</v>
      </c>
      <c r="U1218" s="95" t="str">
        <f>Readings[[#This Row],[Sensor ID]]&amp;"-"&amp;Readings[[#This Row],[Epoch]]</f>
        <v>250-RL-OP-11015-45881.2916666667</v>
      </c>
      <c r="V1218" s="99">
        <f ca="1">IF(Readings[[#This Row],[Epoch]]=OFFSET(Readings[[#This Row],[Epoch]],-1,0),0,1)</f>
        <v>0</v>
      </c>
    </row>
    <row r="1219" spans="4:22" x14ac:dyDescent="0.2">
      <c r="D1219" s="32">
        <v>45881.291666666664</v>
      </c>
      <c r="E1219" s="33" t="s">
        <v>185</v>
      </c>
      <c r="F1219" s="34">
        <v>60054.885000000002</v>
      </c>
      <c r="G1219" s="34">
        <v>363838.80799999996</v>
      </c>
      <c r="H1219" s="34">
        <v>18.773</v>
      </c>
      <c r="I1219" s="33" t="s">
        <v>85</v>
      </c>
      <c r="J1219" s="33" t="s">
        <v>90</v>
      </c>
      <c r="K1219" s="33">
        <v>10.5</v>
      </c>
      <c r="L1219" s="33">
        <v>1023.9</v>
      </c>
      <c r="M1219" s="33">
        <v>90</v>
      </c>
      <c r="N1219" s="33"/>
      <c r="O1219" s="93">
        <f>IFERROR(IF(Readings[[#This Row],[Obs. X]]="","-",Readings[[#This Row],[Obs. X]]-_xlfn.XLOOKUP(Readings[[#This Row],[Sensor ID]],Table_Baseline[Sensor ID],Table_Baseline[Easting '[m']],"-")),"-")</f>
        <v>-9.9999999656574801E-4</v>
      </c>
      <c r="P1219" s="93">
        <f>IFERROR(IF(Readings[[#This Row],[Obs. Y]]="","-",Readings[[#This Row],[Obs. Y]]-_xlfn.XLOOKUP(Readings[[#This Row],[Sensor ID]],Table_Baseline[Sensor ID],Table_Baseline[Northing '[m']],"-")),"-")</f>
        <v>2.9999999678693712E-3</v>
      </c>
      <c r="Q1219" s="93">
        <f>IFERROR(IF(Readings[[#This Row],[Obs. Z]]="","-",Readings[[#This Row],[Obs. Z]]-_xlfn.XLOOKUP(Readings[[#This Row],[Sensor ID]],Table_Baseline[Sensor ID],Table_Baseline[Level '[m']],"-")),"-")</f>
        <v>-9.9999999999766942E-5</v>
      </c>
      <c r="R1219" s="93">
        <f>IFERROR(IF(Readings[[#This Row],[Reference Angle]]="-","-",(Readings[[#This Row],[Diff E]]*COS(RADIANS(Readings[[#This Row],[Reference Angle]]))-Readings[[#This Row],[Diff N]]*SIN(RADIANS(Readings[[#This Row],[Reference Angle]])))),"-")</f>
        <v>-9.9999999656574801E-4</v>
      </c>
      <c r="S1219" s="93">
        <f>IFERROR(IF(Readings[[#This Row],[Reference Angle]]="-","-",(Readings[[#This Row],[Diff E]]*SIN(RADIANS(Readings[[#This Row],[Reference Angle]]))+Readings[[#This Row],[Diff N]]*COS(RADIANS(Readings[[#This Row],[Reference Angle]])))),"-")</f>
        <v>2.9999999678693712E-3</v>
      </c>
      <c r="T1219" s="94">
        <f>IFERROR(VLOOKUP(Readings[[#This Row],[Sensor ID]],Table_Baseline[],COLUMNS(Table_Baseline[[#Headers],[Sensor ID]:[Reference Angle '[Deg']]]),FALSE),"-")</f>
        <v>0</v>
      </c>
      <c r="U1219" s="95" t="str">
        <f>Readings[[#This Row],[Sensor ID]]&amp;"-"&amp;Readings[[#This Row],[Epoch]]</f>
        <v>250-RL-OP-11016-45881.2916666667</v>
      </c>
      <c r="V1219" s="99">
        <f ca="1">IF(Readings[[#This Row],[Epoch]]=OFFSET(Readings[[#This Row],[Epoch]],-1,0),0,1)</f>
        <v>0</v>
      </c>
    </row>
    <row r="1220" spans="4:22" x14ac:dyDescent="0.2">
      <c r="D1220" s="32">
        <v>45881.291666666664</v>
      </c>
      <c r="E1220" s="33" t="s">
        <v>188</v>
      </c>
      <c r="F1220" s="34">
        <v>60057.951999999997</v>
      </c>
      <c r="G1220" s="34">
        <v>363839.36600000004</v>
      </c>
      <c r="H1220" s="34">
        <v>18.785</v>
      </c>
      <c r="I1220" s="33" t="s">
        <v>85</v>
      </c>
      <c r="J1220" s="33" t="s">
        <v>90</v>
      </c>
      <c r="K1220" s="33">
        <v>10.5</v>
      </c>
      <c r="L1220" s="33">
        <v>1023.9</v>
      </c>
      <c r="M1220" s="33">
        <v>90</v>
      </c>
      <c r="N1220" s="33"/>
      <c r="O1220" s="93">
        <f>IFERROR(IF(Readings[[#This Row],[Obs. X]]="","-",Readings[[#This Row],[Obs. X]]-_xlfn.XLOOKUP(Readings[[#This Row],[Sensor ID]],Table_Baseline[Sensor ID],Table_Baseline[Easting '[m']],"-")),"-")</f>
        <v>0</v>
      </c>
      <c r="P1220" s="93">
        <f>IFERROR(IF(Readings[[#This Row],[Obs. Y]]="","-",Readings[[#This Row],[Obs. Y]]-_xlfn.XLOOKUP(Readings[[#This Row],[Sensor ID]],Table_Baseline[Sensor ID],Table_Baseline[Northing '[m']],"-")),"-")</f>
        <v>4.0000000735744834E-3</v>
      </c>
      <c r="Q1220" s="93">
        <f>IFERROR(IF(Readings[[#This Row],[Obs. Z]]="","-",Readings[[#This Row],[Obs. Z]]-_xlfn.XLOOKUP(Readings[[#This Row],[Sensor ID]],Table_Baseline[Sensor ID],Table_Baseline[Level '[m']],"-")),"-")</f>
        <v>-1.0000000000012221E-3</v>
      </c>
      <c r="R1220" s="93">
        <f>IFERROR(IF(Readings[[#This Row],[Reference Angle]]="-","-",(Readings[[#This Row],[Diff E]]*COS(RADIANS(Readings[[#This Row],[Reference Angle]]))-Readings[[#This Row],[Diff N]]*SIN(RADIANS(Readings[[#This Row],[Reference Angle]])))),"-")</f>
        <v>0</v>
      </c>
      <c r="S1220" s="93">
        <f>IFERROR(IF(Readings[[#This Row],[Reference Angle]]="-","-",(Readings[[#This Row],[Diff E]]*SIN(RADIANS(Readings[[#This Row],[Reference Angle]]))+Readings[[#This Row],[Diff N]]*COS(RADIANS(Readings[[#This Row],[Reference Angle]])))),"-")</f>
        <v>4.0000000735744834E-3</v>
      </c>
      <c r="T1220" s="94">
        <f>IFERROR(VLOOKUP(Readings[[#This Row],[Sensor ID]],Table_Baseline[],COLUMNS(Table_Baseline[[#Headers],[Sensor ID]:[Reference Angle '[Deg']]]),FALSE),"-")</f>
        <v>0</v>
      </c>
      <c r="U1220" s="95" t="str">
        <f>Readings[[#This Row],[Sensor ID]]&amp;"-"&amp;Readings[[#This Row],[Epoch]]</f>
        <v>250-RL-OP-11017-45881.2916666667</v>
      </c>
      <c r="V1220" s="99">
        <f ca="1">IF(Readings[[#This Row],[Epoch]]=OFFSET(Readings[[#This Row],[Epoch]],-1,0),0,1)</f>
        <v>0</v>
      </c>
    </row>
    <row r="1221" spans="4:22" x14ac:dyDescent="0.2">
      <c r="D1221" s="32">
        <v>45881.291666666664</v>
      </c>
      <c r="E1221" s="33" t="s">
        <v>187</v>
      </c>
      <c r="F1221" s="34">
        <v>60057.578999999998</v>
      </c>
      <c r="G1221" s="34">
        <v>363838.10200000001</v>
      </c>
      <c r="H1221" s="34">
        <v>18.774999999999999</v>
      </c>
      <c r="I1221" s="33" t="s">
        <v>85</v>
      </c>
      <c r="J1221" s="33" t="s">
        <v>90</v>
      </c>
      <c r="K1221" s="33">
        <v>10.5</v>
      </c>
      <c r="L1221" s="33">
        <v>1023.9</v>
      </c>
      <c r="M1221" s="33">
        <v>90</v>
      </c>
      <c r="N1221" s="33"/>
      <c r="O1221" s="93">
        <f>IFERROR(IF(Readings[[#This Row],[Obs. X]]="","-",Readings[[#This Row],[Obs. X]]-_xlfn.XLOOKUP(Readings[[#This Row],[Sensor ID]],Table_Baseline[Sensor ID],Table_Baseline[Easting '[m']],"-")),"-")</f>
        <v>0</v>
      </c>
      <c r="P1221" s="93">
        <f>IFERROR(IF(Readings[[#This Row],[Obs. Y]]="","-",Readings[[#This Row],[Obs. Y]]-_xlfn.XLOOKUP(Readings[[#This Row],[Sensor ID]],Table_Baseline[Sensor ID],Table_Baseline[Northing '[m']],"-")),"-")</f>
        <v>4.0000000153668225E-3</v>
      </c>
      <c r="Q1221" s="93">
        <f>IFERROR(IF(Readings[[#This Row],[Obs. Z]]="","-",Readings[[#This Row],[Obs. Z]]-_xlfn.XLOOKUP(Readings[[#This Row],[Sensor ID]],Table_Baseline[Sensor ID],Table_Baseline[Level '[m']],"-")),"-")</f>
        <v>-1.0000000000012221E-3</v>
      </c>
      <c r="R1221" s="93">
        <f>IFERROR(IF(Readings[[#This Row],[Reference Angle]]="-","-",(Readings[[#This Row],[Diff E]]*COS(RADIANS(Readings[[#This Row],[Reference Angle]]))-Readings[[#This Row],[Diff N]]*SIN(RADIANS(Readings[[#This Row],[Reference Angle]])))),"-")</f>
        <v>0</v>
      </c>
      <c r="S1221" s="93">
        <f>IFERROR(IF(Readings[[#This Row],[Reference Angle]]="-","-",(Readings[[#This Row],[Diff E]]*SIN(RADIANS(Readings[[#This Row],[Reference Angle]]))+Readings[[#This Row],[Diff N]]*COS(RADIANS(Readings[[#This Row],[Reference Angle]])))),"-")</f>
        <v>4.0000000153668225E-3</v>
      </c>
      <c r="T1221" s="94">
        <f>IFERROR(VLOOKUP(Readings[[#This Row],[Sensor ID]],Table_Baseline[],COLUMNS(Table_Baseline[[#Headers],[Sensor ID]:[Reference Angle '[Deg']]]),FALSE),"-")</f>
        <v>0</v>
      </c>
      <c r="U1221" s="95" t="str">
        <f>Readings[[#This Row],[Sensor ID]]&amp;"-"&amp;Readings[[#This Row],[Epoch]]</f>
        <v>250-RL-OP-11018-45881.2916666667</v>
      </c>
      <c r="V1221" s="99">
        <f ca="1">IF(Readings[[#This Row],[Epoch]]=OFFSET(Readings[[#This Row],[Epoch]],-1,0),0,1)</f>
        <v>0</v>
      </c>
    </row>
    <row r="1222" spans="4:22" x14ac:dyDescent="0.2">
      <c r="D1222" s="32">
        <v>45881.291666666664</v>
      </c>
      <c r="E1222" s="33" t="s">
        <v>190</v>
      </c>
      <c r="F1222" s="34">
        <v>60060.963000000003</v>
      </c>
      <c r="G1222" s="34">
        <v>363838.60499999998</v>
      </c>
      <c r="H1222" s="34">
        <v>18.794</v>
      </c>
      <c r="I1222" s="33" t="s">
        <v>85</v>
      </c>
      <c r="J1222" s="33" t="s">
        <v>90</v>
      </c>
      <c r="K1222" s="33">
        <v>10.5</v>
      </c>
      <c r="L1222" s="33">
        <v>1023.9</v>
      </c>
      <c r="M1222" s="33">
        <v>90</v>
      </c>
      <c r="N1222" s="33"/>
      <c r="O1222" s="93">
        <f>IFERROR(IF(Readings[[#This Row],[Obs. X]]="","-",Readings[[#This Row],[Obs. X]]-_xlfn.XLOOKUP(Readings[[#This Row],[Sensor ID]],Table_Baseline[Sensor ID],Table_Baseline[Easting '[m']],"-")),"-")</f>
        <v>0</v>
      </c>
      <c r="P1222" s="93">
        <f>IFERROR(IF(Readings[[#This Row],[Obs. Y]]="","-",Readings[[#This Row],[Obs. Y]]-_xlfn.XLOOKUP(Readings[[#This Row],[Sensor ID]],Table_Baseline[Sensor ID],Table_Baseline[Northing '[m']],"-")),"-")</f>
        <v>3.9999999571591616E-3</v>
      </c>
      <c r="Q1222" s="93">
        <f>IFERROR(IF(Readings[[#This Row],[Obs. Z]]="","-",Readings[[#This Row],[Obs. Z]]-_xlfn.XLOOKUP(Readings[[#This Row],[Sensor ID]],Table_Baseline[Sensor ID],Table_Baseline[Level '[m']],"-")),"-")</f>
        <v>-5.9999999999860165E-4</v>
      </c>
      <c r="R1222" s="93">
        <f>IFERROR(IF(Readings[[#This Row],[Reference Angle]]="-","-",(Readings[[#This Row],[Diff E]]*COS(RADIANS(Readings[[#This Row],[Reference Angle]]))-Readings[[#This Row],[Diff N]]*SIN(RADIANS(Readings[[#This Row],[Reference Angle]])))),"-")</f>
        <v>0</v>
      </c>
      <c r="S1222" s="93">
        <f>IFERROR(IF(Readings[[#This Row],[Reference Angle]]="-","-",(Readings[[#This Row],[Diff E]]*SIN(RADIANS(Readings[[#This Row],[Reference Angle]]))+Readings[[#This Row],[Diff N]]*COS(RADIANS(Readings[[#This Row],[Reference Angle]])))),"-")</f>
        <v>3.9999999571591616E-3</v>
      </c>
      <c r="T1222" s="94">
        <f>IFERROR(VLOOKUP(Readings[[#This Row],[Sensor ID]],Table_Baseline[],COLUMNS(Table_Baseline[[#Headers],[Sensor ID]:[Reference Angle '[Deg']]]),FALSE),"-")</f>
        <v>0</v>
      </c>
      <c r="U1222" s="95" t="str">
        <f>Readings[[#This Row],[Sensor ID]]&amp;"-"&amp;Readings[[#This Row],[Epoch]]</f>
        <v>250-RL-OP-11019-45881.2916666667</v>
      </c>
      <c r="V1222" s="99">
        <f ca="1">IF(Readings[[#This Row],[Epoch]]=OFFSET(Readings[[#This Row],[Epoch]],-1,0),0,1)</f>
        <v>0</v>
      </c>
    </row>
    <row r="1223" spans="4:22" x14ac:dyDescent="0.2">
      <c r="D1223" s="32">
        <v>45881.291666666664</v>
      </c>
      <c r="E1223" s="33" t="s">
        <v>189</v>
      </c>
      <c r="F1223" s="34">
        <v>60060.639999999999</v>
      </c>
      <c r="G1223" s="34">
        <v>363837.32699999999</v>
      </c>
      <c r="H1223" s="34">
        <v>18.783000000000001</v>
      </c>
      <c r="I1223" s="33" t="s">
        <v>85</v>
      </c>
      <c r="J1223" s="33" t="s">
        <v>90</v>
      </c>
      <c r="K1223" s="33">
        <v>10.5</v>
      </c>
      <c r="L1223" s="33">
        <v>1023.9</v>
      </c>
      <c r="M1223" s="33">
        <v>90</v>
      </c>
      <c r="N1223" s="33"/>
      <c r="O1223" s="93">
        <f>IFERROR(IF(Readings[[#This Row],[Obs. X]]="","-",Readings[[#This Row],[Obs. X]]-_xlfn.XLOOKUP(Readings[[#This Row],[Sensor ID]],Table_Baseline[Sensor ID],Table_Baseline[Easting '[m']],"-")),"-")</f>
        <v>0</v>
      </c>
      <c r="P1223" s="93">
        <f>IFERROR(IF(Readings[[#This Row],[Obs. Y]]="","-",Readings[[#This Row],[Obs. Y]]-_xlfn.XLOOKUP(Readings[[#This Row],[Sensor ID]],Table_Baseline[Sensor ID],Table_Baseline[Northing '[m']],"-")),"-")</f>
        <v>5.0000000046566129E-3</v>
      </c>
      <c r="Q1223" s="93">
        <f>IFERROR(IF(Readings[[#This Row],[Obs. Z]]="","-",Readings[[#This Row],[Obs. Z]]-_xlfn.XLOOKUP(Readings[[#This Row],[Sensor ID]],Table_Baseline[Sensor ID],Table_Baseline[Level '[m']],"-")),"-")</f>
        <v>-5.9999999999860165E-4</v>
      </c>
      <c r="R1223" s="93">
        <f>IFERROR(IF(Readings[[#This Row],[Reference Angle]]="-","-",(Readings[[#This Row],[Diff E]]*COS(RADIANS(Readings[[#This Row],[Reference Angle]]))-Readings[[#This Row],[Diff N]]*SIN(RADIANS(Readings[[#This Row],[Reference Angle]])))),"-")</f>
        <v>0</v>
      </c>
      <c r="S1223" s="93">
        <f>IFERROR(IF(Readings[[#This Row],[Reference Angle]]="-","-",(Readings[[#This Row],[Diff E]]*SIN(RADIANS(Readings[[#This Row],[Reference Angle]]))+Readings[[#This Row],[Diff N]]*COS(RADIANS(Readings[[#This Row],[Reference Angle]])))),"-")</f>
        <v>5.0000000046566129E-3</v>
      </c>
      <c r="T1223" s="94">
        <f>IFERROR(VLOOKUP(Readings[[#This Row],[Sensor ID]],Table_Baseline[],COLUMNS(Table_Baseline[[#Headers],[Sensor ID]:[Reference Angle '[Deg']]]),FALSE),"-")</f>
        <v>0</v>
      </c>
      <c r="U1223" s="95" t="str">
        <f>Readings[[#This Row],[Sensor ID]]&amp;"-"&amp;Readings[[#This Row],[Epoch]]</f>
        <v>250-RL-OP-11020-45881.2916666667</v>
      </c>
      <c r="V1223" s="99">
        <f ca="1">IF(Readings[[#This Row],[Epoch]]=OFFSET(Readings[[#This Row],[Epoch]],-1,0),0,1)</f>
        <v>0</v>
      </c>
    </row>
    <row r="1224" spans="4:22" x14ac:dyDescent="0.2">
      <c r="D1224" s="32">
        <v>45881.291666666664</v>
      </c>
      <c r="E1224" s="33" t="s">
        <v>192</v>
      </c>
      <c r="F1224" s="34">
        <v>60063.750999999997</v>
      </c>
      <c r="G1224" s="34">
        <v>363837.92200000002</v>
      </c>
      <c r="H1224" s="34">
        <v>18.808</v>
      </c>
      <c r="I1224" s="33" t="s">
        <v>85</v>
      </c>
      <c r="J1224" s="33" t="s">
        <v>90</v>
      </c>
      <c r="K1224" s="33">
        <v>10.5</v>
      </c>
      <c r="L1224" s="33">
        <v>1023.9</v>
      </c>
      <c r="M1224" s="33">
        <v>90</v>
      </c>
      <c r="N1224" s="33"/>
      <c r="O1224" s="93">
        <f>IFERROR(IF(Readings[[#This Row],[Obs. X]]="","-",Readings[[#This Row],[Obs. X]]-_xlfn.XLOOKUP(Readings[[#This Row],[Sensor ID]],Table_Baseline[Sensor ID],Table_Baseline[Easting '[m']],"-")),"-")</f>
        <v>0</v>
      </c>
      <c r="P1224" s="93">
        <f>IFERROR(IF(Readings[[#This Row],[Obs. Y]]="","-",Readings[[#This Row],[Obs. Y]]-_xlfn.XLOOKUP(Readings[[#This Row],[Sensor ID]],Table_Baseline[Sensor ID],Table_Baseline[Northing '[m']],"-")),"-")</f>
        <v>4.0000000153668225E-3</v>
      </c>
      <c r="Q1224" s="93">
        <f>IFERROR(IF(Readings[[#This Row],[Obs. Z]]="","-",Readings[[#This Row],[Obs. Z]]-_xlfn.XLOOKUP(Readings[[#This Row],[Sensor ID]],Table_Baseline[Sensor ID],Table_Baseline[Level '[m']],"-")),"-")</f>
        <v>-1.0000000000012221E-3</v>
      </c>
      <c r="R1224" s="93">
        <f>IFERROR(IF(Readings[[#This Row],[Reference Angle]]="-","-",(Readings[[#This Row],[Diff E]]*COS(RADIANS(Readings[[#This Row],[Reference Angle]]))-Readings[[#This Row],[Diff N]]*SIN(RADIANS(Readings[[#This Row],[Reference Angle]])))),"-")</f>
        <v>0</v>
      </c>
      <c r="S1224" s="93">
        <f>IFERROR(IF(Readings[[#This Row],[Reference Angle]]="-","-",(Readings[[#This Row],[Diff E]]*SIN(RADIANS(Readings[[#This Row],[Reference Angle]]))+Readings[[#This Row],[Diff N]]*COS(RADIANS(Readings[[#This Row],[Reference Angle]])))),"-")</f>
        <v>4.0000000153668225E-3</v>
      </c>
      <c r="T1224" s="94">
        <f>IFERROR(VLOOKUP(Readings[[#This Row],[Sensor ID]],Table_Baseline[],COLUMNS(Table_Baseline[[#Headers],[Sensor ID]:[Reference Angle '[Deg']]]),FALSE),"-")</f>
        <v>0</v>
      </c>
      <c r="U1224" s="95" t="str">
        <f>Readings[[#This Row],[Sensor ID]]&amp;"-"&amp;Readings[[#This Row],[Epoch]]</f>
        <v>250-RL-OP-11021-45881.2916666667</v>
      </c>
      <c r="V1224" s="99">
        <f ca="1">IF(Readings[[#This Row],[Epoch]]=OFFSET(Readings[[#This Row],[Epoch]],-1,0),0,1)</f>
        <v>0</v>
      </c>
    </row>
    <row r="1225" spans="4:22" x14ac:dyDescent="0.2">
      <c r="D1225" s="32">
        <v>45881.291666666664</v>
      </c>
      <c r="E1225" s="33" t="s">
        <v>191</v>
      </c>
      <c r="F1225" s="34">
        <v>60063.421000000002</v>
      </c>
      <c r="G1225" s="34">
        <v>363836.641</v>
      </c>
      <c r="H1225" s="34">
        <v>18.794</v>
      </c>
      <c r="I1225" s="33" t="s">
        <v>85</v>
      </c>
      <c r="J1225" s="33" t="s">
        <v>90</v>
      </c>
      <c r="K1225" s="33">
        <v>10.5</v>
      </c>
      <c r="L1225" s="33">
        <v>1023.9</v>
      </c>
      <c r="M1225" s="33">
        <v>90</v>
      </c>
      <c r="N1225" s="33"/>
      <c r="O1225" s="93">
        <f>IFERROR(IF(Readings[[#This Row],[Obs. X]]="","-",Readings[[#This Row],[Obs. X]]-_xlfn.XLOOKUP(Readings[[#This Row],[Sensor ID]],Table_Baseline[Sensor ID],Table_Baseline[Easting '[m']],"-")),"-")</f>
        <v>-9.9999999656574801E-4</v>
      </c>
      <c r="P1225" s="93">
        <f>IFERROR(IF(Readings[[#This Row],[Obs. Y]]="","-",Readings[[#This Row],[Obs. Y]]-_xlfn.XLOOKUP(Readings[[#This Row],[Sensor ID]],Table_Baseline[Sensor ID],Table_Baseline[Northing '[m']],"-")),"-")</f>
        <v>5.0000000046566129E-3</v>
      </c>
      <c r="Q1225" s="93">
        <f>IFERROR(IF(Readings[[#This Row],[Obs. Z]]="","-",Readings[[#This Row],[Obs. Z]]-_xlfn.XLOOKUP(Readings[[#This Row],[Sensor ID]],Table_Baseline[Sensor ID],Table_Baseline[Level '[m']],"-")),"-")</f>
        <v>-8.9999999999790248E-4</v>
      </c>
      <c r="R1225" s="93">
        <f>IFERROR(IF(Readings[[#This Row],[Reference Angle]]="-","-",(Readings[[#This Row],[Diff E]]*COS(RADIANS(Readings[[#This Row],[Reference Angle]]))-Readings[[#This Row],[Diff N]]*SIN(RADIANS(Readings[[#This Row],[Reference Angle]])))),"-")</f>
        <v>-9.9999999656574801E-4</v>
      </c>
      <c r="S1225" s="93">
        <f>IFERROR(IF(Readings[[#This Row],[Reference Angle]]="-","-",(Readings[[#This Row],[Diff E]]*SIN(RADIANS(Readings[[#This Row],[Reference Angle]]))+Readings[[#This Row],[Diff N]]*COS(RADIANS(Readings[[#This Row],[Reference Angle]])))),"-")</f>
        <v>5.0000000046566129E-3</v>
      </c>
      <c r="T1225" s="94">
        <f>IFERROR(VLOOKUP(Readings[[#This Row],[Sensor ID]],Table_Baseline[],COLUMNS(Table_Baseline[[#Headers],[Sensor ID]:[Reference Angle '[Deg']]]),FALSE),"-")</f>
        <v>0</v>
      </c>
      <c r="U1225" s="95" t="str">
        <f>Readings[[#This Row],[Sensor ID]]&amp;"-"&amp;Readings[[#This Row],[Epoch]]</f>
        <v>250-RL-OP-11022-45881.2916666667</v>
      </c>
      <c r="V1225" s="99">
        <f ca="1">IF(Readings[[#This Row],[Epoch]]=OFFSET(Readings[[#This Row],[Epoch]],-1,0),0,1)</f>
        <v>0</v>
      </c>
    </row>
    <row r="1226" spans="4:22" x14ac:dyDescent="0.2">
      <c r="D1226" s="32">
        <v>45881.291666666664</v>
      </c>
      <c r="E1226" s="33" t="s">
        <v>165</v>
      </c>
      <c r="F1226" s="34">
        <v>60034.538999999997</v>
      </c>
      <c r="G1226" s="34">
        <v>363843.38099999999</v>
      </c>
      <c r="H1226" s="34">
        <v>19.332000000000001</v>
      </c>
      <c r="I1226" s="33" t="s">
        <v>85</v>
      </c>
      <c r="J1226" s="33" t="s">
        <v>90</v>
      </c>
      <c r="K1226" s="33">
        <v>10.5</v>
      </c>
      <c r="L1226" s="33">
        <v>1023.9</v>
      </c>
      <c r="M1226" s="33">
        <v>90</v>
      </c>
      <c r="N1226" s="33"/>
      <c r="O1226" s="93" t="str">
        <f>IFERROR(IF(Readings[[#This Row],[Obs. X]]="","-",Readings[[#This Row],[Obs. X]]-_xlfn.XLOOKUP(Readings[[#This Row],[Sensor ID]],Table_Baseline[Sensor ID],Table_Baseline[Easting '[m']],"-")),"-")</f>
        <v>-</v>
      </c>
      <c r="P1226" s="93" t="str">
        <f>IFERROR(IF(Readings[[#This Row],[Obs. Y]]="","-",Readings[[#This Row],[Obs. Y]]-_xlfn.XLOOKUP(Readings[[#This Row],[Sensor ID]],Table_Baseline[Sensor ID],Table_Baseline[Northing '[m']],"-")),"-")</f>
        <v>-</v>
      </c>
      <c r="Q1226" s="93" t="str">
        <f>IFERROR(IF(Readings[[#This Row],[Obs. Z]]="","-",Readings[[#This Row],[Obs. Z]]-_xlfn.XLOOKUP(Readings[[#This Row],[Sensor ID]],Table_Baseline[Sensor ID],Table_Baseline[Level '[m']],"-")),"-")</f>
        <v>-</v>
      </c>
      <c r="R1226" s="93" t="str">
        <f>IFERROR(IF(Readings[[#This Row],[Reference Angle]]="-","-",(Readings[[#This Row],[Diff E]]*COS(RADIANS(Readings[[#This Row],[Reference Angle]]))-Readings[[#This Row],[Diff N]]*SIN(RADIANS(Readings[[#This Row],[Reference Angle]])))),"-")</f>
        <v>-</v>
      </c>
      <c r="S1226" s="93" t="str">
        <f>IFERROR(IF(Readings[[#This Row],[Reference Angle]]="-","-",(Readings[[#This Row],[Diff E]]*SIN(RADIANS(Readings[[#This Row],[Reference Angle]]))+Readings[[#This Row],[Diff N]]*COS(RADIANS(Readings[[#This Row],[Reference Angle]])))),"-")</f>
        <v>-</v>
      </c>
      <c r="T1226" s="94" t="str">
        <f>IFERROR(VLOOKUP(Readings[[#This Row],[Sensor ID]],Table_Baseline[],COLUMNS(Table_Baseline[[#Headers],[Sensor ID]:[Reference Angle '[Deg']]]),FALSE),"-")</f>
        <v>-</v>
      </c>
      <c r="U1226" s="95" t="str">
        <f>Readings[[#This Row],[Sensor ID]]&amp;"-"&amp;Readings[[#This Row],[Epoch]]</f>
        <v>250-ST-OP-500-45881.2916666667</v>
      </c>
      <c r="V1226" s="99">
        <f ca="1">IF(Readings[[#This Row],[Epoch]]=OFFSET(Readings[[#This Row],[Epoch]],-1,0),0,1)</f>
        <v>0</v>
      </c>
    </row>
    <row r="1227" spans="4:22" x14ac:dyDescent="0.2">
      <c r="D1227" s="32">
        <v>45881.291666666664</v>
      </c>
      <c r="E1227" s="33" t="s">
        <v>166</v>
      </c>
      <c r="F1227" s="34">
        <v>60040.286999999997</v>
      </c>
      <c r="G1227" s="34">
        <v>363841.72899999999</v>
      </c>
      <c r="H1227" s="34">
        <v>19.321999999999999</v>
      </c>
      <c r="I1227" s="33" t="s">
        <v>85</v>
      </c>
      <c r="J1227" s="33" t="s">
        <v>90</v>
      </c>
      <c r="K1227" s="33">
        <v>10.5</v>
      </c>
      <c r="L1227" s="33">
        <v>1023.9</v>
      </c>
      <c r="M1227" s="33">
        <v>90</v>
      </c>
      <c r="N1227" s="33"/>
      <c r="O1227" s="93" t="str">
        <f>IFERROR(IF(Readings[[#This Row],[Obs. X]]="","-",Readings[[#This Row],[Obs. X]]-_xlfn.XLOOKUP(Readings[[#This Row],[Sensor ID]],Table_Baseline[Sensor ID],Table_Baseline[Easting '[m']],"-")),"-")</f>
        <v>-</v>
      </c>
      <c r="P1227" s="93" t="str">
        <f>IFERROR(IF(Readings[[#This Row],[Obs. Y]]="","-",Readings[[#This Row],[Obs. Y]]-_xlfn.XLOOKUP(Readings[[#This Row],[Sensor ID]],Table_Baseline[Sensor ID],Table_Baseline[Northing '[m']],"-")),"-")</f>
        <v>-</v>
      </c>
      <c r="Q1227" s="93" t="str">
        <f>IFERROR(IF(Readings[[#This Row],[Obs. Z]]="","-",Readings[[#This Row],[Obs. Z]]-_xlfn.XLOOKUP(Readings[[#This Row],[Sensor ID]],Table_Baseline[Sensor ID],Table_Baseline[Level '[m']],"-")),"-")</f>
        <v>-</v>
      </c>
      <c r="R1227" s="93" t="str">
        <f>IFERROR(IF(Readings[[#This Row],[Reference Angle]]="-","-",(Readings[[#This Row],[Diff E]]*COS(RADIANS(Readings[[#This Row],[Reference Angle]]))-Readings[[#This Row],[Diff N]]*SIN(RADIANS(Readings[[#This Row],[Reference Angle]])))),"-")</f>
        <v>-</v>
      </c>
      <c r="S1227" s="93" t="str">
        <f>IFERROR(IF(Readings[[#This Row],[Reference Angle]]="-","-",(Readings[[#This Row],[Diff E]]*SIN(RADIANS(Readings[[#This Row],[Reference Angle]]))+Readings[[#This Row],[Diff N]]*COS(RADIANS(Readings[[#This Row],[Reference Angle]])))),"-")</f>
        <v>-</v>
      </c>
      <c r="T1227" s="94" t="str">
        <f>IFERROR(VLOOKUP(Readings[[#This Row],[Sensor ID]],Table_Baseline[],COLUMNS(Table_Baseline[[#Headers],[Sensor ID]:[Reference Angle '[Deg']]]),FALSE),"-")</f>
        <v>-</v>
      </c>
      <c r="U1227" s="95" t="str">
        <f>Readings[[#This Row],[Sensor ID]]&amp;"-"&amp;Readings[[#This Row],[Epoch]]</f>
        <v>250-ST-OP-501-45881.2916666667</v>
      </c>
      <c r="V1227" s="99">
        <f ca="1">IF(Readings[[#This Row],[Epoch]]=OFFSET(Readings[[#This Row],[Epoch]],-1,0),0,1)</f>
        <v>0</v>
      </c>
    </row>
    <row r="1228" spans="4:22" x14ac:dyDescent="0.2">
      <c r="D1228" s="32">
        <v>45881.291666666664</v>
      </c>
      <c r="E1228" s="33" t="s">
        <v>167</v>
      </c>
      <c r="F1228" s="34">
        <v>60045.921999999999</v>
      </c>
      <c r="G1228" s="34">
        <v>363840.10100000002</v>
      </c>
      <c r="H1228" s="34">
        <v>19.334</v>
      </c>
      <c r="I1228" s="33" t="s">
        <v>85</v>
      </c>
      <c r="J1228" s="33" t="s">
        <v>90</v>
      </c>
      <c r="K1228" s="33">
        <v>10.5</v>
      </c>
      <c r="L1228" s="33">
        <v>1023.9</v>
      </c>
      <c r="M1228" s="33">
        <v>90</v>
      </c>
      <c r="N1228" s="33"/>
      <c r="O1228" s="93" t="str">
        <f>IFERROR(IF(Readings[[#This Row],[Obs. X]]="","-",Readings[[#This Row],[Obs. X]]-_xlfn.XLOOKUP(Readings[[#This Row],[Sensor ID]],Table_Baseline[Sensor ID],Table_Baseline[Easting '[m']],"-")),"-")</f>
        <v>-</v>
      </c>
      <c r="P1228" s="93" t="str">
        <f>IFERROR(IF(Readings[[#This Row],[Obs. Y]]="","-",Readings[[#This Row],[Obs. Y]]-_xlfn.XLOOKUP(Readings[[#This Row],[Sensor ID]],Table_Baseline[Sensor ID],Table_Baseline[Northing '[m']],"-")),"-")</f>
        <v>-</v>
      </c>
      <c r="Q1228" s="93" t="str">
        <f>IFERROR(IF(Readings[[#This Row],[Obs. Z]]="","-",Readings[[#This Row],[Obs. Z]]-_xlfn.XLOOKUP(Readings[[#This Row],[Sensor ID]],Table_Baseline[Sensor ID],Table_Baseline[Level '[m']],"-")),"-")</f>
        <v>-</v>
      </c>
      <c r="R1228" s="93" t="str">
        <f>IFERROR(IF(Readings[[#This Row],[Reference Angle]]="-","-",(Readings[[#This Row],[Diff E]]*COS(RADIANS(Readings[[#This Row],[Reference Angle]]))-Readings[[#This Row],[Diff N]]*SIN(RADIANS(Readings[[#This Row],[Reference Angle]])))),"-")</f>
        <v>-</v>
      </c>
      <c r="S1228" s="93" t="str">
        <f>IFERROR(IF(Readings[[#This Row],[Reference Angle]]="-","-",(Readings[[#This Row],[Diff E]]*SIN(RADIANS(Readings[[#This Row],[Reference Angle]]))+Readings[[#This Row],[Diff N]]*COS(RADIANS(Readings[[#This Row],[Reference Angle]])))),"-")</f>
        <v>-</v>
      </c>
      <c r="T1228" s="94" t="str">
        <f>IFERROR(VLOOKUP(Readings[[#This Row],[Sensor ID]],Table_Baseline[],COLUMNS(Table_Baseline[[#Headers],[Sensor ID]:[Reference Angle '[Deg']]]),FALSE),"-")</f>
        <v>-</v>
      </c>
      <c r="U1228" s="95" t="str">
        <f>Readings[[#This Row],[Sensor ID]]&amp;"-"&amp;Readings[[#This Row],[Epoch]]</f>
        <v>250-ST-OP-502-45881.2916666667</v>
      </c>
      <c r="V1228" s="99">
        <f ca="1">IF(Readings[[#This Row],[Epoch]]=OFFSET(Readings[[#This Row],[Epoch]],-1,0),0,1)</f>
        <v>0</v>
      </c>
    </row>
    <row r="1229" spans="4:22" x14ac:dyDescent="0.2">
      <c r="D1229" s="32">
        <v>45881.291666666664</v>
      </c>
      <c r="E1229" s="33" t="s">
        <v>168</v>
      </c>
      <c r="F1229" s="34">
        <v>60049.767999999996</v>
      </c>
      <c r="G1229" s="34">
        <v>363838.99400000001</v>
      </c>
      <c r="H1229" s="34">
        <v>19.344999999999999</v>
      </c>
      <c r="I1229" s="33" t="s">
        <v>85</v>
      </c>
      <c r="J1229" s="33" t="s">
        <v>90</v>
      </c>
      <c r="K1229" s="33">
        <v>10.5</v>
      </c>
      <c r="L1229" s="33">
        <v>1023.9</v>
      </c>
      <c r="M1229" s="33">
        <v>90</v>
      </c>
      <c r="N1229" s="33"/>
      <c r="O1229" s="93" t="str">
        <f>IFERROR(IF(Readings[[#This Row],[Obs. X]]="","-",Readings[[#This Row],[Obs. X]]-_xlfn.XLOOKUP(Readings[[#This Row],[Sensor ID]],Table_Baseline[Sensor ID],Table_Baseline[Easting '[m']],"-")),"-")</f>
        <v>-</v>
      </c>
      <c r="P1229" s="93" t="str">
        <f>IFERROR(IF(Readings[[#This Row],[Obs. Y]]="","-",Readings[[#This Row],[Obs. Y]]-_xlfn.XLOOKUP(Readings[[#This Row],[Sensor ID]],Table_Baseline[Sensor ID],Table_Baseline[Northing '[m']],"-")),"-")</f>
        <v>-</v>
      </c>
      <c r="Q1229" s="93" t="str">
        <f>IFERROR(IF(Readings[[#This Row],[Obs. Z]]="","-",Readings[[#This Row],[Obs. Z]]-_xlfn.XLOOKUP(Readings[[#This Row],[Sensor ID]],Table_Baseline[Sensor ID],Table_Baseline[Level '[m']],"-")),"-")</f>
        <v>-</v>
      </c>
      <c r="R1229" s="93" t="str">
        <f>IFERROR(IF(Readings[[#This Row],[Reference Angle]]="-","-",(Readings[[#This Row],[Diff E]]*COS(RADIANS(Readings[[#This Row],[Reference Angle]]))-Readings[[#This Row],[Diff N]]*SIN(RADIANS(Readings[[#This Row],[Reference Angle]])))),"-")</f>
        <v>-</v>
      </c>
      <c r="S1229" s="93" t="str">
        <f>IFERROR(IF(Readings[[#This Row],[Reference Angle]]="-","-",(Readings[[#This Row],[Diff E]]*SIN(RADIANS(Readings[[#This Row],[Reference Angle]]))+Readings[[#This Row],[Diff N]]*COS(RADIANS(Readings[[#This Row],[Reference Angle]])))),"-")</f>
        <v>-</v>
      </c>
      <c r="T1229" s="94" t="str">
        <f>IFERROR(VLOOKUP(Readings[[#This Row],[Sensor ID]],Table_Baseline[],COLUMNS(Table_Baseline[[#Headers],[Sensor ID]:[Reference Angle '[Deg']]]),FALSE),"-")</f>
        <v>-</v>
      </c>
      <c r="U1229" s="95" t="str">
        <f>Readings[[#This Row],[Sensor ID]]&amp;"-"&amp;Readings[[#This Row],[Epoch]]</f>
        <v>250-ST-OP-503-45881.2916666667</v>
      </c>
      <c r="V1229" s="99">
        <f ca="1">IF(Readings[[#This Row],[Epoch]]=OFFSET(Readings[[#This Row],[Epoch]],-1,0),0,1)</f>
        <v>0</v>
      </c>
    </row>
    <row r="1230" spans="4:22" x14ac:dyDescent="0.2">
      <c r="D1230" s="32">
        <v>45881.291666666664</v>
      </c>
      <c r="E1230" s="33" t="s">
        <v>169</v>
      </c>
      <c r="F1230" s="34">
        <v>60053.608999999997</v>
      </c>
      <c r="G1230" s="34">
        <v>363837.88300000003</v>
      </c>
      <c r="H1230" s="34">
        <v>19.356999999999999</v>
      </c>
      <c r="I1230" s="33" t="s">
        <v>85</v>
      </c>
      <c r="J1230" s="33" t="s">
        <v>90</v>
      </c>
      <c r="K1230" s="33">
        <v>10.5</v>
      </c>
      <c r="L1230" s="33">
        <v>1023.9</v>
      </c>
      <c r="M1230" s="33">
        <v>90</v>
      </c>
      <c r="N1230" s="33"/>
      <c r="O1230" s="93" t="str">
        <f>IFERROR(IF(Readings[[#This Row],[Obs. X]]="","-",Readings[[#This Row],[Obs. X]]-_xlfn.XLOOKUP(Readings[[#This Row],[Sensor ID]],Table_Baseline[Sensor ID],Table_Baseline[Easting '[m']],"-")),"-")</f>
        <v>-</v>
      </c>
      <c r="P1230" s="93" t="str">
        <f>IFERROR(IF(Readings[[#This Row],[Obs. Y]]="","-",Readings[[#This Row],[Obs. Y]]-_xlfn.XLOOKUP(Readings[[#This Row],[Sensor ID]],Table_Baseline[Sensor ID],Table_Baseline[Northing '[m']],"-")),"-")</f>
        <v>-</v>
      </c>
      <c r="Q1230" s="93" t="str">
        <f>IFERROR(IF(Readings[[#This Row],[Obs. Z]]="","-",Readings[[#This Row],[Obs. Z]]-_xlfn.XLOOKUP(Readings[[#This Row],[Sensor ID]],Table_Baseline[Sensor ID],Table_Baseline[Level '[m']],"-")),"-")</f>
        <v>-</v>
      </c>
      <c r="R1230" s="93" t="str">
        <f>IFERROR(IF(Readings[[#This Row],[Reference Angle]]="-","-",(Readings[[#This Row],[Diff E]]*COS(RADIANS(Readings[[#This Row],[Reference Angle]]))-Readings[[#This Row],[Diff N]]*SIN(RADIANS(Readings[[#This Row],[Reference Angle]])))),"-")</f>
        <v>-</v>
      </c>
      <c r="S1230" s="93" t="str">
        <f>IFERROR(IF(Readings[[#This Row],[Reference Angle]]="-","-",(Readings[[#This Row],[Diff E]]*SIN(RADIANS(Readings[[#This Row],[Reference Angle]]))+Readings[[#This Row],[Diff N]]*COS(RADIANS(Readings[[#This Row],[Reference Angle]])))),"-")</f>
        <v>-</v>
      </c>
      <c r="T1230" s="94" t="str">
        <f>IFERROR(VLOOKUP(Readings[[#This Row],[Sensor ID]],Table_Baseline[],COLUMNS(Table_Baseline[[#Headers],[Sensor ID]:[Reference Angle '[Deg']]]),FALSE),"-")</f>
        <v>-</v>
      </c>
      <c r="U1230" s="95" t="str">
        <f>Readings[[#This Row],[Sensor ID]]&amp;"-"&amp;Readings[[#This Row],[Epoch]]</f>
        <v>250-ST-OP-504-45881.2916666667</v>
      </c>
      <c r="V1230" s="99">
        <f ca="1">IF(Readings[[#This Row],[Epoch]]=OFFSET(Readings[[#This Row],[Epoch]],-1,0),0,1)</f>
        <v>0</v>
      </c>
    </row>
    <row r="1231" spans="4:22" x14ac:dyDescent="0.2">
      <c r="D1231" s="204">
        <v>45881.291666666664</v>
      </c>
      <c r="E1231" s="151" t="s">
        <v>170</v>
      </c>
      <c r="F1231" s="152">
        <v>60060.065999999999</v>
      </c>
      <c r="G1231" s="152">
        <v>363836.02500000002</v>
      </c>
      <c r="H1231" s="152">
        <v>19.356999999999999</v>
      </c>
      <c r="I1231" s="151" t="s">
        <v>85</v>
      </c>
      <c r="J1231" s="151" t="s">
        <v>90</v>
      </c>
      <c r="K1231" s="151">
        <v>10.5</v>
      </c>
      <c r="L1231" s="151">
        <v>1023.9</v>
      </c>
      <c r="M1231" s="151">
        <v>90</v>
      </c>
      <c r="N1231" s="151"/>
      <c r="O1231" s="96" t="str">
        <f>IFERROR(IF(Readings[[#This Row],[Obs. X]]="","-",Readings[[#This Row],[Obs. X]]-_xlfn.XLOOKUP(Readings[[#This Row],[Sensor ID]],Table_Baseline[Sensor ID],Table_Baseline[Easting '[m']],"-")),"-")</f>
        <v>-</v>
      </c>
      <c r="P1231" s="96" t="str">
        <f>IFERROR(IF(Readings[[#This Row],[Obs. Y]]="","-",Readings[[#This Row],[Obs. Y]]-_xlfn.XLOOKUP(Readings[[#This Row],[Sensor ID]],Table_Baseline[Sensor ID],Table_Baseline[Northing '[m']],"-")),"-")</f>
        <v>-</v>
      </c>
      <c r="Q1231" s="96" t="str">
        <f>IFERROR(IF(Readings[[#This Row],[Obs. Z]]="","-",Readings[[#This Row],[Obs. Z]]-_xlfn.XLOOKUP(Readings[[#This Row],[Sensor ID]],Table_Baseline[Sensor ID],Table_Baseline[Level '[m']],"-")),"-")</f>
        <v>-</v>
      </c>
      <c r="R1231" s="96" t="str">
        <f>IFERROR(IF(Readings[[#This Row],[Reference Angle]]="-","-",(Readings[[#This Row],[Diff E]]*COS(RADIANS(Readings[[#This Row],[Reference Angle]]))-Readings[[#This Row],[Diff N]]*SIN(RADIANS(Readings[[#This Row],[Reference Angle]])))),"-")</f>
        <v>-</v>
      </c>
      <c r="S1231" s="96" t="str">
        <f>IFERROR(IF(Readings[[#This Row],[Reference Angle]]="-","-",(Readings[[#This Row],[Diff E]]*SIN(RADIANS(Readings[[#This Row],[Reference Angle]]))+Readings[[#This Row],[Diff N]]*COS(RADIANS(Readings[[#This Row],[Reference Angle]])))),"-")</f>
        <v>-</v>
      </c>
      <c r="T1231" s="97" t="str">
        <f>IFERROR(VLOOKUP(Readings[[#This Row],[Sensor ID]],Table_Baseline[],COLUMNS(Table_Baseline[[#Headers],[Sensor ID]:[Reference Angle '[Deg']]]),FALSE),"-")</f>
        <v>-</v>
      </c>
      <c r="U1231" s="98" t="str">
        <f>Readings[[#This Row],[Sensor ID]]&amp;"-"&amp;Readings[[#This Row],[Epoch]]</f>
        <v>250-ST-OP-505-45881.2916666667</v>
      </c>
      <c r="V1231" s="100">
        <f ca="1">IF(Readings[[#This Row],[Epoch]]=OFFSET(Readings[[#This Row],[Epoch]],-1,0),0,1)</f>
        <v>0</v>
      </c>
    </row>
  </sheetData>
  <mergeCells count="13">
    <mergeCell ref="K7:N8"/>
    <mergeCell ref="D3:N4"/>
    <mergeCell ref="O3:R8"/>
    <mergeCell ref="A1:V1"/>
    <mergeCell ref="B11:B12"/>
    <mergeCell ref="J5:J8"/>
    <mergeCell ref="D5:I5"/>
    <mergeCell ref="D6:I6"/>
    <mergeCell ref="D7:I7"/>
    <mergeCell ref="D8:I8"/>
    <mergeCell ref="O11:V11"/>
    <mergeCell ref="D11:N11"/>
    <mergeCell ref="K5:N6"/>
  </mergeCells>
  <conditionalFormatting sqref="D13:V1231">
    <cfRule type="expression" dxfId="18" priority="1">
      <formula>$V13=1</formula>
    </cfRule>
  </conditionalFormatting>
  <conditionalFormatting sqref="U13:U1231">
    <cfRule type="duplicateValues" dxfId="17" priority="476"/>
  </conditionalFormatting>
  <dataValidations count="1">
    <dataValidation type="list" allowBlank="1" showInputMessage="1" showErrorMessage="1" sqref="J13:J1231" xr:uid="{CE4D4EBC-D035-49B1-9A33-7C061C6CC268}">
      <formula1>INDIRECT("Lookup_SurveyMethod[Survey Method]")</formula1>
    </dataValidation>
  </dataValidations>
  <pageMargins left="0.75" right="0.75" top="1" bottom="1" header="0.5" footer="0.5"/>
  <pageSetup orientation="portrait" r:id="rId1"/>
  <headerFooter alignWithMargins="0"/>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71526-0DE2-47D3-B8CD-FF3B4C00CC09}">
  <sheetPr codeName="Sheet5">
    <tabColor theme="1" tint="0.249977111117893"/>
    <pageSetUpPr fitToPage="1"/>
  </sheetPr>
  <dimension ref="B2:AZ410"/>
  <sheetViews>
    <sheetView showGridLines="0" zoomScale="85" zoomScaleNormal="85" workbookViewId="0">
      <pane xSplit="6" ySplit="10" topLeftCell="M11" activePane="bottomRight" state="frozen"/>
      <selection activeCell="K35" sqref="K35:K36"/>
      <selection pane="topRight" activeCell="K35" sqref="K35:K36"/>
      <selection pane="bottomLeft" activeCell="K35" sqref="K35:K36"/>
      <selection pane="bottomRight" activeCell="K35" sqref="K35:K36"/>
    </sheetView>
  </sheetViews>
  <sheetFormatPr defaultColWidth="9.140625" defaultRowHeight="14.25" customHeight="1" x14ac:dyDescent="0.2"/>
  <cols>
    <col min="1" max="1" width="2.85546875" style="1" customWidth="1"/>
    <col min="2" max="2" width="12" style="1" customWidth="1"/>
    <col min="3" max="3" width="14.28515625" style="1" customWidth="1"/>
    <col min="4" max="5" width="10.85546875" style="1" customWidth="1"/>
    <col min="6" max="6" width="2.85546875" style="1" customWidth="1"/>
    <col min="7" max="7" width="17" style="1" bestFit="1" customWidth="1"/>
    <col min="8" max="8" width="18.85546875" style="1" customWidth="1"/>
    <col min="9" max="9" width="12.85546875" style="1" bestFit="1" customWidth="1"/>
    <col min="10" max="10" width="12" style="1" customWidth="1"/>
    <col min="11" max="12" width="15.140625" style="3" customWidth="1"/>
    <col min="13" max="13" width="11.5703125" style="10" customWidth="1"/>
    <col min="14" max="15" width="15.140625" style="7" customWidth="1"/>
    <col min="16" max="16" width="11.5703125" style="10" customWidth="1"/>
    <col min="17" max="17" width="11.42578125" style="7" customWidth="1"/>
    <col min="18" max="18" width="8.5703125" style="7" customWidth="1"/>
    <col min="19" max="19" width="11.42578125" style="10" customWidth="1"/>
    <col min="20" max="20" width="8.5703125" style="10" customWidth="1"/>
    <col min="21" max="21" width="11.42578125" style="10" customWidth="1"/>
    <col min="22" max="22" width="8.5703125" style="10" customWidth="1"/>
    <col min="23" max="25" width="11.42578125" style="10" customWidth="1"/>
    <col min="26" max="26" width="15.7109375" style="10" customWidth="1"/>
    <col min="27" max="27" width="35.42578125" style="10" customWidth="1"/>
    <col min="28" max="28" width="5.7109375" style="10" customWidth="1"/>
    <col min="29" max="29" width="7.85546875" style="10" customWidth="1"/>
    <col min="30" max="32" width="11.5703125" style="10" customWidth="1"/>
    <col min="33" max="33" width="20.7109375" style="10" customWidth="1"/>
    <col min="34" max="35" width="33.140625" style="10" customWidth="1"/>
    <col min="36" max="36" width="12.28515625" style="7" customWidth="1"/>
    <col min="37" max="37" width="18.140625" style="7" bestFit="1" customWidth="1"/>
    <col min="38" max="38" width="32.28515625" style="10" customWidth="1"/>
    <col min="39" max="39" width="19.42578125" style="7" customWidth="1"/>
    <col min="40" max="40" width="39" style="1" bestFit="1" customWidth="1"/>
    <col min="41" max="41" width="16.28515625" style="1" customWidth="1"/>
    <col min="42" max="42" width="13.85546875" style="1" bestFit="1" customWidth="1"/>
    <col min="43" max="43" width="8.7109375" style="1" bestFit="1" customWidth="1"/>
    <col min="44" max="44" width="11.42578125" style="1" bestFit="1" customWidth="1"/>
    <col min="45" max="47" width="12.42578125" style="1" customWidth="1"/>
    <col min="48" max="48" width="2.7109375" style="1" customWidth="1"/>
    <col min="49" max="50" width="9.140625" style="1"/>
    <col min="51" max="51" width="10.28515625" style="1" bestFit="1" customWidth="1"/>
    <col min="52" max="52" width="9.7109375" style="1" bestFit="1" customWidth="1"/>
    <col min="53" max="54" width="9.140625" style="1"/>
    <col min="55" max="55" width="14.42578125" style="1" bestFit="1" customWidth="1"/>
    <col min="56" max="56" width="6.28515625" style="1" bestFit="1" customWidth="1"/>
    <col min="57" max="57" width="11.42578125" style="1" bestFit="1" customWidth="1"/>
    <col min="58" max="58" width="12.5703125" style="1" bestFit="1" customWidth="1"/>
    <col min="59" max="59" width="11" style="1" bestFit="1" customWidth="1"/>
    <col min="60" max="60" width="6.42578125" style="1" bestFit="1" customWidth="1"/>
    <col min="61" max="16384" width="9.140625" style="1"/>
  </cols>
  <sheetData>
    <row r="2" spans="2:52" ht="15" customHeight="1" x14ac:dyDescent="0.2">
      <c r="B2" s="281" t="s">
        <v>62</v>
      </c>
      <c r="C2" s="282"/>
      <c r="D2" s="282"/>
      <c r="E2" s="283"/>
      <c r="G2" s="257" t="s">
        <v>61</v>
      </c>
      <c r="H2" s="257"/>
      <c r="I2" s="257"/>
      <c r="J2" s="257"/>
      <c r="K2" s="257"/>
      <c r="L2" s="257"/>
      <c r="M2" s="257"/>
      <c r="N2" s="257"/>
      <c r="O2" s="257"/>
      <c r="P2" s="257"/>
      <c r="Q2" s="257" t="s">
        <v>60</v>
      </c>
      <c r="R2" s="257"/>
      <c r="S2" s="257"/>
      <c r="T2" s="257"/>
      <c r="U2" s="257"/>
      <c r="V2" s="257"/>
      <c r="W2" s="257" t="s">
        <v>77</v>
      </c>
      <c r="X2" s="257"/>
      <c r="Y2" s="257"/>
      <c r="Z2" s="60"/>
      <c r="AA2" s="61"/>
    </row>
    <row r="3" spans="2:52" ht="14.25" customHeight="1" x14ac:dyDescent="0.2">
      <c r="B3" s="284"/>
      <c r="C3" s="285"/>
      <c r="D3" s="285"/>
      <c r="E3" s="286"/>
      <c r="G3" s="278" t="s">
        <v>55</v>
      </c>
      <c r="H3" s="279"/>
      <c r="I3" s="280"/>
      <c r="J3" s="259" t="s">
        <v>18</v>
      </c>
      <c r="K3" s="260"/>
      <c r="L3" s="260"/>
      <c r="M3" s="260"/>
      <c r="N3" s="260"/>
      <c r="O3" s="260"/>
      <c r="P3" s="261"/>
      <c r="Q3" s="266" t="s">
        <v>56</v>
      </c>
      <c r="R3" s="266"/>
      <c r="S3" s="269" t="s">
        <v>57</v>
      </c>
      <c r="T3" s="269"/>
      <c r="U3" s="266" t="s">
        <v>58</v>
      </c>
      <c r="V3" s="266"/>
      <c r="W3" s="266" t="s">
        <v>59</v>
      </c>
      <c r="X3" s="266"/>
      <c r="Y3" s="266"/>
      <c r="Z3" s="62"/>
      <c r="AA3" s="63"/>
      <c r="AH3" s="7"/>
      <c r="AI3" s="7"/>
    </row>
    <row r="4" spans="2:52" s="4" customFormat="1" ht="14.25" customHeight="1" x14ac:dyDescent="0.2">
      <c r="B4" s="270" t="s">
        <v>78</v>
      </c>
      <c r="C4" s="271"/>
      <c r="D4" s="271"/>
      <c r="E4" s="272"/>
      <c r="G4" s="278" t="s">
        <v>54</v>
      </c>
      <c r="H4" s="279"/>
      <c r="I4" s="280"/>
      <c r="J4" s="259" t="s">
        <v>19</v>
      </c>
      <c r="K4" s="260"/>
      <c r="L4" s="260"/>
      <c r="M4" s="260"/>
      <c r="N4" s="260"/>
      <c r="O4" s="260"/>
      <c r="P4" s="261"/>
      <c r="Q4" s="36">
        <v>1</v>
      </c>
      <c r="R4" s="36">
        <v>1</v>
      </c>
      <c r="S4" s="268">
        <v>-5.0000000000000001E-3</v>
      </c>
      <c r="T4" s="268"/>
      <c r="U4" s="268">
        <v>5.0000000000000001E-3</v>
      </c>
      <c r="V4" s="268"/>
      <c r="W4" s="37">
        <v>-0.01</v>
      </c>
      <c r="X4" s="267" t="str">
        <f>"less than " &amp; TEXT(W4, "0.000")</f>
        <v>less than -0.010</v>
      </c>
      <c r="Y4" s="267"/>
      <c r="Z4" s="62"/>
      <c r="AA4" s="63"/>
      <c r="AJ4" s="7"/>
      <c r="AK4" s="7"/>
      <c r="AL4" s="10"/>
      <c r="AM4" s="7"/>
    </row>
    <row r="5" spans="2:52" s="4" customFormat="1" ht="14.25" customHeight="1" x14ac:dyDescent="0.2">
      <c r="B5" s="270" t="s">
        <v>63</v>
      </c>
      <c r="C5" s="271"/>
      <c r="D5" s="271"/>
      <c r="E5" s="272"/>
      <c r="G5" s="278" t="s">
        <v>53</v>
      </c>
      <c r="H5" s="279"/>
      <c r="I5" s="280"/>
      <c r="J5" s="259">
        <v>2103743</v>
      </c>
      <c r="K5" s="260"/>
      <c r="L5" s="260"/>
      <c r="M5" s="260"/>
      <c r="N5" s="260"/>
      <c r="O5" s="260"/>
      <c r="P5" s="261"/>
      <c r="Q5" s="36">
        <v>2</v>
      </c>
      <c r="R5" s="36">
        <v>2</v>
      </c>
      <c r="S5" s="268">
        <v>-0.01</v>
      </c>
      <c r="T5" s="268"/>
      <c r="U5" s="268">
        <v>0.01</v>
      </c>
      <c r="V5" s="268"/>
      <c r="W5" s="37">
        <v>-5.0000000000000001E-3</v>
      </c>
      <c r="X5" s="267" t="str">
        <f>"between "  &amp; TEXT(W5,"0.000") &amp; " and 0.000"</f>
        <v>between -0.005 and 0.000</v>
      </c>
      <c r="Y5" s="267"/>
      <c r="Z5" s="62"/>
      <c r="AA5" s="63"/>
      <c r="AK5" s="7"/>
      <c r="AL5" s="10"/>
      <c r="AM5" s="7"/>
    </row>
    <row r="6" spans="2:52" s="4" customFormat="1" ht="14.25" customHeight="1" x14ac:dyDescent="0.2">
      <c r="B6" s="270" t="s">
        <v>65</v>
      </c>
      <c r="C6" s="271"/>
      <c r="D6" s="271"/>
      <c r="E6" s="272"/>
      <c r="G6" s="278" t="s">
        <v>69</v>
      </c>
      <c r="H6" s="279"/>
      <c r="I6" s="280"/>
      <c r="J6" s="262">
        <v>45391.5625</v>
      </c>
      <c r="K6" s="263"/>
      <c r="L6" s="263"/>
      <c r="M6" s="263"/>
      <c r="N6" s="264"/>
      <c r="O6" s="258" t="str">
        <f>_xlfn.XLOOKUP(J6,Lookup_SurveyEpoch[Epoch], Lookup_SurveyEpoch[Index],"-")</f>
        <v>-</v>
      </c>
      <c r="P6" s="258"/>
      <c r="Q6" s="36">
        <v>3</v>
      </c>
      <c r="R6" s="36">
        <v>3</v>
      </c>
      <c r="S6" s="268">
        <v>-1.4999999999999999E-2</v>
      </c>
      <c r="T6" s="268"/>
      <c r="U6" s="268">
        <v>1.4999999999999999E-2</v>
      </c>
      <c r="V6" s="268"/>
      <c r="W6" s="37">
        <v>5.0000000000000001E-3</v>
      </c>
      <c r="X6" s="267" t="str">
        <f>"between 0.000 and " &amp; TEXT(W6,"0.000")</f>
        <v>between 0.000 and 0.005</v>
      </c>
      <c r="Y6" s="267"/>
      <c r="Z6" s="62"/>
      <c r="AA6" s="63"/>
    </row>
    <row r="7" spans="2:52" s="4" customFormat="1" ht="14.25" customHeight="1" x14ac:dyDescent="0.2">
      <c r="B7" s="270" t="s">
        <v>64</v>
      </c>
      <c r="C7" s="271"/>
      <c r="D7" s="271"/>
      <c r="E7" s="272"/>
      <c r="G7" s="278" t="s">
        <v>70</v>
      </c>
      <c r="H7" s="279"/>
      <c r="I7" s="280"/>
      <c r="J7" s="262" t="e">
        <f>_xlfn.XLOOKUP(O7,Lookup_SurveyEpoch[Index], Lookup_SurveyEpoch[Epoch],"-")</f>
        <v>#VALUE!</v>
      </c>
      <c r="K7" s="263"/>
      <c r="L7" s="263"/>
      <c r="M7" s="263"/>
      <c r="N7" s="264"/>
      <c r="O7" s="258" t="e">
        <f>O6-1</f>
        <v>#VALUE!</v>
      </c>
      <c r="P7" s="258"/>
      <c r="Q7" s="36">
        <v>4</v>
      </c>
      <c r="R7" s="36">
        <v>4</v>
      </c>
      <c r="S7" s="268">
        <v>-1</v>
      </c>
      <c r="T7" s="268"/>
      <c r="U7" s="268">
        <v>1</v>
      </c>
      <c r="V7" s="268"/>
      <c r="W7" s="37">
        <v>0.01</v>
      </c>
      <c r="X7" s="267" t="str">
        <f>"greater than " &amp; TEXT(W7, "0.000")</f>
        <v>greater than 0.010</v>
      </c>
      <c r="Y7" s="267"/>
      <c r="Z7" s="64"/>
      <c r="AA7" s="65"/>
      <c r="AJ7" s="7"/>
      <c r="AK7" s="7"/>
      <c r="AL7" s="10"/>
      <c r="AM7" s="7"/>
    </row>
    <row r="8" spans="2:52" s="4" customFormat="1" ht="14.25" customHeight="1" x14ac:dyDescent="0.2">
      <c r="B8" s="270" t="s">
        <v>66</v>
      </c>
      <c r="C8" s="271"/>
      <c r="D8" s="271"/>
      <c r="E8" s="272"/>
      <c r="K8" s="5"/>
      <c r="L8" s="5"/>
      <c r="M8" s="10"/>
      <c r="N8" s="7"/>
      <c r="O8" s="7"/>
      <c r="P8" s="10"/>
      <c r="Q8" s="7"/>
      <c r="R8" s="7"/>
      <c r="S8" s="10"/>
      <c r="T8" s="10"/>
      <c r="U8" s="10"/>
      <c r="V8" s="10"/>
      <c r="W8" s="10"/>
      <c r="X8" s="10"/>
      <c r="Y8" s="10"/>
      <c r="Z8" s="10"/>
      <c r="AA8" s="10"/>
      <c r="AB8" s="10"/>
      <c r="AC8" s="10"/>
      <c r="AD8" s="10"/>
      <c r="AE8" s="10"/>
      <c r="AF8" s="10"/>
      <c r="AG8" s="10"/>
      <c r="AH8" s="10"/>
      <c r="AI8" s="10"/>
      <c r="AJ8" s="7"/>
      <c r="AK8" s="7"/>
      <c r="AL8" s="10"/>
      <c r="AM8" s="7"/>
    </row>
    <row r="9" spans="2:52" ht="22.5" customHeight="1" x14ac:dyDescent="0.2">
      <c r="G9" s="265" t="s">
        <v>67</v>
      </c>
      <c r="H9" s="265"/>
      <c r="I9" s="265"/>
      <c r="J9" s="66"/>
      <c r="K9" s="277" t="s">
        <v>20</v>
      </c>
      <c r="L9" s="277"/>
      <c r="M9" s="277"/>
      <c r="N9" s="276" t="s">
        <v>21</v>
      </c>
      <c r="O9" s="276"/>
      <c r="P9" s="276"/>
      <c r="Q9" s="265" t="s">
        <v>22</v>
      </c>
      <c r="R9" s="265"/>
      <c r="S9" s="265"/>
      <c r="T9" s="265"/>
      <c r="U9" s="265"/>
      <c r="V9" s="265"/>
      <c r="W9" s="265" t="s">
        <v>51</v>
      </c>
      <c r="X9" s="265"/>
      <c r="Y9" s="265"/>
      <c r="Z9" s="265" t="s">
        <v>52</v>
      </c>
      <c r="AA9" s="265"/>
      <c r="AJ9" s="10"/>
      <c r="AK9" s="10"/>
      <c r="AM9" s="10"/>
      <c r="AN9" s="10"/>
      <c r="AO9" s="7"/>
      <c r="AP9" s="7"/>
      <c r="AQ9" s="7"/>
      <c r="AR9" s="7"/>
      <c r="AS9" s="7"/>
      <c r="AT9" s="7"/>
      <c r="AU9" s="7"/>
      <c r="AV9" s="7"/>
      <c r="AW9" s="7"/>
      <c r="AX9" s="7"/>
      <c r="AZ9" s="4"/>
    </row>
    <row r="10" spans="2:52" s="6" customFormat="1" ht="30" customHeight="1" x14ac:dyDescent="0.2">
      <c r="B10" s="273" t="s">
        <v>50</v>
      </c>
      <c r="C10" s="274"/>
      <c r="D10" s="274"/>
      <c r="E10" s="275"/>
      <c r="G10" s="57" t="s">
        <v>6</v>
      </c>
      <c r="H10" s="58" t="s">
        <v>2</v>
      </c>
      <c r="I10" s="58" t="s">
        <v>107</v>
      </c>
      <c r="J10" s="58" t="s">
        <v>102</v>
      </c>
      <c r="K10" s="51" t="s">
        <v>149</v>
      </c>
      <c r="L10" s="51" t="s">
        <v>150</v>
      </c>
      <c r="M10" s="51" t="s">
        <v>151</v>
      </c>
      <c r="N10" s="52" t="s">
        <v>152</v>
      </c>
      <c r="O10" s="52" t="s">
        <v>153</v>
      </c>
      <c r="P10" s="52" t="s">
        <v>154</v>
      </c>
      <c r="Q10" s="55" t="s">
        <v>155</v>
      </c>
      <c r="R10" s="55" t="s">
        <v>72</v>
      </c>
      <c r="S10" s="55" t="s">
        <v>156</v>
      </c>
      <c r="T10" s="55" t="s">
        <v>73</v>
      </c>
      <c r="U10" s="55" t="s">
        <v>157</v>
      </c>
      <c r="V10" s="55" t="s">
        <v>56</v>
      </c>
      <c r="W10" s="56" t="s">
        <v>74</v>
      </c>
      <c r="X10" s="56" t="s">
        <v>75</v>
      </c>
      <c r="Y10" s="56" t="s">
        <v>76</v>
      </c>
      <c r="Z10" s="58" t="s">
        <v>9</v>
      </c>
      <c r="AA10" s="59" t="s">
        <v>160</v>
      </c>
      <c r="AQ10" s="1"/>
      <c r="AR10" s="1"/>
    </row>
    <row r="11" spans="2:52" ht="14.25" customHeight="1" x14ac:dyDescent="0.2">
      <c r="G11" s="49">
        <v>45776.284722222219</v>
      </c>
      <c r="H11" s="102" t="s">
        <v>172</v>
      </c>
      <c r="I11" s="102" t="e">
        <f>_xlfn.XLOOKUP(ReportSummary___XYZ[[#This Row],[ID]],Table_Design[ID],Table_Design[Structure Name])</f>
        <v>#N/A</v>
      </c>
      <c r="J11" s="102" t="e">
        <f>_xlfn.XLOOKUP(ReportSummary___XYZ[[#This Row],[ID]],Table_Design[ID],Table_Design[Chainage '[m']])</f>
        <v>#N/A</v>
      </c>
      <c r="K11" s="117">
        <v>51885.34</v>
      </c>
      <c r="L11" s="117">
        <v>159195.739</v>
      </c>
      <c r="M11" s="117">
        <v>18.782</v>
      </c>
      <c r="N11" s="53">
        <v>51885.339</v>
      </c>
      <c r="O11" s="53">
        <v>159195.73800000001</v>
      </c>
      <c r="P11" s="53">
        <v>18.780999999999999</v>
      </c>
      <c r="Q11" s="43">
        <v>-9.9999999656574801E-4</v>
      </c>
      <c r="R11" s="104" cm="1">
        <f t="array" ref="R1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 s="43">
        <v>-9.9999998928979039E-4</v>
      </c>
      <c r="T11" s="45" cm="1">
        <f t="array" ref="T1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 s="43">
        <v>-1.0000000000012221E-3</v>
      </c>
      <c r="V11" s="45" cm="1">
        <f t="array" ref="V1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 s="45"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 s="45"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 s="45"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 s="102" t="s">
        <v>86</v>
      </c>
      <c r="AA11" s="106"/>
      <c r="AB11" s="1"/>
      <c r="AC11" s="1"/>
      <c r="AD11" s="4"/>
      <c r="AE11" s="4"/>
      <c r="AF11" s="4"/>
      <c r="AG11" s="4"/>
      <c r="AH11" s="1"/>
      <c r="AI11" s="1"/>
      <c r="AJ11" s="9"/>
      <c r="AK11" s="6"/>
      <c r="AL11" s="6"/>
      <c r="AM11" s="6"/>
      <c r="AN11" s="8"/>
      <c r="AO11" s="8"/>
    </row>
    <row r="12" spans="2:52" ht="14.25" customHeight="1" x14ac:dyDescent="0.2">
      <c r="G12" s="50">
        <v>45776.284722222219</v>
      </c>
      <c r="H12" s="101" t="s">
        <v>171</v>
      </c>
      <c r="I12" s="101" t="e">
        <f>_xlfn.XLOOKUP(ReportSummary___XYZ[[#This Row],[ID]],Table_Design[ID],Table_Design[Structure Name])</f>
        <v>#N/A</v>
      </c>
      <c r="J12" s="101" t="e">
        <f>_xlfn.XLOOKUP(ReportSummary___XYZ[[#This Row],[ID]],Table_Design[ID],Table_Design[Chainage '[m']])</f>
        <v>#N/A</v>
      </c>
      <c r="K12" s="118">
        <v>51884.958899999998</v>
      </c>
      <c r="L12" s="118">
        <v>159194.47070000001</v>
      </c>
      <c r="M12" s="118">
        <v>18.778099999999998</v>
      </c>
      <c r="N12" s="54">
        <v>51884.957999999999</v>
      </c>
      <c r="O12" s="54">
        <v>159194.47099999999</v>
      </c>
      <c r="P12" s="54">
        <v>18.777000000000001</v>
      </c>
      <c r="Q12" s="35">
        <v>-8.9999999909196049E-4</v>
      </c>
      <c r="R12" s="103" cm="1">
        <f t="array" ref="R1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 s="35">
        <v>2.9999998514540493E-4</v>
      </c>
      <c r="T12" s="44" cm="1">
        <f t="array" ref="T1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 s="35">
        <v>-1.0999999999974364E-3</v>
      </c>
      <c r="V12" s="44" cm="1">
        <f t="array" ref="V1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 s="101" t="s">
        <v>86</v>
      </c>
      <c r="AA12" s="105"/>
      <c r="AB12" s="1"/>
      <c r="AC12" s="1"/>
      <c r="AD12" s="4"/>
      <c r="AE12" s="4"/>
      <c r="AF12" s="4"/>
      <c r="AG12" s="4"/>
      <c r="AH12" s="1"/>
      <c r="AI12" s="1"/>
      <c r="AJ12" s="9"/>
      <c r="AK12" s="6"/>
      <c r="AL12" s="6"/>
      <c r="AM12" s="6"/>
      <c r="AN12" s="8"/>
      <c r="AO12" s="8"/>
    </row>
    <row r="13" spans="2:52" ht="14.25" customHeight="1" x14ac:dyDescent="0.2">
      <c r="G13" s="50">
        <v>45776.284722222219</v>
      </c>
      <c r="H13" s="101" t="s">
        <v>174</v>
      </c>
      <c r="I13" s="101" t="e">
        <f>_xlfn.XLOOKUP(ReportSummary___XYZ[[#This Row],[ID]],Table_Design[ID],Table_Design[Structure Name])</f>
        <v>#N/A</v>
      </c>
      <c r="J13" s="101" t="e">
        <f>_xlfn.XLOOKUP(ReportSummary___XYZ[[#This Row],[ID]],Table_Design[ID],Table_Design[Chainage '[m']])</f>
        <v>#N/A</v>
      </c>
      <c r="K13" s="118">
        <v>51888.117700000003</v>
      </c>
      <c r="L13" s="118">
        <v>159194.94529999999</v>
      </c>
      <c r="M13" s="118">
        <v>18.7788</v>
      </c>
      <c r="N13" s="54">
        <v>51888.116999999998</v>
      </c>
      <c r="O13" s="54">
        <v>159194.94500000001</v>
      </c>
      <c r="P13" s="54">
        <v>18.777000000000001</v>
      </c>
      <c r="Q13" s="35">
        <v>-7.0000000414438546E-4</v>
      </c>
      <c r="R13" s="103" cm="1">
        <f t="array" ref="R1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 s="35">
        <v>-2.9999998514540493E-4</v>
      </c>
      <c r="T13" s="44" cm="1">
        <f t="array" ref="T1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 s="35">
        <v>-1.7999999999993577E-3</v>
      </c>
      <c r="V13" s="44" cm="1">
        <f t="array" ref="V1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 s="101" t="s">
        <v>86</v>
      </c>
      <c r="AA13" s="105"/>
      <c r="AB13" s="1"/>
      <c r="AC13" s="1"/>
      <c r="AD13" s="4"/>
      <c r="AE13" s="4"/>
      <c r="AF13" s="4"/>
      <c r="AG13" s="4"/>
      <c r="AH13" s="1"/>
      <c r="AI13" s="1"/>
      <c r="AJ13" s="9"/>
      <c r="AK13" s="6"/>
      <c r="AL13" s="6"/>
      <c r="AM13" s="6"/>
      <c r="AN13" s="8"/>
      <c r="AO13" s="8"/>
    </row>
    <row r="14" spans="2:52" ht="14.25" customHeight="1" x14ac:dyDescent="0.2">
      <c r="G14" s="50">
        <v>45776.284722222219</v>
      </c>
      <c r="H14" s="101" t="s">
        <v>173</v>
      </c>
      <c r="I14" s="101" t="e">
        <f>_xlfn.XLOOKUP(ReportSummary___XYZ[[#This Row],[ID]],Table_Design[ID],Table_Design[Structure Name])</f>
        <v>#N/A</v>
      </c>
      <c r="J14" s="101" t="e">
        <f>_xlfn.XLOOKUP(ReportSummary___XYZ[[#This Row],[ID]],Table_Design[ID],Table_Design[Chainage '[m']])</f>
        <v>#N/A</v>
      </c>
      <c r="K14" s="118">
        <v>51887.805099999998</v>
      </c>
      <c r="L14" s="118">
        <v>159193.65710000001</v>
      </c>
      <c r="M14" s="118">
        <v>18.778500000000001</v>
      </c>
      <c r="N14" s="54">
        <v>51887.803999999996</v>
      </c>
      <c r="O14" s="54">
        <v>159193.65700000001</v>
      </c>
      <c r="P14" s="54">
        <v>18.777000000000001</v>
      </c>
      <c r="Q14" s="35">
        <v>-1.1000000013154931E-3</v>
      </c>
      <c r="R14" s="103" cm="1">
        <f t="array" ref="R1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 s="35">
        <v>-1.0000000474974513E-4</v>
      </c>
      <c r="T14" s="44" cm="1">
        <f t="array" ref="T1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 s="35">
        <v>-1.5000000000000568E-3</v>
      </c>
      <c r="V14" s="44" cm="1">
        <f t="array" ref="V1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 s="101" t="s">
        <v>86</v>
      </c>
      <c r="AA14" s="105"/>
      <c r="AB14" s="1"/>
      <c r="AC14" s="1"/>
      <c r="AD14" s="4"/>
      <c r="AE14" s="4"/>
      <c r="AF14" s="4"/>
      <c r="AG14" s="4"/>
      <c r="AH14" s="1"/>
      <c r="AI14" s="1"/>
      <c r="AJ14" s="9"/>
      <c r="AK14" s="6"/>
      <c r="AL14" s="6"/>
      <c r="AM14" s="6"/>
      <c r="AN14" s="8"/>
      <c r="AO14" s="8"/>
    </row>
    <row r="15" spans="2:52" ht="14.25" customHeight="1" x14ac:dyDescent="0.2">
      <c r="G15" s="50">
        <v>45776.284722222219</v>
      </c>
      <c r="H15" s="101" t="s">
        <v>176</v>
      </c>
      <c r="I15" s="101" t="e">
        <f>_xlfn.XLOOKUP(ReportSummary___XYZ[[#This Row],[ID]],Table_Design[ID],Table_Design[Structure Name])</f>
        <v>#N/A</v>
      </c>
      <c r="J15" s="101" t="e">
        <f>_xlfn.XLOOKUP(ReportSummary___XYZ[[#This Row],[ID]],Table_Design[ID],Table_Design[Chainage '[m']])</f>
        <v>#N/A</v>
      </c>
      <c r="K15" s="118">
        <v>51890.969100000002</v>
      </c>
      <c r="L15" s="118">
        <v>159194.1177</v>
      </c>
      <c r="M15" s="118">
        <v>18.779</v>
      </c>
      <c r="N15" s="54">
        <v>51890.968000000001</v>
      </c>
      <c r="O15" s="54">
        <v>159194.11799999999</v>
      </c>
      <c r="P15" s="54">
        <v>18.777999999999999</v>
      </c>
      <c r="Q15" s="35">
        <v>-1.1000000013154931E-3</v>
      </c>
      <c r="R15" s="103" cm="1">
        <f t="array" ref="R1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 s="35">
        <v>2.9999998514540493E-4</v>
      </c>
      <c r="T15" s="44" cm="1">
        <f t="array" ref="T1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 s="35">
        <v>-1.0000000000012221E-3</v>
      </c>
      <c r="V15" s="44" cm="1">
        <f t="array" ref="V1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 s="101" t="s">
        <v>86</v>
      </c>
      <c r="AA15" s="105"/>
      <c r="AB15" s="1"/>
      <c r="AC15" s="1"/>
      <c r="AD15" s="4"/>
      <c r="AE15" s="8"/>
      <c r="AF15" s="1"/>
      <c r="AG15" s="1"/>
      <c r="AH15" s="1"/>
      <c r="AI15" s="1"/>
      <c r="AJ15" s="1"/>
      <c r="AK15" s="1"/>
      <c r="AL15" s="1"/>
      <c r="AM15" s="1"/>
    </row>
    <row r="16" spans="2:52" ht="14.25" customHeight="1" x14ac:dyDescent="0.2">
      <c r="G16" s="50">
        <v>45776.284722222219</v>
      </c>
      <c r="H16" s="101" t="s">
        <v>175</v>
      </c>
      <c r="I16" s="101" t="e">
        <f>_xlfn.XLOOKUP(ReportSummary___XYZ[[#This Row],[ID]],Table_Design[ID],Table_Design[Structure Name])</f>
        <v>#N/A</v>
      </c>
      <c r="J16" s="101" t="e">
        <f>_xlfn.XLOOKUP(ReportSummary___XYZ[[#This Row],[ID]],Table_Design[ID],Table_Design[Chainage '[m']])</f>
        <v>#N/A</v>
      </c>
      <c r="K16" s="118">
        <v>51890.606800000001</v>
      </c>
      <c r="L16" s="118">
        <v>159192.86069999999</v>
      </c>
      <c r="M16" s="118">
        <v>18.771999999999998</v>
      </c>
      <c r="N16" s="54">
        <v>51890.606</v>
      </c>
      <c r="O16" s="54">
        <v>159192.861</v>
      </c>
      <c r="P16" s="54">
        <v>18.771000000000001</v>
      </c>
      <c r="Q16" s="35">
        <v>-8.0000000161817297E-4</v>
      </c>
      <c r="R16" s="103" cm="1">
        <f t="array" ref="R1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 s="35">
        <v>3.0000001424923539E-4</v>
      </c>
      <c r="T16" s="44" cm="1">
        <f t="array" ref="T1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 s="35">
        <v>-9.9999999999766942E-4</v>
      </c>
      <c r="V16" s="44" cm="1">
        <f t="array" ref="V1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 s="101" t="s">
        <v>86</v>
      </c>
      <c r="AA16" s="105"/>
      <c r="AB16" s="1"/>
      <c r="AC16" s="1"/>
      <c r="AD16" s="4"/>
      <c r="AE16" s="8"/>
      <c r="AF16" s="1"/>
      <c r="AG16" s="1"/>
      <c r="AH16" s="1"/>
      <c r="AI16" s="1"/>
      <c r="AJ16" s="1"/>
      <c r="AK16" s="1"/>
      <c r="AL16" s="1"/>
      <c r="AM16" s="1"/>
    </row>
    <row r="17" spans="7:39" ht="14.25" customHeight="1" x14ac:dyDescent="0.2">
      <c r="G17" s="50">
        <v>45776.284722222219</v>
      </c>
      <c r="H17" s="101" t="s">
        <v>178</v>
      </c>
      <c r="I17" s="101" t="e">
        <f>_xlfn.XLOOKUP(ReportSummary___XYZ[[#This Row],[ID]],Table_Design[ID],Table_Design[Structure Name])</f>
        <v>#N/A</v>
      </c>
      <c r="J17" s="101" t="e">
        <f>_xlfn.XLOOKUP(ReportSummary___XYZ[[#This Row],[ID]],Table_Design[ID],Table_Design[Chainage '[m']])</f>
        <v>#N/A</v>
      </c>
      <c r="K17" s="118">
        <v>51893.758699999998</v>
      </c>
      <c r="L17" s="118">
        <v>159193.3144</v>
      </c>
      <c r="M17" s="118">
        <v>18.774100000000001</v>
      </c>
      <c r="N17" s="54">
        <v>51893.758000000002</v>
      </c>
      <c r="O17" s="54">
        <v>159193.315</v>
      </c>
      <c r="P17" s="54">
        <v>18.773</v>
      </c>
      <c r="Q17" s="35">
        <v>-6.9999999686842784E-4</v>
      </c>
      <c r="R17" s="103" cm="1">
        <f t="array" ref="R1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 s="35">
        <v>5.9999999939464033E-4</v>
      </c>
      <c r="T17" s="44" cm="1">
        <f t="array" ref="T1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 s="35">
        <v>-1.1000000000009891E-3</v>
      </c>
      <c r="V17" s="44" cm="1">
        <f t="array" ref="V1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 s="101" t="s">
        <v>86</v>
      </c>
      <c r="AA17" s="105"/>
      <c r="AB17" s="1"/>
      <c r="AC17" s="1"/>
      <c r="AD17" s="4"/>
      <c r="AE17" s="8"/>
      <c r="AF17" s="1"/>
      <c r="AG17" s="1"/>
      <c r="AH17" s="1"/>
      <c r="AI17" s="1"/>
      <c r="AJ17" s="1"/>
      <c r="AK17" s="1"/>
      <c r="AL17" s="1"/>
      <c r="AM17" s="1"/>
    </row>
    <row r="18" spans="7:39" ht="14.25" customHeight="1" x14ac:dyDescent="0.2">
      <c r="G18" s="50">
        <v>45776.284722222219</v>
      </c>
      <c r="H18" s="101" t="s">
        <v>177</v>
      </c>
      <c r="I18" s="101" t="e">
        <f>_xlfn.XLOOKUP(ReportSummary___XYZ[[#This Row],[ID]],Table_Design[ID],Table_Design[Structure Name])</f>
        <v>#N/A</v>
      </c>
      <c r="J18" s="101" t="e">
        <f>_xlfn.XLOOKUP(ReportSummary___XYZ[[#This Row],[ID]],Table_Design[ID],Table_Design[Chainage '[m']])</f>
        <v>#N/A</v>
      </c>
      <c r="K18" s="118">
        <v>51893.441299999999</v>
      </c>
      <c r="L18" s="118">
        <v>159192.04019999999</v>
      </c>
      <c r="M18" s="118">
        <v>18.7683</v>
      </c>
      <c r="N18" s="54">
        <v>51893.440000000002</v>
      </c>
      <c r="O18" s="54">
        <v>159192.041</v>
      </c>
      <c r="P18" s="54">
        <v>18.768000000000001</v>
      </c>
      <c r="Q18" s="35">
        <v>-1.2999999962630682E-3</v>
      </c>
      <c r="R18" s="103" cm="1">
        <f t="array" ref="R1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 s="35">
        <v>8.0000000889413059E-4</v>
      </c>
      <c r="T18" s="44" cm="1">
        <f t="array" ref="T1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 s="35">
        <v>-2.9999999999930083E-4</v>
      </c>
      <c r="V18" s="44" cm="1">
        <f t="array" ref="V1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 s="101" t="s">
        <v>86</v>
      </c>
      <c r="AA18" s="105"/>
      <c r="AB18" s="1"/>
      <c r="AC18" s="1"/>
      <c r="AD18" s="4"/>
      <c r="AE18" s="8"/>
      <c r="AF18" s="1"/>
      <c r="AG18" s="1"/>
      <c r="AH18" s="1"/>
      <c r="AI18" s="1"/>
      <c r="AJ18" s="1"/>
      <c r="AK18" s="1"/>
      <c r="AL18" s="1"/>
      <c r="AM18" s="1"/>
    </row>
    <row r="19" spans="7:39" ht="14.25" customHeight="1" x14ac:dyDescent="0.2">
      <c r="G19" s="50">
        <v>45776.284722222219</v>
      </c>
      <c r="H19" s="101" t="s">
        <v>180</v>
      </c>
      <c r="I19" s="101" t="e">
        <f>_xlfn.XLOOKUP(ReportSummary___XYZ[[#This Row],[ID]],Table_Design[ID],Table_Design[Structure Name])</f>
        <v>#N/A</v>
      </c>
      <c r="J19" s="101" t="e">
        <f>_xlfn.XLOOKUP(ReportSummary___XYZ[[#This Row],[ID]],Table_Design[ID],Table_Design[Chainage '[m']])</f>
        <v>#N/A</v>
      </c>
      <c r="K19" s="118">
        <v>51896.633300000001</v>
      </c>
      <c r="L19" s="118">
        <v>159192.48449999999</v>
      </c>
      <c r="M19" s="118">
        <v>18.7776</v>
      </c>
      <c r="N19" s="54">
        <v>51896.633000000002</v>
      </c>
      <c r="O19" s="54">
        <v>159192.48499999999</v>
      </c>
      <c r="P19" s="54">
        <v>18.777000000000001</v>
      </c>
      <c r="Q19" s="35">
        <v>-2.9999999969732016E-4</v>
      </c>
      <c r="R19" s="103" cm="1">
        <f t="array" ref="R1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9" s="35">
        <v>4.999999946448952E-4</v>
      </c>
      <c r="T19" s="44" cm="1">
        <f t="array" ref="T1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9" s="35">
        <v>-5.9999999999860165E-4</v>
      </c>
      <c r="V19" s="44" cm="1">
        <f t="array" ref="V1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9" s="101" t="s">
        <v>86</v>
      </c>
      <c r="AA19" s="105"/>
      <c r="AB19" s="1"/>
      <c r="AC19" s="1"/>
      <c r="AD19" s="4"/>
      <c r="AE19" s="8"/>
      <c r="AF19" s="1"/>
      <c r="AG19" s="1"/>
      <c r="AH19" s="1"/>
      <c r="AI19" s="1"/>
      <c r="AJ19" s="1"/>
      <c r="AK19" s="1"/>
      <c r="AL19" s="1"/>
      <c r="AM19" s="1"/>
    </row>
    <row r="20" spans="7:39" ht="14.25" customHeight="1" x14ac:dyDescent="0.2">
      <c r="G20" s="50">
        <v>45776.284722222219</v>
      </c>
      <c r="H20" s="101" t="s">
        <v>179</v>
      </c>
      <c r="I20" s="101" t="e">
        <f>_xlfn.XLOOKUP(ReportSummary___XYZ[[#This Row],[ID]],Table_Design[ID],Table_Design[Structure Name])</f>
        <v>#N/A</v>
      </c>
      <c r="J20" s="101" t="e">
        <f>_xlfn.XLOOKUP(ReportSummary___XYZ[[#This Row],[ID]],Table_Design[ID],Table_Design[Chainage '[m']])</f>
        <v>#N/A</v>
      </c>
      <c r="K20" s="118">
        <v>51896.249799999998</v>
      </c>
      <c r="L20" s="118">
        <v>159191.22630000001</v>
      </c>
      <c r="M20" s="118">
        <v>18.7698</v>
      </c>
      <c r="N20" s="54">
        <v>51896.249000000003</v>
      </c>
      <c r="O20" s="54">
        <v>159191.226</v>
      </c>
      <c r="P20" s="54">
        <v>18.768999999999998</v>
      </c>
      <c r="Q20" s="35">
        <v>-7.9999999434221536E-4</v>
      </c>
      <c r="R20" s="103" cm="1">
        <f t="array" ref="R2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0" s="35">
        <v>-3.0000001424923539E-4</v>
      </c>
      <c r="T20" s="44" cm="1">
        <f t="array" ref="T2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0" s="35">
        <v>-8.0000000000168825E-4</v>
      </c>
      <c r="V20" s="44" cm="1">
        <f t="array" ref="V2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0" s="101" t="s">
        <v>86</v>
      </c>
      <c r="AA20" s="105"/>
      <c r="AB20" s="1"/>
      <c r="AC20" s="1"/>
      <c r="AD20" s="4"/>
      <c r="AE20" s="8"/>
      <c r="AF20" s="1"/>
      <c r="AG20" s="1"/>
      <c r="AH20" s="1"/>
      <c r="AI20" s="1"/>
      <c r="AJ20" s="1"/>
      <c r="AK20" s="1"/>
      <c r="AL20" s="1"/>
      <c r="AM20" s="1"/>
    </row>
    <row r="21" spans="7:39" ht="14.25" customHeight="1" x14ac:dyDescent="0.2">
      <c r="G21" s="50">
        <v>45776.284722222219</v>
      </c>
      <c r="H21" s="101" t="s">
        <v>182</v>
      </c>
      <c r="I21" s="101" t="e">
        <f>_xlfn.XLOOKUP(ReportSummary___XYZ[[#This Row],[ID]],Table_Design[ID],Table_Design[Structure Name])</f>
        <v>#N/A</v>
      </c>
      <c r="J21" s="101" t="e">
        <f>_xlfn.XLOOKUP(ReportSummary___XYZ[[#This Row],[ID]],Table_Design[ID],Table_Design[Chainage '[m']])</f>
        <v>#N/A</v>
      </c>
      <c r="K21" s="118">
        <v>51899.398699999998</v>
      </c>
      <c r="L21" s="118">
        <v>159191.69760000001</v>
      </c>
      <c r="M21" s="118">
        <v>18.777999999999999</v>
      </c>
      <c r="N21" s="54">
        <v>51899.398000000001</v>
      </c>
      <c r="O21" s="54">
        <v>159191.698</v>
      </c>
      <c r="P21" s="54">
        <v>18.777000000000001</v>
      </c>
      <c r="Q21" s="35">
        <v>-6.9999999686842784E-4</v>
      </c>
      <c r="R21" s="103" cm="1">
        <f t="array" ref="R2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1" s="35">
        <v>3.9999998989515007E-4</v>
      </c>
      <c r="T21" s="44" cm="1">
        <f t="array" ref="T2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1" s="35">
        <v>-9.9999999999766942E-4</v>
      </c>
      <c r="V21" s="44" cm="1">
        <f t="array" ref="V2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1" s="101" t="s">
        <v>86</v>
      </c>
      <c r="AA21" s="105"/>
      <c r="AB21" s="1"/>
      <c r="AC21" s="1"/>
      <c r="AD21" s="4"/>
      <c r="AE21" s="8"/>
      <c r="AF21" s="1"/>
      <c r="AG21" s="1"/>
      <c r="AH21" s="1"/>
      <c r="AI21" s="1"/>
      <c r="AJ21" s="1"/>
      <c r="AK21" s="1"/>
      <c r="AL21" s="1"/>
      <c r="AM21" s="1"/>
    </row>
    <row r="22" spans="7:39" ht="14.25" customHeight="1" x14ac:dyDescent="0.2">
      <c r="G22" s="50">
        <v>45776.284722222219</v>
      </c>
      <c r="H22" s="101" t="s">
        <v>181</v>
      </c>
      <c r="I22" s="101" t="e">
        <f>_xlfn.XLOOKUP(ReportSummary___XYZ[[#This Row],[ID]],Table_Design[ID],Table_Design[Structure Name])</f>
        <v>#N/A</v>
      </c>
      <c r="J22" s="101" t="e">
        <f>_xlfn.XLOOKUP(ReportSummary___XYZ[[#This Row],[ID]],Table_Design[ID],Table_Design[Chainage '[m']])</f>
        <v>#N/A</v>
      </c>
      <c r="K22" s="118">
        <v>51899.041100000002</v>
      </c>
      <c r="L22" s="118">
        <v>159190.43340000001</v>
      </c>
      <c r="M22" s="118">
        <v>18.771100000000001</v>
      </c>
      <c r="N22" s="54">
        <v>51899.040000000001</v>
      </c>
      <c r="O22" s="54">
        <v>159190.43400000001</v>
      </c>
      <c r="P22" s="54">
        <v>18.77</v>
      </c>
      <c r="Q22" s="35">
        <v>-1.1000000013154931E-3</v>
      </c>
      <c r="R22" s="103" cm="1">
        <f t="array" ref="R2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2" s="35">
        <v>5.9999999939464033E-4</v>
      </c>
      <c r="T22" s="44" cm="1">
        <f t="array" ref="T2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2" s="35">
        <v>-1.1000000000009891E-3</v>
      </c>
      <c r="V22" s="44" cm="1">
        <f t="array" ref="V2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2" s="101" t="s">
        <v>86</v>
      </c>
      <c r="AA22" s="105"/>
      <c r="AB22" s="1"/>
      <c r="AC22" s="1"/>
      <c r="AD22" s="4"/>
      <c r="AE22" s="8"/>
      <c r="AF22" s="1"/>
      <c r="AG22" s="1"/>
      <c r="AH22" s="1"/>
      <c r="AI22" s="1"/>
      <c r="AJ22" s="1"/>
      <c r="AK22" s="1"/>
      <c r="AL22" s="1"/>
      <c r="AM22" s="1"/>
    </row>
    <row r="23" spans="7:39" ht="14.25" customHeight="1" x14ac:dyDescent="0.2">
      <c r="G23" s="50">
        <v>45776.284722222219</v>
      </c>
      <c r="H23" s="101" t="s">
        <v>184</v>
      </c>
      <c r="I23" s="101" t="e">
        <f>_xlfn.XLOOKUP(ReportSummary___XYZ[[#This Row],[ID]],Table_Design[ID],Table_Design[Structure Name])</f>
        <v>#N/A</v>
      </c>
      <c r="J23" s="101" t="e">
        <f>_xlfn.XLOOKUP(ReportSummary___XYZ[[#This Row],[ID]],Table_Design[ID],Table_Design[Chainage '[m']])</f>
        <v>#N/A</v>
      </c>
      <c r="K23" s="118">
        <v>51902.292699999998</v>
      </c>
      <c r="L23" s="118">
        <v>159190.88459999999</v>
      </c>
      <c r="M23" s="118">
        <v>18.779</v>
      </c>
      <c r="N23" s="54">
        <v>51902.292000000001</v>
      </c>
      <c r="O23" s="54">
        <v>159190.88500000001</v>
      </c>
      <c r="P23" s="54">
        <v>18.777999999999999</v>
      </c>
      <c r="Q23" s="35">
        <v>-6.9999999686842784E-4</v>
      </c>
      <c r="R23" s="103" cm="1">
        <f t="array" ref="R2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3" s="35">
        <v>4.0000001899898052E-4</v>
      </c>
      <c r="T23" s="44" cm="1">
        <f t="array" ref="T2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3" s="35">
        <v>-1.0000000000012221E-3</v>
      </c>
      <c r="V23" s="44" cm="1">
        <f t="array" ref="V2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3" s="101" t="s">
        <v>86</v>
      </c>
      <c r="AA23" s="105"/>
      <c r="AB23" s="1"/>
      <c r="AC23" s="1"/>
      <c r="AD23" s="4"/>
      <c r="AE23" s="8"/>
      <c r="AF23" s="1"/>
      <c r="AG23" s="1"/>
      <c r="AH23" s="1"/>
      <c r="AI23" s="1"/>
      <c r="AJ23" s="1"/>
      <c r="AK23" s="1"/>
      <c r="AL23" s="1"/>
      <c r="AM23" s="1"/>
    </row>
    <row r="24" spans="7:39" ht="14.25" customHeight="1" x14ac:dyDescent="0.2">
      <c r="G24" s="50">
        <v>45776.284722222219</v>
      </c>
      <c r="H24" s="101" t="s">
        <v>183</v>
      </c>
      <c r="I24" s="101" t="e">
        <f>_xlfn.XLOOKUP(ReportSummary___XYZ[[#This Row],[ID]],Table_Design[ID],Table_Design[Structure Name])</f>
        <v>#N/A</v>
      </c>
      <c r="J24" s="101" t="e">
        <f>_xlfn.XLOOKUP(ReportSummary___XYZ[[#This Row],[ID]],Table_Design[ID],Table_Design[Chainage '[m']])</f>
        <v>#N/A</v>
      </c>
      <c r="K24" s="118">
        <v>51901.989200000004</v>
      </c>
      <c r="L24" s="118">
        <v>159189.60260000001</v>
      </c>
      <c r="M24" s="118">
        <v>18.770099999999999</v>
      </c>
      <c r="N24" s="54">
        <v>51901.987999999998</v>
      </c>
      <c r="O24" s="54">
        <v>159189.60399999999</v>
      </c>
      <c r="P24" s="54">
        <v>18.768999999999998</v>
      </c>
      <c r="Q24" s="35">
        <v>-1.2000000060652383E-3</v>
      </c>
      <c r="R24" s="103" cm="1">
        <f t="array" ref="R2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4" s="35">
        <v>1.3999999791849405E-3</v>
      </c>
      <c r="T24" s="44" cm="1">
        <f t="array" ref="T2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4" s="35">
        <v>-1.1000000000009891E-3</v>
      </c>
      <c r="V24" s="44" cm="1">
        <f t="array" ref="V2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4" s="101" t="s">
        <v>86</v>
      </c>
      <c r="AA24" s="105"/>
      <c r="AB24" s="1"/>
      <c r="AC24" s="1"/>
      <c r="AD24" s="4"/>
      <c r="AE24" s="8"/>
      <c r="AF24" s="1"/>
      <c r="AG24" s="1"/>
      <c r="AH24" s="1"/>
      <c r="AI24" s="1"/>
      <c r="AJ24" s="1"/>
      <c r="AK24" s="1"/>
      <c r="AL24" s="1"/>
      <c r="AM24" s="1"/>
    </row>
    <row r="25" spans="7:39" ht="14.25" customHeight="1" x14ac:dyDescent="0.2">
      <c r="G25" s="50">
        <v>45776.284722222219</v>
      </c>
      <c r="H25" s="101" t="s">
        <v>186</v>
      </c>
      <c r="I25" s="101" t="e">
        <f>_xlfn.XLOOKUP(ReportSummary___XYZ[[#This Row],[ID]],Table_Design[ID],Table_Design[Structure Name])</f>
        <v>#N/A</v>
      </c>
      <c r="J25" s="101" t="e">
        <f>_xlfn.XLOOKUP(ReportSummary___XYZ[[#This Row],[ID]],Table_Design[ID],Table_Design[Chainage '[m']])</f>
        <v>#N/A</v>
      </c>
      <c r="K25" s="118">
        <v>51905.196199999998</v>
      </c>
      <c r="L25" s="118">
        <v>159190.09460000001</v>
      </c>
      <c r="M25" s="118">
        <v>18.780899999999999</v>
      </c>
      <c r="N25" s="54">
        <v>51905.195</v>
      </c>
      <c r="O25" s="54">
        <v>159190.095</v>
      </c>
      <c r="P25" s="54">
        <v>18.78</v>
      </c>
      <c r="Q25" s="35">
        <v>-1.1999999987892807E-3</v>
      </c>
      <c r="R25" s="103" cm="1">
        <f t="array" ref="R2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5" s="35">
        <v>3.9999998989515007E-4</v>
      </c>
      <c r="T25" s="44" cm="1">
        <f t="array" ref="T2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5" s="35">
        <v>-8.9999999999790248E-4</v>
      </c>
      <c r="V25" s="44" cm="1">
        <f t="array" ref="V2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5" s="101" t="s">
        <v>86</v>
      </c>
      <c r="AA25" s="105"/>
      <c r="AB25" s="1"/>
      <c r="AC25" s="1"/>
      <c r="AD25" s="4"/>
      <c r="AE25" s="8"/>
      <c r="AF25" s="1"/>
      <c r="AG25" s="1"/>
      <c r="AH25" s="1"/>
      <c r="AI25" s="1"/>
      <c r="AJ25" s="1"/>
      <c r="AK25" s="1"/>
      <c r="AL25" s="1"/>
      <c r="AM25" s="1"/>
    </row>
    <row r="26" spans="7:39" ht="14.25" customHeight="1" x14ac:dyDescent="0.2">
      <c r="G26" s="50">
        <v>45776.284722222219</v>
      </c>
      <c r="H26" s="101" t="s">
        <v>185</v>
      </c>
      <c r="I26" s="101" t="e">
        <f>_xlfn.XLOOKUP(ReportSummary___XYZ[[#This Row],[ID]],Table_Design[ID],Table_Design[Structure Name])</f>
        <v>#N/A</v>
      </c>
      <c r="J26" s="101" t="e">
        <f>_xlfn.XLOOKUP(ReportSummary___XYZ[[#This Row],[ID]],Table_Design[ID],Table_Design[Chainage '[m']])</f>
        <v>#N/A</v>
      </c>
      <c r="K26" s="118">
        <v>51904.885600000001</v>
      </c>
      <c r="L26" s="118">
        <v>159188.8046</v>
      </c>
      <c r="M26" s="118">
        <v>18.773099999999999</v>
      </c>
      <c r="N26" s="54">
        <v>51904.883999999998</v>
      </c>
      <c r="O26" s="54">
        <v>159188.80600000001</v>
      </c>
      <c r="P26" s="54">
        <v>18.773</v>
      </c>
      <c r="Q26" s="35">
        <v>-1.6000000032363459E-3</v>
      </c>
      <c r="R26" s="103" cm="1">
        <f t="array" ref="R2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6" s="35">
        <v>1.4000000082887709E-3</v>
      </c>
      <c r="T26" s="44" cm="1">
        <f t="array" ref="T2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6" s="35">
        <v>-9.9999999999766942E-5</v>
      </c>
      <c r="V26" s="44" cm="1">
        <f t="array" ref="V2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6" s="101" t="s">
        <v>86</v>
      </c>
      <c r="AA26" s="105"/>
      <c r="AB26" s="1"/>
      <c r="AC26" s="1"/>
      <c r="AD26" s="4"/>
      <c r="AE26" s="8"/>
      <c r="AF26" s="1"/>
      <c r="AG26" s="1"/>
      <c r="AH26" s="1"/>
      <c r="AI26" s="1"/>
      <c r="AJ26" s="1"/>
      <c r="AK26" s="1"/>
      <c r="AL26" s="1"/>
      <c r="AM26" s="1"/>
    </row>
    <row r="27" spans="7:39" ht="14.25" customHeight="1" x14ac:dyDescent="0.2">
      <c r="G27" s="50">
        <v>45776.284722222219</v>
      </c>
      <c r="H27" s="101" t="s">
        <v>188</v>
      </c>
      <c r="I27" s="101" t="e">
        <f>_xlfn.XLOOKUP(ReportSummary___XYZ[[#This Row],[ID]],Table_Design[ID],Table_Design[Structure Name])</f>
        <v>#N/A</v>
      </c>
      <c r="J27" s="101" t="e">
        <f>_xlfn.XLOOKUP(ReportSummary___XYZ[[#This Row],[ID]],Table_Design[ID],Table_Design[Chainage '[m']])</f>
        <v>#N/A</v>
      </c>
      <c r="K27" s="118">
        <v>51907.9522</v>
      </c>
      <c r="L27" s="118">
        <v>159189.36230000001</v>
      </c>
      <c r="M27" s="118">
        <v>18.786000000000001</v>
      </c>
      <c r="N27" s="54">
        <v>51907.951999999997</v>
      </c>
      <c r="O27" s="54">
        <v>159189.36300000001</v>
      </c>
      <c r="P27" s="54">
        <v>18.785</v>
      </c>
      <c r="Q27" s="35">
        <v>-2.0000000222353265E-4</v>
      </c>
      <c r="R27" s="103" cm="1">
        <f t="array" ref="R2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7" s="35">
        <v>7.0000000414438546E-4</v>
      </c>
      <c r="T27" s="44" cm="1">
        <f t="array" ref="T2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7" s="35">
        <v>-1.0000000000012221E-3</v>
      </c>
      <c r="V27" s="44" cm="1">
        <f t="array" ref="V2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7" s="101" t="s">
        <v>86</v>
      </c>
      <c r="AA27" s="105"/>
      <c r="AB27" s="1"/>
      <c r="AC27" s="1"/>
      <c r="AD27" s="4"/>
      <c r="AE27" s="8"/>
      <c r="AF27" s="1"/>
      <c r="AG27" s="1"/>
      <c r="AH27" s="1"/>
      <c r="AI27" s="1"/>
      <c r="AJ27" s="1"/>
      <c r="AK27" s="1"/>
      <c r="AL27" s="1"/>
      <c r="AM27" s="1"/>
    </row>
    <row r="28" spans="7:39" ht="14.25" customHeight="1" x14ac:dyDescent="0.2">
      <c r="G28" s="50">
        <v>45776.284722222219</v>
      </c>
      <c r="H28" s="101" t="s">
        <v>187</v>
      </c>
      <c r="I28" s="101" t="e">
        <f>_xlfn.XLOOKUP(ReportSummary___XYZ[[#This Row],[ID]],Table_Design[ID],Table_Design[Structure Name])</f>
        <v>#N/A</v>
      </c>
      <c r="J28" s="101" t="e">
        <f>_xlfn.XLOOKUP(ReportSummary___XYZ[[#This Row],[ID]],Table_Design[ID],Table_Design[Chainage '[m']])</f>
        <v>#N/A</v>
      </c>
      <c r="K28" s="118">
        <v>51907.578699999998</v>
      </c>
      <c r="L28" s="118">
        <v>159188.09770000001</v>
      </c>
      <c r="M28" s="118">
        <v>18.776</v>
      </c>
      <c r="N28" s="54">
        <v>51907.578000000001</v>
      </c>
      <c r="O28" s="54">
        <v>159188.09899999999</v>
      </c>
      <c r="P28" s="54">
        <v>18.774999999999999</v>
      </c>
      <c r="Q28" s="35">
        <v>-6.9999999686842784E-4</v>
      </c>
      <c r="R28" s="103" cm="1">
        <f t="array" ref="R2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8" s="35">
        <v>1.2999999744351953E-3</v>
      </c>
      <c r="T28" s="44" cm="1">
        <f t="array" ref="T2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8" s="35">
        <v>-1.0000000000012221E-3</v>
      </c>
      <c r="V28" s="44" cm="1">
        <f t="array" ref="V2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8" s="101" t="s">
        <v>86</v>
      </c>
      <c r="AA28" s="105"/>
      <c r="AB28" s="1"/>
      <c r="AC28" s="1"/>
      <c r="AD28" s="4"/>
      <c r="AE28" s="8"/>
      <c r="AF28" s="1"/>
      <c r="AG28" s="1"/>
      <c r="AH28" s="1"/>
      <c r="AI28" s="1"/>
      <c r="AJ28" s="1"/>
      <c r="AK28" s="1"/>
      <c r="AL28" s="1"/>
      <c r="AM28" s="1"/>
    </row>
    <row r="29" spans="7:39" ht="14.25" customHeight="1" x14ac:dyDescent="0.2">
      <c r="G29" s="50">
        <v>45776.284722222219</v>
      </c>
      <c r="H29" s="101" t="s">
        <v>190</v>
      </c>
      <c r="I29" s="101" t="e">
        <f>_xlfn.XLOOKUP(ReportSummary___XYZ[[#This Row],[ID]],Table_Design[ID],Table_Design[Structure Name])</f>
        <v>#N/A</v>
      </c>
      <c r="J29" s="101" t="e">
        <f>_xlfn.XLOOKUP(ReportSummary___XYZ[[#This Row],[ID]],Table_Design[ID],Table_Design[Chainage '[m']])</f>
        <v>#N/A</v>
      </c>
      <c r="K29" s="118">
        <v>51910.962800000001</v>
      </c>
      <c r="L29" s="118">
        <v>159188.60079999999</v>
      </c>
      <c r="M29" s="118">
        <v>18.794599999999999</v>
      </c>
      <c r="N29" s="54">
        <v>51910.962</v>
      </c>
      <c r="O29" s="54">
        <v>159188.601</v>
      </c>
      <c r="P29" s="54">
        <v>18.794</v>
      </c>
      <c r="Q29" s="35">
        <v>-8.0000000161817297E-4</v>
      </c>
      <c r="R29" s="103" cm="1">
        <f t="array" ref="R2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29" s="35">
        <v>2.0000000949949026E-4</v>
      </c>
      <c r="T29" s="44" cm="1">
        <f t="array" ref="T2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29" s="35">
        <v>-5.9999999999860165E-4</v>
      </c>
      <c r="V29" s="44" cm="1">
        <f t="array" ref="V2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2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2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2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29" s="101" t="s">
        <v>86</v>
      </c>
      <c r="AA29" s="105"/>
      <c r="AB29" s="1"/>
      <c r="AC29" s="1"/>
      <c r="AD29" s="4"/>
      <c r="AE29" s="8"/>
      <c r="AF29" s="1"/>
      <c r="AG29" s="1"/>
      <c r="AH29" s="1"/>
      <c r="AI29" s="1"/>
      <c r="AJ29" s="1"/>
      <c r="AK29" s="1"/>
      <c r="AL29" s="1"/>
      <c r="AM29" s="1"/>
    </row>
    <row r="30" spans="7:39" ht="14.25" customHeight="1" x14ac:dyDescent="0.2">
      <c r="G30" s="50">
        <v>45776.284722222219</v>
      </c>
      <c r="H30" s="101" t="s">
        <v>189</v>
      </c>
      <c r="I30" s="101" t="e">
        <f>_xlfn.XLOOKUP(ReportSummary___XYZ[[#This Row],[ID]],Table_Design[ID],Table_Design[Structure Name])</f>
        <v>#N/A</v>
      </c>
      <c r="J30" s="101" t="e">
        <f>_xlfn.XLOOKUP(ReportSummary___XYZ[[#This Row],[ID]],Table_Design[ID],Table_Design[Chainage '[m']])</f>
        <v>#N/A</v>
      </c>
      <c r="K30" s="118">
        <v>51910.640099999997</v>
      </c>
      <c r="L30" s="118">
        <v>159187.3223</v>
      </c>
      <c r="M30" s="118">
        <v>18.7836</v>
      </c>
      <c r="N30" s="54">
        <v>51910.639000000003</v>
      </c>
      <c r="O30" s="54">
        <v>159187.323</v>
      </c>
      <c r="P30" s="54">
        <v>18.783000000000001</v>
      </c>
      <c r="Q30" s="35">
        <v>-1.0999999940395355E-3</v>
      </c>
      <c r="R30" s="103" cm="1">
        <f t="array" ref="R3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0" s="35">
        <v>7.0000000414438546E-4</v>
      </c>
      <c r="T30" s="44" cm="1">
        <f t="array" ref="T3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0" s="35">
        <v>-5.9999999999860165E-4</v>
      </c>
      <c r="V30" s="44" cm="1">
        <f t="array" ref="V3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0" s="101" t="s">
        <v>86</v>
      </c>
      <c r="AA30" s="105"/>
      <c r="AB30" s="1"/>
      <c r="AC30" s="1"/>
      <c r="AD30" s="4"/>
      <c r="AE30" s="8"/>
      <c r="AF30" s="1"/>
      <c r="AG30" s="1"/>
      <c r="AH30" s="1"/>
      <c r="AI30" s="1"/>
      <c r="AJ30" s="1"/>
      <c r="AK30" s="1"/>
      <c r="AL30" s="1"/>
      <c r="AM30" s="1"/>
    </row>
    <row r="31" spans="7:39" ht="14.25" customHeight="1" x14ac:dyDescent="0.2">
      <c r="G31" s="50">
        <v>45776.284722222219</v>
      </c>
      <c r="H31" s="101" t="s">
        <v>192</v>
      </c>
      <c r="I31" s="101" t="e">
        <f>_xlfn.XLOOKUP(ReportSummary___XYZ[[#This Row],[ID]],Table_Design[ID],Table_Design[Structure Name])</f>
        <v>#N/A</v>
      </c>
      <c r="J31" s="101" t="e">
        <f>_xlfn.XLOOKUP(ReportSummary___XYZ[[#This Row],[ID]],Table_Design[ID],Table_Design[Chainage '[m']])</f>
        <v>#N/A</v>
      </c>
      <c r="K31" s="118">
        <v>51913.751100000001</v>
      </c>
      <c r="L31" s="118">
        <v>159187.9178</v>
      </c>
      <c r="M31" s="118">
        <v>18.809000000000001</v>
      </c>
      <c r="N31" s="54">
        <v>51913.75</v>
      </c>
      <c r="O31" s="54">
        <v>159187.91800000001</v>
      </c>
      <c r="P31" s="54">
        <v>18.808</v>
      </c>
      <c r="Q31" s="35">
        <v>-1.1000000013154931E-3</v>
      </c>
      <c r="R31" s="103" cm="1">
        <f t="array" ref="R3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1" s="35">
        <v>2.0000000949949026E-4</v>
      </c>
      <c r="T31" s="44" cm="1">
        <f t="array" ref="T3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1" s="35">
        <v>-1.0000000000012221E-3</v>
      </c>
      <c r="V31" s="44" cm="1">
        <f t="array" ref="V3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1" s="101" t="s">
        <v>86</v>
      </c>
      <c r="AA31" s="105"/>
      <c r="AB31" s="1"/>
      <c r="AC31" s="1"/>
      <c r="AD31" s="4"/>
      <c r="AE31" s="8"/>
      <c r="AF31" s="1"/>
      <c r="AG31" s="1"/>
      <c r="AH31" s="1"/>
      <c r="AI31" s="1"/>
      <c r="AJ31" s="1"/>
      <c r="AK31" s="1"/>
      <c r="AL31" s="1"/>
      <c r="AM31" s="1"/>
    </row>
    <row r="32" spans="7:39" ht="14.25" customHeight="1" x14ac:dyDescent="0.2">
      <c r="G32" s="50">
        <v>45776.284722222219</v>
      </c>
      <c r="H32" s="101" t="s">
        <v>191</v>
      </c>
      <c r="I32" s="101" t="e">
        <f>_xlfn.XLOOKUP(ReportSummary___XYZ[[#This Row],[ID]],Table_Design[ID],Table_Design[Structure Name])</f>
        <v>#N/A</v>
      </c>
      <c r="J32" s="101" t="e">
        <f>_xlfn.XLOOKUP(ReportSummary___XYZ[[#This Row],[ID]],Table_Design[ID],Table_Design[Chainage '[m']])</f>
        <v>#N/A</v>
      </c>
      <c r="K32" s="118">
        <v>51913.421499999997</v>
      </c>
      <c r="L32" s="118">
        <v>159186.63630000001</v>
      </c>
      <c r="M32" s="118">
        <v>18.794899999999998</v>
      </c>
      <c r="N32" s="54">
        <v>51913.42</v>
      </c>
      <c r="O32" s="54">
        <v>159186.63699999999</v>
      </c>
      <c r="P32" s="54">
        <v>18.794</v>
      </c>
      <c r="Q32" s="35">
        <v>-1.4999999984866008E-3</v>
      </c>
      <c r="R32" s="103" cm="1">
        <f t="array" ref="R3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2" s="35">
        <v>6.99999975040555E-4</v>
      </c>
      <c r="T32" s="44" cm="1">
        <f t="array" ref="T3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2" s="35">
        <v>-8.9999999999790248E-4</v>
      </c>
      <c r="V32" s="44" cm="1">
        <f t="array" ref="V3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2" s="101" t="s">
        <v>86</v>
      </c>
      <c r="AA32" s="105"/>
      <c r="AB32" s="1"/>
      <c r="AC32" s="1"/>
      <c r="AD32" s="4"/>
      <c r="AE32" s="8"/>
      <c r="AF32" s="1"/>
      <c r="AG32" s="1"/>
      <c r="AH32" s="1"/>
      <c r="AI32" s="1"/>
      <c r="AJ32" s="1"/>
      <c r="AK32" s="1"/>
      <c r="AL32" s="1"/>
      <c r="AM32" s="1"/>
    </row>
    <row r="33" spans="7:41" ht="14.25" customHeight="1" x14ac:dyDescent="0.2">
      <c r="G33" s="50">
        <v>45776.284722222219</v>
      </c>
      <c r="H33" s="101" t="s">
        <v>165</v>
      </c>
      <c r="I33" s="101" t="e">
        <f>_xlfn.XLOOKUP(ReportSummary___XYZ[[#This Row],[ID]],Table_Design[ID],Table_Design[Structure Name])</f>
        <v>#N/A</v>
      </c>
      <c r="J33" s="101" t="e">
        <f>_xlfn.XLOOKUP(ReportSummary___XYZ[[#This Row],[ID]],Table_Design[ID],Table_Design[Chainage '[m']])</f>
        <v>#N/A</v>
      </c>
      <c r="K33" s="118">
        <v>51884.538999999997</v>
      </c>
      <c r="L33" s="118">
        <v>159193.38269999999</v>
      </c>
      <c r="M33" s="118">
        <v>19.331700000000001</v>
      </c>
      <c r="N33" s="54">
        <v>51884.538999999997</v>
      </c>
      <c r="O33" s="54">
        <v>159193.38200000001</v>
      </c>
      <c r="P33" s="54">
        <v>19.329999999999998</v>
      </c>
      <c r="Q33" s="35">
        <v>0</v>
      </c>
      <c r="R33" s="103" cm="1">
        <f t="array" ref="R3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3" s="35">
        <v>-6.99999975040555E-4</v>
      </c>
      <c r="T33" s="44" cm="1">
        <f t="array" ref="T3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3" s="35">
        <v>-1.7000000000031434E-3</v>
      </c>
      <c r="V33" s="44" cm="1">
        <f t="array" ref="V3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3" s="101" t="s">
        <v>86</v>
      </c>
      <c r="AA33" s="105"/>
      <c r="AB33" s="1"/>
      <c r="AC33" s="1"/>
      <c r="AD33" s="4"/>
      <c r="AE33" s="8"/>
      <c r="AF33" s="1"/>
      <c r="AG33" s="1"/>
      <c r="AH33" s="1"/>
      <c r="AI33" s="1"/>
      <c r="AJ33" s="1"/>
      <c r="AK33" s="1"/>
      <c r="AL33" s="1"/>
      <c r="AM33" s="1"/>
    </row>
    <row r="34" spans="7:41" ht="14.25" customHeight="1" x14ac:dyDescent="0.2">
      <c r="G34" s="50">
        <v>45776.284722222219</v>
      </c>
      <c r="H34" s="101" t="s">
        <v>166</v>
      </c>
      <c r="I34" s="101" t="e">
        <f>_xlfn.XLOOKUP(ReportSummary___XYZ[[#This Row],[ID]],Table_Design[ID],Table_Design[Structure Name])</f>
        <v>#N/A</v>
      </c>
      <c r="J34" s="101" t="e">
        <f>_xlfn.XLOOKUP(ReportSummary___XYZ[[#This Row],[ID]],Table_Design[ID],Table_Design[Chainage '[m']])</f>
        <v>#N/A</v>
      </c>
      <c r="K34" s="118">
        <v>51890.2863</v>
      </c>
      <c r="L34" s="118">
        <v>159191.73069999999</v>
      </c>
      <c r="M34" s="118">
        <v>19.321999999999999</v>
      </c>
      <c r="N34" s="54">
        <v>51890.286</v>
      </c>
      <c r="O34" s="54">
        <v>159191.73000000001</v>
      </c>
      <c r="P34" s="54">
        <v>19.321000000000002</v>
      </c>
      <c r="Q34" s="35">
        <v>-2.9999999969732016E-4</v>
      </c>
      <c r="R34" s="103" cm="1">
        <f t="array" ref="R3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4" s="35">
        <v>-6.99999975040555E-4</v>
      </c>
      <c r="T34" s="44" cm="1">
        <f t="array" ref="T3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4" s="35">
        <v>-9.9999999999766942E-4</v>
      </c>
      <c r="V34" s="44" cm="1">
        <f t="array" ref="V3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4" s="101" t="s">
        <v>86</v>
      </c>
      <c r="AA34" s="105"/>
      <c r="AB34" s="1"/>
      <c r="AC34" s="1"/>
      <c r="AD34" s="4"/>
      <c r="AE34" s="8"/>
      <c r="AF34" s="1"/>
      <c r="AG34" s="1"/>
      <c r="AH34" s="1"/>
      <c r="AI34" s="1"/>
      <c r="AJ34" s="1"/>
      <c r="AK34" s="1"/>
      <c r="AL34" s="1"/>
      <c r="AM34" s="1"/>
    </row>
    <row r="35" spans="7:41" ht="14.25" customHeight="1" x14ac:dyDescent="0.2">
      <c r="G35" s="50">
        <v>45776.284722222219</v>
      </c>
      <c r="H35" s="101" t="s">
        <v>167</v>
      </c>
      <c r="I35" s="101" t="e">
        <f>_xlfn.XLOOKUP(ReportSummary___XYZ[[#This Row],[ID]],Table_Design[ID],Table_Design[Structure Name])</f>
        <v>#N/A</v>
      </c>
      <c r="J35" s="101" t="e">
        <f>_xlfn.XLOOKUP(ReportSummary___XYZ[[#This Row],[ID]],Table_Design[ID],Table_Design[Chainage '[m']])</f>
        <v>#N/A</v>
      </c>
      <c r="K35" s="118">
        <v>51895.920700000002</v>
      </c>
      <c r="L35" s="118">
        <v>159190.1</v>
      </c>
      <c r="M35" s="118">
        <v>19.334</v>
      </c>
      <c r="N35" s="54">
        <v>51895.921000000002</v>
      </c>
      <c r="O35" s="54">
        <v>159190.1</v>
      </c>
      <c r="P35" s="54">
        <v>19.332999999999998</v>
      </c>
      <c r="Q35" s="35">
        <v>2.9999999969732016E-4</v>
      </c>
      <c r="R35" s="103" cm="1">
        <f t="array" ref="R3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5" s="35">
        <v>0</v>
      </c>
      <c r="T35" s="44" cm="1">
        <f t="array" ref="T3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5" s="35">
        <v>-1.0000000000012221E-3</v>
      </c>
      <c r="V35" s="44" cm="1">
        <f t="array" ref="V3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5" s="101" t="s">
        <v>86</v>
      </c>
      <c r="AA35" s="105"/>
      <c r="AB35" s="1"/>
      <c r="AC35" s="1"/>
      <c r="AD35" s="4"/>
      <c r="AE35" s="8"/>
      <c r="AF35" s="1"/>
      <c r="AG35" s="1"/>
      <c r="AH35" s="1"/>
      <c r="AI35" s="1"/>
      <c r="AJ35" s="1"/>
      <c r="AK35" s="1"/>
      <c r="AL35" s="1"/>
      <c r="AM35" s="1"/>
    </row>
    <row r="36" spans="7:41" ht="14.25" customHeight="1" x14ac:dyDescent="0.2">
      <c r="G36" s="50">
        <v>45776.284722222219</v>
      </c>
      <c r="H36" s="101" t="s">
        <v>168</v>
      </c>
      <c r="I36" s="101" t="e">
        <f>_xlfn.XLOOKUP(ReportSummary___XYZ[[#This Row],[ID]],Table_Design[ID],Table_Design[Structure Name])</f>
        <v>#N/A</v>
      </c>
      <c r="J36" s="101" t="e">
        <f>_xlfn.XLOOKUP(ReportSummary___XYZ[[#This Row],[ID]],Table_Design[ID],Table_Design[Chainage '[m']])</f>
        <v>#N/A</v>
      </c>
      <c r="K36" s="118">
        <v>51899.7667</v>
      </c>
      <c r="L36" s="118">
        <v>159188.9933</v>
      </c>
      <c r="M36" s="118">
        <v>19.344999999999999</v>
      </c>
      <c r="N36" s="54">
        <v>51899.767</v>
      </c>
      <c r="O36" s="54">
        <v>159188.99299999999</v>
      </c>
      <c r="P36" s="54">
        <v>19.344000000000001</v>
      </c>
      <c r="Q36" s="35">
        <v>2.9999999969732016E-4</v>
      </c>
      <c r="R36" s="103" cm="1">
        <f t="array" ref="R3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6" s="35">
        <v>-3.0000001424923539E-4</v>
      </c>
      <c r="T36" s="44" cm="1">
        <f t="array" ref="T3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6" s="35">
        <v>-9.9999999999766942E-4</v>
      </c>
      <c r="V36" s="44" cm="1">
        <f t="array" ref="V3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6" s="101" t="s">
        <v>86</v>
      </c>
      <c r="AA36" s="105"/>
      <c r="AB36" s="1"/>
      <c r="AC36" s="1"/>
      <c r="AD36" s="4"/>
      <c r="AE36" s="8"/>
      <c r="AF36" s="1"/>
      <c r="AG36" s="1"/>
      <c r="AH36" s="1"/>
      <c r="AI36" s="1"/>
      <c r="AJ36" s="1"/>
      <c r="AK36" s="1"/>
      <c r="AL36" s="1"/>
      <c r="AM36" s="1"/>
    </row>
    <row r="37" spans="7:41" ht="14.25" customHeight="1" x14ac:dyDescent="0.2">
      <c r="G37" s="50">
        <v>45776.284722222219</v>
      </c>
      <c r="H37" s="101" t="s">
        <v>169</v>
      </c>
      <c r="I37" s="101" t="e">
        <f>_xlfn.XLOOKUP(ReportSummary___XYZ[[#This Row],[ID]],Table_Design[ID],Table_Design[Structure Name])</f>
        <v>#N/A</v>
      </c>
      <c r="J37" s="101" t="e">
        <f>_xlfn.XLOOKUP(ReportSummary___XYZ[[#This Row],[ID]],Table_Design[ID],Table_Design[Chainage '[m']])</f>
        <v>#N/A</v>
      </c>
      <c r="K37" s="118">
        <v>51903.6083</v>
      </c>
      <c r="L37" s="118">
        <v>159187.88200000001</v>
      </c>
      <c r="M37" s="118">
        <v>19.356999999999999</v>
      </c>
      <c r="N37" s="54">
        <v>51903.608</v>
      </c>
      <c r="O37" s="54">
        <v>159187.88200000001</v>
      </c>
      <c r="P37" s="54">
        <v>19.356000000000002</v>
      </c>
      <c r="Q37" s="35">
        <v>-2.9999999969732016E-4</v>
      </c>
      <c r="R37" s="103" cm="1">
        <f t="array" ref="R3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7" s="35">
        <v>0</v>
      </c>
      <c r="T37" s="44" cm="1">
        <f t="array" ref="T3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7" s="35">
        <v>-9.9999999999766942E-4</v>
      </c>
      <c r="V37" s="44" cm="1">
        <f t="array" ref="V3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7" s="101" t="s">
        <v>86</v>
      </c>
      <c r="AA37" s="105"/>
      <c r="AB37" s="1"/>
      <c r="AC37" s="1"/>
      <c r="AD37" s="4"/>
      <c r="AE37" s="8"/>
      <c r="AF37" s="1"/>
      <c r="AG37" s="1"/>
      <c r="AH37" s="1"/>
      <c r="AI37" s="1"/>
      <c r="AJ37" s="1"/>
      <c r="AK37" s="1"/>
      <c r="AL37" s="1"/>
      <c r="AM37" s="1"/>
    </row>
    <row r="38" spans="7:41" ht="14.25" customHeight="1" x14ac:dyDescent="0.2">
      <c r="G38" s="50">
        <v>45776.284722222219</v>
      </c>
      <c r="H38" s="101" t="s">
        <v>170</v>
      </c>
      <c r="I38" s="101" t="e">
        <f>_xlfn.XLOOKUP(ReportSummary___XYZ[[#This Row],[ID]],Table_Design[ID],Table_Design[Structure Name])</f>
        <v>#N/A</v>
      </c>
      <c r="J38" s="101" t="e">
        <f>_xlfn.XLOOKUP(ReportSummary___XYZ[[#This Row],[ID]],Table_Design[ID],Table_Design[Chainage '[m']])</f>
        <v>#N/A</v>
      </c>
      <c r="K38" s="118">
        <v>51910.065000000002</v>
      </c>
      <c r="L38" s="118">
        <v>159186.02369999999</v>
      </c>
      <c r="M38" s="118">
        <v>19.356999999999999</v>
      </c>
      <c r="N38" s="54">
        <v>51910.065000000002</v>
      </c>
      <c r="O38" s="54">
        <v>159186.02299999999</v>
      </c>
      <c r="P38" s="54">
        <v>19.356999999999999</v>
      </c>
      <c r="Q38" s="35">
        <v>0</v>
      </c>
      <c r="R38" s="103" cm="1">
        <f t="array" ref="R3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8" s="35">
        <v>-7.0000000414438546E-4</v>
      </c>
      <c r="T38" s="44" cm="1">
        <f t="array" ref="T3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8" s="35">
        <v>0</v>
      </c>
      <c r="V38" s="44" cm="1">
        <f t="array" ref="V3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8" s="101" t="s">
        <v>86</v>
      </c>
      <c r="AA38" s="105"/>
      <c r="AB38" s="1"/>
      <c r="AC38" s="1"/>
      <c r="AD38" s="4"/>
      <c r="AE38" s="8"/>
      <c r="AF38" s="1"/>
      <c r="AG38" s="1"/>
      <c r="AH38" s="1"/>
      <c r="AI38" s="1"/>
      <c r="AJ38" s="1"/>
      <c r="AK38" s="1"/>
      <c r="AL38" s="1"/>
      <c r="AM38" s="1"/>
    </row>
    <row r="39" spans="7:41" ht="14.25" customHeight="1" x14ac:dyDescent="0.2">
      <c r="G39" s="50">
        <v>45775.28125</v>
      </c>
      <c r="H39" s="101" t="s">
        <v>172</v>
      </c>
      <c r="I39" s="101" t="e">
        <f>_xlfn.XLOOKUP(ReportSummary___XYZ[[#This Row],[ID]],Table_Design[ID],Table_Design[Structure Name])</f>
        <v>#N/A</v>
      </c>
      <c r="J39" s="101" t="e">
        <f>_xlfn.XLOOKUP(ReportSummary___XYZ[[#This Row],[ID]],Table_Design[ID],Table_Design[Chainage '[m']])</f>
        <v>#N/A</v>
      </c>
      <c r="K39" s="118">
        <v>51885.34</v>
      </c>
      <c r="L39" s="118">
        <v>159195.739</v>
      </c>
      <c r="M39" s="118">
        <v>18.782</v>
      </c>
      <c r="N39" s="54">
        <v>51885.34</v>
      </c>
      <c r="O39" s="54">
        <v>159195.739</v>
      </c>
      <c r="P39" s="54">
        <v>18.783000000000001</v>
      </c>
      <c r="Q39" s="35">
        <v>0</v>
      </c>
      <c r="R39" s="103" cm="1">
        <f t="array" ref="R3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39" s="35">
        <v>0</v>
      </c>
      <c r="T39" s="44" cm="1">
        <f t="array" ref="T3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39" s="35">
        <v>1.0000000000012221E-3</v>
      </c>
      <c r="V39" s="44" cm="1">
        <f t="array" ref="V3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3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3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3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39" s="101" t="s">
        <v>86</v>
      </c>
      <c r="AA39" s="105"/>
      <c r="AB39" s="1"/>
      <c r="AC39" s="1"/>
      <c r="AD39" s="4"/>
      <c r="AE39" s="8"/>
      <c r="AF39" s="1"/>
      <c r="AG39" s="1"/>
      <c r="AH39" s="1"/>
      <c r="AI39" s="1"/>
      <c r="AJ39" s="1"/>
      <c r="AK39" s="1"/>
      <c r="AL39" s="1"/>
      <c r="AM39" s="1"/>
    </row>
    <row r="40" spans="7:41" ht="14.25" customHeight="1" x14ac:dyDescent="0.2">
      <c r="G40" s="50">
        <v>45775.28125</v>
      </c>
      <c r="H40" s="101" t="s">
        <v>171</v>
      </c>
      <c r="I40" s="101" t="e">
        <f>_xlfn.XLOOKUP(ReportSummary___XYZ[[#This Row],[ID]],Table_Design[ID],Table_Design[Structure Name])</f>
        <v>#N/A</v>
      </c>
      <c r="J40" s="101" t="e">
        <f>_xlfn.XLOOKUP(ReportSummary___XYZ[[#This Row],[ID]],Table_Design[ID],Table_Design[Chainage '[m']])</f>
        <v>#N/A</v>
      </c>
      <c r="K40" s="118">
        <v>51884.958899999998</v>
      </c>
      <c r="L40" s="118">
        <v>159194.47070000001</v>
      </c>
      <c r="M40" s="118">
        <v>18.778099999999998</v>
      </c>
      <c r="N40" s="54">
        <v>51884.959000000003</v>
      </c>
      <c r="O40" s="54">
        <v>159194.47099999999</v>
      </c>
      <c r="P40" s="54">
        <v>18.779</v>
      </c>
      <c r="Q40" s="35">
        <v>1.0000000474974513E-4</v>
      </c>
      <c r="R40" s="103" cm="1">
        <f t="array" ref="R4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0" s="35">
        <v>2.9999998514540493E-4</v>
      </c>
      <c r="T40" s="44" cm="1">
        <f t="array" ref="T4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0" s="35">
        <v>9.0000000000145519E-4</v>
      </c>
      <c r="V40" s="44" cm="1">
        <f t="array" ref="V4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0" s="101" t="s">
        <v>86</v>
      </c>
      <c r="AA40" s="105"/>
      <c r="AB40" s="1"/>
      <c r="AC40" s="1"/>
      <c r="AD40" s="4"/>
      <c r="AE40" s="8"/>
      <c r="AF40" s="1"/>
      <c r="AG40" s="1"/>
      <c r="AH40" s="1"/>
      <c r="AI40" s="1"/>
      <c r="AJ40" s="1"/>
      <c r="AK40" s="1"/>
      <c r="AL40" s="1"/>
      <c r="AM40" s="1"/>
    </row>
    <row r="41" spans="7:41" ht="14.25" customHeight="1" x14ac:dyDescent="0.2">
      <c r="G41" s="50">
        <v>45775.28125</v>
      </c>
      <c r="H41" s="101" t="s">
        <v>174</v>
      </c>
      <c r="I41" s="101" t="e">
        <f>_xlfn.XLOOKUP(ReportSummary___XYZ[[#This Row],[ID]],Table_Design[ID],Table_Design[Structure Name])</f>
        <v>#N/A</v>
      </c>
      <c r="J41" s="101" t="e">
        <f>_xlfn.XLOOKUP(ReportSummary___XYZ[[#This Row],[ID]],Table_Design[ID],Table_Design[Chainage '[m']])</f>
        <v>#N/A</v>
      </c>
      <c r="K41" s="118">
        <v>51888.117700000003</v>
      </c>
      <c r="L41" s="118">
        <v>159194.94529999999</v>
      </c>
      <c r="M41" s="118">
        <v>18.7788</v>
      </c>
      <c r="N41" s="54">
        <v>51888.116999999998</v>
      </c>
      <c r="O41" s="54">
        <v>159194.946</v>
      </c>
      <c r="P41" s="54">
        <v>18.779</v>
      </c>
      <c r="Q41" s="35">
        <v>-7.0000000414438546E-4</v>
      </c>
      <c r="R41" s="103" cm="1">
        <f t="array" ref="R4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1" s="35">
        <v>7.0000000414438546E-4</v>
      </c>
      <c r="T41" s="44" cm="1">
        <f t="array" ref="T4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1" s="35">
        <v>1.9999999999953388E-4</v>
      </c>
      <c r="V41" s="44" cm="1">
        <f t="array" ref="V4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1" s="101" t="s">
        <v>86</v>
      </c>
      <c r="AA41" s="105"/>
      <c r="AB41" s="1"/>
      <c r="AC41" s="1"/>
      <c r="AD41" s="4"/>
      <c r="AE41" s="8"/>
      <c r="AF41" s="1"/>
      <c r="AG41" s="1"/>
      <c r="AH41" s="1"/>
      <c r="AI41" s="1"/>
      <c r="AJ41" s="1"/>
      <c r="AK41" s="1"/>
      <c r="AL41" s="1"/>
      <c r="AM41" s="1"/>
    </row>
    <row r="42" spans="7:41" ht="14.25" customHeight="1" x14ac:dyDescent="0.2">
      <c r="G42" s="50">
        <v>45775.28125</v>
      </c>
      <c r="H42" s="101" t="s">
        <v>173</v>
      </c>
      <c r="I42" s="101" t="e">
        <f>_xlfn.XLOOKUP(ReportSummary___XYZ[[#This Row],[ID]],Table_Design[ID],Table_Design[Structure Name])</f>
        <v>#N/A</v>
      </c>
      <c r="J42" s="101" t="e">
        <f>_xlfn.XLOOKUP(ReportSummary___XYZ[[#This Row],[ID]],Table_Design[ID],Table_Design[Chainage '[m']])</f>
        <v>#N/A</v>
      </c>
      <c r="K42" s="118">
        <v>51887.805099999998</v>
      </c>
      <c r="L42" s="118">
        <v>159193.65710000001</v>
      </c>
      <c r="M42" s="118">
        <v>18.778500000000001</v>
      </c>
      <c r="N42" s="54">
        <v>51887.805</v>
      </c>
      <c r="O42" s="54">
        <v>159193.658</v>
      </c>
      <c r="P42" s="54">
        <v>18.779</v>
      </c>
      <c r="Q42" s="35">
        <v>-9.9999997473787516E-5</v>
      </c>
      <c r="R42" s="103" cm="1">
        <f t="array" ref="R4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2" s="35">
        <v>8.9999998454004526E-4</v>
      </c>
      <c r="T42" s="44" cm="1">
        <f t="array" ref="T4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2" s="35">
        <v>4.9999999999883471E-4</v>
      </c>
      <c r="V42" s="44" cm="1">
        <f t="array" ref="V4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2" s="101" t="s">
        <v>86</v>
      </c>
      <c r="AA42" s="105"/>
      <c r="AB42" s="1"/>
      <c r="AC42" s="1"/>
      <c r="AD42" s="4"/>
      <c r="AE42" s="8"/>
      <c r="AF42" s="1"/>
      <c r="AG42" s="1"/>
      <c r="AH42" s="1"/>
      <c r="AI42" s="1"/>
      <c r="AJ42" s="1"/>
      <c r="AK42" s="1"/>
      <c r="AL42" s="1"/>
      <c r="AM42" s="1"/>
    </row>
    <row r="43" spans="7:41" ht="14.25" customHeight="1" x14ac:dyDescent="0.2">
      <c r="G43" s="50">
        <v>45775.28125</v>
      </c>
      <c r="H43" s="101" t="s">
        <v>176</v>
      </c>
      <c r="I43" s="101" t="e">
        <f>_xlfn.XLOOKUP(ReportSummary___XYZ[[#This Row],[ID]],Table_Design[ID],Table_Design[Structure Name])</f>
        <v>#N/A</v>
      </c>
      <c r="J43" s="101" t="e">
        <f>_xlfn.XLOOKUP(ReportSummary___XYZ[[#This Row],[ID]],Table_Design[ID],Table_Design[Chainage '[m']])</f>
        <v>#N/A</v>
      </c>
      <c r="K43" s="118">
        <v>51890.969100000002</v>
      </c>
      <c r="L43" s="118">
        <v>159194.1177</v>
      </c>
      <c r="M43" s="118">
        <v>18.779</v>
      </c>
      <c r="N43" s="54">
        <v>51890.968999999997</v>
      </c>
      <c r="O43" s="54">
        <v>159194.11799999999</v>
      </c>
      <c r="P43" s="54">
        <v>18.78</v>
      </c>
      <c r="Q43" s="35">
        <v>-1.0000000474974513E-4</v>
      </c>
      <c r="R43" s="103" cm="1">
        <f t="array" ref="R4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3" s="35">
        <v>2.9999998514540493E-4</v>
      </c>
      <c r="T43" s="44" cm="1">
        <f t="array" ref="T4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3" s="35">
        <v>1.0000000000012221E-3</v>
      </c>
      <c r="V43" s="44" cm="1">
        <f t="array" ref="V4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3" s="101" t="s">
        <v>86</v>
      </c>
      <c r="AA43" s="105"/>
      <c r="AB43" s="1"/>
      <c r="AC43" s="1"/>
      <c r="AD43" s="4"/>
      <c r="AE43" s="8"/>
      <c r="AF43" s="1"/>
      <c r="AG43" s="1"/>
      <c r="AH43" s="1"/>
      <c r="AI43" s="1"/>
      <c r="AJ43" s="1"/>
      <c r="AK43" s="1"/>
      <c r="AL43" s="1"/>
      <c r="AM43" s="1"/>
    </row>
    <row r="44" spans="7:41" ht="14.25" customHeight="1" x14ac:dyDescent="0.2">
      <c r="G44" s="50">
        <v>45775.28125</v>
      </c>
      <c r="H44" s="101" t="s">
        <v>175</v>
      </c>
      <c r="I44" s="101" t="e">
        <f>_xlfn.XLOOKUP(ReportSummary___XYZ[[#This Row],[ID]],Table_Design[ID],Table_Design[Structure Name])</f>
        <v>#N/A</v>
      </c>
      <c r="J44" s="101" t="e">
        <f>_xlfn.XLOOKUP(ReportSummary___XYZ[[#This Row],[ID]],Table_Design[ID],Table_Design[Chainage '[m']])</f>
        <v>#N/A</v>
      </c>
      <c r="K44" s="118">
        <v>51890.606800000001</v>
      </c>
      <c r="L44" s="118">
        <v>159192.86069999999</v>
      </c>
      <c r="M44" s="118">
        <v>18.771999999999998</v>
      </c>
      <c r="N44" s="54">
        <v>51890.606</v>
      </c>
      <c r="O44" s="54">
        <v>159192.86199999999</v>
      </c>
      <c r="P44" s="54">
        <v>18.773</v>
      </c>
      <c r="Q44" s="35">
        <v>-8.0000000161817297E-4</v>
      </c>
      <c r="R44" s="103" cm="1">
        <f t="array" ref="R4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4" s="35">
        <v>1.3000000035390258E-3</v>
      </c>
      <c r="T44" s="44" cm="1">
        <f t="array" ref="T4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4" s="35">
        <v>1.0000000000012221E-3</v>
      </c>
      <c r="V44" s="44" cm="1">
        <f t="array" ref="V4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4" s="101" t="s">
        <v>86</v>
      </c>
      <c r="AA44" s="105"/>
      <c r="AB44" s="1"/>
      <c r="AC44" s="1"/>
      <c r="AD44" s="4"/>
      <c r="AE44" s="8"/>
      <c r="AF44" s="1"/>
      <c r="AG44" s="1"/>
      <c r="AH44" s="1"/>
      <c r="AI44" s="1"/>
      <c r="AJ44" s="1"/>
      <c r="AK44" s="1"/>
      <c r="AL44" s="1"/>
      <c r="AM44" s="1"/>
    </row>
    <row r="45" spans="7:41" ht="14.25" customHeight="1" x14ac:dyDescent="0.2">
      <c r="G45" s="50">
        <v>45775.28125</v>
      </c>
      <c r="H45" s="101" t="s">
        <v>178</v>
      </c>
      <c r="I45" s="101" t="e">
        <f>_xlfn.XLOOKUP(ReportSummary___XYZ[[#This Row],[ID]],Table_Design[ID],Table_Design[Structure Name])</f>
        <v>#N/A</v>
      </c>
      <c r="J45" s="101" t="e">
        <f>_xlfn.XLOOKUP(ReportSummary___XYZ[[#This Row],[ID]],Table_Design[ID],Table_Design[Chainage '[m']])</f>
        <v>#N/A</v>
      </c>
      <c r="K45" s="118">
        <v>51893.758699999998</v>
      </c>
      <c r="L45" s="118">
        <v>159193.3144</v>
      </c>
      <c r="M45" s="118">
        <v>18.774100000000001</v>
      </c>
      <c r="N45" s="54">
        <v>51893.758000000002</v>
      </c>
      <c r="O45" s="54">
        <v>159193.315</v>
      </c>
      <c r="P45" s="54">
        <v>18.774999999999999</v>
      </c>
      <c r="Q45" s="35">
        <v>-6.9999999686842784E-4</v>
      </c>
      <c r="R45" s="103" cm="1">
        <f t="array" ref="R4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5" s="35">
        <v>5.9999999939464033E-4</v>
      </c>
      <c r="T45" s="44" cm="1">
        <f t="array" ref="T4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5" s="35">
        <v>8.9999999999790248E-4</v>
      </c>
      <c r="V45" s="44" cm="1">
        <f t="array" ref="V4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5" s="101" t="s">
        <v>86</v>
      </c>
      <c r="AA45" s="105"/>
      <c r="AB45" s="1"/>
      <c r="AC45" s="1"/>
      <c r="AD45" s="4"/>
      <c r="AE45" s="4"/>
      <c r="AF45" s="4"/>
      <c r="AG45" s="4"/>
      <c r="AH45" s="1"/>
      <c r="AI45" s="1"/>
      <c r="AJ45" s="9"/>
      <c r="AK45" s="6"/>
      <c r="AL45" s="6"/>
      <c r="AM45" s="6"/>
      <c r="AN45" s="8"/>
      <c r="AO45" s="8"/>
    </row>
    <row r="46" spans="7:41" ht="14.25" customHeight="1" x14ac:dyDescent="0.2">
      <c r="G46" s="50">
        <v>45775.28125</v>
      </c>
      <c r="H46" s="101" t="s">
        <v>177</v>
      </c>
      <c r="I46" s="101" t="e">
        <f>_xlfn.XLOOKUP(ReportSummary___XYZ[[#This Row],[ID]],Table_Design[ID],Table_Design[Structure Name])</f>
        <v>#N/A</v>
      </c>
      <c r="J46" s="101" t="e">
        <f>_xlfn.XLOOKUP(ReportSummary___XYZ[[#This Row],[ID]],Table_Design[ID],Table_Design[Chainage '[m']])</f>
        <v>#N/A</v>
      </c>
      <c r="K46" s="118">
        <v>51893.441299999999</v>
      </c>
      <c r="L46" s="118">
        <v>159192.04019999999</v>
      </c>
      <c r="M46" s="118">
        <v>18.7683</v>
      </c>
      <c r="N46" s="54">
        <v>51893.440999999999</v>
      </c>
      <c r="O46" s="54">
        <v>159192.041</v>
      </c>
      <c r="P46" s="54">
        <v>18.77</v>
      </c>
      <c r="Q46" s="35">
        <v>-2.9999999969732016E-4</v>
      </c>
      <c r="R46" s="103" cm="1">
        <f t="array" ref="R4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6" s="35">
        <v>8.0000000889413059E-4</v>
      </c>
      <c r="T46" s="44" cm="1">
        <f t="array" ref="T4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6" s="35">
        <v>1.6999999999995907E-3</v>
      </c>
      <c r="V46" s="44" cm="1">
        <f t="array" ref="V4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6" s="101" t="s">
        <v>86</v>
      </c>
      <c r="AA46" s="105"/>
      <c r="AB46" s="1"/>
      <c r="AC46" s="1"/>
      <c r="AD46" s="4"/>
      <c r="AE46" s="4"/>
      <c r="AF46" s="4"/>
      <c r="AG46" s="4"/>
      <c r="AH46" s="1"/>
      <c r="AI46" s="1"/>
      <c r="AJ46" s="9"/>
      <c r="AK46" s="6"/>
      <c r="AL46" s="6"/>
      <c r="AM46" s="6"/>
      <c r="AN46" s="8"/>
      <c r="AO46" s="8"/>
    </row>
    <row r="47" spans="7:41" ht="14.25" customHeight="1" x14ac:dyDescent="0.2">
      <c r="G47" s="50">
        <v>45775.28125</v>
      </c>
      <c r="H47" s="101" t="s">
        <v>180</v>
      </c>
      <c r="I47" s="101" t="e">
        <f>_xlfn.XLOOKUP(ReportSummary___XYZ[[#This Row],[ID]],Table_Design[ID],Table_Design[Structure Name])</f>
        <v>#N/A</v>
      </c>
      <c r="J47" s="101" t="e">
        <f>_xlfn.XLOOKUP(ReportSummary___XYZ[[#This Row],[ID]],Table_Design[ID],Table_Design[Chainage '[m']])</f>
        <v>#N/A</v>
      </c>
      <c r="K47" s="118">
        <v>51896.633300000001</v>
      </c>
      <c r="L47" s="118">
        <v>159192.48449999999</v>
      </c>
      <c r="M47" s="118">
        <v>18.7776</v>
      </c>
      <c r="N47" s="54">
        <v>51896.633000000002</v>
      </c>
      <c r="O47" s="54">
        <v>159192.48499999999</v>
      </c>
      <c r="P47" s="54">
        <v>18.777999999999999</v>
      </c>
      <c r="Q47" s="35">
        <v>-2.9999999969732016E-4</v>
      </c>
      <c r="R47" s="103" cm="1">
        <f t="array" ref="R4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7" s="35">
        <v>4.999999946448952E-4</v>
      </c>
      <c r="T47" s="44" cm="1">
        <f t="array" ref="T4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7" s="35">
        <v>3.9999999999906777E-4</v>
      </c>
      <c r="V47" s="44" cm="1">
        <f t="array" ref="V4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7" s="101" t="s">
        <v>86</v>
      </c>
      <c r="AA47" s="105"/>
      <c r="AB47" s="1"/>
      <c r="AC47" s="1"/>
      <c r="AD47" s="4"/>
      <c r="AE47" s="4"/>
      <c r="AF47" s="4"/>
      <c r="AG47" s="4"/>
      <c r="AH47" s="1"/>
      <c r="AI47" s="1"/>
      <c r="AJ47" s="9"/>
      <c r="AK47" s="6"/>
      <c r="AL47" s="6"/>
      <c r="AM47" s="6"/>
      <c r="AN47" s="8"/>
      <c r="AO47" s="8"/>
    </row>
    <row r="48" spans="7:41" ht="14.25" customHeight="1" x14ac:dyDescent="0.2">
      <c r="G48" s="50">
        <v>45775.28125</v>
      </c>
      <c r="H48" s="101" t="s">
        <v>179</v>
      </c>
      <c r="I48" s="101" t="e">
        <f>_xlfn.XLOOKUP(ReportSummary___XYZ[[#This Row],[ID]],Table_Design[ID],Table_Design[Structure Name])</f>
        <v>#N/A</v>
      </c>
      <c r="J48" s="101" t="e">
        <f>_xlfn.XLOOKUP(ReportSummary___XYZ[[#This Row],[ID]],Table_Design[ID],Table_Design[Chainage '[m']])</f>
        <v>#N/A</v>
      </c>
      <c r="K48" s="118">
        <v>51896.249799999998</v>
      </c>
      <c r="L48" s="118">
        <v>159191.22630000001</v>
      </c>
      <c r="M48" s="118">
        <v>18.7698</v>
      </c>
      <c r="N48" s="54">
        <v>51896.249000000003</v>
      </c>
      <c r="O48" s="54">
        <v>159191.22700000001</v>
      </c>
      <c r="P48" s="54">
        <v>18.771000000000001</v>
      </c>
      <c r="Q48" s="35">
        <v>-7.9999999434221536E-4</v>
      </c>
      <c r="R48" s="103" cm="1">
        <f t="array" ref="R4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8" s="35">
        <v>7.0000000414438546E-4</v>
      </c>
      <c r="T48" s="44" cm="1">
        <f t="array" ref="T4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8" s="35">
        <v>1.200000000000756E-3</v>
      </c>
      <c r="V48" s="44" cm="1">
        <f t="array" ref="V4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8" s="101" t="s">
        <v>86</v>
      </c>
      <c r="AA48" s="105"/>
      <c r="AB48" s="1"/>
      <c r="AC48" s="1"/>
      <c r="AD48" s="4"/>
      <c r="AE48" s="4"/>
      <c r="AF48" s="4"/>
      <c r="AG48" s="4"/>
      <c r="AH48" s="1"/>
      <c r="AI48" s="1"/>
      <c r="AJ48" s="9"/>
      <c r="AK48" s="6"/>
      <c r="AL48" s="6"/>
      <c r="AM48" s="6"/>
      <c r="AN48" s="8"/>
      <c r="AO48" s="8"/>
    </row>
    <row r="49" spans="7:41" ht="14.25" customHeight="1" x14ac:dyDescent="0.2">
      <c r="G49" s="50">
        <v>45775.28125</v>
      </c>
      <c r="H49" s="101" t="s">
        <v>182</v>
      </c>
      <c r="I49" s="101" t="e">
        <f>_xlfn.XLOOKUP(ReportSummary___XYZ[[#This Row],[ID]],Table_Design[ID],Table_Design[Structure Name])</f>
        <v>#N/A</v>
      </c>
      <c r="J49" s="101" t="e">
        <f>_xlfn.XLOOKUP(ReportSummary___XYZ[[#This Row],[ID]],Table_Design[ID],Table_Design[Chainage '[m']])</f>
        <v>#N/A</v>
      </c>
      <c r="K49" s="118">
        <v>51899.398699999998</v>
      </c>
      <c r="L49" s="118">
        <v>159191.69760000001</v>
      </c>
      <c r="M49" s="118">
        <v>18.777999999999999</v>
      </c>
      <c r="N49" s="54">
        <v>51899.398000000001</v>
      </c>
      <c r="O49" s="54">
        <v>159191.698</v>
      </c>
      <c r="P49" s="54">
        <v>18.779</v>
      </c>
      <c r="Q49" s="35">
        <v>-6.9999999686842784E-4</v>
      </c>
      <c r="R49" s="103" cm="1">
        <f t="array" ref="R4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49" s="35">
        <v>3.9999998989515007E-4</v>
      </c>
      <c r="T49" s="44" cm="1">
        <f t="array" ref="T4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49" s="35">
        <v>1.0000000000012221E-3</v>
      </c>
      <c r="V49" s="44" cm="1">
        <f t="array" ref="V4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4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4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4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49" s="101" t="s">
        <v>86</v>
      </c>
      <c r="AA49" s="105"/>
      <c r="AB49" s="1"/>
      <c r="AC49" s="1"/>
      <c r="AD49" s="4"/>
      <c r="AE49" s="4"/>
      <c r="AF49" s="4"/>
      <c r="AG49" s="4"/>
      <c r="AH49" s="1"/>
      <c r="AI49" s="1"/>
      <c r="AJ49" s="9"/>
      <c r="AK49" s="6"/>
      <c r="AL49" s="6"/>
      <c r="AM49" s="6"/>
      <c r="AN49" s="8"/>
      <c r="AO49" s="8"/>
    </row>
    <row r="50" spans="7:41" ht="14.25" customHeight="1" x14ac:dyDescent="0.2">
      <c r="G50" s="50">
        <v>45775.28125</v>
      </c>
      <c r="H50" s="101" t="s">
        <v>181</v>
      </c>
      <c r="I50" s="101" t="e">
        <f>_xlfn.XLOOKUP(ReportSummary___XYZ[[#This Row],[ID]],Table_Design[ID],Table_Design[Structure Name])</f>
        <v>#N/A</v>
      </c>
      <c r="J50" s="101" t="e">
        <f>_xlfn.XLOOKUP(ReportSummary___XYZ[[#This Row],[ID]],Table_Design[ID],Table_Design[Chainage '[m']])</f>
        <v>#N/A</v>
      </c>
      <c r="K50" s="118">
        <v>51899.041100000002</v>
      </c>
      <c r="L50" s="118">
        <v>159190.43340000001</v>
      </c>
      <c r="M50" s="118">
        <v>18.771100000000001</v>
      </c>
      <c r="N50" s="54">
        <v>51899.040000000001</v>
      </c>
      <c r="O50" s="54">
        <v>159190.435</v>
      </c>
      <c r="P50" s="54">
        <v>18.771999999999998</v>
      </c>
      <c r="Q50" s="35">
        <v>-1.1000000013154931E-3</v>
      </c>
      <c r="R50" s="103" cm="1">
        <f t="array" ref="R5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0" s="35">
        <v>1.5999999886844307E-3</v>
      </c>
      <c r="T50" s="44" cm="1">
        <f t="array" ref="T5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0" s="35">
        <v>8.9999999999790248E-4</v>
      </c>
      <c r="V50" s="44" cm="1">
        <f t="array" ref="V5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0" s="101" t="s">
        <v>86</v>
      </c>
      <c r="AA50" s="105"/>
      <c r="AB50" s="1"/>
      <c r="AC50" s="1"/>
      <c r="AD50" s="4"/>
      <c r="AE50" s="4"/>
      <c r="AF50" s="4"/>
      <c r="AG50" s="4"/>
      <c r="AH50" s="1"/>
      <c r="AI50" s="1"/>
      <c r="AJ50" s="9"/>
      <c r="AK50" s="6"/>
      <c r="AL50" s="6"/>
      <c r="AM50" s="6"/>
      <c r="AN50" s="8"/>
      <c r="AO50" s="8"/>
    </row>
    <row r="51" spans="7:41" ht="14.25" customHeight="1" x14ac:dyDescent="0.2">
      <c r="G51" s="50">
        <v>45775.28125</v>
      </c>
      <c r="H51" s="101" t="s">
        <v>184</v>
      </c>
      <c r="I51" s="101" t="e">
        <f>_xlfn.XLOOKUP(ReportSummary___XYZ[[#This Row],[ID]],Table_Design[ID],Table_Design[Structure Name])</f>
        <v>#N/A</v>
      </c>
      <c r="J51" s="101" t="e">
        <f>_xlfn.XLOOKUP(ReportSummary___XYZ[[#This Row],[ID]],Table_Design[ID],Table_Design[Chainage '[m']])</f>
        <v>#N/A</v>
      </c>
      <c r="K51" s="118">
        <v>51902.292699999998</v>
      </c>
      <c r="L51" s="118">
        <v>159190.88459999999</v>
      </c>
      <c r="M51" s="118">
        <v>18.779</v>
      </c>
      <c r="N51" s="54">
        <v>51902.292999999998</v>
      </c>
      <c r="O51" s="54">
        <v>159190.886</v>
      </c>
      <c r="P51" s="54">
        <v>18.779</v>
      </c>
      <c r="Q51" s="35">
        <v>2.9999999969732016E-4</v>
      </c>
      <c r="R51" s="103" cm="1">
        <f t="array" ref="R5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1" s="35">
        <v>1.4000000082887709E-3</v>
      </c>
      <c r="T51" s="44" cm="1">
        <f t="array" ref="T5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1" s="35">
        <v>0</v>
      </c>
      <c r="V51" s="44" cm="1">
        <f t="array" ref="V5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1" s="101" t="s">
        <v>86</v>
      </c>
      <c r="AA51" s="105"/>
      <c r="AB51" s="1"/>
      <c r="AC51" s="1"/>
      <c r="AD51" s="4"/>
      <c r="AE51" s="4"/>
      <c r="AF51" s="4"/>
      <c r="AG51" s="4"/>
      <c r="AH51" s="1"/>
      <c r="AI51" s="1"/>
      <c r="AJ51" s="9"/>
      <c r="AK51" s="6"/>
      <c r="AL51" s="6"/>
      <c r="AM51" s="6"/>
      <c r="AN51" s="8"/>
      <c r="AO51" s="8"/>
    </row>
    <row r="52" spans="7:41" ht="14.25" customHeight="1" x14ac:dyDescent="0.2">
      <c r="G52" s="50">
        <v>45775.28125</v>
      </c>
      <c r="H52" s="101" t="s">
        <v>183</v>
      </c>
      <c r="I52" s="101" t="e">
        <f>_xlfn.XLOOKUP(ReportSummary___XYZ[[#This Row],[ID]],Table_Design[ID],Table_Design[Structure Name])</f>
        <v>#N/A</v>
      </c>
      <c r="J52" s="101" t="e">
        <f>_xlfn.XLOOKUP(ReportSummary___XYZ[[#This Row],[ID]],Table_Design[ID],Table_Design[Chainage '[m']])</f>
        <v>#N/A</v>
      </c>
      <c r="K52" s="118">
        <v>51901.989200000004</v>
      </c>
      <c r="L52" s="118">
        <v>159189.60260000001</v>
      </c>
      <c r="M52" s="118">
        <v>18.770099999999999</v>
      </c>
      <c r="N52" s="54">
        <v>51901.989000000001</v>
      </c>
      <c r="O52" s="54">
        <v>159189.60399999999</v>
      </c>
      <c r="P52" s="54">
        <v>18.771000000000001</v>
      </c>
      <c r="Q52" s="35">
        <v>-2.0000000222353265E-4</v>
      </c>
      <c r="R52" s="103" cm="1">
        <f t="array" ref="R5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2" s="35">
        <v>1.3999999791849405E-3</v>
      </c>
      <c r="T52" s="44" cm="1">
        <f t="array" ref="T5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2" s="35">
        <v>9.0000000000145519E-4</v>
      </c>
      <c r="V52" s="44" cm="1">
        <f t="array" ref="V5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2" s="101" t="s">
        <v>86</v>
      </c>
      <c r="AA52" s="105"/>
      <c r="AB52" s="1"/>
      <c r="AC52" s="1"/>
      <c r="AD52" s="4"/>
      <c r="AE52" s="4"/>
      <c r="AF52" s="4"/>
      <c r="AG52" s="4"/>
      <c r="AH52" s="1"/>
      <c r="AI52" s="1"/>
      <c r="AJ52" s="9"/>
      <c r="AK52" s="6"/>
      <c r="AL52" s="6"/>
      <c r="AM52" s="6"/>
      <c r="AN52" s="8"/>
      <c r="AO52" s="8"/>
    </row>
    <row r="53" spans="7:41" ht="14.25" customHeight="1" x14ac:dyDescent="0.2">
      <c r="G53" s="50">
        <v>45775.28125</v>
      </c>
      <c r="H53" s="101" t="s">
        <v>186</v>
      </c>
      <c r="I53" s="101" t="e">
        <f>_xlfn.XLOOKUP(ReportSummary___XYZ[[#This Row],[ID]],Table_Design[ID],Table_Design[Structure Name])</f>
        <v>#N/A</v>
      </c>
      <c r="J53" s="101" t="e">
        <f>_xlfn.XLOOKUP(ReportSummary___XYZ[[#This Row],[ID]],Table_Design[ID],Table_Design[Chainage '[m']])</f>
        <v>#N/A</v>
      </c>
      <c r="K53" s="118">
        <v>51905.196199999998</v>
      </c>
      <c r="L53" s="118">
        <v>159190.09460000001</v>
      </c>
      <c r="M53" s="118">
        <v>18.780899999999999</v>
      </c>
      <c r="N53" s="54">
        <v>51905.196000000004</v>
      </c>
      <c r="O53" s="54">
        <v>159190.09599999999</v>
      </c>
      <c r="P53" s="54">
        <v>18.780999999999999</v>
      </c>
      <c r="Q53" s="35">
        <v>-1.9999999494757503E-4</v>
      </c>
      <c r="R53" s="103" cm="1">
        <f t="array" ref="R5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3" s="35">
        <v>1.3999999791849405E-3</v>
      </c>
      <c r="T53" s="44" cm="1">
        <f t="array" ref="T5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3" s="35">
        <v>9.9999999999766942E-5</v>
      </c>
      <c r="V53" s="44" cm="1">
        <f t="array" ref="V5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3" s="101" t="s">
        <v>86</v>
      </c>
      <c r="AA53" s="105"/>
      <c r="AB53" s="1"/>
      <c r="AC53" s="1"/>
      <c r="AD53" s="4"/>
      <c r="AE53" s="4"/>
      <c r="AF53" s="4"/>
      <c r="AG53" s="4"/>
      <c r="AH53" s="1"/>
      <c r="AI53" s="1"/>
      <c r="AJ53" s="9"/>
      <c r="AK53" s="6"/>
      <c r="AL53" s="6"/>
      <c r="AM53" s="6"/>
      <c r="AN53" s="8"/>
      <c r="AO53" s="8"/>
    </row>
    <row r="54" spans="7:41" ht="14.25" customHeight="1" x14ac:dyDescent="0.2">
      <c r="G54" s="50">
        <v>45775.28125</v>
      </c>
      <c r="H54" s="101" t="s">
        <v>185</v>
      </c>
      <c r="I54" s="101" t="e">
        <f>_xlfn.XLOOKUP(ReportSummary___XYZ[[#This Row],[ID]],Table_Design[ID],Table_Design[Structure Name])</f>
        <v>#N/A</v>
      </c>
      <c r="J54" s="101" t="e">
        <f>_xlfn.XLOOKUP(ReportSummary___XYZ[[#This Row],[ID]],Table_Design[ID],Table_Design[Chainage '[m']])</f>
        <v>#N/A</v>
      </c>
      <c r="K54" s="118">
        <v>51904.885600000001</v>
      </c>
      <c r="L54" s="118">
        <v>159188.8046</v>
      </c>
      <c r="M54" s="118">
        <v>18.773099999999999</v>
      </c>
      <c r="N54" s="54">
        <v>51904.885000000002</v>
      </c>
      <c r="O54" s="54">
        <v>159188.80600000001</v>
      </c>
      <c r="P54" s="54">
        <v>18.774000000000001</v>
      </c>
      <c r="Q54" s="35">
        <v>-5.9999999939464033E-4</v>
      </c>
      <c r="R54" s="103" cm="1">
        <f t="array" ref="R5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4" s="35">
        <v>1.4000000082887709E-3</v>
      </c>
      <c r="T54" s="44" cm="1">
        <f t="array" ref="T5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4" s="35">
        <v>9.0000000000145519E-4</v>
      </c>
      <c r="V54" s="44" cm="1">
        <f t="array" ref="V5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4" s="101" t="s">
        <v>86</v>
      </c>
      <c r="AA54" s="105"/>
      <c r="AB54" s="1"/>
      <c r="AC54" s="1"/>
      <c r="AD54" s="4"/>
      <c r="AE54" s="4"/>
      <c r="AF54" s="4"/>
      <c r="AG54" s="4"/>
      <c r="AH54" s="1"/>
      <c r="AI54" s="1"/>
      <c r="AJ54" s="9"/>
      <c r="AK54" s="6"/>
      <c r="AL54" s="6"/>
      <c r="AM54" s="6"/>
      <c r="AN54" s="8"/>
      <c r="AO54" s="8"/>
    </row>
    <row r="55" spans="7:41" ht="14.25" customHeight="1" x14ac:dyDescent="0.2">
      <c r="G55" s="50">
        <v>45775.28125</v>
      </c>
      <c r="H55" s="101" t="s">
        <v>188</v>
      </c>
      <c r="I55" s="101" t="e">
        <f>_xlfn.XLOOKUP(ReportSummary___XYZ[[#This Row],[ID]],Table_Design[ID],Table_Design[Structure Name])</f>
        <v>#N/A</v>
      </c>
      <c r="J55" s="101" t="e">
        <f>_xlfn.XLOOKUP(ReportSummary___XYZ[[#This Row],[ID]],Table_Design[ID],Table_Design[Chainage '[m']])</f>
        <v>#N/A</v>
      </c>
      <c r="K55" s="118">
        <v>51907.9522</v>
      </c>
      <c r="L55" s="118">
        <v>159189.36230000001</v>
      </c>
      <c r="M55" s="118">
        <v>18.786000000000001</v>
      </c>
      <c r="N55" s="54">
        <v>51907.951999999997</v>
      </c>
      <c r="O55" s="54">
        <v>159189.364</v>
      </c>
      <c r="P55" s="54">
        <v>18.786000000000001</v>
      </c>
      <c r="Q55" s="35">
        <v>-2.0000000222353265E-4</v>
      </c>
      <c r="R55" s="103" cm="1">
        <f t="array" ref="R5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5" s="35">
        <v>1.6999999934341758E-3</v>
      </c>
      <c r="T55" s="44" cm="1">
        <f t="array" ref="T5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5" s="35">
        <v>0</v>
      </c>
      <c r="V55" s="44" cm="1">
        <f t="array" ref="V5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5" s="101" t="s">
        <v>86</v>
      </c>
      <c r="AA55" s="105"/>
      <c r="AB55" s="1"/>
      <c r="AC55" s="1"/>
      <c r="AD55" s="4"/>
      <c r="AE55" s="4"/>
      <c r="AF55" s="4"/>
      <c r="AG55" s="4"/>
      <c r="AH55" s="1"/>
      <c r="AI55" s="1"/>
      <c r="AJ55" s="9"/>
      <c r="AK55" s="6"/>
      <c r="AL55" s="6"/>
      <c r="AM55" s="6"/>
      <c r="AN55" s="8"/>
      <c r="AO55" s="8"/>
    </row>
    <row r="56" spans="7:41" ht="14.25" customHeight="1" x14ac:dyDescent="0.2">
      <c r="G56" s="50">
        <v>45775.28125</v>
      </c>
      <c r="H56" s="101" t="s">
        <v>187</v>
      </c>
      <c r="I56" s="101" t="e">
        <f>_xlfn.XLOOKUP(ReportSummary___XYZ[[#This Row],[ID]],Table_Design[ID],Table_Design[Structure Name])</f>
        <v>#N/A</v>
      </c>
      <c r="J56" s="101" t="e">
        <f>_xlfn.XLOOKUP(ReportSummary___XYZ[[#This Row],[ID]],Table_Design[ID],Table_Design[Chainage '[m']])</f>
        <v>#N/A</v>
      </c>
      <c r="K56" s="118">
        <v>51907.578699999998</v>
      </c>
      <c r="L56" s="118">
        <v>159188.09770000001</v>
      </c>
      <c r="M56" s="118">
        <v>18.776</v>
      </c>
      <c r="N56" s="54">
        <v>51907.578000000001</v>
      </c>
      <c r="O56" s="54">
        <v>159188.1</v>
      </c>
      <c r="P56" s="54">
        <v>18.776</v>
      </c>
      <c r="Q56" s="35">
        <v>-6.9999999686842784E-4</v>
      </c>
      <c r="R56" s="103" cm="1">
        <f t="array" ref="R5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6" s="35">
        <v>2.2999999928288162E-3</v>
      </c>
      <c r="T56" s="44" cm="1">
        <f t="array" ref="T5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6" s="35">
        <v>0</v>
      </c>
      <c r="V56" s="44" cm="1">
        <f t="array" ref="V5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6" s="101" t="s">
        <v>86</v>
      </c>
      <c r="AA56" s="105"/>
      <c r="AB56" s="1"/>
      <c r="AC56" s="1"/>
      <c r="AD56" s="4"/>
      <c r="AE56" s="4"/>
      <c r="AF56" s="4"/>
      <c r="AG56" s="4"/>
      <c r="AH56" s="1"/>
      <c r="AI56" s="1"/>
      <c r="AJ56" s="9"/>
      <c r="AK56" s="6"/>
      <c r="AL56" s="6"/>
      <c r="AM56" s="6"/>
      <c r="AN56" s="8"/>
      <c r="AO56" s="8"/>
    </row>
    <row r="57" spans="7:41" ht="14.25" customHeight="1" x14ac:dyDescent="0.2">
      <c r="G57" s="50">
        <v>45775.28125</v>
      </c>
      <c r="H57" s="101" t="s">
        <v>190</v>
      </c>
      <c r="I57" s="101" t="e">
        <f>_xlfn.XLOOKUP(ReportSummary___XYZ[[#This Row],[ID]],Table_Design[ID],Table_Design[Structure Name])</f>
        <v>#N/A</v>
      </c>
      <c r="J57" s="101" t="e">
        <f>_xlfn.XLOOKUP(ReportSummary___XYZ[[#This Row],[ID]],Table_Design[ID],Table_Design[Chainage '[m']])</f>
        <v>#N/A</v>
      </c>
      <c r="K57" s="118">
        <v>51910.962800000001</v>
      </c>
      <c r="L57" s="118">
        <v>159188.60079999999</v>
      </c>
      <c r="M57" s="118">
        <v>18.794599999999999</v>
      </c>
      <c r="N57" s="54">
        <v>51910.962</v>
      </c>
      <c r="O57" s="54">
        <v>159188.60200000001</v>
      </c>
      <c r="P57" s="54">
        <v>18.795000000000002</v>
      </c>
      <c r="Q57" s="35">
        <v>-8.0000000161817297E-4</v>
      </c>
      <c r="R57" s="103" cm="1">
        <f t="array" ref="R5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7" s="35">
        <v>1.2000000278931111E-3</v>
      </c>
      <c r="T57" s="44" cm="1">
        <f t="array" ref="T5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7" s="35">
        <v>4.0000000000262048E-4</v>
      </c>
      <c r="V57" s="44" cm="1">
        <f t="array" ref="V5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7" s="101" t="s">
        <v>86</v>
      </c>
      <c r="AA57" s="105"/>
      <c r="AB57" s="1"/>
      <c r="AC57" s="1"/>
      <c r="AD57" s="4"/>
      <c r="AE57" s="4"/>
      <c r="AF57" s="4"/>
      <c r="AG57" s="4"/>
      <c r="AH57" s="1"/>
      <c r="AI57" s="1"/>
      <c r="AJ57" s="9"/>
      <c r="AK57" s="6"/>
      <c r="AL57" s="6"/>
      <c r="AM57" s="6"/>
      <c r="AN57" s="8"/>
      <c r="AO57" s="8"/>
    </row>
    <row r="58" spans="7:41" ht="14.25" customHeight="1" x14ac:dyDescent="0.2">
      <c r="G58" s="50">
        <v>45775.28125</v>
      </c>
      <c r="H58" s="101" t="s">
        <v>189</v>
      </c>
      <c r="I58" s="101" t="e">
        <f>_xlfn.XLOOKUP(ReportSummary___XYZ[[#This Row],[ID]],Table_Design[ID],Table_Design[Structure Name])</f>
        <v>#N/A</v>
      </c>
      <c r="J58" s="101" t="e">
        <f>_xlfn.XLOOKUP(ReportSummary___XYZ[[#This Row],[ID]],Table_Design[ID],Table_Design[Chainage '[m']])</f>
        <v>#N/A</v>
      </c>
      <c r="K58" s="118">
        <v>51910.640099999997</v>
      </c>
      <c r="L58" s="118">
        <v>159187.3223</v>
      </c>
      <c r="M58" s="118">
        <v>18.7836</v>
      </c>
      <c r="N58" s="54">
        <v>51910.639000000003</v>
      </c>
      <c r="O58" s="54">
        <v>159187.32399999999</v>
      </c>
      <c r="P58" s="54">
        <v>18.783999999999999</v>
      </c>
      <c r="Q58" s="35">
        <v>-1.0999999940395355E-3</v>
      </c>
      <c r="R58" s="103" cm="1">
        <f t="array" ref="R5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8" s="35">
        <v>1.6999999934341758E-3</v>
      </c>
      <c r="T58" s="44" cm="1">
        <f t="array" ref="T5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8" s="35">
        <v>3.9999999999906777E-4</v>
      </c>
      <c r="V58" s="44" cm="1">
        <f t="array" ref="V5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8" s="101" t="s">
        <v>86</v>
      </c>
      <c r="AA58" s="105"/>
      <c r="AB58" s="1"/>
      <c r="AC58" s="1"/>
      <c r="AD58" s="4"/>
      <c r="AE58" s="4"/>
      <c r="AF58" s="4"/>
      <c r="AG58" s="4"/>
      <c r="AH58" s="1"/>
      <c r="AI58" s="1"/>
      <c r="AJ58" s="9"/>
      <c r="AK58" s="6"/>
      <c r="AL58" s="6"/>
      <c r="AM58" s="6"/>
      <c r="AN58" s="8"/>
      <c r="AO58" s="8"/>
    </row>
    <row r="59" spans="7:41" ht="14.25" customHeight="1" x14ac:dyDescent="0.2">
      <c r="G59" s="50">
        <v>45775.28125</v>
      </c>
      <c r="H59" s="101" t="s">
        <v>192</v>
      </c>
      <c r="I59" s="101" t="e">
        <f>_xlfn.XLOOKUP(ReportSummary___XYZ[[#This Row],[ID]],Table_Design[ID],Table_Design[Structure Name])</f>
        <v>#N/A</v>
      </c>
      <c r="J59" s="101" t="e">
        <f>_xlfn.XLOOKUP(ReportSummary___XYZ[[#This Row],[ID]],Table_Design[ID],Table_Design[Chainage '[m']])</f>
        <v>#N/A</v>
      </c>
      <c r="K59" s="118">
        <v>51913.751100000001</v>
      </c>
      <c r="L59" s="118">
        <v>159187.9178</v>
      </c>
      <c r="M59" s="118">
        <v>18.809000000000001</v>
      </c>
      <c r="N59" s="54">
        <v>51913.75</v>
      </c>
      <c r="O59" s="54">
        <v>159187.91899999999</v>
      </c>
      <c r="P59" s="54">
        <v>18.809000000000001</v>
      </c>
      <c r="Q59" s="35">
        <v>-1.1000000013154931E-3</v>
      </c>
      <c r="R59" s="103" cm="1">
        <f t="array" ref="R5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59" s="35">
        <v>1.1999999987892807E-3</v>
      </c>
      <c r="T59" s="44" cm="1">
        <f t="array" ref="T5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59" s="35">
        <v>0</v>
      </c>
      <c r="V59" s="44" cm="1">
        <f t="array" ref="V5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5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5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5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59" s="101" t="s">
        <v>86</v>
      </c>
      <c r="AA59" s="105"/>
      <c r="AB59" s="1"/>
      <c r="AC59" s="1"/>
      <c r="AD59" s="4"/>
      <c r="AE59" s="4"/>
      <c r="AF59" s="4"/>
      <c r="AG59" s="4"/>
      <c r="AH59" s="1"/>
      <c r="AI59" s="1"/>
      <c r="AJ59" s="1"/>
      <c r="AK59" s="1"/>
      <c r="AL59" s="1"/>
      <c r="AM59" s="1"/>
    </row>
    <row r="60" spans="7:41" ht="14.25" customHeight="1" x14ac:dyDescent="0.2">
      <c r="G60" s="50">
        <v>45775.28125</v>
      </c>
      <c r="H60" s="101" t="s">
        <v>191</v>
      </c>
      <c r="I60" s="101" t="e">
        <f>_xlfn.XLOOKUP(ReportSummary___XYZ[[#This Row],[ID]],Table_Design[ID],Table_Design[Structure Name])</f>
        <v>#N/A</v>
      </c>
      <c r="J60" s="101" t="e">
        <f>_xlfn.XLOOKUP(ReportSummary___XYZ[[#This Row],[ID]],Table_Design[ID],Table_Design[Chainage '[m']])</f>
        <v>#N/A</v>
      </c>
      <c r="K60" s="118">
        <v>51913.421499999997</v>
      </c>
      <c r="L60" s="118">
        <v>159186.63630000001</v>
      </c>
      <c r="M60" s="118">
        <v>18.794899999999998</v>
      </c>
      <c r="N60" s="54">
        <v>51913.421000000002</v>
      </c>
      <c r="O60" s="54">
        <v>159186.63800000001</v>
      </c>
      <c r="P60" s="54">
        <v>18.795000000000002</v>
      </c>
      <c r="Q60" s="35">
        <v>-4.999999946448952E-4</v>
      </c>
      <c r="R60" s="103" cm="1">
        <f t="array" ref="R6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0" s="35">
        <v>1.6999999934341758E-3</v>
      </c>
      <c r="T60" s="44" cm="1">
        <f t="array" ref="T6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0" s="35">
        <v>1.0000000000331966E-4</v>
      </c>
      <c r="V60" s="44" cm="1">
        <f t="array" ref="V6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0" s="101" t="s">
        <v>86</v>
      </c>
      <c r="AA60" s="105"/>
      <c r="AB60" s="1"/>
      <c r="AC60" s="1"/>
      <c r="AD60" s="4"/>
      <c r="AE60" s="4"/>
      <c r="AF60" s="4"/>
      <c r="AG60" s="4"/>
      <c r="AH60" s="1"/>
      <c r="AI60" s="1"/>
      <c r="AJ60" s="1"/>
      <c r="AK60" s="1"/>
      <c r="AL60" s="1"/>
      <c r="AM60" s="1"/>
    </row>
    <row r="61" spans="7:41" ht="14.25" customHeight="1" x14ac:dyDescent="0.2">
      <c r="G61" s="50">
        <v>45775.28125</v>
      </c>
      <c r="H61" s="101" t="s">
        <v>165</v>
      </c>
      <c r="I61" s="101" t="e">
        <f>_xlfn.XLOOKUP(ReportSummary___XYZ[[#This Row],[ID]],Table_Design[ID],Table_Design[Structure Name])</f>
        <v>#N/A</v>
      </c>
      <c r="J61" s="101" t="e">
        <f>_xlfn.XLOOKUP(ReportSummary___XYZ[[#This Row],[ID]],Table_Design[ID],Table_Design[Chainage '[m']])</f>
        <v>#N/A</v>
      </c>
      <c r="K61" s="118">
        <v>51884.538999999997</v>
      </c>
      <c r="L61" s="118">
        <v>159193.38269999999</v>
      </c>
      <c r="M61" s="118">
        <v>19.331700000000001</v>
      </c>
      <c r="N61" s="54">
        <v>51884.538999999997</v>
      </c>
      <c r="O61" s="54">
        <v>159193.383</v>
      </c>
      <c r="P61" s="54">
        <v>19.332000000000001</v>
      </c>
      <c r="Q61" s="35">
        <v>0</v>
      </c>
      <c r="R61" s="103" cm="1">
        <f t="array" ref="R6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1" s="35">
        <v>3.0000001424923539E-4</v>
      </c>
      <c r="T61" s="44" cm="1">
        <f t="array" ref="T6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1" s="35">
        <v>2.9999999999930083E-4</v>
      </c>
      <c r="V61" s="44" cm="1">
        <f t="array" ref="V6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1" s="101" t="s">
        <v>86</v>
      </c>
      <c r="AA61" s="105"/>
      <c r="AB61" s="1"/>
      <c r="AC61" s="1"/>
      <c r="AD61" s="1"/>
      <c r="AE61" s="1"/>
      <c r="AF61" s="1"/>
      <c r="AG61" s="4"/>
      <c r="AH61" s="4"/>
      <c r="AI61" s="4"/>
      <c r="AJ61" s="4"/>
      <c r="AK61" s="1"/>
      <c r="AL61" s="1"/>
      <c r="AM61" s="1"/>
    </row>
    <row r="62" spans="7:41" ht="14.25" customHeight="1" x14ac:dyDescent="0.2">
      <c r="G62" s="50">
        <v>45775.28125</v>
      </c>
      <c r="H62" s="101" t="s">
        <v>166</v>
      </c>
      <c r="I62" s="101" t="e">
        <f>_xlfn.XLOOKUP(ReportSummary___XYZ[[#This Row],[ID]],Table_Design[ID],Table_Design[Structure Name])</f>
        <v>#N/A</v>
      </c>
      <c r="J62" s="101" t="e">
        <f>_xlfn.XLOOKUP(ReportSummary___XYZ[[#This Row],[ID]],Table_Design[ID],Table_Design[Chainage '[m']])</f>
        <v>#N/A</v>
      </c>
      <c r="K62" s="118">
        <v>51890.2863</v>
      </c>
      <c r="L62" s="118">
        <v>159191.73069999999</v>
      </c>
      <c r="M62" s="118">
        <v>19.321999999999999</v>
      </c>
      <c r="N62" s="54">
        <v>51890.286999999997</v>
      </c>
      <c r="O62" s="54">
        <v>159191.731</v>
      </c>
      <c r="P62" s="54">
        <v>19.321999999999999</v>
      </c>
      <c r="Q62" s="35">
        <v>6.9999999686842784E-4</v>
      </c>
      <c r="R62" s="103" cm="1">
        <f t="array" ref="R6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2" s="35">
        <v>3.0000001424923539E-4</v>
      </c>
      <c r="T62" s="44" cm="1">
        <f t="array" ref="T6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2" s="35">
        <v>0</v>
      </c>
      <c r="V62" s="44" cm="1">
        <f t="array" ref="V6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2" s="101" t="s">
        <v>86</v>
      </c>
      <c r="AA62" s="105"/>
      <c r="AB62" s="1"/>
      <c r="AC62" s="1"/>
      <c r="AD62" s="1"/>
      <c r="AE62" s="1"/>
      <c r="AF62" s="1"/>
      <c r="AG62" s="4"/>
      <c r="AH62" s="4"/>
      <c r="AI62" s="4"/>
      <c r="AJ62" s="4"/>
      <c r="AK62" s="1"/>
      <c r="AL62" s="1"/>
      <c r="AM62" s="1"/>
    </row>
    <row r="63" spans="7:41" ht="14.25" customHeight="1" x14ac:dyDescent="0.2">
      <c r="G63" s="50">
        <v>45775.28125</v>
      </c>
      <c r="H63" s="101" t="s">
        <v>167</v>
      </c>
      <c r="I63" s="101" t="e">
        <f>_xlfn.XLOOKUP(ReportSummary___XYZ[[#This Row],[ID]],Table_Design[ID],Table_Design[Structure Name])</f>
        <v>#N/A</v>
      </c>
      <c r="J63" s="101" t="e">
        <f>_xlfn.XLOOKUP(ReportSummary___XYZ[[#This Row],[ID]],Table_Design[ID],Table_Design[Chainage '[m']])</f>
        <v>#N/A</v>
      </c>
      <c r="K63" s="118">
        <v>51895.920700000002</v>
      </c>
      <c r="L63" s="118">
        <v>159190.1</v>
      </c>
      <c r="M63" s="118">
        <v>19.334</v>
      </c>
      <c r="N63" s="54">
        <v>51895.921000000002</v>
      </c>
      <c r="O63" s="54">
        <v>159190.1</v>
      </c>
      <c r="P63" s="54">
        <v>19.335000000000001</v>
      </c>
      <c r="Q63" s="35">
        <v>2.9999999969732016E-4</v>
      </c>
      <c r="R63" s="103" cm="1">
        <f t="array" ref="R6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3" s="35">
        <v>0</v>
      </c>
      <c r="T63" s="44" cm="1">
        <f t="array" ref="T6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3" s="35">
        <v>1.0000000000012221E-3</v>
      </c>
      <c r="V63" s="44" cm="1">
        <f t="array" ref="V6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3" s="101" t="s">
        <v>86</v>
      </c>
      <c r="AA63" s="105"/>
      <c r="AB63" s="1"/>
      <c r="AC63" s="1"/>
      <c r="AD63" s="1"/>
      <c r="AE63" s="1"/>
      <c r="AF63" s="1"/>
      <c r="AG63" s="4"/>
      <c r="AH63" s="4"/>
      <c r="AI63" s="4"/>
      <c r="AJ63" s="4"/>
      <c r="AK63" s="1"/>
      <c r="AL63" s="1"/>
      <c r="AM63" s="1"/>
    </row>
    <row r="64" spans="7:41" ht="14.25" customHeight="1" x14ac:dyDescent="0.2">
      <c r="G64" s="50">
        <v>45775.28125</v>
      </c>
      <c r="H64" s="101" t="s">
        <v>168</v>
      </c>
      <c r="I64" s="101" t="e">
        <f>_xlfn.XLOOKUP(ReportSummary___XYZ[[#This Row],[ID]],Table_Design[ID],Table_Design[Structure Name])</f>
        <v>#N/A</v>
      </c>
      <c r="J64" s="101" t="e">
        <f>_xlfn.XLOOKUP(ReportSummary___XYZ[[#This Row],[ID]],Table_Design[ID],Table_Design[Chainage '[m']])</f>
        <v>#N/A</v>
      </c>
      <c r="K64" s="118">
        <v>51899.7667</v>
      </c>
      <c r="L64" s="118">
        <v>159188.9933</v>
      </c>
      <c r="M64" s="118">
        <v>19.344999999999999</v>
      </c>
      <c r="N64" s="54">
        <v>51899.767999999996</v>
      </c>
      <c r="O64" s="54">
        <v>159188.99400000001</v>
      </c>
      <c r="P64" s="54">
        <v>19.346</v>
      </c>
      <c r="Q64" s="35">
        <v>1.2999999962630682E-3</v>
      </c>
      <c r="R64" s="103" cm="1">
        <f t="array" ref="R6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4" s="35">
        <v>7.0000000414438546E-4</v>
      </c>
      <c r="T64" s="44" cm="1">
        <f t="array" ref="T6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4" s="35">
        <v>1.0000000000012221E-3</v>
      </c>
      <c r="V64" s="44" cm="1">
        <f t="array" ref="V6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4" s="101" t="s">
        <v>86</v>
      </c>
      <c r="AA64" s="105"/>
      <c r="AB64" s="1"/>
      <c r="AC64" s="1"/>
      <c r="AD64" s="1"/>
      <c r="AE64" s="1"/>
      <c r="AF64" s="1"/>
      <c r="AG64" s="4"/>
      <c r="AH64" s="4"/>
      <c r="AI64" s="4"/>
      <c r="AJ64" s="4"/>
      <c r="AK64" s="1"/>
      <c r="AL64" s="1"/>
      <c r="AM64" s="1"/>
    </row>
    <row r="65" spans="7:39" ht="14.25" customHeight="1" x14ac:dyDescent="0.2">
      <c r="G65" s="50">
        <v>45775.28125</v>
      </c>
      <c r="H65" s="101" t="s">
        <v>169</v>
      </c>
      <c r="I65" s="101" t="e">
        <f>_xlfn.XLOOKUP(ReportSummary___XYZ[[#This Row],[ID]],Table_Design[ID],Table_Design[Structure Name])</f>
        <v>#N/A</v>
      </c>
      <c r="J65" s="101" t="e">
        <f>_xlfn.XLOOKUP(ReportSummary___XYZ[[#This Row],[ID]],Table_Design[ID],Table_Design[Chainage '[m']])</f>
        <v>#N/A</v>
      </c>
      <c r="K65" s="118">
        <v>51903.6083</v>
      </c>
      <c r="L65" s="118">
        <v>159187.88200000001</v>
      </c>
      <c r="M65" s="118">
        <v>19.356999999999999</v>
      </c>
      <c r="N65" s="54">
        <v>51903.608999999997</v>
      </c>
      <c r="O65" s="54">
        <v>159187.88200000001</v>
      </c>
      <c r="P65" s="54">
        <v>19.356999999999999</v>
      </c>
      <c r="Q65" s="35">
        <v>6.9999999686842784E-4</v>
      </c>
      <c r="R65" s="103" cm="1">
        <f t="array" ref="R6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5" s="35">
        <v>0</v>
      </c>
      <c r="T65" s="44" cm="1">
        <f t="array" ref="T6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5" s="35">
        <v>0</v>
      </c>
      <c r="V65" s="44" cm="1">
        <f t="array" ref="V6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5" s="101" t="s">
        <v>86</v>
      </c>
      <c r="AA65" s="105"/>
      <c r="AB65" s="1"/>
      <c r="AC65" s="1"/>
      <c r="AD65" s="1"/>
      <c r="AE65" s="1"/>
      <c r="AF65" s="1"/>
      <c r="AG65" s="4"/>
      <c r="AH65" s="4"/>
      <c r="AI65" s="4"/>
      <c r="AJ65" s="4"/>
      <c r="AK65" s="1"/>
      <c r="AL65" s="1"/>
      <c r="AM65" s="1"/>
    </row>
    <row r="66" spans="7:39" ht="14.25" customHeight="1" x14ac:dyDescent="0.2">
      <c r="G66" s="50">
        <v>45775.28125</v>
      </c>
      <c r="H66" s="101" t="s">
        <v>170</v>
      </c>
      <c r="I66" s="101" t="e">
        <f>_xlfn.XLOOKUP(ReportSummary___XYZ[[#This Row],[ID]],Table_Design[ID],Table_Design[Structure Name])</f>
        <v>#N/A</v>
      </c>
      <c r="J66" s="101" t="e">
        <f>_xlfn.XLOOKUP(ReportSummary___XYZ[[#This Row],[ID]],Table_Design[ID],Table_Design[Chainage '[m']])</f>
        <v>#N/A</v>
      </c>
      <c r="K66" s="118">
        <v>51910.065000000002</v>
      </c>
      <c r="L66" s="118">
        <v>159186.02369999999</v>
      </c>
      <c r="M66" s="118">
        <v>19.356999999999999</v>
      </c>
      <c r="N66" s="54">
        <v>51910.065000000002</v>
      </c>
      <c r="O66" s="54">
        <v>159186.024</v>
      </c>
      <c r="P66" s="54">
        <v>19.356999999999999</v>
      </c>
      <c r="Q66" s="35">
        <v>0</v>
      </c>
      <c r="R66" s="103" cm="1">
        <f t="array" ref="R6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6" s="35">
        <v>3.0000001424923539E-4</v>
      </c>
      <c r="T66" s="44" cm="1">
        <f t="array" ref="T6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6" s="35">
        <v>0</v>
      </c>
      <c r="V66" s="44" cm="1">
        <f t="array" ref="V6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6" s="101" t="s">
        <v>86</v>
      </c>
      <c r="AA66" s="105"/>
      <c r="AB66" s="1"/>
      <c r="AC66" s="1"/>
      <c r="AD66" s="1"/>
      <c r="AE66" s="1"/>
      <c r="AF66" s="1"/>
      <c r="AG66" s="4"/>
      <c r="AH66" s="4"/>
      <c r="AI66" s="4"/>
      <c r="AJ66" s="4"/>
      <c r="AK66" s="1"/>
      <c r="AL66" s="1"/>
      <c r="AM66" s="1"/>
    </row>
    <row r="67" spans="7:39" ht="14.25" customHeight="1" x14ac:dyDescent="0.2">
      <c r="G67" s="50">
        <v>45750.28125</v>
      </c>
      <c r="H67" s="101" t="s">
        <v>172</v>
      </c>
      <c r="I67" s="101" t="e">
        <f>_xlfn.XLOOKUP(ReportSummary___XYZ[[#This Row],[ID]],Table_Design[ID],Table_Design[Structure Name])</f>
        <v>#N/A</v>
      </c>
      <c r="J67" s="101" t="e">
        <f>_xlfn.XLOOKUP(ReportSummary___XYZ[[#This Row],[ID]],Table_Design[ID],Table_Design[Chainage '[m']])</f>
        <v>#N/A</v>
      </c>
      <c r="K67" s="118">
        <v>51885.34</v>
      </c>
      <c r="L67" s="118">
        <v>159195.739</v>
      </c>
      <c r="M67" s="118">
        <v>18.782</v>
      </c>
      <c r="N67" s="54">
        <v>51885.339</v>
      </c>
      <c r="O67" s="54">
        <v>159195.73800000001</v>
      </c>
      <c r="P67" s="54">
        <v>18.782</v>
      </c>
      <c r="Q67" s="35">
        <v>-9.9999999656574801E-4</v>
      </c>
      <c r="R67" s="103" cm="1">
        <f t="array" ref="R6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7" s="35">
        <v>-9.9999998928979039E-4</v>
      </c>
      <c r="T67" s="44" cm="1">
        <f t="array" ref="T6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7" s="35">
        <v>0</v>
      </c>
      <c r="V67" s="44" cm="1">
        <f t="array" ref="V6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7" s="101" t="s">
        <v>85</v>
      </c>
      <c r="AA67" s="105"/>
      <c r="AB67" s="1"/>
      <c r="AC67" s="1"/>
      <c r="AD67" s="1"/>
      <c r="AE67" s="1"/>
      <c r="AF67" s="1"/>
      <c r="AG67" s="4"/>
      <c r="AH67" s="4"/>
      <c r="AI67" s="4"/>
      <c r="AJ67" s="4"/>
      <c r="AK67" s="1"/>
      <c r="AL67" s="1"/>
      <c r="AM67" s="1"/>
    </row>
    <row r="68" spans="7:39" ht="14.25" customHeight="1" x14ac:dyDescent="0.2">
      <c r="G68" s="50">
        <v>45750.28125</v>
      </c>
      <c r="H68" s="101" t="s">
        <v>171</v>
      </c>
      <c r="I68" s="101" t="e">
        <f>_xlfn.XLOOKUP(ReportSummary___XYZ[[#This Row],[ID]],Table_Design[ID],Table_Design[Structure Name])</f>
        <v>#N/A</v>
      </c>
      <c r="J68" s="101" t="e">
        <f>_xlfn.XLOOKUP(ReportSummary___XYZ[[#This Row],[ID]],Table_Design[ID],Table_Design[Chainage '[m']])</f>
        <v>#N/A</v>
      </c>
      <c r="K68" s="118">
        <v>51884.958899999998</v>
      </c>
      <c r="L68" s="118">
        <v>159194.47070000001</v>
      </c>
      <c r="M68" s="118">
        <v>18.778099999999998</v>
      </c>
      <c r="N68" s="54">
        <v>51884.959000000003</v>
      </c>
      <c r="O68" s="54">
        <v>159194.47099999999</v>
      </c>
      <c r="P68" s="54">
        <v>18.779</v>
      </c>
      <c r="Q68" s="35">
        <v>1.0000000474974513E-4</v>
      </c>
      <c r="R68" s="103" cm="1">
        <f t="array" ref="R6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8" s="35">
        <v>2.9999998514540493E-4</v>
      </c>
      <c r="T68" s="44" cm="1">
        <f t="array" ref="T6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8" s="35">
        <v>9.0000000000145519E-4</v>
      </c>
      <c r="V68" s="44" cm="1">
        <f t="array" ref="V6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8" s="101" t="s">
        <v>85</v>
      </c>
      <c r="AA68" s="105"/>
      <c r="AB68" s="1"/>
      <c r="AC68" s="1"/>
      <c r="AD68" s="1"/>
      <c r="AE68" s="1"/>
      <c r="AF68" s="1"/>
      <c r="AG68" s="4"/>
      <c r="AH68" s="4"/>
      <c r="AI68" s="4"/>
      <c r="AJ68" s="4"/>
      <c r="AK68" s="1"/>
      <c r="AL68" s="1"/>
      <c r="AM68" s="1"/>
    </row>
    <row r="69" spans="7:39" ht="14.25" customHeight="1" x14ac:dyDescent="0.2">
      <c r="G69" s="50">
        <v>45750.28125</v>
      </c>
      <c r="H69" s="101" t="s">
        <v>174</v>
      </c>
      <c r="I69" s="101" t="e">
        <f>_xlfn.XLOOKUP(ReportSummary___XYZ[[#This Row],[ID]],Table_Design[ID],Table_Design[Structure Name])</f>
        <v>#N/A</v>
      </c>
      <c r="J69" s="101" t="e">
        <f>_xlfn.XLOOKUP(ReportSummary___XYZ[[#This Row],[ID]],Table_Design[ID],Table_Design[Chainage '[m']])</f>
        <v>#N/A</v>
      </c>
      <c r="K69" s="118">
        <v>51888.117700000003</v>
      </c>
      <c r="L69" s="118">
        <v>159194.94529999999</v>
      </c>
      <c r="M69" s="118">
        <v>18.7788</v>
      </c>
      <c r="N69" s="54">
        <v>51888.116999999998</v>
      </c>
      <c r="O69" s="54">
        <v>159194.94500000001</v>
      </c>
      <c r="P69" s="54">
        <v>18.779</v>
      </c>
      <c r="Q69" s="35">
        <v>-7.0000000414438546E-4</v>
      </c>
      <c r="R69" s="103" cm="1">
        <f t="array" ref="R6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69" s="35">
        <v>-2.9999998514540493E-4</v>
      </c>
      <c r="T69" s="44" cm="1">
        <f t="array" ref="T6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69" s="35">
        <v>1.9999999999953388E-4</v>
      </c>
      <c r="V69" s="44" cm="1">
        <f t="array" ref="V6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6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6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6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69" s="101" t="s">
        <v>85</v>
      </c>
      <c r="AA69" s="105"/>
      <c r="AB69" s="1"/>
      <c r="AC69" s="1"/>
      <c r="AD69" s="1"/>
      <c r="AE69" s="1"/>
      <c r="AF69" s="1"/>
      <c r="AG69" s="4"/>
      <c r="AH69" s="4"/>
      <c r="AI69" s="4"/>
      <c r="AJ69" s="4"/>
      <c r="AK69" s="1"/>
      <c r="AL69" s="1"/>
      <c r="AM69" s="1"/>
    </row>
    <row r="70" spans="7:39" ht="14.25" customHeight="1" x14ac:dyDescent="0.2">
      <c r="G70" s="50">
        <v>45750.28125</v>
      </c>
      <c r="H70" s="101" t="s">
        <v>173</v>
      </c>
      <c r="I70" s="101" t="e">
        <f>_xlfn.XLOOKUP(ReportSummary___XYZ[[#This Row],[ID]],Table_Design[ID],Table_Design[Structure Name])</f>
        <v>#N/A</v>
      </c>
      <c r="J70" s="101" t="e">
        <f>_xlfn.XLOOKUP(ReportSummary___XYZ[[#This Row],[ID]],Table_Design[ID],Table_Design[Chainage '[m']])</f>
        <v>#N/A</v>
      </c>
      <c r="K70" s="118">
        <v>51887.805099999998</v>
      </c>
      <c r="L70" s="118">
        <v>159193.65710000001</v>
      </c>
      <c r="M70" s="118">
        <v>18.778500000000001</v>
      </c>
      <c r="N70" s="54">
        <v>51887.803999999996</v>
      </c>
      <c r="O70" s="54">
        <v>159193.65700000001</v>
      </c>
      <c r="P70" s="54">
        <v>18.779</v>
      </c>
      <c r="Q70" s="35">
        <v>-1.1000000013154931E-3</v>
      </c>
      <c r="R70" s="103" cm="1">
        <f t="array" ref="R7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0" s="35">
        <v>-1.0000000474974513E-4</v>
      </c>
      <c r="T70" s="44" cm="1">
        <f t="array" ref="T7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0" s="35">
        <v>4.9999999999883471E-4</v>
      </c>
      <c r="V70" s="44" cm="1">
        <f t="array" ref="V7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0" s="101" t="s">
        <v>85</v>
      </c>
      <c r="AA70" s="105"/>
      <c r="AB70" s="1"/>
      <c r="AC70" s="1"/>
      <c r="AD70" s="1"/>
      <c r="AE70" s="1"/>
      <c r="AF70" s="1"/>
      <c r="AG70" s="4"/>
      <c r="AH70" s="4"/>
      <c r="AI70" s="4"/>
      <c r="AJ70" s="4"/>
      <c r="AK70" s="1"/>
      <c r="AL70" s="1"/>
      <c r="AM70" s="1"/>
    </row>
    <row r="71" spans="7:39" ht="14.25" customHeight="1" x14ac:dyDescent="0.2">
      <c r="G71" s="50">
        <v>45750.28125</v>
      </c>
      <c r="H71" s="101" t="s">
        <v>176</v>
      </c>
      <c r="I71" s="101" t="e">
        <f>_xlfn.XLOOKUP(ReportSummary___XYZ[[#This Row],[ID]],Table_Design[ID],Table_Design[Structure Name])</f>
        <v>#N/A</v>
      </c>
      <c r="J71" s="101" t="e">
        <f>_xlfn.XLOOKUP(ReportSummary___XYZ[[#This Row],[ID]],Table_Design[ID],Table_Design[Chainage '[m']])</f>
        <v>#N/A</v>
      </c>
      <c r="K71" s="118">
        <v>51890.969100000002</v>
      </c>
      <c r="L71" s="118">
        <v>159194.1177</v>
      </c>
      <c r="M71" s="118">
        <v>18.779</v>
      </c>
      <c r="N71" s="54">
        <v>51890.968000000001</v>
      </c>
      <c r="O71" s="54">
        <v>159194.117</v>
      </c>
      <c r="P71" s="54">
        <v>18.779</v>
      </c>
      <c r="Q71" s="35">
        <v>-1.1000000013154931E-3</v>
      </c>
      <c r="R71" s="103" cm="1">
        <f t="array" ref="R7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1" s="35">
        <v>-7.0000000414438546E-4</v>
      </c>
      <c r="T71" s="44" cm="1">
        <f t="array" ref="T7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1" s="35">
        <v>0</v>
      </c>
      <c r="V71" s="44" cm="1">
        <f t="array" ref="V7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1" s="101" t="s">
        <v>85</v>
      </c>
      <c r="AA71" s="105"/>
      <c r="AB71" s="1"/>
      <c r="AC71" s="1"/>
      <c r="AD71" s="1"/>
      <c r="AE71" s="1"/>
      <c r="AF71" s="1"/>
      <c r="AG71" s="4"/>
      <c r="AH71" s="4"/>
      <c r="AI71" s="4"/>
      <c r="AJ71" s="4"/>
      <c r="AK71" s="1"/>
      <c r="AL71" s="1"/>
      <c r="AM71" s="1"/>
    </row>
    <row r="72" spans="7:39" ht="14.25" customHeight="1" x14ac:dyDescent="0.2">
      <c r="G72" s="50">
        <v>45750.28125</v>
      </c>
      <c r="H72" s="101" t="s">
        <v>175</v>
      </c>
      <c r="I72" s="101" t="e">
        <f>_xlfn.XLOOKUP(ReportSummary___XYZ[[#This Row],[ID]],Table_Design[ID],Table_Design[Structure Name])</f>
        <v>#N/A</v>
      </c>
      <c r="J72" s="101" t="e">
        <f>_xlfn.XLOOKUP(ReportSummary___XYZ[[#This Row],[ID]],Table_Design[ID],Table_Design[Chainage '[m']])</f>
        <v>#N/A</v>
      </c>
      <c r="K72" s="118">
        <v>51890.606800000001</v>
      </c>
      <c r="L72" s="118">
        <v>159192.86069999999</v>
      </c>
      <c r="M72" s="118">
        <v>18.771999999999998</v>
      </c>
      <c r="N72" s="54">
        <v>51890.606</v>
      </c>
      <c r="O72" s="54">
        <v>159192.861</v>
      </c>
      <c r="P72" s="54">
        <v>18.771999999999998</v>
      </c>
      <c r="Q72" s="35">
        <v>-8.0000000161817297E-4</v>
      </c>
      <c r="R72" s="103" cm="1">
        <f t="array" ref="R7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2" s="35">
        <v>3.0000001424923539E-4</v>
      </c>
      <c r="T72" s="44" cm="1">
        <f t="array" ref="T7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2" s="35">
        <v>0</v>
      </c>
      <c r="V72" s="44" cm="1">
        <f t="array" ref="V7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2" s="101" t="s">
        <v>85</v>
      </c>
      <c r="AA72" s="105"/>
      <c r="AB72" s="1"/>
      <c r="AC72" s="1"/>
      <c r="AD72" s="1"/>
      <c r="AE72" s="1"/>
      <c r="AF72" s="1"/>
      <c r="AG72" s="4"/>
      <c r="AH72" s="4"/>
      <c r="AI72" s="4"/>
      <c r="AJ72" s="4"/>
      <c r="AK72" s="1"/>
      <c r="AL72" s="1"/>
      <c r="AM72" s="1"/>
    </row>
    <row r="73" spans="7:39" ht="14.25" customHeight="1" x14ac:dyDescent="0.2">
      <c r="G73" s="50">
        <v>45750.28125</v>
      </c>
      <c r="H73" s="101" t="s">
        <v>178</v>
      </c>
      <c r="I73" s="101" t="e">
        <f>_xlfn.XLOOKUP(ReportSummary___XYZ[[#This Row],[ID]],Table_Design[ID],Table_Design[Structure Name])</f>
        <v>#N/A</v>
      </c>
      <c r="J73" s="101" t="e">
        <f>_xlfn.XLOOKUP(ReportSummary___XYZ[[#This Row],[ID]],Table_Design[ID],Table_Design[Chainage '[m']])</f>
        <v>#N/A</v>
      </c>
      <c r="K73" s="118">
        <v>51893.758699999998</v>
      </c>
      <c r="L73" s="118">
        <v>159193.3144</v>
      </c>
      <c r="M73" s="118">
        <v>18.774100000000001</v>
      </c>
      <c r="N73" s="54">
        <v>51893.758000000002</v>
      </c>
      <c r="O73" s="54">
        <v>159193.31400000001</v>
      </c>
      <c r="P73" s="54">
        <v>18.774000000000001</v>
      </c>
      <c r="Q73" s="35">
        <v>-6.9999999686842784E-4</v>
      </c>
      <c r="R73" s="103" cm="1">
        <f t="array" ref="R7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3" s="35">
        <v>-3.9999998989515007E-4</v>
      </c>
      <c r="T73" s="44" cm="1">
        <f t="array" ref="T7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3" s="35">
        <v>-9.9999999999766942E-5</v>
      </c>
      <c r="V73" s="44" cm="1">
        <f t="array" ref="V7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3" s="101" t="s">
        <v>85</v>
      </c>
      <c r="AA73" s="105"/>
      <c r="AB73" s="1"/>
      <c r="AC73" s="1"/>
      <c r="AD73" s="1"/>
      <c r="AE73" s="1"/>
      <c r="AF73" s="1"/>
      <c r="AG73" s="4"/>
      <c r="AH73" s="4"/>
      <c r="AI73" s="4"/>
      <c r="AJ73" s="4"/>
      <c r="AK73" s="1"/>
      <c r="AL73" s="1"/>
      <c r="AM73" s="1"/>
    </row>
    <row r="74" spans="7:39" ht="14.25" customHeight="1" x14ac:dyDescent="0.2">
      <c r="G74" s="50">
        <v>45750.28125</v>
      </c>
      <c r="H74" s="101" t="s">
        <v>177</v>
      </c>
      <c r="I74" s="101" t="e">
        <f>_xlfn.XLOOKUP(ReportSummary___XYZ[[#This Row],[ID]],Table_Design[ID],Table_Design[Structure Name])</f>
        <v>#N/A</v>
      </c>
      <c r="J74" s="101" t="e">
        <f>_xlfn.XLOOKUP(ReportSummary___XYZ[[#This Row],[ID]],Table_Design[ID],Table_Design[Chainage '[m']])</f>
        <v>#N/A</v>
      </c>
      <c r="K74" s="118">
        <v>51893.441299999999</v>
      </c>
      <c r="L74" s="118">
        <v>159192.04019999999</v>
      </c>
      <c r="M74" s="118">
        <v>18.7683</v>
      </c>
      <c r="N74" s="54">
        <v>51893.440999999999</v>
      </c>
      <c r="O74" s="54">
        <v>159192.04</v>
      </c>
      <c r="P74" s="54">
        <v>18.768999999999998</v>
      </c>
      <c r="Q74" s="35">
        <v>-2.9999999969732016E-4</v>
      </c>
      <c r="R74" s="103" cm="1">
        <f t="array" ref="R7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4" s="35">
        <v>-1.999999803956598E-4</v>
      </c>
      <c r="T74" s="44" cm="1">
        <f t="array" ref="T7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4" s="35">
        <v>6.9999999999836859E-4</v>
      </c>
      <c r="V74" s="44" cm="1">
        <f t="array" ref="V7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4" s="101" t="s">
        <v>85</v>
      </c>
      <c r="AA74" s="105"/>
      <c r="AB74" s="1"/>
      <c r="AC74" s="1"/>
      <c r="AD74" s="1"/>
      <c r="AE74" s="1"/>
      <c r="AF74" s="1"/>
      <c r="AG74" s="4"/>
      <c r="AH74" s="4"/>
      <c r="AI74" s="4"/>
      <c r="AJ74" s="4"/>
      <c r="AK74" s="1"/>
      <c r="AL74" s="1"/>
      <c r="AM74" s="1"/>
    </row>
    <row r="75" spans="7:39" ht="14.25" customHeight="1" x14ac:dyDescent="0.2">
      <c r="G75" s="50">
        <v>45750.28125</v>
      </c>
      <c r="H75" s="101" t="s">
        <v>180</v>
      </c>
      <c r="I75" s="101" t="e">
        <f>_xlfn.XLOOKUP(ReportSummary___XYZ[[#This Row],[ID]],Table_Design[ID],Table_Design[Structure Name])</f>
        <v>#N/A</v>
      </c>
      <c r="J75" s="101" t="e">
        <f>_xlfn.XLOOKUP(ReportSummary___XYZ[[#This Row],[ID]],Table_Design[ID],Table_Design[Chainage '[m']])</f>
        <v>#N/A</v>
      </c>
      <c r="K75" s="118">
        <v>51896.633300000001</v>
      </c>
      <c r="L75" s="118">
        <v>159192.48449999999</v>
      </c>
      <c r="M75" s="118">
        <v>18.7776</v>
      </c>
      <c r="N75" s="54">
        <v>51896.633000000002</v>
      </c>
      <c r="O75" s="54">
        <v>159192.484</v>
      </c>
      <c r="P75" s="54">
        <v>18.777999999999999</v>
      </c>
      <c r="Q75" s="35">
        <v>-2.9999999969732016E-4</v>
      </c>
      <c r="R75" s="103" cm="1">
        <f t="array" ref="R7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5" s="35">
        <v>-4.999999946448952E-4</v>
      </c>
      <c r="T75" s="44" cm="1">
        <f t="array" ref="T7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5" s="35">
        <v>3.9999999999906777E-4</v>
      </c>
      <c r="V75" s="44" cm="1">
        <f t="array" ref="V7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5" s="101" t="s">
        <v>85</v>
      </c>
      <c r="AA75" s="105"/>
      <c r="AB75" s="1"/>
      <c r="AC75" s="1"/>
      <c r="AD75" s="1"/>
      <c r="AE75" s="1"/>
      <c r="AF75" s="1"/>
      <c r="AG75" s="4"/>
      <c r="AH75" s="4"/>
      <c r="AI75" s="4"/>
      <c r="AJ75" s="4"/>
      <c r="AK75" s="1"/>
      <c r="AL75" s="1"/>
      <c r="AM75" s="1"/>
    </row>
    <row r="76" spans="7:39" ht="14.25" customHeight="1" x14ac:dyDescent="0.2">
      <c r="G76" s="50">
        <v>45750.28125</v>
      </c>
      <c r="H76" s="101" t="s">
        <v>179</v>
      </c>
      <c r="I76" s="101" t="e">
        <f>_xlfn.XLOOKUP(ReportSummary___XYZ[[#This Row],[ID]],Table_Design[ID],Table_Design[Structure Name])</f>
        <v>#N/A</v>
      </c>
      <c r="J76" s="101" t="e">
        <f>_xlfn.XLOOKUP(ReportSummary___XYZ[[#This Row],[ID]],Table_Design[ID],Table_Design[Chainage '[m']])</f>
        <v>#N/A</v>
      </c>
      <c r="K76" s="118">
        <v>51896.249799999998</v>
      </c>
      <c r="L76" s="118">
        <v>159191.22630000001</v>
      </c>
      <c r="M76" s="118">
        <v>18.7698</v>
      </c>
      <c r="N76" s="54">
        <v>51896.249000000003</v>
      </c>
      <c r="O76" s="54">
        <v>159191.226</v>
      </c>
      <c r="P76" s="54">
        <v>18.77</v>
      </c>
      <c r="Q76" s="35">
        <v>-7.9999999434221536E-4</v>
      </c>
      <c r="R76" s="103" cm="1">
        <f t="array" ref="R7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6" s="35">
        <v>-3.0000001424923539E-4</v>
      </c>
      <c r="T76" s="44" cm="1">
        <f t="array" ref="T7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6" s="35">
        <v>1.9999999999953388E-4</v>
      </c>
      <c r="V76" s="44" cm="1">
        <f t="array" ref="V7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6" s="101" t="s">
        <v>85</v>
      </c>
      <c r="AA76" s="105"/>
      <c r="AB76" s="1"/>
      <c r="AC76" s="1"/>
      <c r="AD76" s="1"/>
      <c r="AE76" s="1"/>
      <c r="AF76" s="1"/>
      <c r="AG76" s="4"/>
      <c r="AH76" s="4"/>
      <c r="AI76" s="4"/>
      <c r="AJ76" s="4"/>
      <c r="AK76" s="1"/>
      <c r="AL76" s="1"/>
      <c r="AM76" s="1"/>
    </row>
    <row r="77" spans="7:39" ht="14.25" customHeight="1" x14ac:dyDescent="0.2">
      <c r="G77" s="50">
        <v>45750.28125</v>
      </c>
      <c r="H77" s="101" t="s">
        <v>182</v>
      </c>
      <c r="I77" s="101" t="e">
        <f>_xlfn.XLOOKUP(ReportSummary___XYZ[[#This Row],[ID]],Table_Design[ID],Table_Design[Structure Name])</f>
        <v>#N/A</v>
      </c>
      <c r="J77" s="101" t="e">
        <f>_xlfn.XLOOKUP(ReportSummary___XYZ[[#This Row],[ID]],Table_Design[ID],Table_Design[Chainage '[m']])</f>
        <v>#N/A</v>
      </c>
      <c r="K77" s="118">
        <v>51899.398699999998</v>
      </c>
      <c r="L77" s="118">
        <v>159191.69760000001</v>
      </c>
      <c r="M77" s="118">
        <v>18.777999999999999</v>
      </c>
      <c r="N77" s="54">
        <v>51899.398000000001</v>
      </c>
      <c r="O77" s="54">
        <v>159191.698</v>
      </c>
      <c r="P77" s="54">
        <v>18.777999999999999</v>
      </c>
      <c r="Q77" s="35">
        <v>-6.9999999686842784E-4</v>
      </c>
      <c r="R77" s="103" cm="1">
        <f t="array" ref="R7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7" s="35">
        <v>3.9999998989515007E-4</v>
      </c>
      <c r="T77" s="44" cm="1">
        <f t="array" ref="T7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7" s="35">
        <v>0</v>
      </c>
      <c r="V77" s="44" cm="1">
        <f t="array" ref="V7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7" s="101" t="s">
        <v>85</v>
      </c>
      <c r="AA77" s="105"/>
      <c r="AB77" s="1"/>
      <c r="AC77" s="1"/>
      <c r="AD77" s="1"/>
      <c r="AE77" s="1"/>
      <c r="AF77" s="1"/>
      <c r="AG77" s="4"/>
      <c r="AH77" s="4"/>
      <c r="AI77" s="4"/>
      <c r="AJ77" s="4"/>
      <c r="AK77" s="1"/>
      <c r="AL77" s="1"/>
      <c r="AM77" s="1"/>
    </row>
    <row r="78" spans="7:39" ht="14.25" customHeight="1" x14ac:dyDescent="0.2">
      <c r="G78" s="50">
        <v>45750.28125</v>
      </c>
      <c r="H78" s="101" t="s">
        <v>181</v>
      </c>
      <c r="I78" s="101" t="e">
        <f>_xlfn.XLOOKUP(ReportSummary___XYZ[[#This Row],[ID]],Table_Design[ID],Table_Design[Structure Name])</f>
        <v>#N/A</v>
      </c>
      <c r="J78" s="101" t="e">
        <f>_xlfn.XLOOKUP(ReportSummary___XYZ[[#This Row],[ID]],Table_Design[ID],Table_Design[Chainage '[m']])</f>
        <v>#N/A</v>
      </c>
      <c r="K78" s="118">
        <v>51899.041100000002</v>
      </c>
      <c r="L78" s="118">
        <v>159190.43340000001</v>
      </c>
      <c r="M78" s="118">
        <v>18.771100000000001</v>
      </c>
      <c r="N78" s="54">
        <v>51899.040000000001</v>
      </c>
      <c r="O78" s="54">
        <v>159190.43400000001</v>
      </c>
      <c r="P78" s="54">
        <v>18.771000000000001</v>
      </c>
      <c r="Q78" s="35">
        <v>-1.1000000013154931E-3</v>
      </c>
      <c r="R78" s="103" cm="1">
        <f t="array" ref="R7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8" s="35">
        <v>5.9999999939464033E-4</v>
      </c>
      <c r="T78" s="44" cm="1">
        <f t="array" ref="T7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8" s="35">
        <v>-9.9999999999766942E-5</v>
      </c>
      <c r="V78" s="44" cm="1">
        <f t="array" ref="V7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8" s="101" t="s">
        <v>85</v>
      </c>
      <c r="AA78" s="105"/>
      <c r="AB78" s="1"/>
      <c r="AC78" s="1"/>
      <c r="AD78" s="1"/>
      <c r="AE78" s="1"/>
      <c r="AF78" s="1"/>
      <c r="AG78" s="4"/>
      <c r="AH78" s="4"/>
      <c r="AI78" s="4"/>
      <c r="AJ78" s="4"/>
      <c r="AK78" s="1"/>
      <c r="AL78" s="1"/>
      <c r="AM78" s="1"/>
    </row>
    <row r="79" spans="7:39" ht="14.25" customHeight="1" x14ac:dyDescent="0.2">
      <c r="G79" s="50">
        <v>45750.28125</v>
      </c>
      <c r="H79" s="101" t="s">
        <v>184</v>
      </c>
      <c r="I79" s="101" t="e">
        <f>_xlfn.XLOOKUP(ReportSummary___XYZ[[#This Row],[ID]],Table_Design[ID],Table_Design[Structure Name])</f>
        <v>#N/A</v>
      </c>
      <c r="J79" s="101" t="e">
        <f>_xlfn.XLOOKUP(ReportSummary___XYZ[[#This Row],[ID]],Table_Design[ID],Table_Design[Chainage '[m']])</f>
        <v>#N/A</v>
      </c>
      <c r="K79" s="118">
        <v>51902.292699999998</v>
      </c>
      <c r="L79" s="118">
        <v>159190.88459999999</v>
      </c>
      <c r="M79" s="118">
        <v>18.779</v>
      </c>
      <c r="N79" s="54">
        <v>51902.292000000001</v>
      </c>
      <c r="O79" s="54">
        <v>159190.88500000001</v>
      </c>
      <c r="P79" s="54">
        <v>18.779</v>
      </c>
      <c r="Q79" s="35">
        <v>-6.9999999686842784E-4</v>
      </c>
      <c r="R79" s="103" cm="1">
        <f t="array" ref="R7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79" s="35">
        <v>4.0000001899898052E-4</v>
      </c>
      <c r="T79" s="44" cm="1">
        <f t="array" ref="T7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79" s="35">
        <v>0</v>
      </c>
      <c r="V79" s="44" cm="1">
        <f t="array" ref="V7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7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7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7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79" s="101" t="s">
        <v>85</v>
      </c>
      <c r="AA79" s="105"/>
      <c r="AB79" s="1"/>
      <c r="AC79" s="1"/>
      <c r="AD79" s="1"/>
      <c r="AE79" s="1"/>
      <c r="AF79" s="1"/>
      <c r="AG79" s="4"/>
      <c r="AH79" s="4"/>
      <c r="AI79" s="4"/>
      <c r="AJ79" s="4"/>
      <c r="AK79" s="1"/>
      <c r="AL79" s="1"/>
      <c r="AM79" s="1"/>
    </row>
    <row r="80" spans="7:39" ht="14.25" customHeight="1" x14ac:dyDescent="0.2">
      <c r="G80" s="50">
        <v>45750.28125</v>
      </c>
      <c r="H80" s="101" t="s">
        <v>183</v>
      </c>
      <c r="I80" s="101" t="e">
        <f>_xlfn.XLOOKUP(ReportSummary___XYZ[[#This Row],[ID]],Table_Design[ID],Table_Design[Structure Name])</f>
        <v>#N/A</v>
      </c>
      <c r="J80" s="101" t="e">
        <f>_xlfn.XLOOKUP(ReportSummary___XYZ[[#This Row],[ID]],Table_Design[ID],Table_Design[Chainage '[m']])</f>
        <v>#N/A</v>
      </c>
      <c r="K80" s="118">
        <v>51901.989200000004</v>
      </c>
      <c r="L80" s="118">
        <v>159189.60260000001</v>
      </c>
      <c r="M80" s="118">
        <v>18.770099999999999</v>
      </c>
      <c r="N80" s="54">
        <v>51901.989000000001</v>
      </c>
      <c r="O80" s="54">
        <v>159189.603</v>
      </c>
      <c r="P80" s="54">
        <v>18.77</v>
      </c>
      <c r="Q80" s="35">
        <v>-2.0000000222353265E-4</v>
      </c>
      <c r="R80" s="103" cm="1">
        <f t="array" ref="R8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0" s="35">
        <v>3.9999998989515007E-4</v>
      </c>
      <c r="T80" s="44" cm="1">
        <f t="array" ref="T8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0" s="35">
        <v>-9.9999999999766942E-5</v>
      </c>
      <c r="V80" s="44" cm="1">
        <f t="array" ref="V8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0" s="101" t="s">
        <v>85</v>
      </c>
      <c r="AA80" s="105"/>
      <c r="AB80" s="1"/>
      <c r="AC80" s="1"/>
      <c r="AD80" s="1"/>
      <c r="AE80" s="1"/>
      <c r="AF80" s="1"/>
      <c r="AG80" s="4"/>
      <c r="AH80" s="4"/>
      <c r="AI80" s="4"/>
      <c r="AJ80" s="4"/>
      <c r="AK80" s="1"/>
      <c r="AL80" s="1"/>
      <c r="AM80" s="1"/>
    </row>
    <row r="81" spans="7:39" ht="14.25" customHeight="1" x14ac:dyDescent="0.2">
      <c r="G81" s="50">
        <v>45750.28125</v>
      </c>
      <c r="H81" s="101" t="s">
        <v>186</v>
      </c>
      <c r="I81" s="101" t="e">
        <f>_xlfn.XLOOKUP(ReportSummary___XYZ[[#This Row],[ID]],Table_Design[ID],Table_Design[Structure Name])</f>
        <v>#N/A</v>
      </c>
      <c r="J81" s="101" t="e">
        <f>_xlfn.XLOOKUP(ReportSummary___XYZ[[#This Row],[ID]],Table_Design[ID],Table_Design[Chainage '[m']])</f>
        <v>#N/A</v>
      </c>
      <c r="K81" s="118">
        <v>51905.196199999998</v>
      </c>
      <c r="L81" s="118">
        <v>159190.09460000001</v>
      </c>
      <c r="M81" s="118">
        <v>18.780899999999999</v>
      </c>
      <c r="N81" s="54">
        <v>51905.196000000004</v>
      </c>
      <c r="O81" s="54">
        <v>159190.095</v>
      </c>
      <c r="P81" s="54">
        <v>18.780999999999999</v>
      </c>
      <c r="Q81" s="35">
        <v>-1.9999999494757503E-4</v>
      </c>
      <c r="R81" s="103" cm="1">
        <f t="array" ref="R8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1" s="35">
        <v>3.9999998989515007E-4</v>
      </c>
      <c r="T81" s="44" cm="1">
        <f t="array" ref="T8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1" s="35">
        <v>9.9999999999766942E-5</v>
      </c>
      <c r="V81" s="44" cm="1">
        <f t="array" ref="V8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1" s="101" t="s">
        <v>85</v>
      </c>
      <c r="AA81" s="105"/>
      <c r="AB81" s="1"/>
      <c r="AC81" s="1"/>
      <c r="AD81" s="1"/>
      <c r="AE81" s="1"/>
      <c r="AF81" s="1"/>
      <c r="AG81" s="4"/>
      <c r="AH81" s="4"/>
      <c r="AI81" s="4"/>
      <c r="AJ81" s="4"/>
      <c r="AK81" s="1"/>
      <c r="AL81" s="1"/>
      <c r="AM81" s="1"/>
    </row>
    <row r="82" spans="7:39" ht="14.25" customHeight="1" x14ac:dyDescent="0.2">
      <c r="G82" s="50">
        <v>45750.28125</v>
      </c>
      <c r="H82" s="101" t="s">
        <v>185</v>
      </c>
      <c r="I82" s="101" t="e">
        <f>_xlfn.XLOOKUP(ReportSummary___XYZ[[#This Row],[ID]],Table_Design[ID],Table_Design[Structure Name])</f>
        <v>#N/A</v>
      </c>
      <c r="J82" s="101" t="e">
        <f>_xlfn.XLOOKUP(ReportSummary___XYZ[[#This Row],[ID]],Table_Design[ID],Table_Design[Chainage '[m']])</f>
        <v>#N/A</v>
      </c>
      <c r="K82" s="118">
        <v>51904.885600000001</v>
      </c>
      <c r="L82" s="118">
        <v>159188.8046</v>
      </c>
      <c r="M82" s="118">
        <v>18.773099999999999</v>
      </c>
      <c r="N82" s="54">
        <v>51904.885000000002</v>
      </c>
      <c r="O82" s="54">
        <v>159188.80499999999</v>
      </c>
      <c r="P82" s="54">
        <v>18.773</v>
      </c>
      <c r="Q82" s="35">
        <v>-5.9999999939464033E-4</v>
      </c>
      <c r="R82" s="103" cm="1">
        <f t="array" ref="R8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2" s="35">
        <v>3.9999998989515007E-4</v>
      </c>
      <c r="T82" s="44" cm="1">
        <f t="array" ref="T8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2" s="35">
        <v>-9.9999999999766942E-5</v>
      </c>
      <c r="V82" s="44" cm="1">
        <f t="array" ref="V8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2" s="101" t="s">
        <v>85</v>
      </c>
      <c r="AA82" s="105"/>
      <c r="AB82" s="1"/>
      <c r="AC82" s="1"/>
      <c r="AD82" s="1"/>
      <c r="AE82" s="1"/>
      <c r="AF82" s="1"/>
      <c r="AG82" s="4"/>
      <c r="AH82" s="4"/>
      <c r="AI82" s="4"/>
      <c r="AJ82" s="4"/>
      <c r="AK82" s="1"/>
      <c r="AL82" s="1"/>
      <c r="AM82" s="1"/>
    </row>
    <row r="83" spans="7:39" ht="14.25" customHeight="1" x14ac:dyDescent="0.2">
      <c r="G83" s="50">
        <v>45750.28125</v>
      </c>
      <c r="H83" s="101" t="s">
        <v>188</v>
      </c>
      <c r="I83" s="101" t="e">
        <f>_xlfn.XLOOKUP(ReportSummary___XYZ[[#This Row],[ID]],Table_Design[ID],Table_Design[Structure Name])</f>
        <v>#N/A</v>
      </c>
      <c r="J83" s="101" t="e">
        <f>_xlfn.XLOOKUP(ReportSummary___XYZ[[#This Row],[ID]],Table_Design[ID],Table_Design[Chainage '[m']])</f>
        <v>#N/A</v>
      </c>
      <c r="K83" s="118">
        <v>51907.9522</v>
      </c>
      <c r="L83" s="118">
        <v>159189.36230000001</v>
      </c>
      <c r="M83" s="118">
        <v>18.786000000000001</v>
      </c>
      <c r="N83" s="54">
        <v>51907.951999999997</v>
      </c>
      <c r="O83" s="54">
        <v>159189.36300000001</v>
      </c>
      <c r="P83" s="54">
        <v>18.786000000000001</v>
      </c>
      <c r="Q83" s="35">
        <v>-2.0000000222353265E-4</v>
      </c>
      <c r="R83" s="103" cm="1">
        <f t="array" ref="R8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3" s="35">
        <v>7.0000000414438546E-4</v>
      </c>
      <c r="T83" s="44" cm="1">
        <f t="array" ref="T8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3" s="35">
        <v>0</v>
      </c>
      <c r="V83" s="44" cm="1">
        <f t="array" ref="V8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3" s="101" t="s">
        <v>85</v>
      </c>
      <c r="AA83" s="105"/>
      <c r="AB83" s="1"/>
      <c r="AC83" s="1"/>
      <c r="AD83" s="1"/>
      <c r="AE83" s="1"/>
      <c r="AF83" s="1"/>
      <c r="AG83" s="4"/>
      <c r="AH83" s="4"/>
      <c r="AI83" s="4"/>
      <c r="AJ83" s="4"/>
      <c r="AK83" s="1"/>
      <c r="AL83" s="1"/>
      <c r="AM83" s="1"/>
    </row>
    <row r="84" spans="7:39" ht="14.25" customHeight="1" x14ac:dyDescent="0.2">
      <c r="G84" s="50">
        <v>45750.28125</v>
      </c>
      <c r="H84" s="101" t="s">
        <v>187</v>
      </c>
      <c r="I84" s="101" t="e">
        <f>_xlfn.XLOOKUP(ReportSummary___XYZ[[#This Row],[ID]],Table_Design[ID],Table_Design[Structure Name])</f>
        <v>#N/A</v>
      </c>
      <c r="J84" s="101" t="e">
        <f>_xlfn.XLOOKUP(ReportSummary___XYZ[[#This Row],[ID]],Table_Design[ID],Table_Design[Chainage '[m']])</f>
        <v>#N/A</v>
      </c>
      <c r="K84" s="118">
        <v>51907.578699999998</v>
      </c>
      <c r="L84" s="118">
        <v>159188.09770000001</v>
      </c>
      <c r="M84" s="118">
        <v>18.776</v>
      </c>
      <c r="N84" s="54">
        <v>51907.578000000001</v>
      </c>
      <c r="O84" s="54">
        <v>159188.098</v>
      </c>
      <c r="P84" s="54">
        <v>18.776</v>
      </c>
      <c r="Q84" s="35">
        <v>-6.9999999686842784E-4</v>
      </c>
      <c r="R84" s="103" cm="1">
        <f t="array" ref="R8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4" s="35">
        <v>2.9999998514540493E-4</v>
      </c>
      <c r="T84" s="44" cm="1">
        <f t="array" ref="T8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4" s="35">
        <v>0</v>
      </c>
      <c r="V84" s="44" cm="1">
        <f t="array" ref="V8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4" s="101" t="s">
        <v>85</v>
      </c>
      <c r="AA84" s="105"/>
      <c r="AB84" s="1"/>
      <c r="AC84" s="1"/>
      <c r="AD84" s="1"/>
      <c r="AE84" s="1"/>
      <c r="AF84" s="1"/>
      <c r="AG84" s="4"/>
      <c r="AH84" s="4"/>
      <c r="AI84" s="4"/>
      <c r="AJ84" s="4"/>
      <c r="AK84" s="1"/>
      <c r="AL84" s="1"/>
      <c r="AM84" s="1"/>
    </row>
    <row r="85" spans="7:39" ht="14.25" customHeight="1" x14ac:dyDescent="0.2">
      <c r="G85" s="50">
        <v>45750.28125</v>
      </c>
      <c r="H85" s="101" t="s">
        <v>190</v>
      </c>
      <c r="I85" s="101" t="e">
        <f>_xlfn.XLOOKUP(ReportSummary___XYZ[[#This Row],[ID]],Table_Design[ID],Table_Design[Structure Name])</f>
        <v>#N/A</v>
      </c>
      <c r="J85" s="101" t="e">
        <f>_xlfn.XLOOKUP(ReportSummary___XYZ[[#This Row],[ID]],Table_Design[ID],Table_Design[Chainage '[m']])</f>
        <v>#N/A</v>
      </c>
      <c r="K85" s="118">
        <v>51910.962800000001</v>
      </c>
      <c r="L85" s="118">
        <v>159188.60079999999</v>
      </c>
      <c r="M85" s="118">
        <v>18.794599999999999</v>
      </c>
      <c r="N85" s="54">
        <v>51910.962</v>
      </c>
      <c r="O85" s="54">
        <v>159188.601</v>
      </c>
      <c r="P85" s="54">
        <v>18.795000000000002</v>
      </c>
      <c r="Q85" s="35">
        <v>-8.0000000161817297E-4</v>
      </c>
      <c r="R85" s="103" cm="1">
        <f t="array" ref="R8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5" s="35">
        <v>2.0000000949949026E-4</v>
      </c>
      <c r="T85" s="44" cm="1">
        <f t="array" ref="T8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5" s="35">
        <v>4.0000000000262048E-4</v>
      </c>
      <c r="V85" s="44" cm="1">
        <f t="array" ref="V8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5" s="101" t="s">
        <v>85</v>
      </c>
      <c r="AA85" s="105"/>
      <c r="AB85" s="1"/>
      <c r="AC85" s="1"/>
      <c r="AD85" s="1"/>
      <c r="AE85" s="1"/>
      <c r="AF85" s="1"/>
      <c r="AG85" s="4"/>
      <c r="AH85" s="4"/>
      <c r="AI85" s="4"/>
      <c r="AJ85" s="4"/>
      <c r="AK85" s="1"/>
      <c r="AL85" s="1"/>
      <c r="AM85" s="1"/>
    </row>
    <row r="86" spans="7:39" ht="14.25" customHeight="1" x14ac:dyDescent="0.2">
      <c r="G86" s="50">
        <v>45750.28125</v>
      </c>
      <c r="H86" s="101" t="s">
        <v>189</v>
      </c>
      <c r="I86" s="101" t="e">
        <f>_xlfn.XLOOKUP(ReportSummary___XYZ[[#This Row],[ID]],Table_Design[ID],Table_Design[Structure Name])</f>
        <v>#N/A</v>
      </c>
      <c r="J86" s="101" t="e">
        <f>_xlfn.XLOOKUP(ReportSummary___XYZ[[#This Row],[ID]],Table_Design[ID],Table_Design[Chainage '[m']])</f>
        <v>#N/A</v>
      </c>
      <c r="K86" s="118">
        <v>51910.640099999997</v>
      </c>
      <c r="L86" s="118">
        <v>159187.3223</v>
      </c>
      <c r="M86" s="118">
        <v>18.7836</v>
      </c>
      <c r="N86" s="54">
        <v>51910.639000000003</v>
      </c>
      <c r="O86" s="54">
        <v>159187.323</v>
      </c>
      <c r="P86" s="54">
        <v>18.783999999999999</v>
      </c>
      <c r="Q86" s="35">
        <v>-1.0999999940395355E-3</v>
      </c>
      <c r="R86" s="103" cm="1">
        <f t="array" ref="R8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6" s="35">
        <v>7.0000000414438546E-4</v>
      </c>
      <c r="T86" s="44" cm="1">
        <f t="array" ref="T8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6" s="35">
        <v>3.9999999999906777E-4</v>
      </c>
      <c r="V86" s="44" cm="1">
        <f t="array" ref="V8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6" s="101" t="s">
        <v>85</v>
      </c>
      <c r="AA86" s="105"/>
      <c r="AB86" s="1"/>
      <c r="AC86" s="1"/>
      <c r="AD86" s="1"/>
      <c r="AE86" s="1"/>
      <c r="AF86" s="1"/>
      <c r="AG86" s="4"/>
      <c r="AH86" s="4"/>
      <c r="AI86" s="4"/>
      <c r="AJ86" s="4"/>
      <c r="AK86" s="1"/>
      <c r="AL86" s="1"/>
      <c r="AM86" s="1"/>
    </row>
    <row r="87" spans="7:39" ht="14.25" customHeight="1" x14ac:dyDescent="0.2">
      <c r="G87" s="50">
        <v>45750.28125</v>
      </c>
      <c r="H87" s="101" t="s">
        <v>192</v>
      </c>
      <c r="I87" s="101" t="e">
        <f>_xlfn.XLOOKUP(ReportSummary___XYZ[[#This Row],[ID]],Table_Design[ID],Table_Design[Structure Name])</f>
        <v>#N/A</v>
      </c>
      <c r="J87" s="101" t="e">
        <f>_xlfn.XLOOKUP(ReportSummary___XYZ[[#This Row],[ID]],Table_Design[ID],Table_Design[Chainage '[m']])</f>
        <v>#N/A</v>
      </c>
      <c r="K87" s="118">
        <v>51913.751100000001</v>
      </c>
      <c r="L87" s="118">
        <v>159187.9178</v>
      </c>
      <c r="M87" s="118">
        <v>18.809000000000001</v>
      </c>
      <c r="N87" s="54">
        <v>51913.75</v>
      </c>
      <c r="O87" s="54">
        <v>159187.91800000001</v>
      </c>
      <c r="P87" s="54">
        <v>18.809000000000001</v>
      </c>
      <c r="Q87" s="35">
        <v>-1.1000000013154931E-3</v>
      </c>
      <c r="R87" s="103" cm="1">
        <f t="array" ref="R8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7" s="35">
        <v>2.0000000949949026E-4</v>
      </c>
      <c r="T87" s="44" cm="1">
        <f t="array" ref="T8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7" s="35">
        <v>0</v>
      </c>
      <c r="V87" s="44" cm="1">
        <f t="array" ref="V8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7" s="101" t="s">
        <v>85</v>
      </c>
      <c r="AA87" s="105"/>
      <c r="AB87" s="1"/>
      <c r="AC87" s="1"/>
      <c r="AD87" s="1"/>
      <c r="AE87" s="1"/>
      <c r="AF87" s="1"/>
      <c r="AG87" s="4"/>
      <c r="AH87" s="4"/>
      <c r="AI87" s="4"/>
      <c r="AJ87" s="4"/>
      <c r="AK87" s="1"/>
      <c r="AL87" s="1"/>
      <c r="AM87" s="1"/>
    </row>
    <row r="88" spans="7:39" ht="14.25" customHeight="1" x14ac:dyDescent="0.2">
      <c r="G88" s="50">
        <v>45750.28125</v>
      </c>
      <c r="H88" s="101" t="s">
        <v>191</v>
      </c>
      <c r="I88" s="101" t="e">
        <f>_xlfn.XLOOKUP(ReportSummary___XYZ[[#This Row],[ID]],Table_Design[ID],Table_Design[Structure Name])</f>
        <v>#N/A</v>
      </c>
      <c r="J88" s="101" t="e">
        <f>_xlfn.XLOOKUP(ReportSummary___XYZ[[#This Row],[ID]],Table_Design[ID],Table_Design[Chainage '[m']])</f>
        <v>#N/A</v>
      </c>
      <c r="K88" s="118">
        <v>51913.421499999997</v>
      </c>
      <c r="L88" s="118">
        <v>159186.63630000001</v>
      </c>
      <c r="M88" s="118">
        <v>18.794899999999998</v>
      </c>
      <c r="N88" s="54">
        <v>51913.421000000002</v>
      </c>
      <c r="O88" s="54">
        <v>159186.63699999999</v>
      </c>
      <c r="P88" s="54">
        <v>18.795000000000002</v>
      </c>
      <c r="Q88" s="35">
        <v>-4.999999946448952E-4</v>
      </c>
      <c r="R88" s="103" cm="1">
        <f t="array" ref="R8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8" s="35">
        <v>6.99999975040555E-4</v>
      </c>
      <c r="T88" s="44" cm="1">
        <f t="array" ref="T8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8" s="35">
        <v>1.0000000000331966E-4</v>
      </c>
      <c r="V88" s="44" cm="1">
        <f t="array" ref="V8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8" s="101" t="s">
        <v>85</v>
      </c>
      <c r="AA88" s="105"/>
      <c r="AB88" s="1"/>
      <c r="AC88" s="1"/>
      <c r="AD88" s="1"/>
      <c r="AE88" s="1"/>
      <c r="AF88" s="1"/>
      <c r="AG88" s="4"/>
      <c r="AH88" s="4"/>
      <c r="AI88" s="4"/>
      <c r="AJ88" s="4"/>
      <c r="AK88" s="1"/>
      <c r="AL88" s="1"/>
      <c r="AM88" s="1"/>
    </row>
    <row r="89" spans="7:39" ht="14.25" customHeight="1" x14ac:dyDescent="0.2">
      <c r="G89" s="50">
        <v>45750.28125</v>
      </c>
      <c r="H89" s="101" t="s">
        <v>165</v>
      </c>
      <c r="I89" s="101" t="e">
        <f>_xlfn.XLOOKUP(ReportSummary___XYZ[[#This Row],[ID]],Table_Design[ID],Table_Design[Structure Name])</f>
        <v>#N/A</v>
      </c>
      <c r="J89" s="101" t="e">
        <f>_xlfn.XLOOKUP(ReportSummary___XYZ[[#This Row],[ID]],Table_Design[ID],Table_Design[Chainage '[m']])</f>
        <v>#N/A</v>
      </c>
      <c r="K89" s="118">
        <v>51884.538999999997</v>
      </c>
      <c r="L89" s="118">
        <v>159193.38269999999</v>
      </c>
      <c r="M89" s="118">
        <v>19.331700000000001</v>
      </c>
      <c r="N89" s="54">
        <v>51884.538999999997</v>
      </c>
      <c r="O89" s="54">
        <v>159193.38200000001</v>
      </c>
      <c r="P89" s="54">
        <v>19.332000000000001</v>
      </c>
      <c r="Q89" s="35">
        <v>0</v>
      </c>
      <c r="R89" s="103" cm="1">
        <f t="array" ref="R8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89" s="35">
        <v>-6.99999975040555E-4</v>
      </c>
      <c r="T89" s="44" cm="1">
        <f t="array" ref="T8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89" s="35">
        <v>2.9999999999930083E-4</v>
      </c>
      <c r="V89" s="44" cm="1">
        <f t="array" ref="V8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8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8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8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89" s="101" t="s">
        <v>85</v>
      </c>
      <c r="AA89" s="105"/>
      <c r="AB89" s="1"/>
      <c r="AC89" s="1"/>
      <c r="AD89" s="1"/>
      <c r="AE89" s="1"/>
      <c r="AF89" s="1"/>
      <c r="AG89" s="4"/>
      <c r="AH89" s="4"/>
      <c r="AI89" s="4"/>
      <c r="AJ89" s="4"/>
      <c r="AK89" s="1"/>
      <c r="AL89" s="1"/>
      <c r="AM89" s="1"/>
    </row>
    <row r="90" spans="7:39" ht="14.25" customHeight="1" x14ac:dyDescent="0.2">
      <c r="G90" s="50">
        <v>45750.28125</v>
      </c>
      <c r="H90" s="101" t="s">
        <v>166</v>
      </c>
      <c r="I90" s="101" t="e">
        <f>_xlfn.XLOOKUP(ReportSummary___XYZ[[#This Row],[ID]],Table_Design[ID],Table_Design[Structure Name])</f>
        <v>#N/A</v>
      </c>
      <c r="J90" s="101" t="e">
        <f>_xlfn.XLOOKUP(ReportSummary___XYZ[[#This Row],[ID]],Table_Design[ID],Table_Design[Chainage '[m']])</f>
        <v>#N/A</v>
      </c>
      <c r="K90" s="118">
        <v>51890.2863</v>
      </c>
      <c r="L90" s="118">
        <v>159191.73069999999</v>
      </c>
      <c r="M90" s="118">
        <v>19.321999999999999</v>
      </c>
      <c r="N90" s="54">
        <v>51890.286</v>
      </c>
      <c r="O90" s="54">
        <v>159191.73000000001</v>
      </c>
      <c r="P90" s="54">
        <v>19.321999999999999</v>
      </c>
      <c r="Q90" s="35">
        <v>-2.9999999969732016E-4</v>
      </c>
      <c r="R90" s="103" cm="1">
        <f t="array" ref="R9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0" s="35">
        <v>-6.99999975040555E-4</v>
      </c>
      <c r="T90" s="44" cm="1">
        <f t="array" ref="T9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0" s="35">
        <v>0</v>
      </c>
      <c r="V90" s="44" cm="1">
        <f t="array" ref="V9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0" s="101" t="s">
        <v>85</v>
      </c>
      <c r="AA90" s="105"/>
      <c r="AB90" s="1"/>
      <c r="AC90" s="1"/>
      <c r="AD90" s="1"/>
      <c r="AE90" s="1"/>
      <c r="AF90" s="1"/>
      <c r="AG90" s="4"/>
      <c r="AH90" s="4"/>
      <c r="AI90" s="4"/>
      <c r="AJ90" s="4"/>
      <c r="AK90" s="1"/>
      <c r="AL90" s="1"/>
      <c r="AM90" s="1"/>
    </row>
    <row r="91" spans="7:39" ht="14.25" customHeight="1" x14ac:dyDescent="0.2">
      <c r="G91" s="50">
        <v>45750.28125</v>
      </c>
      <c r="H91" s="101" t="s">
        <v>167</v>
      </c>
      <c r="I91" s="101" t="e">
        <f>_xlfn.XLOOKUP(ReportSummary___XYZ[[#This Row],[ID]],Table_Design[ID],Table_Design[Structure Name])</f>
        <v>#N/A</v>
      </c>
      <c r="J91" s="101" t="e">
        <f>_xlfn.XLOOKUP(ReportSummary___XYZ[[#This Row],[ID]],Table_Design[ID],Table_Design[Chainage '[m']])</f>
        <v>#N/A</v>
      </c>
      <c r="K91" s="118">
        <v>51895.920700000002</v>
      </c>
      <c r="L91" s="118">
        <v>159190.1</v>
      </c>
      <c r="M91" s="118">
        <v>19.334</v>
      </c>
      <c r="N91" s="54">
        <v>51895.921000000002</v>
      </c>
      <c r="O91" s="54">
        <v>159190.1</v>
      </c>
      <c r="P91" s="54">
        <v>19.334</v>
      </c>
      <c r="Q91" s="35">
        <v>2.9999999969732016E-4</v>
      </c>
      <c r="R91" s="103" cm="1">
        <f t="array" ref="R9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1" s="35">
        <v>0</v>
      </c>
      <c r="T91" s="44" cm="1">
        <f t="array" ref="T9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1" s="35">
        <v>0</v>
      </c>
      <c r="V91" s="44" cm="1">
        <f t="array" ref="V9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1" s="101" t="s">
        <v>85</v>
      </c>
      <c r="AA91" s="105"/>
      <c r="AB91" s="1"/>
      <c r="AC91" s="1"/>
      <c r="AD91" s="1"/>
      <c r="AE91" s="1"/>
      <c r="AF91" s="1"/>
      <c r="AG91" s="4"/>
      <c r="AH91" s="4"/>
      <c r="AI91" s="4"/>
      <c r="AJ91" s="4"/>
      <c r="AK91" s="1"/>
      <c r="AL91" s="1"/>
      <c r="AM91" s="1"/>
    </row>
    <row r="92" spans="7:39" ht="14.25" customHeight="1" x14ac:dyDescent="0.2">
      <c r="G92" s="50">
        <v>45750.28125</v>
      </c>
      <c r="H92" s="101" t="s">
        <v>168</v>
      </c>
      <c r="I92" s="101" t="e">
        <f>_xlfn.XLOOKUP(ReportSummary___XYZ[[#This Row],[ID]],Table_Design[ID],Table_Design[Structure Name])</f>
        <v>#N/A</v>
      </c>
      <c r="J92" s="101" t="e">
        <f>_xlfn.XLOOKUP(ReportSummary___XYZ[[#This Row],[ID]],Table_Design[ID],Table_Design[Chainage '[m']])</f>
        <v>#N/A</v>
      </c>
      <c r="K92" s="118">
        <v>51899.7667</v>
      </c>
      <c r="L92" s="118">
        <v>159188.9933</v>
      </c>
      <c r="M92" s="118">
        <v>19.344999999999999</v>
      </c>
      <c r="N92" s="54">
        <v>51899.767</v>
      </c>
      <c r="O92" s="54">
        <v>159188.99299999999</v>
      </c>
      <c r="P92" s="54">
        <v>19.344999999999999</v>
      </c>
      <c r="Q92" s="35">
        <v>2.9999999969732016E-4</v>
      </c>
      <c r="R92" s="103" cm="1">
        <f t="array" ref="R9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2" s="35">
        <v>-3.0000001424923539E-4</v>
      </c>
      <c r="T92" s="44" cm="1">
        <f t="array" ref="T9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2" s="35">
        <v>0</v>
      </c>
      <c r="V92" s="44" cm="1">
        <f t="array" ref="V9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2" s="101" t="s">
        <v>85</v>
      </c>
      <c r="AA92" s="105"/>
      <c r="AB92" s="1"/>
      <c r="AC92" s="1"/>
      <c r="AD92" s="1"/>
      <c r="AE92" s="1"/>
      <c r="AF92" s="1"/>
      <c r="AG92" s="4"/>
      <c r="AH92" s="4"/>
      <c r="AI92" s="4"/>
      <c r="AJ92" s="4"/>
      <c r="AK92" s="1"/>
      <c r="AL92" s="1"/>
      <c r="AM92" s="1"/>
    </row>
    <row r="93" spans="7:39" ht="14.25" customHeight="1" x14ac:dyDescent="0.2">
      <c r="G93" s="50">
        <v>45750.28125</v>
      </c>
      <c r="H93" s="101" t="s">
        <v>169</v>
      </c>
      <c r="I93" s="101" t="e">
        <f>_xlfn.XLOOKUP(ReportSummary___XYZ[[#This Row],[ID]],Table_Design[ID],Table_Design[Structure Name])</f>
        <v>#N/A</v>
      </c>
      <c r="J93" s="101" t="e">
        <f>_xlfn.XLOOKUP(ReportSummary___XYZ[[#This Row],[ID]],Table_Design[ID],Table_Design[Chainage '[m']])</f>
        <v>#N/A</v>
      </c>
      <c r="K93" s="118">
        <v>51903.6083</v>
      </c>
      <c r="L93" s="118">
        <v>159187.88200000001</v>
      </c>
      <c r="M93" s="118">
        <v>19.356999999999999</v>
      </c>
      <c r="N93" s="54">
        <v>51903.608999999997</v>
      </c>
      <c r="O93" s="54">
        <v>159187.88200000001</v>
      </c>
      <c r="P93" s="54">
        <v>19.356999999999999</v>
      </c>
      <c r="Q93" s="35">
        <v>6.9999999686842784E-4</v>
      </c>
      <c r="R93" s="103" cm="1">
        <f t="array" ref="R9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3" s="35">
        <v>0</v>
      </c>
      <c r="T93" s="44" cm="1">
        <f t="array" ref="T9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3" s="35">
        <v>0</v>
      </c>
      <c r="V93" s="44" cm="1">
        <f t="array" ref="V9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3" s="101" t="s">
        <v>85</v>
      </c>
      <c r="AA93" s="105"/>
      <c r="AB93" s="1"/>
      <c r="AC93" s="1"/>
      <c r="AD93" s="1"/>
      <c r="AE93" s="1"/>
      <c r="AF93" s="1"/>
      <c r="AG93" s="4"/>
      <c r="AH93" s="4"/>
      <c r="AI93" s="4"/>
      <c r="AJ93" s="4"/>
      <c r="AK93" s="1"/>
      <c r="AL93" s="1"/>
      <c r="AM93" s="1"/>
    </row>
    <row r="94" spans="7:39" ht="14.25" customHeight="1" x14ac:dyDescent="0.2">
      <c r="G94" s="50">
        <v>45750.28125</v>
      </c>
      <c r="H94" s="101" t="s">
        <v>170</v>
      </c>
      <c r="I94" s="101" t="e">
        <f>_xlfn.XLOOKUP(ReportSummary___XYZ[[#This Row],[ID]],Table_Design[ID],Table_Design[Structure Name])</f>
        <v>#N/A</v>
      </c>
      <c r="J94" s="101" t="e">
        <f>_xlfn.XLOOKUP(ReportSummary___XYZ[[#This Row],[ID]],Table_Design[ID],Table_Design[Chainage '[m']])</f>
        <v>#N/A</v>
      </c>
      <c r="K94" s="118">
        <v>51910.065000000002</v>
      </c>
      <c r="L94" s="118">
        <v>159186.02369999999</v>
      </c>
      <c r="M94" s="118">
        <v>19.356999999999999</v>
      </c>
      <c r="N94" s="54">
        <v>51910.065000000002</v>
      </c>
      <c r="O94" s="54">
        <v>159186.02299999999</v>
      </c>
      <c r="P94" s="54">
        <v>19.356999999999999</v>
      </c>
      <c r="Q94" s="35">
        <v>0</v>
      </c>
      <c r="R94" s="103" cm="1">
        <f t="array" ref="R9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4" s="35">
        <v>-7.0000000414438546E-4</v>
      </c>
      <c r="T94" s="44" cm="1">
        <f t="array" ref="T9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4" s="35">
        <v>0</v>
      </c>
      <c r="V94" s="44" cm="1">
        <f t="array" ref="V9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4" s="101" t="s">
        <v>85</v>
      </c>
      <c r="AA94" s="105"/>
      <c r="AB94" s="1"/>
      <c r="AC94" s="1"/>
      <c r="AD94" s="1"/>
      <c r="AE94" s="1"/>
      <c r="AF94" s="1"/>
      <c r="AG94" s="4"/>
      <c r="AH94" s="4"/>
      <c r="AI94" s="4"/>
      <c r="AJ94" s="4"/>
      <c r="AK94" s="1"/>
      <c r="AL94" s="1"/>
      <c r="AM94" s="1"/>
    </row>
    <row r="95" spans="7:39" ht="14.25" customHeight="1" x14ac:dyDescent="0.2">
      <c r="G95" s="50">
        <v>45743.493055555555</v>
      </c>
      <c r="H95" s="101" t="s">
        <v>172</v>
      </c>
      <c r="I95" s="101" t="e">
        <f>_xlfn.XLOOKUP(ReportSummary___XYZ[[#This Row],[ID]],Table_Design[ID],Table_Design[Structure Name])</f>
        <v>#N/A</v>
      </c>
      <c r="J95" s="101" t="e">
        <f>_xlfn.XLOOKUP(ReportSummary___XYZ[[#This Row],[ID]],Table_Design[ID],Table_Design[Chainage '[m']])</f>
        <v>#N/A</v>
      </c>
      <c r="K95" s="118">
        <v>51885.34</v>
      </c>
      <c r="L95" s="118">
        <v>159195.739</v>
      </c>
      <c r="M95" s="118">
        <v>18.782</v>
      </c>
      <c r="N95" s="54">
        <v>51885.339</v>
      </c>
      <c r="O95" s="54">
        <v>159195.73800000001</v>
      </c>
      <c r="P95" s="54">
        <v>18.782</v>
      </c>
      <c r="Q95" s="35">
        <v>-9.9999999656574801E-4</v>
      </c>
      <c r="R95" s="103" cm="1">
        <f t="array" ref="R9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5" s="35">
        <v>-9.9999998928979039E-4</v>
      </c>
      <c r="T95" s="44" cm="1">
        <f t="array" ref="T9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5" s="35">
        <v>0</v>
      </c>
      <c r="V95" s="44" cm="1">
        <f t="array" ref="V9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5" s="101" t="s">
        <v>85</v>
      </c>
      <c r="AA95" s="105"/>
      <c r="AB95" s="1"/>
      <c r="AC95" s="1"/>
      <c r="AD95" s="1"/>
      <c r="AE95" s="1"/>
      <c r="AF95" s="1"/>
      <c r="AG95" s="4"/>
      <c r="AH95" s="4"/>
      <c r="AI95" s="4"/>
      <c r="AJ95" s="4"/>
      <c r="AK95" s="1"/>
      <c r="AL95" s="1"/>
      <c r="AM95" s="1"/>
    </row>
    <row r="96" spans="7:39" ht="14.25" customHeight="1" x14ac:dyDescent="0.2">
      <c r="G96" s="50">
        <v>45743.493055555555</v>
      </c>
      <c r="H96" s="101" t="s">
        <v>171</v>
      </c>
      <c r="I96" s="101" t="e">
        <f>_xlfn.XLOOKUP(ReportSummary___XYZ[[#This Row],[ID]],Table_Design[ID],Table_Design[Structure Name])</f>
        <v>#N/A</v>
      </c>
      <c r="J96" s="101" t="e">
        <f>_xlfn.XLOOKUP(ReportSummary___XYZ[[#This Row],[ID]],Table_Design[ID],Table_Design[Chainage '[m']])</f>
        <v>#N/A</v>
      </c>
      <c r="K96" s="118">
        <v>51884.958899999998</v>
      </c>
      <c r="L96" s="118">
        <v>159194.47070000001</v>
      </c>
      <c r="M96" s="118">
        <v>18.778099999999998</v>
      </c>
      <c r="N96" s="54">
        <v>51884.959000000003</v>
      </c>
      <c r="O96" s="54">
        <v>159194.47</v>
      </c>
      <c r="P96" s="54">
        <v>18.777999999999999</v>
      </c>
      <c r="Q96" s="35">
        <v>1.0000000474974513E-4</v>
      </c>
      <c r="R96" s="103" cm="1">
        <f t="array" ref="R9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6" s="35">
        <v>-7.0000000414438546E-4</v>
      </c>
      <c r="T96" s="44" cm="1">
        <f t="array" ref="T9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6" s="35">
        <v>-9.9999999999766942E-5</v>
      </c>
      <c r="V96" s="44" cm="1">
        <f t="array" ref="V9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6" s="101" t="s">
        <v>85</v>
      </c>
      <c r="AA96" s="105"/>
      <c r="AB96" s="1"/>
      <c r="AC96" s="1"/>
      <c r="AD96" s="1"/>
      <c r="AE96" s="1"/>
      <c r="AF96" s="1"/>
      <c r="AG96" s="4"/>
      <c r="AH96" s="4"/>
      <c r="AI96" s="4"/>
      <c r="AJ96" s="4"/>
      <c r="AK96" s="1"/>
      <c r="AL96" s="1"/>
      <c r="AM96" s="1"/>
    </row>
    <row r="97" spans="7:39" ht="14.25" customHeight="1" x14ac:dyDescent="0.2">
      <c r="G97" s="50">
        <v>45743.493055555555</v>
      </c>
      <c r="H97" s="101" t="s">
        <v>174</v>
      </c>
      <c r="I97" s="101" t="e">
        <f>_xlfn.XLOOKUP(ReportSummary___XYZ[[#This Row],[ID]],Table_Design[ID],Table_Design[Structure Name])</f>
        <v>#N/A</v>
      </c>
      <c r="J97" s="101" t="e">
        <f>_xlfn.XLOOKUP(ReportSummary___XYZ[[#This Row],[ID]],Table_Design[ID],Table_Design[Chainage '[m']])</f>
        <v>#N/A</v>
      </c>
      <c r="K97" s="118">
        <v>51888.117700000003</v>
      </c>
      <c r="L97" s="118">
        <v>159194.94529999999</v>
      </c>
      <c r="M97" s="118">
        <v>18.7788</v>
      </c>
      <c r="N97" s="54">
        <v>51888.116999999998</v>
      </c>
      <c r="O97" s="54">
        <v>159194.94500000001</v>
      </c>
      <c r="P97" s="54">
        <v>18.779</v>
      </c>
      <c r="Q97" s="35">
        <v>-7.0000000414438546E-4</v>
      </c>
      <c r="R97" s="103" cm="1">
        <f t="array" ref="R9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7" s="35">
        <v>-2.9999998514540493E-4</v>
      </c>
      <c r="T97" s="44" cm="1">
        <f t="array" ref="T9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7" s="35">
        <v>1.9999999999953388E-4</v>
      </c>
      <c r="V97" s="44" cm="1">
        <f t="array" ref="V9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7" s="101" t="s">
        <v>85</v>
      </c>
      <c r="AA97" s="105"/>
      <c r="AB97" s="1"/>
      <c r="AC97" s="1"/>
      <c r="AD97" s="1"/>
      <c r="AE97" s="1"/>
      <c r="AF97" s="1"/>
      <c r="AG97" s="4"/>
      <c r="AH97" s="4"/>
      <c r="AI97" s="4"/>
      <c r="AJ97" s="4"/>
      <c r="AK97" s="1"/>
      <c r="AL97" s="1"/>
      <c r="AM97" s="1"/>
    </row>
    <row r="98" spans="7:39" ht="14.25" customHeight="1" x14ac:dyDescent="0.2">
      <c r="G98" s="50">
        <v>45743.493055555555</v>
      </c>
      <c r="H98" s="101" t="s">
        <v>173</v>
      </c>
      <c r="I98" s="101" t="e">
        <f>_xlfn.XLOOKUP(ReportSummary___XYZ[[#This Row],[ID]],Table_Design[ID],Table_Design[Structure Name])</f>
        <v>#N/A</v>
      </c>
      <c r="J98" s="101" t="e">
        <f>_xlfn.XLOOKUP(ReportSummary___XYZ[[#This Row],[ID]],Table_Design[ID],Table_Design[Chainage '[m']])</f>
        <v>#N/A</v>
      </c>
      <c r="K98" s="118">
        <v>51887.805099999998</v>
      </c>
      <c r="L98" s="118">
        <v>159193.65710000001</v>
      </c>
      <c r="M98" s="118">
        <v>18.778500000000001</v>
      </c>
      <c r="N98" s="54">
        <v>51887.803999999996</v>
      </c>
      <c r="O98" s="54">
        <v>159193.65700000001</v>
      </c>
      <c r="P98" s="54">
        <v>18.779</v>
      </c>
      <c r="Q98" s="35">
        <v>-1.1000000013154931E-3</v>
      </c>
      <c r="R98" s="103" cm="1">
        <f t="array" ref="R9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8" s="35">
        <v>-1.0000000474974513E-4</v>
      </c>
      <c r="T98" s="44" cm="1">
        <f t="array" ref="T9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8" s="35">
        <v>4.9999999999883471E-4</v>
      </c>
      <c r="V98" s="44" cm="1">
        <f t="array" ref="V9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8" s="101" t="s">
        <v>85</v>
      </c>
      <c r="AA98" s="105"/>
      <c r="AB98" s="1"/>
      <c r="AC98" s="1"/>
      <c r="AD98" s="1"/>
      <c r="AE98" s="1"/>
      <c r="AF98" s="1"/>
      <c r="AG98" s="4"/>
      <c r="AH98" s="4"/>
      <c r="AI98" s="4"/>
      <c r="AJ98" s="4"/>
      <c r="AK98" s="1"/>
      <c r="AL98" s="1"/>
      <c r="AM98" s="1"/>
    </row>
    <row r="99" spans="7:39" ht="14.25" customHeight="1" x14ac:dyDescent="0.2">
      <c r="G99" s="50">
        <v>45743.493055555555</v>
      </c>
      <c r="H99" s="101" t="s">
        <v>176</v>
      </c>
      <c r="I99" s="101" t="e">
        <f>_xlfn.XLOOKUP(ReportSummary___XYZ[[#This Row],[ID]],Table_Design[ID],Table_Design[Structure Name])</f>
        <v>#N/A</v>
      </c>
      <c r="J99" s="101" t="e">
        <f>_xlfn.XLOOKUP(ReportSummary___XYZ[[#This Row],[ID]],Table_Design[ID],Table_Design[Chainage '[m']])</f>
        <v>#N/A</v>
      </c>
      <c r="K99" s="118">
        <v>51890.969100000002</v>
      </c>
      <c r="L99" s="118">
        <v>159194.1177</v>
      </c>
      <c r="M99" s="118">
        <v>18.779</v>
      </c>
      <c r="N99" s="54">
        <v>51890.968000000001</v>
      </c>
      <c r="O99" s="54">
        <v>159194.117</v>
      </c>
      <c r="P99" s="54">
        <v>18.779</v>
      </c>
      <c r="Q99" s="35">
        <v>-1.1000000013154931E-3</v>
      </c>
      <c r="R99" s="103" cm="1">
        <f t="array" ref="R9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99" s="35">
        <v>-7.0000000414438546E-4</v>
      </c>
      <c r="T99" s="44" cm="1">
        <f t="array" ref="T9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99" s="35">
        <v>0</v>
      </c>
      <c r="V99" s="44" cm="1">
        <f t="array" ref="V9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9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9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9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99" s="101" t="s">
        <v>85</v>
      </c>
      <c r="AA99" s="105"/>
      <c r="AB99" s="1"/>
      <c r="AC99" s="1"/>
      <c r="AD99" s="1"/>
      <c r="AE99" s="1"/>
      <c r="AF99" s="1"/>
      <c r="AG99" s="4"/>
      <c r="AH99" s="4"/>
      <c r="AI99" s="4"/>
      <c r="AJ99" s="4"/>
      <c r="AK99" s="1"/>
      <c r="AL99" s="1"/>
      <c r="AM99" s="1"/>
    </row>
    <row r="100" spans="7:39" ht="14.25" customHeight="1" x14ac:dyDescent="0.2">
      <c r="G100" s="50">
        <v>45743.493055555555</v>
      </c>
      <c r="H100" s="101" t="s">
        <v>175</v>
      </c>
      <c r="I100" s="101" t="e">
        <f>_xlfn.XLOOKUP(ReportSummary___XYZ[[#This Row],[ID]],Table_Design[ID],Table_Design[Structure Name])</f>
        <v>#N/A</v>
      </c>
      <c r="J100" s="101" t="e">
        <f>_xlfn.XLOOKUP(ReportSummary___XYZ[[#This Row],[ID]],Table_Design[ID],Table_Design[Chainage '[m']])</f>
        <v>#N/A</v>
      </c>
      <c r="K100" s="118">
        <v>51890.606800000001</v>
      </c>
      <c r="L100" s="118">
        <v>159192.86069999999</v>
      </c>
      <c r="M100" s="118">
        <v>18.771999999999998</v>
      </c>
      <c r="N100" s="54">
        <v>51890.606</v>
      </c>
      <c r="O100" s="54">
        <v>159192.861</v>
      </c>
      <c r="P100" s="54">
        <v>18.771999999999998</v>
      </c>
      <c r="Q100" s="35">
        <v>-8.0000000161817297E-4</v>
      </c>
      <c r="R100" s="103" cm="1">
        <f t="array" ref="R10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0" s="35">
        <v>3.0000001424923539E-4</v>
      </c>
      <c r="T100" s="44" cm="1">
        <f t="array" ref="T10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0" s="35">
        <v>0</v>
      </c>
      <c r="V100" s="44" cm="1">
        <f t="array" ref="V10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0" s="101" t="s">
        <v>85</v>
      </c>
      <c r="AA100" s="105"/>
      <c r="AB100" s="1"/>
      <c r="AC100" s="1"/>
      <c r="AD100" s="1"/>
      <c r="AE100" s="1"/>
      <c r="AF100" s="1"/>
      <c r="AG100" s="4"/>
      <c r="AH100" s="4"/>
      <c r="AI100" s="4"/>
      <c r="AJ100" s="4"/>
      <c r="AK100" s="1"/>
      <c r="AL100" s="1"/>
      <c r="AM100" s="1"/>
    </row>
    <row r="101" spans="7:39" ht="14.25" customHeight="1" x14ac:dyDescent="0.2">
      <c r="G101" s="50">
        <v>45743.493055555555</v>
      </c>
      <c r="H101" s="101" t="s">
        <v>178</v>
      </c>
      <c r="I101" s="101" t="e">
        <f>_xlfn.XLOOKUP(ReportSummary___XYZ[[#This Row],[ID]],Table_Design[ID],Table_Design[Structure Name])</f>
        <v>#N/A</v>
      </c>
      <c r="J101" s="101" t="e">
        <f>_xlfn.XLOOKUP(ReportSummary___XYZ[[#This Row],[ID]],Table_Design[ID],Table_Design[Chainage '[m']])</f>
        <v>#N/A</v>
      </c>
      <c r="K101" s="118">
        <v>51893.758699999998</v>
      </c>
      <c r="L101" s="118">
        <v>159193.3144</v>
      </c>
      <c r="M101" s="118">
        <v>18.774100000000001</v>
      </c>
      <c r="N101" s="54">
        <v>51893.758000000002</v>
      </c>
      <c r="O101" s="54">
        <v>159193.31400000001</v>
      </c>
      <c r="P101" s="54">
        <v>18.774000000000001</v>
      </c>
      <c r="Q101" s="35">
        <v>-6.9999999686842784E-4</v>
      </c>
      <c r="R101" s="103" cm="1">
        <f t="array" ref="R10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1" s="35">
        <v>-3.9999998989515007E-4</v>
      </c>
      <c r="T101" s="44" cm="1">
        <f t="array" ref="T10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1" s="35">
        <v>-9.9999999999766942E-5</v>
      </c>
      <c r="V101" s="44" cm="1">
        <f t="array" ref="V10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1" s="101" t="s">
        <v>85</v>
      </c>
      <c r="AA101" s="105"/>
      <c r="AB101" s="1"/>
      <c r="AC101" s="1"/>
      <c r="AD101" s="1"/>
      <c r="AE101" s="1"/>
      <c r="AF101" s="1"/>
      <c r="AG101" s="4"/>
      <c r="AH101" s="4"/>
      <c r="AI101" s="4"/>
      <c r="AJ101" s="4"/>
      <c r="AK101" s="1"/>
      <c r="AL101" s="1"/>
      <c r="AM101" s="1"/>
    </row>
    <row r="102" spans="7:39" ht="14.25" customHeight="1" x14ac:dyDescent="0.2">
      <c r="G102" s="50">
        <v>45743.493055555555</v>
      </c>
      <c r="H102" s="101" t="s">
        <v>177</v>
      </c>
      <c r="I102" s="101" t="e">
        <f>_xlfn.XLOOKUP(ReportSummary___XYZ[[#This Row],[ID]],Table_Design[ID],Table_Design[Structure Name])</f>
        <v>#N/A</v>
      </c>
      <c r="J102" s="101" t="e">
        <f>_xlfn.XLOOKUP(ReportSummary___XYZ[[#This Row],[ID]],Table_Design[ID],Table_Design[Chainage '[m']])</f>
        <v>#N/A</v>
      </c>
      <c r="K102" s="118">
        <v>51893.441299999999</v>
      </c>
      <c r="L102" s="118">
        <v>159192.04019999999</v>
      </c>
      <c r="M102" s="118">
        <v>18.7683</v>
      </c>
      <c r="N102" s="54">
        <v>51893.440999999999</v>
      </c>
      <c r="O102" s="54">
        <v>159192.04</v>
      </c>
      <c r="P102" s="54">
        <v>18.768999999999998</v>
      </c>
      <c r="Q102" s="35">
        <v>-2.9999999969732016E-4</v>
      </c>
      <c r="R102" s="103" cm="1">
        <f t="array" ref="R10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2" s="35">
        <v>-1.999999803956598E-4</v>
      </c>
      <c r="T102" s="44" cm="1">
        <f t="array" ref="T10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2" s="35">
        <v>6.9999999999836859E-4</v>
      </c>
      <c r="V102" s="44" cm="1">
        <f t="array" ref="V10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2" s="101" t="s">
        <v>85</v>
      </c>
      <c r="AA102" s="105"/>
      <c r="AB102" s="1"/>
      <c r="AC102" s="1"/>
      <c r="AD102" s="1"/>
      <c r="AE102" s="1"/>
      <c r="AF102" s="1"/>
      <c r="AG102" s="4"/>
      <c r="AH102" s="4"/>
      <c r="AI102" s="4"/>
      <c r="AJ102" s="4"/>
      <c r="AK102" s="1"/>
      <c r="AL102" s="1"/>
      <c r="AM102" s="1"/>
    </row>
    <row r="103" spans="7:39" ht="14.25" customHeight="1" x14ac:dyDescent="0.2">
      <c r="G103" s="50">
        <v>45743.493055555555</v>
      </c>
      <c r="H103" s="101" t="s">
        <v>180</v>
      </c>
      <c r="I103" s="101" t="e">
        <f>_xlfn.XLOOKUP(ReportSummary___XYZ[[#This Row],[ID]],Table_Design[ID],Table_Design[Structure Name])</f>
        <v>#N/A</v>
      </c>
      <c r="J103" s="101" t="e">
        <f>_xlfn.XLOOKUP(ReportSummary___XYZ[[#This Row],[ID]],Table_Design[ID],Table_Design[Chainage '[m']])</f>
        <v>#N/A</v>
      </c>
      <c r="K103" s="118">
        <v>51896.633300000001</v>
      </c>
      <c r="L103" s="118">
        <v>159192.48449999999</v>
      </c>
      <c r="M103" s="118">
        <v>18.7776</v>
      </c>
      <c r="N103" s="54">
        <v>51896.633000000002</v>
      </c>
      <c r="O103" s="54">
        <v>159192.484</v>
      </c>
      <c r="P103" s="54">
        <v>18.777000000000001</v>
      </c>
      <c r="Q103" s="35">
        <v>-2.9999999969732016E-4</v>
      </c>
      <c r="R103" s="103" cm="1">
        <f t="array" ref="R10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3" s="35">
        <v>-4.999999946448952E-4</v>
      </c>
      <c r="T103" s="44" cm="1">
        <f t="array" ref="T10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3" s="35">
        <v>-5.9999999999860165E-4</v>
      </c>
      <c r="V103" s="44" cm="1">
        <f t="array" ref="V10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3" s="101" t="s">
        <v>85</v>
      </c>
      <c r="AA103" s="105"/>
      <c r="AB103" s="1"/>
      <c r="AC103" s="1"/>
      <c r="AD103" s="1"/>
      <c r="AE103" s="1"/>
      <c r="AF103" s="1"/>
      <c r="AG103" s="4"/>
      <c r="AH103" s="4"/>
      <c r="AI103" s="4"/>
      <c r="AJ103" s="4"/>
      <c r="AK103" s="1"/>
      <c r="AL103" s="1"/>
      <c r="AM103" s="1"/>
    </row>
    <row r="104" spans="7:39" ht="14.25" customHeight="1" x14ac:dyDescent="0.2">
      <c r="G104" s="50">
        <v>45743.493055555555</v>
      </c>
      <c r="H104" s="101" t="s">
        <v>179</v>
      </c>
      <c r="I104" s="101" t="e">
        <f>_xlfn.XLOOKUP(ReportSummary___XYZ[[#This Row],[ID]],Table_Design[ID],Table_Design[Structure Name])</f>
        <v>#N/A</v>
      </c>
      <c r="J104" s="101" t="e">
        <f>_xlfn.XLOOKUP(ReportSummary___XYZ[[#This Row],[ID]],Table_Design[ID],Table_Design[Chainage '[m']])</f>
        <v>#N/A</v>
      </c>
      <c r="K104" s="118">
        <v>51896.249799999998</v>
      </c>
      <c r="L104" s="118">
        <v>159191.22630000001</v>
      </c>
      <c r="M104" s="118">
        <v>18.7698</v>
      </c>
      <c r="N104" s="54">
        <v>51896.249000000003</v>
      </c>
      <c r="O104" s="54">
        <v>159191.226</v>
      </c>
      <c r="P104" s="54">
        <v>18.77</v>
      </c>
      <c r="Q104" s="35">
        <v>-7.9999999434221536E-4</v>
      </c>
      <c r="R104" s="103" cm="1">
        <f t="array" ref="R10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4" s="35">
        <v>-3.0000001424923539E-4</v>
      </c>
      <c r="T104" s="44" cm="1">
        <f t="array" ref="T10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4" s="35">
        <v>1.9999999999953388E-4</v>
      </c>
      <c r="V104" s="44" cm="1">
        <f t="array" ref="V10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4" s="101" t="s">
        <v>85</v>
      </c>
      <c r="AA104" s="105"/>
      <c r="AB104" s="1"/>
      <c r="AC104" s="1"/>
      <c r="AD104" s="1"/>
      <c r="AE104" s="1"/>
      <c r="AF104" s="1"/>
      <c r="AG104" s="4"/>
      <c r="AH104" s="4"/>
      <c r="AI104" s="4"/>
      <c r="AJ104" s="4"/>
      <c r="AK104" s="1"/>
      <c r="AL104" s="1"/>
      <c r="AM104" s="1"/>
    </row>
    <row r="105" spans="7:39" ht="14.25" customHeight="1" x14ac:dyDescent="0.2">
      <c r="G105" s="50">
        <v>45743.493055555555</v>
      </c>
      <c r="H105" s="101" t="s">
        <v>182</v>
      </c>
      <c r="I105" s="101" t="e">
        <f>_xlfn.XLOOKUP(ReportSummary___XYZ[[#This Row],[ID]],Table_Design[ID],Table_Design[Structure Name])</f>
        <v>#N/A</v>
      </c>
      <c r="J105" s="101" t="e">
        <f>_xlfn.XLOOKUP(ReportSummary___XYZ[[#This Row],[ID]],Table_Design[ID],Table_Design[Chainage '[m']])</f>
        <v>#N/A</v>
      </c>
      <c r="K105" s="118">
        <v>51899.398699999998</v>
      </c>
      <c r="L105" s="118">
        <v>159191.69760000001</v>
      </c>
      <c r="M105" s="118">
        <v>18.777999999999999</v>
      </c>
      <c r="N105" s="54">
        <v>51899.398000000001</v>
      </c>
      <c r="O105" s="54">
        <v>159191.698</v>
      </c>
      <c r="P105" s="54">
        <v>18.777999999999999</v>
      </c>
      <c r="Q105" s="35">
        <v>-6.9999999686842784E-4</v>
      </c>
      <c r="R105" s="103" cm="1">
        <f t="array" ref="R10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5" s="35">
        <v>3.9999998989515007E-4</v>
      </c>
      <c r="T105" s="44" cm="1">
        <f t="array" ref="T10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5" s="35">
        <v>0</v>
      </c>
      <c r="V105" s="44" cm="1">
        <f t="array" ref="V10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5" s="101" t="s">
        <v>85</v>
      </c>
      <c r="AA105" s="105"/>
      <c r="AB105" s="1"/>
      <c r="AC105" s="1"/>
      <c r="AD105" s="1"/>
      <c r="AE105" s="1"/>
      <c r="AF105" s="1"/>
      <c r="AG105" s="4"/>
      <c r="AH105" s="4"/>
      <c r="AI105" s="4"/>
      <c r="AJ105" s="4"/>
      <c r="AK105" s="1"/>
      <c r="AL105" s="1"/>
      <c r="AM105" s="1"/>
    </row>
    <row r="106" spans="7:39" ht="14.25" customHeight="1" x14ac:dyDescent="0.2">
      <c r="G106" s="50">
        <v>45743.493055555555</v>
      </c>
      <c r="H106" s="101" t="s">
        <v>181</v>
      </c>
      <c r="I106" s="101" t="e">
        <f>_xlfn.XLOOKUP(ReportSummary___XYZ[[#This Row],[ID]],Table_Design[ID],Table_Design[Structure Name])</f>
        <v>#N/A</v>
      </c>
      <c r="J106" s="101" t="e">
        <f>_xlfn.XLOOKUP(ReportSummary___XYZ[[#This Row],[ID]],Table_Design[ID],Table_Design[Chainage '[m']])</f>
        <v>#N/A</v>
      </c>
      <c r="K106" s="118">
        <v>51899.041100000002</v>
      </c>
      <c r="L106" s="118">
        <v>159190.43340000001</v>
      </c>
      <c r="M106" s="118">
        <v>18.771100000000001</v>
      </c>
      <c r="N106" s="54">
        <v>51899.040000000001</v>
      </c>
      <c r="O106" s="54">
        <v>159190.43400000001</v>
      </c>
      <c r="P106" s="54">
        <v>18.771000000000001</v>
      </c>
      <c r="Q106" s="35">
        <v>-1.1000000013154931E-3</v>
      </c>
      <c r="R106" s="103" cm="1">
        <f t="array" ref="R10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6" s="35">
        <v>5.9999999939464033E-4</v>
      </c>
      <c r="T106" s="44" cm="1">
        <f t="array" ref="T10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6" s="35">
        <v>-9.9999999999766942E-5</v>
      </c>
      <c r="V106" s="44" cm="1">
        <f t="array" ref="V10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6" s="101" t="s">
        <v>85</v>
      </c>
      <c r="AA106" s="105"/>
      <c r="AB106" s="1"/>
      <c r="AC106" s="1"/>
      <c r="AD106" s="1"/>
      <c r="AE106" s="1"/>
      <c r="AF106" s="1"/>
      <c r="AG106" s="4"/>
      <c r="AH106" s="4"/>
      <c r="AI106" s="4"/>
      <c r="AJ106" s="4"/>
      <c r="AK106" s="1"/>
      <c r="AL106" s="1"/>
      <c r="AM106" s="1"/>
    </row>
    <row r="107" spans="7:39" ht="14.25" customHeight="1" x14ac:dyDescent="0.2">
      <c r="G107" s="50">
        <v>45743.493055555555</v>
      </c>
      <c r="H107" s="101" t="s">
        <v>184</v>
      </c>
      <c r="I107" s="101" t="e">
        <f>_xlfn.XLOOKUP(ReportSummary___XYZ[[#This Row],[ID]],Table_Design[ID],Table_Design[Structure Name])</f>
        <v>#N/A</v>
      </c>
      <c r="J107" s="101" t="e">
        <f>_xlfn.XLOOKUP(ReportSummary___XYZ[[#This Row],[ID]],Table_Design[ID],Table_Design[Chainage '[m']])</f>
        <v>#N/A</v>
      </c>
      <c r="K107" s="118">
        <v>51902.292699999998</v>
      </c>
      <c r="L107" s="118">
        <v>159190.88459999999</v>
      </c>
      <c r="M107" s="118">
        <v>18.779</v>
      </c>
      <c r="N107" s="54">
        <v>51902.292000000001</v>
      </c>
      <c r="O107" s="54">
        <v>159190.88500000001</v>
      </c>
      <c r="P107" s="54">
        <v>18.779</v>
      </c>
      <c r="Q107" s="35">
        <v>-6.9999999686842784E-4</v>
      </c>
      <c r="R107" s="103" cm="1">
        <f t="array" ref="R10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7" s="35">
        <v>4.0000001899898052E-4</v>
      </c>
      <c r="T107" s="44" cm="1">
        <f t="array" ref="T10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7" s="35">
        <v>0</v>
      </c>
      <c r="V107" s="44" cm="1">
        <f t="array" ref="V10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7" s="101" t="s">
        <v>85</v>
      </c>
      <c r="AA107" s="105"/>
      <c r="AB107" s="1"/>
      <c r="AC107" s="1"/>
      <c r="AD107" s="1"/>
      <c r="AE107" s="1"/>
      <c r="AF107" s="1"/>
      <c r="AG107" s="4"/>
      <c r="AH107" s="4"/>
      <c r="AI107" s="4"/>
      <c r="AJ107" s="4"/>
      <c r="AK107" s="1"/>
      <c r="AL107" s="1"/>
      <c r="AM107" s="1"/>
    </row>
    <row r="108" spans="7:39" ht="14.25" customHeight="1" x14ac:dyDescent="0.2">
      <c r="G108" s="50">
        <v>45743.493055555555</v>
      </c>
      <c r="H108" s="101" t="s">
        <v>183</v>
      </c>
      <c r="I108" s="101" t="e">
        <f>_xlfn.XLOOKUP(ReportSummary___XYZ[[#This Row],[ID]],Table_Design[ID],Table_Design[Structure Name])</f>
        <v>#N/A</v>
      </c>
      <c r="J108" s="101" t="e">
        <f>_xlfn.XLOOKUP(ReportSummary___XYZ[[#This Row],[ID]],Table_Design[ID],Table_Design[Chainage '[m']])</f>
        <v>#N/A</v>
      </c>
      <c r="K108" s="118">
        <v>51901.989200000004</v>
      </c>
      <c r="L108" s="118">
        <v>159189.60260000001</v>
      </c>
      <c r="M108" s="118">
        <v>18.770099999999999</v>
      </c>
      <c r="N108" s="54">
        <v>51901.987999999998</v>
      </c>
      <c r="O108" s="54">
        <v>159189.603</v>
      </c>
      <c r="P108" s="54">
        <v>18.77</v>
      </c>
      <c r="Q108" s="35">
        <v>-1.2000000060652383E-3</v>
      </c>
      <c r="R108" s="103" cm="1">
        <f t="array" ref="R10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8" s="35">
        <v>3.9999998989515007E-4</v>
      </c>
      <c r="T108" s="44" cm="1">
        <f t="array" ref="T10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8" s="35">
        <v>-9.9999999999766942E-5</v>
      </c>
      <c r="V108" s="44" cm="1">
        <f t="array" ref="V10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8" s="101" t="s">
        <v>85</v>
      </c>
      <c r="AA108" s="105"/>
      <c r="AB108" s="1"/>
      <c r="AC108" s="1"/>
      <c r="AD108" s="1"/>
      <c r="AE108" s="1"/>
      <c r="AF108" s="1"/>
      <c r="AG108" s="4"/>
      <c r="AH108" s="4"/>
      <c r="AI108" s="4"/>
      <c r="AJ108" s="4"/>
      <c r="AK108" s="1"/>
      <c r="AL108" s="1"/>
      <c r="AM108" s="1"/>
    </row>
    <row r="109" spans="7:39" ht="14.25" customHeight="1" x14ac:dyDescent="0.2">
      <c r="G109" s="50">
        <v>45743.493055555555</v>
      </c>
      <c r="H109" s="101" t="s">
        <v>186</v>
      </c>
      <c r="I109" s="101" t="e">
        <f>_xlfn.XLOOKUP(ReportSummary___XYZ[[#This Row],[ID]],Table_Design[ID],Table_Design[Structure Name])</f>
        <v>#N/A</v>
      </c>
      <c r="J109" s="101" t="e">
        <f>_xlfn.XLOOKUP(ReportSummary___XYZ[[#This Row],[ID]],Table_Design[ID],Table_Design[Chainage '[m']])</f>
        <v>#N/A</v>
      </c>
      <c r="K109" s="118">
        <v>51905.196199999998</v>
      </c>
      <c r="L109" s="118">
        <v>159190.09460000001</v>
      </c>
      <c r="M109" s="118">
        <v>18.780899999999999</v>
      </c>
      <c r="N109" s="54">
        <v>51905.196000000004</v>
      </c>
      <c r="O109" s="54">
        <v>159190.095</v>
      </c>
      <c r="P109" s="54">
        <v>18.780999999999999</v>
      </c>
      <c r="Q109" s="35">
        <v>-1.9999999494757503E-4</v>
      </c>
      <c r="R109" s="103" cm="1">
        <f t="array" ref="R10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09" s="35">
        <v>3.9999998989515007E-4</v>
      </c>
      <c r="T109" s="44" cm="1">
        <f t="array" ref="T10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09" s="35">
        <v>9.9999999999766942E-5</v>
      </c>
      <c r="V109" s="44" cm="1">
        <f t="array" ref="V10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0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0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0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09" s="101" t="s">
        <v>85</v>
      </c>
      <c r="AA109" s="105"/>
      <c r="AB109" s="1"/>
      <c r="AC109" s="1"/>
      <c r="AD109" s="1"/>
      <c r="AE109" s="1"/>
      <c r="AF109" s="1"/>
      <c r="AG109" s="4"/>
      <c r="AH109" s="4"/>
      <c r="AI109" s="4"/>
      <c r="AJ109" s="4"/>
      <c r="AK109" s="1"/>
      <c r="AL109" s="1"/>
      <c r="AM109" s="1"/>
    </row>
    <row r="110" spans="7:39" ht="14.25" customHeight="1" x14ac:dyDescent="0.2">
      <c r="G110" s="50">
        <v>45743.493055555555</v>
      </c>
      <c r="H110" s="101" t="s">
        <v>185</v>
      </c>
      <c r="I110" s="101" t="e">
        <f>_xlfn.XLOOKUP(ReportSummary___XYZ[[#This Row],[ID]],Table_Design[ID],Table_Design[Structure Name])</f>
        <v>#N/A</v>
      </c>
      <c r="J110" s="101" t="e">
        <f>_xlfn.XLOOKUP(ReportSummary___XYZ[[#This Row],[ID]],Table_Design[ID],Table_Design[Chainage '[m']])</f>
        <v>#N/A</v>
      </c>
      <c r="K110" s="118">
        <v>51904.885600000001</v>
      </c>
      <c r="L110" s="118">
        <v>159188.8046</v>
      </c>
      <c r="M110" s="118">
        <v>18.773099999999999</v>
      </c>
      <c r="N110" s="54">
        <v>51904.885000000002</v>
      </c>
      <c r="O110" s="54">
        <v>159188.80499999999</v>
      </c>
      <c r="P110" s="54">
        <v>18.773</v>
      </c>
      <c r="Q110" s="35">
        <v>-5.9999999939464033E-4</v>
      </c>
      <c r="R110" s="103" cm="1">
        <f t="array" ref="R11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0" s="35">
        <v>3.9999998989515007E-4</v>
      </c>
      <c r="T110" s="44" cm="1">
        <f t="array" ref="T11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0" s="35">
        <v>-9.9999999999766942E-5</v>
      </c>
      <c r="V110" s="44" cm="1">
        <f t="array" ref="V11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0" s="101" t="s">
        <v>85</v>
      </c>
      <c r="AA110" s="105"/>
      <c r="AB110" s="1"/>
      <c r="AC110" s="1"/>
      <c r="AD110" s="1"/>
      <c r="AE110" s="1"/>
      <c r="AF110" s="1"/>
      <c r="AG110" s="4"/>
      <c r="AH110" s="4"/>
      <c r="AI110" s="4"/>
      <c r="AJ110" s="4"/>
      <c r="AK110" s="1"/>
      <c r="AL110" s="1"/>
      <c r="AM110" s="1"/>
    </row>
    <row r="111" spans="7:39" ht="14.25" customHeight="1" x14ac:dyDescent="0.2">
      <c r="G111" s="50">
        <v>45743.493055555555</v>
      </c>
      <c r="H111" s="101" t="s">
        <v>188</v>
      </c>
      <c r="I111" s="101" t="e">
        <f>_xlfn.XLOOKUP(ReportSummary___XYZ[[#This Row],[ID]],Table_Design[ID],Table_Design[Structure Name])</f>
        <v>#N/A</v>
      </c>
      <c r="J111" s="101" t="e">
        <f>_xlfn.XLOOKUP(ReportSummary___XYZ[[#This Row],[ID]],Table_Design[ID],Table_Design[Chainage '[m']])</f>
        <v>#N/A</v>
      </c>
      <c r="K111" s="118">
        <v>51907.9522</v>
      </c>
      <c r="L111" s="118">
        <v>159189.36230000001</v>
      </c>
      <c r="M111" s="118">
        <v>18.786000000000001</v>
      </c>
      <c r="N111" s="54">
        <v>51907.951999999997</v>
      </c>
      <c r="O111" s="54">
        <v>159189.36300000001</v>
      </c>
      <c r="P111" s="54">
        <v>18.786000000000001</v>
      </c>
      <c r="Q111" s="35">
        <v>-2.0000000222353265E-4</v>
      </c>
      <c r="R111" s="103" cm="1">
        <f t="array" ref="R11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1" s="35">
        <v>7.0000000414438546E-4</v>
      </c>
      <c r="T111" s="44" cm="1">
        <f t="array" ref="T11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1" s="35">
        <v>0</v>
      </c>
      <c r="V111" s="44" cm="1">
        <f t="array" ref="V11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1" s="101" t="s">
        <v>85</v>
      </c>
      <c r="AA111" s="105"/>
      <c r="AB111" s="1"/>
      <c r="AC111" s="1"/>
      <c r="AD111" s="1"/>
      <c r="AE111" s="1"/>
      <c r="AF111" s="1"/>
      <c r="AG111" s="4"/>
      <c r="AH111" s="4"/>
      <c r="AI111" s="4"/>
      <c r="AJ111" s="4"/>
      <c r="AK111" s="1"/>
      <c r="AL111" s="1"/>
      <c r="AM111" s="1"/>
    </row>
    <row r="112" spans="7:39" ht="14.25" customHeight="1" x14ac:dyDescent="0.2">
      <c r="G112" s="50">
        <v>45743.493055555555</v>
      </c>
      <c r="H112" s="101" t="s">
        <v>187</v>
      </c>
      <c r="I112" s="101" t="e">
        <f>_xlfn.XLOOKUP(ReportSummary___XYZ[[#This Row],[ID]],Table_Design[ID],Table_Design[Structure Name])</f>
        <v>#N/A</v>
      </c>
      <c r="J112" s="101" t="e">
        <f>_xlfn.XLOOKUP(ReportSummary___XYZ[[#This Row],[ID]],Table_Design[ID],Table_Design[Chainage '[m']])</f>
        <v>#N/A</v>
      </c>
      <c r="K112" s="118">
        <v>51907.578699999998</v>
      </c>
      <c r="L112" s="118">
        <v>159188.09770000001</v>
      </c>
      <c r="M112" s="118">
        <v>18.776</v>
      </c>
      <c r="N112" s="54">
        <v>51907.578000000001</v>
      </c>
      <c r="O112" s="54">
        <v>159188.09899999999</v>
      </c>
      <c r="P112" s="54">
        <v>18.776</v>
      </c>
      <c r="Q112" s="35">
        <v>-6.9999999686842784E-4</v>
      </c>
      <c r="R112" s="103" cm="1">
        <f t="array" ref="R11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2" s="35">
        <v>1.2999999744351953E-3</v>
      </c>
      <c r="T112" s="44" cm="1">
        <f t="array" ref="T11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2" s="35">
        <v>0</v>
      </c>
      <c r="V112" s="44" cm="1">
        <f t="array" ref="V11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2" s="101" t="s">
        <v>85</v>
      </c>
      <c r="AA112" s="105"/>
      <c r="AB112" s="1"/>
      <c r="AC112" s="1"/>
      <c r="AD112" s="1"/>
      <c r="AE112" s="1"/>
      <c r="AF112" s="1"/>
      <c r="AG112" s="4"/>
      <c r="AH112" s="4"/>
      <c r="AI112" s="4"/>
      <c r="AJ112" s="4"/>
      <c r="AK112" s="1"/>
      <c r="AL112" s="1"/>
      <c r="AM112" s="1"/>
    </row>
    <row r="113" spans="7:39" ht="14.25" customHeight="1" x14ac:dyDescent="0.2">
      <c r="G113" s="50">
        <v>45743.493055555555</v>
      </c>
      <c r="H113" s="101" t="s">
        <v>190</v>
      </c>
      <c r="I113" s="101" t="e">
        <f>_xlfn.XLOOKUP(ReportSummary___XYZ[[#This Row],[ID]],Table_Design[ID],Table_Design[Structure Name])</f>
        <v>#N/A</v>
      </c>
      <c r="J113" s="101" t="e">
        <f>_xlfn.XLOOKUP(ReportSummary___XYZ[[#This Row],[ID]],Table_Design[ID],Table_Design[Chainage '[m']])</f>
        <v>#N/A</v>
      </c>
      <c r="K113" s="118">
        <v>51910.962800000001</v>
      </c>
      <c r="L113" s="118">
        <v>159188.60079999999</v>
      </c>
      <c r="M113" s="118">
        <v>18.794599999999999</v>
      </c>
      <c r="N113" s="54">
        <v>51910.962</v>
      </c>
      <c r="O113" s="54">
        <v>159188.601</v>
      </c>
      <c r="P113" s="54">
        <v>18.795000000000002</v>
      </c>
      <c r="Q113" s="35">
        <v>-8.0000000161817297E-4</v>
      </c>
      <c r="R113" s="103" cm="1">
        <f t="array" ref="R11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3" s="35">
        <v>2.0000000949949026E-4</v>
      </c>
      <c r="T113" s="44" cm="1">
        <f t="array" ref="T11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3" s="35">
        <v>4.0000000000262048E-4</v>
      </c>
      <c r="V113" s="44" cm="1">
        <f t="array" ref="V11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3" s="101" t="s">
        <v>85</v>
      </c>
      <c r="AA113" s="105"/>
      <c r="AB113" s="1"/>
      <c r="AC113" s="1"/>
      <c r="AD113" s="1"/>
      <c r="AE113" s="1"/>
      <c r="AF113" s="1"/>
      <c r="AG113" s="4"/>
      <c r="AH113" s="4"/>
      <c r="AI113" s="4"/>
      <c r="AJ113" s="4"/>
      <c r="AK113" s="1"/>
      <c r="AL113" s="1"/>
      <c r="AM113" s="1"/>
    </row>
    <row r="114" spans="7:39" ht="14.25" customHeight="1" x14ac:dyDescent="0.2">
      <c r="G114" s="50">
        <v>45743.493055555555</v>
      </c>
      <c r="H114" s="101" t="s">
        <v>189</v>
      </c>
      <c r="I114" s="101" t="e">
        <f>_xlfn.XLOOKUP(ReportSummary___XYZ[[#This Row],[ID]],Table_Design[ID],Table_Design[Structure Name])</f>
        <v>#N/A</v>
      </c>
      <c r="J114" s="101" t="e">
        <f>_xlfn.XLOOKUP(ReportSummary___XYZ[[#This Row],[ID]],Table_Design[ID],Table_Design[Chainage '[m']])</f>
        <v>#N/A</v>
      </c>
      <c r="K114" s="118">
        <v>51910.640099999997</v>
      </c>
      <c r="L114" s="118">
        <v>159187.3223</v>
      </c>
      <c r="M114" s="118">
        <v>18.7836</v>
      </c>
      <c r="N114" s="54">
        <v>51910.639000000003</v>
      </c>
      <c r="O114" s="54">
        <v>159187.323</v>
      </c>
      <c r="P114" s="54">
        <v>18.783000000000001</v>
      </c>
      <c r="Q114" s="35">
        <v>-1.0999999940395355E-3</v>
      </c>
      <c r="R114" s="103" cm="1">
        <f t="array" ref="R11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4" s="35">
        <v>7.0000000414438546E-4</v>
      </c>
      <c r="T114" s="44" cm="1">
        <f t="array" ref="T11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4" s="35">
        <v>-5.9999999999860165E-4</v>
      </c>
      <c r="V114" s="44" cm="1">
        <f t="array" ref="V11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4" s="101" t="s">
        <v>85</v>
      </c>
      <c r="AA114" s="105"/>
      <c r="AB114" s="1"/>
      <c r="AC114" s="1"/>
      <c r="AD114" s="1"/>
      <c r="AE114" s="1"/>
      <c r="AF114" s="1"/>
      <c r="AG114" s="4"/>
      <c r="AH114" s="4"/>
      <c r="AI114" s="4"/>
      <c r="AJ114" s="4"/>
      <c r="AK114" s="1"/>
      <c r="AL114" s="1"/>
      <c r="AM114" s="1"/>
    </row>
    <row r="115" spans="7:39" ht="14.25" customHeight="1" x14ac:dyDescent="0.2">
      <c r="G115" s="50">
        <v>45743.493055555555</v>
      </c>
      <c r="H115" s="101" t="s">
        <v>192</v>
      </c>
      <c r="I115" s="101" t="e">
        <f>_xlfn.XLOOKUP(ReportSummary___XYZ[[#This Row],[ID]],Table_Design[ID],Table_Design[Structure Name])</f>
        <v>#N/A</v>
      </c>
      <c r="J115" s="101" t="e">
        <f>_xlfn.XLOOKUP(ReportSummary___XYZ[[#This Row],[ID]],Table_Design[ID],Table_Design[Chainage '[m']])</f>
        <v>#N/A</v>
      </c>
      <c r="K115" s="118">
        <v>51913.751100000001</v>
      </c>
      <c r="L115" s="118">
        <v>159187.9178</v>
      </c>
      <c r="M115" s="118">
        <v>18.809000000000001</v>
      </c>
      <c r="N115" s="54">
        <v>51913.75</v>
      </c>
      <c r="O115" s="54">
        <v>159187.91800000001</v>
      </c>
      <c r="P115" s="54">
        <v>18.809000000000001</v>
      </c>
      <c r="Q115" s="35">
        <v>-1.1000000013154931E-3</v>
      </c>
      <c r="R115" s="103" cm="1">
        <f t="array" ref="R11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5" s="35">
        <v>2.0000000949949026E-4</v>
      </c>
      <c r="T115" s="44" cm="1">
        <f t="array" ref="T11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5" s="35">
        <v>0</v>
      </c>
      <c r="V115" s="44" cm="1">
        <f t="array" ref="V11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5" s="101" t="s">
        <v>85</v>
      </c>
      <c r="AA115" s="105"/>
      <c r="AB115" s="1"/>
      <c r="AC115" s="1"/>
      <c r="AD115" s="1"/>
      <c r="AE115" s="1"/>
      <c r="AF115" s="1"/>
      <c r="AG115" s="4"/>
      <c r="AH115" s="4"/>
      <c r="AI115" s="4"/>
      <c r="AJ115" s="4"/>
      <c r="AK115" s="1"/>
      <c r="AL115" s="1"/>
      <c r="AM115" s="1"/>
    </row>
    <row r="116" spans="7:39" ht="14.25" customHeight="1" x14ac:dyDescent="0.2">
      <c r="G116" s="50">
        <v>45743.493055555555</v>
      </c>
      <c r="H116" s="101" t="s">
        <v>191</v>
      </c>
      <c r="I116" s="101" t="e">
        <f>_xlfn.XLOOKUP(ReportSummary___XYZ[[#This Row],[ID]],Table_Design[ID],Table_Design[Structure Name])</f>
        <v>#N/A</v>
      </c>
      <c r="J116" s="101" t="e">
        <f>_xlfn.XLOOKUP(ReportSummary___XYZ[[#This Row],[ID]],Table_Design[ID],Table_Design[Chainage '[m']])</f>
        <v>#N/A</v>
      </c>
      <c r="K116" s="118">
        <v>51913.421499999997</v>
      </c>
      <c r="L116" s="118">
        <v>159186.63630000001</v>
      </c>
      <c r="M116" s="118">
        <v>18.794899999999998</v>
      </c>
      <c r="N116" s="54">
        <v>51913.42</v>
      </c>
      <c r="O116" s="54">
        <v>159186.63699999999</v>
      </c>
      <c r="P116" s="54">
        <v>18.795000000000002</v>
      </c>
      <c r="Q116" s="35">
        <v>-1.4999999984866008E-3</v>
      </c>
      <c r="R116" s="103" cm="1">
        <f t="array" ref="R11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6" s="35">
        <v>6.99999975040555E-4</v>
      </c>
      <c r="T116" s="44" cm="1">
        <f t="array" ref="T11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6" s="35">
        <v>1.0000000000331966E-4</v>
      </c>
      <c r="V116" s="44" cm="1">
        <f t="array" ref="V11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6" s="101" t="s">
        <v>85</v>
      </c>
      <c r="AA116" s="105"/>
      <c r="AB116" s="1"/>
      <c r="AC116" s="1"/>
      <c r="AD116" s="1"/>
      <c r="AE116" s="1"/>
      <c r="AF116" s="1"/>
      <c r="AG116" s="4"/>
      <c r="AH116" s="4"/>
      <c r="AI116" s="4"/>
      <c r="AJ116" s="4"/>
      <c r="AK116" s="1"/>
      <c r="AL116" s="1"/>
      <c r="AM116" s="1"/>
    </row>
    <row r="117" spans="7:39" ht="14.25" customHeight="1" x14ac:dyDescent="0.2">
      <c r="G117" s="50">
        <v>45743.493055555555</v>
      </c>
      <c r="H117" s="101" t="s">
        <v>165</v>
      </c>
      <c r="I117" s="101" t="e">
        <f>_xlfn.XLOOKUP(ReportSummary___XYZ[[#This Row],[ID]],Table_Design[ID],Table_Design[Structure Name])</f>
        <v>#N/A</v>
      </c>
      <c r="J117" s="101" t="e">
        <f>_xlfn.XLOOKUP(ReportSummary___XYZ[[#This Row],[ID]],Table_Design[ID],Table_Design[Chainage '[m']])</f>
        <v>#N/A</v>
      </c>
      <c r="K117" s="118">
        <v>51884.538999999997</v>
      </c>
      <c r="L117" s="118">
        <v>159193.38269999999</v>
      </c>
      <c r="M117" s="118">
        <v>19.331700000000001</v>
      </c>
      <c r="N117" s="54">
        <v>51884.538999999997</v>
      </c>
      <c r="O117" s="54">
        <v>159193.38200000001</v>
      </c>
      <c r="P117" s="54">
        <v>19.331</v>
      </c>
      <c r="Q117" s="35">
        <v>0</v>
      </c>
      <c r="R117" s="103" cm="1">
        <f t="array" ref="R11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7" s="35">
        <v>-6.99999975040555E-4</v>
      </c>
      <c r="T117" s="44" cm="1">
        <f t="array" ref="T11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7" s="35">
        <v>-7.0000000000192131E-4</v>
      </c>
      <c r="V117" s="44" cm="1">
        <f t="array" ref="V11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7" s="101" t="s">
        <v>85</v>
      </c>
      <c r="AA117" s="105"/>
      <c r="AB117" s="1"/>
      <c r="AC117" s="1"/>
      <c r="AD117" s="1"/>
      <c r="AE117" s="1"/>
      <c r="AF117" s="1"/>
      <c r="AG117" s="4"/>
      <c r="AH117" s="4"/>
      <c r="AI117" s="4"/>
      <c r="AJ117" s="4"/>
      <c r="AK117" s="1"/>
      <c r="AL117" s="1"/>
      <c r="AM117" s="1"/>
    </row>
    <row r="118" spans="7:39" ht="14.25" customHeight="1" x14ac:dyDescent="0.2">
      <c r="G118" s="50">
        <v>45743.493055555555</v>
      </c>
      <c r="H118" s="101" t="s">
        <v>166</v>
      </c>
      <c r="I118" s="101" t="e">
        <f>_xlfn.XLOOKUP(ReportSummary___XYZ[[#This Row],[ID]],Table_Design[ID],Table_Design[Structure Name])</f>
        <v>#N/A</v>
      </c>
      <c r="J118" s="101" t="e">
        <f>_xlfn.XLOOKUP(ReportSummary___XYZ[[#This Row],[ID]],Table_Design[ID],Table_Design[Chainage '[m']])</f>
        <v>#N/A</v>
      </c>
      <c r="K118" s="118">
        <v>51890.2863</v>
      </c>
      <c r="L118" s="118">
        <v>159191.73069999999</v>
      </c>
      <c r="M118" s="118">
        <v>19.321999999999999</v>
      </c>
      <c r="N118" s="54">
        <v>51890.286</v>
      </c>
      <c r="O118" s="54">
        <v>159191.73000000001</v>
      </c>
      <c r="P118" s="54">
        <v>19.321999999999999</v>
      </c>
      <c r="Q118" s="35">
        <v>-2.9999999969732016E-4</v>
      </c>
      <c r="R118" s="103" cm="1">
        <f t="array" ref="R11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8" s="35">
        <v>-6.99999975040555E-4</v>
      </c>
      <c r="T118" s="44" cm="1">
        <f t="array" ref="T11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8" s="35">
        <v>0</v>
      </c>
      <c r="V118" s="44" cm="1">
        <f t="array" ref="V11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8" s="101" t="s">
        <v>85</v>
      </c>
      <c r="AA118" s="105"/>
      <c r="AB118" s="1"/>
      <c r="AC118" s="1"/>
      <c r="AD118" s="1"/>
      <c r="AE118" s="1"/>
      <c r="AF118" s="1"/>
      <c r="AG118" s="4"/>
      <c r="AH118" s="4"/>
      <c r="AI118" s="4"/>
      <c r="AJ118" s="4"/>
      <c r="AK118" s="1"/>
      <c r="AL118" s="1"/>
      <c r="AM118" s="1"/>
    </row>
    <row r="119" spans="7:39" ht="14.25" customHeight="1" x14ac:dyDescent="0.2">
      <c r="G119" s="50">
        <v>45743.493055555555</v>
      </c>
      <c r="H119" s="101" t="s">
        <v>167</v>
      </c>
      <c r="I119" s="101" t="e">
        <f>_xlfn.XLOOKUP(ReportSummary___XYZ[[#This Row],[ID]],Table_Design[ID],Table_Design[Structure Name])</f>
        <v>#N/A</v>
      </c>
      <c r="J119" s="101" t="e">
        <f>_xlfn.XLOOKUP(ReportSummary___XYZ[[#This Row],[ID]],Table_Design[ID],Table_Design[Chainage '[m']])</f>
        <v>#N/A</v>
      </c>
      <c r="K119" s="118">
        <v>51895.920700000002</v>
      </c>
      <c r="L119" s="118">
        <v>159190.1</v>
      </c>
      <c r="M119" s="118">
        <v>19.334</v>
      </c>
      <c r="N119" s="54">
        <v>51895.921000000002</v>
      </c>
      <c r="O119" s="54">
        <v>159190.1</v>
      </c>
      <c r="P119" s="54">
        <v>19.334</v>
      </c>
      <c r="Q119" s="35">
        <v>2.9999999969732016E-4</v>
      </c>
      <c r="R119" s="103" cm="1">
        <f t="array" ref="R11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19" s="35">
        <v>0</v>
      </c>
      <c r="T119" s="44" cm="1">
        <f t="array" ref="T11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19" s="35">
        <v>0</v>
      </c>
      <c r="V119" s="44" cm="1">
        <f t="array" ref="V11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1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1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1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19" s="101" t="s">
        <v>85</v>
      </c>
      <c r="AA119" s="105"/>
      <c r="AB119" s="1"/>
      <c r="AC119" s="1"/>
      <c r="AD119" s="1"/>
      <c r="AE119" s="1"/>
      <c r="AF119" s="1"/>
      <c r="AG119" s="4"/>
      <c r="AH119" s="4"/>
      <c r="AI119" s="4"/>
      <c r="AJ119" s="4"/>
      <c r="AK119" s="1"/>
      <c r="AL119" s="1"/>
      <c r="AM119" s="1"/>
    </row>
    <row r="120" spans="7:39" ht="14.25" customHeight="1" x14ac:dyDescent="0.2">
      <c r="G120" s="50">
        <v>45743.493055555555</v>
      </c>
      <c r="H120" s="101" t="s">
        <v>168</v>
      </c>
      <c r="I120" s="101" t="e">
        <f>_xlfn.XLOOKUP(ReportSummary___XYZ[[#This Row],[ID]],Table_Design[ID],Table_Design[Structure Name])</f>
        <v>#N/A</v>
      </c>
      <c r="J120" s="101" t="e">
        <f>_xlfn.XLOOKUP(ReportSummary___XYZ[[#This Row],[ID]],Table_Design[ID],Table_Design[Chainage '[m']])</f>
        <v>#N/A</v>
      </c>
      <c r="K120" s="118">
        <v>51899.7667</v>
      </c>
      <c r="L120" s="118">
        <v>159188.9933</v>
      </c>
      <c r="M120" s="118">
        <v>19.344999999999999</v>
      </c>
      <c r="N120" s="54">
        <v>51899.767</v>
      </c>
      <c r="O120" s="54">
        <v>159188.99299999999</v>
      </c>
      <c r="P120" s="54">
        <v>19.344999999999999</v>
      </c>
      <c r="Q120" s="35">
        <v>2.9999999969732016E-4</v>
      </c>
      <c r="R120" s="103" cm="1">
        <f t="array" ref="R12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0" s="35">
        <v>-3.0000001424923539E-4</v>
      </c>
      <c r="T120" s="44" cm="1">
        <f t="array" ref="T12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0" s="35">
        <v>0</v>
      </c>
      <c r="V120" s="44" cm="1">
        <f t="array" ref="V12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0" s="101" t="s">
        <v>85</v>
      </c>
      <c r="AA120" s="105"/>
      <c r="AB120" s="1"/>
      <c r="AC120" s="1"/>
      <c r="AD120" s="1"/>
      <c r="AE120" s="1"/>
      <c r="AF120" s="1"/>
      <c r="AG120" s="4"/>
      <c r="AH120" s="4"/>
      <c r="AI120" s="4"/>
      <c r="AJ120" s="4"/>
      <c r="AK120" s="1"/>
      <c r="AL120" s="1"/>
      <c r="AM120" s="1"/>
    </row>
    <row r="121" spans="7:39" ht="14.25" customHeight="1" x14ac:dyDescent="0.2">
      <c r="G121" s="50">
        <v>45743.493055555555</v>
      </c>
      <c r="H121" s="101" t="s">
        <v>169</v>
      </c>
      <c r="I121" s="101" t="e">
        <f>_xlfn.XLOOKUP(ReportSummary___XYZ[[#This Row],[ID]],Table_Design[ID],Table_Design[Structure Name])</f>
        <v>#N/A</v>
      </c>
      <c r="J121" s="101" t="e">
        <f>_xlfn.XLOOKUP(ReportSummary___XYZ[[#This Row],[ID]],Table_Design[ID],Table_Design[Chainage '[m']])</f>
        <v>#N/A</v>
      </c>
      <c r="K121" s="118">
        <v>51903.6083</v>
      </c>
      <c r="L121" s="118">
        <v>159187.88200000001</v>
      </c>
      <c r="M121" s="118">
        <v>19.356999999999999</v>
      </c>
      <c r="N121" s="54">
        <v>51903.608</v>
      </c>
      <c r="O121" s="54">
        <v>159187.88200000001</v>
      </c>
      <c r="P121" s="54">
        <v>19.356999999999999</v>
      </c>
      <c r="Q121" s="35">
        <v>-2.9999999969732016E-4</v>
      </c>
      <c r="R121" s="103" cm="1">
        <f t="array" ref="R12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1" s="35">
        <v>0</v>
      </c>
      <c r="T121" s="44" cm="1">
        <f t="array" ref="T12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1" s="35">
        <v>0</v>
      </c>
      <c r="V121" s="44" cm="1">
        <f t="array" ref="V12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1" s="101" t="s">
        <v>85</v>
      </c>
      <c r="AA121" s="105"/>
      <c r="AB121" s="1"/>
      <c r="AC121" s="1"/>
      <c r="AD121" s="1"/>
      <c r="AE121" s="1"/>
      <c r="AF121" s="1"/>
      <c r="AG121" s="4"/>
      <c r="AH121" s="4"/>
      <c r="AI121" s="4"/>
      <c r="AJ121" s="4"/>
      <c r="AK121" s="1"/>
      <c r="AL121" s="1"/>
      <c r="AM121" s="1"/>
    </row>
    <row r="122" spans="7:39" ht="14.25" customHeight="1" x14ac:dyDescent="0.2">
      <c r="G122" s="50">
        <v>45743.493055555555</v>
      </c>
      <c r="H122" s="101" t="s">
        <v>170</v>
      </c>
      <c r="I122" s="101" t="e">
        <f>_xlfn.XLOOKUP(ReportSummary___XYZ[[#This Row],[ID]],Table_Design[ID],Table_Design[Structure Name])</f>
        <v>#N/A</v>
      </c>
      <c r="J122" s="101" t="e">
        <f>_xlfn.XLOOKUP(ReportSummary___XYZ[[#This Row],[ID]],Table_Design[ID],Table_Design[Chainage '[m']])</f>
        <v>#N/A</v>
      </c>
      <c r="K122" s="118">
        <v>51910.065000000002</v>
      </c>
      <c r="L122" s="118">
        <v>159186.02369999999</v>
      </c>
      <c r="M122" s="118">
        <v>19.356999999999999</v>
      </c>
      <c r="N122" s="54">
        <v>51910.065000000002</v>
      </c>
      <c r="O122" s="54">
        <v>159186.024</v>
      </c>
      <c r="P122" s="54">
        <v>19.356999999999999</v>
      </c>
      <c r="Q122" s="35">
        <v>0</v>
      </c>
      <c r="R122" s="103" cm="1">
        <f t="array" ref="R12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2" s="35">
        <v>3.0000001424923539E-4</v>
      </c>
      <c r="T122" s="44" cm="1">
        <f t="array" ref="T12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2" s="35">
        <v>0</v>
      </c>
      <c r="V122" s="44" cm="1">
        <f t="array" ref="V12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2" s="101" t="s">
        <v>85</v>
      </c>
      <c r="AA122" s="105"/>
      <c r="AB122" s="1"/>
      <c r="AC122" s="1"/>
      <c r="AD122" s="1"/>
      <c r="AE122" s="1"/>
      <c r="AF122" s="1"/>
      <c r="AG122" s="4"/>
      <c r="AH122" s="4"/>
      <c r="AI122" s="4"/>
      <c r="AJ122" s="4"/>
      <c r="AK122" s="1"/>
      <c r="AL122" s="1"/>
      <c r="AM122" s="1"/>
    </row>
    <row r="123" spans="7:39" ht="14.25" customHeight="1" x14ac:dyDescent="0.2">
      <c r="G123" s="50">
        <v>45733.840277777781</v>
      </c>
      <c r="H123" s="101" t="s">
        <v>171</v>
      </c>
      <c r="I123" s="101" t="e">
        <f>_xlfn.XLOOKUP(ReportSummary___XYZ[[#This Row],[ID]],Table_Design[ID],Table_Design[Structure Name])</f>
        <v>#N/A</v>
      </c>
      <c r="J123" s="101" t="e">
        <f>_xlfn.XLOOKUP(ReportSummary___XYZ[[#This Row],[ID]],Table_Design[ID],Table_Design[Chainage '[m']])</f>
        <v>#N/A</v>
      </c>
      <c r="K123" s="118">
        <v>51884.958899999998</v>
      </c>
      <c r="L123" s="118">
        <v>159194.47070000001</v>
      </c>
      <c r="M123" s="118">
        <v>18.778099999999998</v>
      </c>
      <c r="N123" s="54">
        <v>51884.958700000003</v>
      </c>
      <c r="O123" s="54">
        <v>159194.47</v>
      </c>
      <c r="P123" s="54">
        <v>18.778300000000002</v>
      </c>
      <c r="Q123" s="35">
        <v>-1.9999999494757503E-4</v>
      </c>
      <c r="R123" s="103" cm="1">
        <f t="array" ref="R12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3" s="35">
        <v>-7.0000000414438546E-4</v>
      </c>
      <c r="T123" s="44" cm="1">
        <f t="array" ref="T12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3" s="35">
        <v>2.000000000030866E-4</v>
      </c>
      <c r="V123" s="44" cm="1">
        <f t="array" ref="V12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3" s="101" t="s">
        <v>85</v>
      </c>
      <c r="AA123" s="105"/>
      <c r="AB123" s="1"/>
      <c r="AC123" s="1"/>
      <c r="AD123" s="1"/>
      <c r="AE123" s="1"/>
      <c r="AF123" s="1"/>
      <c r="AG123" s="4"/>
      <c r="AH123" s="4"/>
      <c r="AI123" s="4"/>
      <c r="AJ123" s="4"/>
      <c r="AK123" s="1"/>
      <c r="AL123" s="1"/>
      <c r="AM123" s="1"/>
    </row>
    <row r="124" spans="7:39" ht="14.25" customHeight="1" x14ac:dyDescent="0.2">
      <c r="G124" s="50">
        <v>45733.840277777781</v>
      </c>
      <c r="H124" s="101" t="s">
        <v>174</v>
      </c>
      <c r="I124" s="101" t="e">
        <f>_xlfn.XLOOKUP(ReportSummary___XYZ[[#This Row],[ID]],Table_Design[ID],Table_Design[Structure Name])</f>
        <v>#N/A</v>
      </c>
      <c r="J124" s="101" t="e">
        <f>_xlfn.XLOOKUP(ReportSummary___XYZ[[#This Row],[ID]],Table_Design[ID],Table_Design[Chainage '[m']])</f>
        <v>#N/A</v>
      </c>
      <c r="K124" s="118">
        <v>51888.117700000003</v>
      </c>
      <c r="L124" s="118">
        <v>159194.94529999999</v>
      </c>
      <c r="M124" s="118">
        <v>18.7788</v>
      </c>
      <c r="N124" s="54">
        <v>51888.117200000001</v>
      </c>
      <c r="O124" s="54">
        <v>159194.9448</v>
      </c>
      <c r="P124" s="54">
        <v>18.778400000000001</v>
      </c>
      <c r="Q124" s="35">
        <v>-5.0000000192085281E-4</v>
      </c>
      <c r="R124" s="103" cm="1">
        <f t="array" ref="R12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4" s="35">
        <v>-4.999999946448952E-4</v>
      </c>
      <c r="T124" s="44" cm="1">
        <f t="array" ref="T12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4" s="35">
        <v>-3.9999999999906777E-4</v>
      </c>
      <c r="V124" s="44" cm="1">
        <f t="array" ref="V12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4" s="101" t="s">
        <v>85</v>
      </c>
      <c r="AA124" s="105"/>
      <c r="AB124" s="1"/>
      <c r="AC124" s="1"/>
      <c r="AD124" s="1"/>
      <c r="AE124" s="1"/>
      <c r="AF124" s="1"/>
      <c r="AG124" s="4"/>
      <c r="AH124" s="4"/>
      <c r="AI124" s="4"/>
      <c r="AJ124" s="4"/>
      <c r="AK124" s="1"/>
      <c r="AL124" s="1"/>
      <c r="AM124" s="1"/>
    </row>
    <row r="125" spans="7:39" ht="14.25" customHeight="1" x14ac:dyDescent="0.2">
      <c r="G125" s="50">
        <v>45733.840277777781</v>
      </c>
      <c r="H125" s="101" t="s">
        <v>173</v>
      </c>
      <c r="I125" s="101" t="e">
        <f>_xlfn.XLOOKUP(ReportSummary___XYZ[[#This Row],[ID]],Table_Design[ID],Table_Design[Structure Name])</f>
        <v>#N/A</v>
      </c>
      <c r="J125" s="101" t="e">
        <f>_xlfn.XLOOKUP(ReportSummary___XYZ[[#This Row],[ID]],Table_Design[ID],Table_Design[Chainage '[m']])</f>
        <v>#N/A</v>
      </c>
      <c r="K125" s="118">
        <v>51887.805099999998</v>
      </c>
      <c r="L125" s="118">
        <v>159193.65710000001</v>
      </c>
      <c r="M125" s="118">
        <v>18.778500000000001</v>
      </c>
      <c r="N125" s="54">
        <v>51887.804300000003</v>
      </c>
      <c r="O125" s="54">
        <v>159193.65640000001</v>
      </c>
      <c r="P125" s="54">
        <v>18.778500000000001</v>
      </c>
      <c r="Q125" s="35">
        <v>-7.9999999434221536E-4</v>
      </c>
      <c r="R125" s="103" cm="1">
        <f t="array" ref="R12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5" s="35">
        <v>-7.0000000414438546E-4</v>
      </c>
      <c r="T125" s="44" cm="1">
        <f t="array" ref="T12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5" s="35">
        <v>0</v>
      </c>
      <c r="V125" s="44" cm="1">
        <f t="array" ref="V12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5" s="101" t="s">
        <v>85</v>
      </c>
      <c r="AA125" s="105"/>
      <c r="AB125" s="1"/>
      <c r="AC125" s="1"/>
      <c r="AD125" s="1"/>
      <c r="AE125" s="1"/>
      <c r="AF125" s="1"/>
      <c r="AG125" s="4"/>
      <c r="AH125" s="4"/>
      <c r="AI125" s="4"/>
      <c r="AJ125" s="4"/>
      <c r="AK125" s="1"/>
      <c r="AL125" s="1"/>
      <c r="AM125" s="1"/>
    </row>
    <row r="126" spans="7:39" ht="14.25" customHeight="1" x14ac:dyDescent="0.2">
      <c r="G126" s="50">
        <v>45733.840277777781</v>
      </c>
      <c r="H126" s="101" t="s">
        <v>176</v>
      </c>
      <c r="I126" s="101" t="e">
        <f>_xlfn.XLOOKUP(ReportSummary___XYZ[[#This Row],[ID]],Table_Design[ID],Table_Design[Structure Name])</f>
        <v>#N/A</v>
      </c>
      <c r="J126" s="101" t="e">
        <f>_xlfn.XLOOKUP(ReportSummary___XYZ[[#This Row],[ID]],Table_Design[ID],Table_Design[Chainage '[m']])</f>
        <v>#N/A</v>
      </c>
      <c r="K126" s="118">
        <v>51890.969100000002</v>
      </c>
      <c r="L126" s="118">
        <v>159194.1177</v>
      </c>
      <c r="M126" s="118">
        <v>18.779</v>
      </c>
      <c r="N126" s="54">
        <v>51890.968200000003</v>
      </c>
      <c r="O126" s="54">
        <v>159194.11720000001</v>
      </c>
      <c r="P126" s="54">
        <v>18.779</v>
      </c>
      <c r="Q126" s="35">
        <v>-8.9999999909196049E-4</v>
      </c>
      <c r="R126" s="103" cm="1">
        <f t="array" ref="R12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6" s="35">
        <v>-4.999999946448952E-4</v>
      </c>
      <c r="T126" s="44" cm="1">
        <f t="array" ref="T12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6" s="35">
        <v>0</v>
      </c>
      <c r="V126" s="44" cm="1">
        <f t="array" ref="V12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6" s="101" t="s">
        <v>85</v>
      </c>
      <c r="AA126" s="105"/>
      <c r="AB126" s="1"/>
      <c r="AC126" s="1"/>
      <c r="AD126" s="1"/>
      <c r="AE126" s="1"/>
      <c r="AF126" s="1"/>
      <c r="AG126" s="4"/>
      <c r="AH126" s="4"/>
      <c r="AI126" s="4"/>
      <c r="AJ126" s="4"/>
      <c r="AK126" s="1"/>
      <c r="AL126" s="1"/>
      <c r="AM126" s="1"/>
    </row>
    <row r="127" spans="7:39" ht="14.25" customHeight="1" x14ac:dyDescent="0.2">
      <c r="G127" s="50">
        <v>45733.840277777781</v>
      </c>
      <c r="H127" s="101" t="s">
        <v>175</v>
      </c>
      <c r="I127" s="101" t="e">
        <f>_xlfn.XLOOKUP(ReportSummary___XYZ[[#This Row],[ID]],Table_Design[ID],Table_Design[Structure Name])</f>
        <v>#N/A</v>
      </c>
      <c r="J127" s="101" t="e">
        <f>_xlfn.XLOOKUP(ReportSummary___XYZ[[#This Row],[ID]],Table_Design[ID],Table_Design[Chainage '[m']])</f>
        <v>#N/A</v>
      </c>
      <c r="K127" s="118">
        <v>51890.606800000001</v>
      </c>
      <c r="L127" s="118">
        <v>159192.86069999999</v>
      </c>
      <c r="M127" s="118">
        <v>18.771999999999998</v>
      </c>
      <c r="N127" s="54">
        <v>51890.606399999997</v>
      </c>
      <c r="O127" s="54">
        <v>159192.8602</v>
      </c>
      <c r="P127" s="54">
        <v>18.771999999999998</v>
      </c>
      <c r="Q127" s="35">
        <v>-4.0000000444706529E-4</v>
      </c>
      <c r="R127" s="103" cm="1">
        <f t="array" ref="R12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7" s="35">
        <v>-4.999999946448952E-4</v>
      </c>
      <c r="T127" s="44" cm="1">
        <f t="array" ref="T12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7" s="35">
        <v>0</v>
      </c>
      <c r="V127" s="44" cm="1">
        <f t="array" ref="V12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7" s="101" t="s">
        <v>85</v>
      </c>
      <c r="AA127" s="105"/>
      <c r="AB127" s="1"/>
      <c r="AC127" s="1"/>
      <c r="AD127" s="1"/>
      <c r="AE127" s="1"/>
      <c r="AF127" s="1"/>
      <c r="AG127" s="4"/>
      <c r="AH127" s="4"/>
      <c r="AI127" s="4"/>
      <c r="AJ127" s="4"/>
      <c r="AK127" s="1"/>
      <c r="AL127" s="1"/>
      <c r="AM127" s="1"/>
    </row>
    <row r="128" spans="7:39" ht="14.25" customHeight="1" x14ac:dyDescent="0.2">
      <c r="G128" s="50">
        <v>45733.840277777781</v>
      </c>
      <c r="H128" s="101" t="s">
        <v>178</v>
      </c>
      <c r="I128" s="101" t="e">
        <f>_xlfn.XLOOKUP(ReportSummary___XYZ[[#This Row],[ID]],Table_Design[ID],Table_Design[Structure Name])</f>
        <v>#N/A</v>
      </c>
      <c r="J128" s="101" t="e">
        <f>_xlfn.XLOOKUP(ReportSummary___XYZ[[#This Row],[ID]],Table_Design[ID],Table_Design[Chainage '[m']])</f>
        <v>#N/A</v>
      </c>
      <c r="K128" s="118">
        <v>51893.758699999998</v>
      </c>
      <c r="L128" s="118">
        <v>159193.3144</v>
      </c>
      <c r="M128" s="118">
        <v>18.774100000000001</v>
      </c>
      <c r="N128" s="54">
        <v>51893.758199999997</v>
      </c>
      <c r="O128" s="54">
        <v>159193.31419999999</v>
      </c>
      <c r="P128" s="54">
        <v>18.7744</v>
      </c>
      <c r="Q128" s="35">
        <v>-5.0000000192085281E-4</v>
      </c>
      <c r="R128" s="103" cm="1">
        <f t="array" ref="R12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8" s="35">
        <v>-2.0000000949949026E-4</v>
      </c>
      <c r="T128" s="44" cm="1">
        <f t="array" ref="T12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8" s="35">
        <v>2.9999999999930083E-4</v>
      </c>
      <c r="V128" s="44" cm="1">
        <f t="array" ref="V12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8" s="101" t="s">
        <v>85</v>
      </c>
      <c r="AA128" s="105"/>
      <c r="AB128" s="1"/>
      <c r="AC128" s="1"/>
      <c r="AD128" s="1"/>
      <c r="AE128" s="1"/>
      <c r="AF128" s="1"/>
      <c r="AG128" s="4"/>
      <c r="AH128" s="4"/>
      <c r="AI128" s="4"/>
      <c r="AJ128" s="4"/>
      <c r="AK128" s="1"/>
      <c r="AL128" s="1"/>
      <c r="AM128" s="1"/>
    </row>
    <row r="129" spans="7:39" ht="14.25" customHeight="1" x14ac:dyDescent="0.2">
      <c r="G129" s="50">
        <v>45733.840277777781</v>
      </c>
      <c r="H129" s="101" t="s">
        <v>177</v>
      </c>
      <c r="I129" s="101" t="e">
        <f>_xlfn.XLOOKUP(ReportSummary___XYZ[[#This Row],[ID]],Table_Design[ID],Table_Design[Structure Name])</f>
        <v>#N/A</v>
      </c>
      <c r="J129" s="101" t="e">
        <f>_xlfn.XLOOKUP(ReportSummary___XYZ[[#This Row],[ID]],Table_Design[ID],Table_Design[Chainage '[m']])</f>
        <v>#N/A</v>
      </c>
      <c r="K129" s="118">
        <v>51893.441299999999</v>
      </c>
      <c r="L129" s="118">
        <v>159192.04019999999</v>
      </c>
      <c r="M129" s="118">
        <v>18.7683</v>
      </c>
      <c r="N129" s="54">
        <v>51893.440900000001</v>
      </c>
      <c r="O129" s="54">
        <v>159192.03969999999</v>
      </c>
      <c r="P129" s="54">
        <v>18.768999999999998</v>
      </c>
      <c r="Q129" s="35">
        <v>-3.9999999717110768E-4</v>
      </c>
      <c r="R129" s="103" cm="1">
        <f t="array" ref="R12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29" s="35">
        <v>-4.999999946448952E-4</v>
      </c>
      <c r="T129" s="44" cm="1">
        <f t="array" ref="T12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29" s="35">
        <v>6.9999999999836859E-4</v>
      </c>
      <c r="V129" s="44" cm="1">
        <f t="array" ref="V12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2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2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2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29" s="101" t="s">
        <v>85</v>
      </c>
      <c r="AA129" s="105"/>
      <c r="AB129" s="1"/>
      <c r="AC129" s="1"/>
      <c r="AD129" s="1"/>
      <c r="AE129" s="1"/>
      <c r="AF129" s="1"/>
      <c r="AG129" s="4"/>
      <c r="AH129" s="4"/>
      <c r="AI129" s="4"/>
      <c r="AJ129" s="4"/>
      <c r="AK129" s="1"/>
      <c r="AL129" s="1"/>
      <c r="AM129" s="1"/>
    </row>
    <row r="130" spans="7:39" ht="14.25" customHeight="1" x14ac:dyDescent="0.2">
      <c r="G130" s="50">
        <v>45733.840277777781</v>
      </c>
      <c r="H130" s="101" t="s">
        <v>180</v>
      </c>
      <c r="I130" s="101" t="e">
        <f>_xlfn.XLOOKUP(ReportSummary___XYZ[[#This Row],[ID]],Table_Design[ID],Table_Design[Structure Name])</f>
        <v>#N/A</v>
      </c>
      <c r="J130" s="101" t="e">
        <f>_xlfn.XLOOKUP(ReportSummary___XYZ[[#This Row],[ID]],Table_Design[ID],Table_Design[Chainage '[m']])</f>
        <v>#N/A</v>
      </c>
      <c r="K130" s="118">
        <v>51896.633300000001</v>
      </c>
      <c r="L130" s="118">
        <v>159192.48449999999</v>
      </c>
      <c r="M130" s="118">
        <v>18.7776</v>
      </c>
      <c r="N130" s="54">
        <v>51896.632899999997</v>
      </c>
      <c r="O130" s="54">
        <v>159192.48439999999</v>
      </c>
      <c r="P130" s="54">
        <v>18.777899999999999</v>
      </c>
      <c r="Q130" s="35">
        <v>-4.0000000444706529E-4</v>
      </c>
      <c r="R130" s="103" cm="1">
        <f t="array" ref="R13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0" s="35">
        <v>-1.0000000474974513E-4</v>
      </c>
      <c r="T130" s="44" cm="1">
        <f t="array" ref="T13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0" s="35">
        <v>2.9999999999930083E-4</v>
      </c>
      <c r="V130" s="44" cm="1">
        <f t="array" ref="V13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0" s="101" t="s">
        <v>85</v>
      </c>
      <c r="AA130" s="105"/>
      <c r="AB130" s="1"/>
      <c r="AC130" s="1"/>
      <c r="AD130" s="1"/>
      <c r="AE130" s="1"/>
      <c r="AF130" s="1"/>
      <c r="AG130" s="4"/>
      <c r="AH130" s="4"/>
      <c r="AI130" s="4"/>
      <c r="AJ130" s="4"/>
      <c r="AK130" s="1"/>
      <c r="AL130" s="1"/>
      <c r="AM130" s="1"/>
    </row>
    <row r="131" spans="7:39" ht="14.25" customHeight="1" x14ac:dyDescent="0.2">
      <c r="G131" s="50">
        <v>45733.840277777781</v>
      </c>
      <c r="H131" s="101" t="s">
        <v>179</v>
      </c>
      <c r="I131" s="101" t="e">
        <f>_xlfn.XLOOKUP(ReportSummary___XYZ[[#This Row],[ID]],Table_Design[ID],Table_Design[Structure Name])</f>
        <v>#N/A</v>
      </c>
      <c r="J131" s="101" t="e">
        <f>_xlfn.XLOOKUP(ReportSummary___XYZ[[#This Row],[ID]],Table_Design[ID],Table_Design[Chainage '[m']])</f>
        <v>#N/A</v>
      </c>
      <c r="K131" s="118">
        <v>51896.249799999998</v>
      </c>
      <c r="L131" s="118">
        <v>159191.22630000001</v>
      </c>
      <c r="M131" s="118">
        <v>18.7698</v>
      </c>
      <c r="N131" s="54">
        <v>51896.249300000003</v>
      </c>
      <c r="O131" s="54">
        <v>159191.22500000001</v>
      </c>
      <c r="P131" s="54">
        <v>18.770399999999999</v>
      </c>
      <c r="Q131" s="35">
        <v>-4.999999946448952E-4</v>
      </c>
      <c r="R131" s="103" cm="1">
        <f t="array" ref="R13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1" s="35">
        <v>-1.3000000035390258E-3</v>
      </c>
      <c r="T131" s="44" cm="1">
        <f t="array" ref="T13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1" s="35">
        <v>5.9999999999860165E-4</v>
      </c>
      <c r="V131" s="44" cm="1">
        <f t="array" ref="V13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1" s="101" t="s">
        <v>85</v>
      </c>
      <c r="AA131" s="105"/>
      <c r="AB131" s="1"/>
      <c r="AC131" s="1"/>
      <c r="AD131" s="1"/>
      <c r="AE131" s="1"/>
      <c r="AF131" s="1"/>
      <c r="AG131" s="4"/>
      <c r="AH131" s="4"/>
      <c r="AI131" s="4"/>
      <c r="AJ131" s="4"/>
      <c r="AK131" s="1"/>
      <c r="AL131" s="1"/>
      <c r="AM131" s="1"/>
    </row>
    <row r="132" spans="7:39" ht="14.25" customHeight="1" x14ac:dyDescent="0.2">
      <c r="G132" s="50">
        <v>45733.840277777781</v>
      </c>
      <c r="H132" s="101" t="s">
        <v>182</v>
      </c>
      <c r="I132" s="101" t="e">
        <f>_xlfn.XLOOKUP(ReportSummary___XYZ[[#This Row],[ID]],Table_Design[ID],Table_Design[Structure Name])</f>
        <v>#N/A</v>
      </c>
      <c r="J132" s="101" t="e">
        <f>_xlfn.XLOOKUP(ReportSummary___XYZ[[#This Row],[ID]],Table_Design[ID],Table_Design[Chainage '[m']])</f>
        <v>#N/A</v>
      </c>
      <c r="K132" s="118">
        <v>51899.398699999998</v>
      </c>
      <c r="L132" s="118">
        <v>159191.69760000001</v>
      </c>
      <c r="M132" s="118">
        <v>18.777999999999999</v>
      </c>
      <c r="N132" s="54">
        <v>51899.398200000003</v>
      </c>
      <c r="O132" s="54">
        <v>159191.69769999999</v>
      </c>
      <c r="P132" s="54">
        <v>18.778099999999998</v>
      </c>
      <c r="Q132" s="35">
        <v>-4.999999946448952E-4</v>
      </c>
      <c r="R132" s="103" cm="1">
        <f t="array" ref="R13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2" s="35">
        <v>9.9999975645914674E-5</v>
      </c>
      <c r="T132" s="44" cm="1">
        <f t="array" ref="T13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2" s="35">
        <v>9.9999999999766942E-5</v>
      </c>
      <c r="V132" s="44" cm="1">
        <f t="array" ref="V13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2" s="101" t="s">
        <v>85</v>
      </c>
      <c r="AA132" s="105"/>
      <c r="AB132" s="1"/>
      <c r="AC132" s="1"/>
      <c r="AD132" s="1"/>
      <c r="AE132" s="1"/>
      <c r="AF132" s="1"/>
      <c r="AG132" s="4"/>
      <c r="AH132" s="4"/>
      <c r="AI132" s="4"/>
      <c r="AJ132" s="4"/>
      <c r="AK132" s="1"/>
      <c r="AL132" s="1"/>
      <c r="AM132" s="1"/>
    </row>
    <row r="133" spans="7:39" ht="14.25" customHeight="1" x14ac:dyDescent="0.2">
      <c r="G133" s="50">
        <v>45733.840277777781</v>
      </c>
      <c r="H133" s="101" t="s">
        <v>181</v>
      </c>
      <c r="I133" s="101" t="e">
        <f>_xlfn.XLOOKUP(ReportSummary___XYZ[[#This Row],[ID]],Table_Design[ID],Table_Design[Structure Name])</f>
        <v>#N/A</v>
      </c>
      <c r="J133" s="101" t="e">
        <f>_xlfn.XLOOKUP(ReportSummary___XYZ[[#This Row],[ID]],Table_Design[ID],Table_Design[Chainage '[m']])</f>
        <v>#N/A</v>
      </c>
      <c r="K133" s="118">
        <v>51899.041100000002</v>
      </c>
      <c r="L133" s="118">
        <v>159190.43340000001</v>
      </c>
      <c r="M133" s="118">
        <v>18.771100000000001</v>
      </c>
      <c r="N133" s="54">
        <v>51899.040300000001</v>
      </c>
      <c r="O133" s="54">
        <v>159190.4332</v>
      </c>
      <c r="P133" s="54">
        <v>18.7712</v>
      </c>
      <c r="Q133" s="35">
        <v>-8.0000000161817297E-4</v>
      </c>
      <c r="R133" s="103" cm="1">
        <f t="array" ref="R13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3" s="35">
        <v>-2.0000000949949026E-4</v>
      </c>
      <c r="T133" s="44" cm="1">
        <f t="array" ref="T13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3" s="35">
        <v>9.9999999999766942E-5</v>
      </c>
      <c r="V133" s="44" cm="1">
        <f t="array" ref="V13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3" s="101" t="s">
        <v>85</v>
      </c>
      <c r="AA133" s="105"/>
      <c r="AB133" s="1"/>
      <c r="AC133" s="1"/>
      <c r="AD133" s="1"/>
      <c r="AE133" s="1"/>
      <c r="AF133" s="1"/>
      <c r="AG133" s="4"/>
      <c r="AH133" s="4"/>
      <c r="AI133" s="4"/>
      <c r="AJ133" s="4"/>
      <c r="AK133" s="1"/>
      <c r="AL133" s="1"/>
      <c r="AM133" s="1"/>
    </row>
    <row r="134" spans="7:39" ht="14.25" customHeight="1" x14ac:dyDescent="0.2">
      <c r="G134" s="50">
        <v>45733.840277777781</v>
      </c>
      <c r="H134" s="101" t="s">
        <v>184</v>
      </c>
      <c r="I134" s="101" t="e">
        <f>_xlfn.XLOOKUP(ReportSummary___XYZ[[#This Row],[ID]],Table_Design[ID],Table_Design[Structure Name])</f>
        <v>#N/A</v>
      </c>
      <c r="J134" s="101" t="e">
        <f>_xlfn.XLOOKUP(ReportSummary___XYZ[[#This Row],[ID]],Table_Design[ID],Table_Design[Chainage '[m']])</f>
        <v>#N/A</v>
      </c>
      <c r="K134" s="118">
        <v>51902.292699999998</v>
      </c>
      <c r="L134" s="118">
        <v>159190.88459999999</v>
      </c>
      <c r="M134" s="118">
        <v>18.779</v>
      </c>
      <c r="N134" s="54">
        <v>51902.292099999999</v>
      </c>
      <c r="O134" s="54">
        <v>159190.8849</v>
      </c>
      <c r="P134" s="54">
        <v>18.7789</v>
      </c>
      <c r="Q134" s="35">
        <v>-5.9999999939464033E-4</v>
      </c>
      <c r="R134" s="103" cm="1">
        <f t="array" ref="R13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4" s="35">
        <v>3.0000001424923539E-4</v>
      </c>
      <c r="T134" s="44" cm="1">
        <f t="array" ref="T13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4" s="35">
        <v>-9.9999999999766942E-5</v>
      </c>
      <c r="V134" s="44" cm="1">
        <f t="array" ref="V13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4" s="101" t="s">
        <v>85</v>
      </c>
      <c r="AA134" s="105"/>
      <c r="AB134" s="1"/>
      <c r="AC134" s="1"/>
      <c r="AD134" s="1"/>
      <c r="AE134" s="1"/>
      <c r="AF134" s="1"/>
      <c r="AG134" s="4"/>
      <c r="AH134" s="4"/>
      <c r="AI134" s="4"/>
      <c r="AJ134" s="4"/>
      <c r="AK134" s="1"/>
      <c r="AL134" s="1"/>
      <c r="AM134" s="1"/>
    </row>
    <row r="135" spans="7:39" ht="14.25" customHeight="1" x14ac:dyDescent="0.2">
      <c r="G135" s="50">
        <v>45733.840277777781</v>
      </c>
      <c r="H135" s="101" t="s">
        <v>183</v>
      </c>
      <c r="I135" s="101" t="e">
        <f>_xlfn.XLOOKUP(ReportSummary___XYZ[[#This Row],[ID]],Table_Design[ID],Table_Design[Structure Name])</f>
        <v>#N/A</v>
      </c>
      <c r="J135" s="101" t="e">
        <f>_xlfn.XLOOKUP(ReportSummary___XYZ[[#This Row],[ID]],Table_Design[ID],Table_Design[Chainage '[m']])</f>
        <v>#N/A</v>
      </c>
      <c r="K135" s="118">
        <v>51901.989200000004</v>
      </c>
      <c r="L135" s="118">
        <v>159189.60260000001</v>
      </c>
      <c r="M135" s="118">
        <v>18.770099999999999</v>
      </c>
      <c r="N135" s="54">
        <v>51901.988599999997</v>
      </c>
      <c r="O135" s="54">
        <v>159189.60279999999</v>
      </c>
      <c r="P135" s="54">
        <v>18.770199999999999</v>
      </c>
      <c r="Q135" s="35">
        <v>-6.0000000667059794E-4</v>
      </c>
      <c r="R135" s="103" cm="1">
        <f t="array" ref="R13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5" s="35">
        <v>1.999999803956598E-4</v>
      </c>
      <c r="T135" s="44" cm="1">
        <f t="array" ref="T13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5" s="35">
        <v>9.9999999999766942E-5</v>
      </c>
      <c r="V135" s="44" cm="1">
        <f t="array" ref="V13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5" s="101" t="s">
        <v>85</v>
      </c>
      <c r="AA135" s="105"/>
      <c r="AB135" s="1"/>
      <c r="AC135" s="1"/>
      <c r="AD135" s="1"/>
      <c r="AE135" s="1"/>
      <c r="AF135" s="1"/>
      <c r="AG135" s="4"/>
      <c r="AH135" s="4"/>
      <c r="AI135" s="4"/>
      <c r="AJ135" s="4"/>
      <c r="AK135" s="1"/>
      <c r="AL135" s="1"/>
      <c r="AM135" s="1"/>
    </row>
    <row r="136" spans="7:39" ht="14.25" customHeight="1" x14ac:dyDescent="0.2">
      <c r="G136" s="50">
        <v>45733.840277777781</v>
      </c>
      <c r="H136" s="101" t="s">
        <v>186</v>
      </c>
      <c r="I136" s="101" t="e">
        <f>_xlfn.XLOOKUP(ReportSummary___XYZ[[#This Row],[ID]],Table_Design[ID],Table_Design[Structure Name])</f>
        <v>#N/A</v>
      </c>
      <c r="J136" s="101" t="e">
        <f>_xlfn.XLOOKUP(ReportSummary___XYZ[[#This Row],[ID]],Table_Design[ID],Table_Design[Chainage '[m']])</f>
        <v>#N/A</v>
      </c>
      <c r="K136" s="118">
        <v>51905.196199999998</v>
      </c>
      <c r="L136" s="118">
        <v>159190.09460000001</v>
      </c>
      <c r="M136" s="118">
        <v>18.780899999999999</v>
      </c>
      <c r="N136" s="54">
        <v>51905.195599999999</v>
      </c>
      <c r="O136" s="54">
        <v>159190.0949</v>
      </c>
      <c r="P136" s="54">
        <v>18.7807</v>
      </c>
      <c r="Q136" s="35">
        <v>-5.9999999939464033E-4</v>
      </c>
      <c r="R136" s="103" cm="1">
        <f t="array" ref="R13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6" s="35">
        <v>2.9999998514540493E-4</v>
      </c>
      <c r="T136" s="44" cm="1">
        <f t="array" ref="T13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6" s="35">
        <v>-1.9999999999953388E-4</v>
      </c>
      <c r="V136" s="44" cm="1">
        <f t="array" ref="V13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6" s="101" t="s">
        <v>85</v>
      </c>
      <c r="AA136" s="105"/>
      <c r="AB136" s="1"/>
      <c r="AC136" s="1"/>
      <c r="AD136" s="1"/>
      <c r="AE136" s="1"/>
      <c r="AF136" s="1"/>
      <c r="AG136" s="4"/>
      <c r="AH136" s="4"/>
      <c r="AI136" s="4"/>
      <c r="AJ136" s="4"/>
      <c r="AK136" s="1"/>
      <c r="AL136" s="1"/>
      <c r="AM136" s="1"/>
    </row>
    <row r="137" spans="7:39" ht="14.25" customHeight="1" x14ac:dyDescent="0.2">
      <c r="G137" s="50">
        <v>45733.840277777781</v>
      </c>
      <c r="H137" s="101" t="s">
        <v>185</v>
      </c>
      <c r="I137" s="101" t="e">
        <f>_xlfn.XLOOKUP(ReportSummary___XYZ[[#This Row],[ID]],Table_Design[ID],Table_Design[Structure Name])</f>
        <v>#N/A</v>
      </c>
      <c r="J137" s="101" t="e">
        <f>_xlfn.XLOOKUP(ReportSummary___XYZ[[#This Row],[ID]],Table_Design[ID],Table_Design[Chainage '[m']])</f>
        <v>#N/A</v>
      </c>
      <c r="K137" s="118">
        <v>51904.885600000001</v>
      </c>
      <c r="L137" s="118">
        <v>159188.8046</v>
      </c>
      <c r="M137" s="118">
        <v>18.773099999999999</v>
      </c>
      <c r="N137" s="54">
        <v>51904.884899999997</v>
      </c>
      <c r="O137" s="54">
        <v>159188.80480000001</v>
      </c>
      <c r="P137" s="54">
        <v>18.773299999999999</v>
      </c>
      <c r="Q137" s="35">
        <v>-7.0000000414438546E-4</v>
      </c>
      <c r="R137" s="103" cm="1">
        <f t="array" ref="R13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7" s="35">
        <v>2.0000000949949026E-4</v>
      </c>
      <c r="T137" s="44" cm="1">
        <f t="array" ref="T13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7" s="35">
        <v>1.9999999999953388E-4</v>
      </c>
      <c r="V137" s="44" cm="1">
        <f t="array" ref="V13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7" s="101" t="s">
        <v>85</v>
      </c>
      <c r="AA137" s="105"/>
      <c r="AB137" s="1"/>
      <c r="AC137" s="1"/>
      <c r="AD137" s="1"/>
      <c r="AE137" s="1"/>
      <c r="AF137" s="1"/>
      <c r="AG137" s="4"/>
      <c r="AH137" s="4"/>
      <c r="AI137" s="4"/>
      <c r="AJ137" s="4"/>
      <c r="AK137" s="1"/>
      <c r="AL137" s="1"/>
      <c r="AM137" s="1"/>
    </row>
    <row r="138" spans="7:39" ht="14.25" customHeight="1" x14ac:dyDescent="0.2">
      <c r="G138" s="50">
        <v>45733.840277777781</v>
      </c>
      <c r="H138" s="101" t="s">
        <v>188</v>
      </c>
      <c r="I138" s="101" t="e">
        <f>_xlfn.XLOOKUP(ReportSummary___XYZ[[#This Row],[ID]],Table_Design[ID],Table_Design[Structure Name])</f>
        <v>#N/A</v>
      </c>
      <c r="J138" s="101" t="e">
        <f>_xlfn.XLOOKUP(ReportSummary___XYZ[[#This Row],[ID]],Table_Design[ID],Table_Design[Chainage '[m']])</f>
        <v>#N/A</v>
      </c>
      <c r="K138" s="118">
        <v>51907.9522</v>
      </c>
      <c r="L138" s="118">
        <v>159189.36230000001</v>
      </c>
      <c r="M138" s="118">
        <v>18.786000000000001</v>
      </c>
      <c r="N138" s="54">
        <v>51907.9516</v>
      </c>
      <c r="O138" s="54">
        <v>159189.3628</v>
      </c>
      <c r="P138" s="54">
        <v>18.786000000000001</v>
      </c>
      <c r="Q138" s="35">
        <v>-5.9999999939464033E-4</v>
      </c>
      <c r="R138" s="103" cm="1">
        <f t="array" ref="R13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8" s="35">
        <v>4.999999946448952E-4</v>
      </c>
      <c r="T138" s="44" cm="1">
        <f t="array" ref="T13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8" s="35">
        <v>0</v>
      </c>
      <c r="V138" s="44" cm="1">
        <f t="array" ref="V13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8" s="101" t="s">
        <v>85</v>
      </c>
      <c r="AA138" s="105"/>
      <c r="AB138" s="1"/>
      <c r="AC138" s="1"/>
      <c r="AD138" s="1"/>
      <c r="AE138" s="1"/>
      <c r="AF138" s="1"/>
      <c r="AG138" s="4"/>
      <c r="AH138" s="4"/>
      <c r="AI138" s="4"/>
      <c r="AJ138" s="4"/>
      <c r="AK138" s="1"/>
      <c r="AL138" s="1"/>
      <c r="AM138" s="1"/>
    </row>
    <row r="139" spans="7:39" ht="14.25" customHeight="1" x14ac:dyDescent="0.2">
      <c r="G139" s="50">
        <v>45733.840277777781</v>
      </c>
      <c r="H139" s="101" t="s">
        <v>187</v>
      </c>
      <c r="I139" s="101" t="e">
        <f>_xlfn.XLOOKUP(ReportSummary___XYZ[[#This Row],[ID]],Table_Design[ID],Table_Design[Structure Name])</f>
        <v>#N/A</v>
      </c>
      <c r="J139" s="101" t="e">
        <f>_xlfn.XLOOKUP(ReportSummary___XYZ[[#This Row],[ID]],Table_Design[ID],Table_Design[Chainage '[m']])</f>
        <v>#N/A</v>
      </c>
      <c r="K139" s="118">
        <v>51907.578699999998</v>
      </c>
      <c r="L139" s="118">
        <v>159188.09770000001</v>
      </c>
      <c r="M139" s="118">
        <v>18.776</v>
      </c>
      <c r="N139" s="54">
        <v>51907.578099999999</v>
      </c>
      <c r="O139" s="54">
        <v>159188.09820000001</v>
      </c>
      <c r="P139" s="54">
        <v>18.7761</v>
      </c>
      <c r="Q139" s="35">
        <v>-5.9999999939464033E-4</v>
      </c>
      <c r="R139" s="103" cm="1">
        <f t="array" ref="R13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39" s="35">
        <v>4.999999946448952E-4</v>
      </c>
      <c r="T139" s="44" cm="1">
        <f t="array" ref="T13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39" s="35">
        <v>9.9999999999766942E-5</v>
      </c>
      <c r="V139" s="44" cm="1">
        <f t="array" ref="V13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3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3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3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39" s="101" t="s">
        <v>85</v>
      </c>
      <c r="AA139" s="105"/>
      <c r="AB139" s="1"/>
      <c r="AC139" s="1"/>
      <c r="AD139" s="1"/>
      <c r="AE139" s="1"/>
      <c r="AF139" s="1"/>
      <c r="AG139" s="4"/>
      <c r="AH139" s="4"/>
      <c r="AI139" s="4"/>
      <c r="AJ139" s="4"/>
      <c r="AK139" s="1"/>
      <c r="AL139" s="1"/>
      <c r="AM139" s="1"/>
    </row>
    <row r="140" spans="7:39" ht="14.25" customHeight="1" x14ac:dyDescent="0.2">
      <c r="G140" s="50">
        <v>45733.840277777781</v>
      </c>
      <c r="H140" s="101" t="s">
        <v>190</v>
      </c>
      <c r="I140" s="101" t="e">
        <f>_xlfn.XLOOKUP(ReportSummary___XYZ[[#This Row],[ID]],Table_Design[ID],Table_Design[Structure Name])</f>
        <v>#N/A</v>
      </c>
      <c r="J140" s="101" t="e">
        <f>_xlfn.XLOOKUP(ReportSummary___XYZ[[#This Row],[ID]],Table_Design[ID],Table_Design[Chainage '[m']])</f>
        <v>#N/A</v>
      </c>
      <c r="K140" s="118">
        <v>51910.962800000001</v>
      </c>
      <c r="L140" s="118">
        <v>159188.60079999999</v>
      </c>
      <c r="M140" s="118">
        <v>18.794599999999999</v>
      </c>
      <c r="N140" s="54">
        <v>51910.962299999999</v>
      </c>
      <c r="O140" s="54">
        <v>159188.60130000001</v>
      </c>
      <c r="P140" s="54">
        <v>18.794699999999999</v>
      </c>
      <c r="Q140" s="35">
        <v>-5.0000000192085281E-4</v>
      </c>
      <c r="R140" s="103" cm="1">
        <f t="array" ref="R14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0" s="35">
        <v>5.0000002374872565E-4</v>
      </c>
      <c r="T140" s="44" cm="1">
        <f t="array" ref="T14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0" s="35">
        <v>9.9999999999766942E-5</v>
      </c>
      <c r="V140" s="44" cm="1">
        <f t="array" ref="V14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0" s="101" t="s">
        <v>85</v>
      </c>
      <c r="AA140" s="105"/>
      <c r="AB140" s="1"/>
      <c r="AC140" s="1"/>
      <c r="AD140" s="1"/>
      <c r="AE140" s="1"/>
      <c r="AF140" s="1"/>
      <c r="AG140" s="4"/>
      <c r="AH140" s="4"/>
      <c r="AI140" s="4"/>
      <c r="AJ140" s="4"/>
      <c r="AK140" s="1"/>
      <c r="AL140" s="1"/>
      <c r="AM140" s="1"/>
    </row>
    <row r="141" spans="7:39" ht="14.25" customHeight="1" x14ac:dyDescent="0.2">
      <c r="G141" s="50">
        <v>45733.840277777781</v>
      </c>
      <c r="H141" s="101" t="s">
        <v>189</v>
      </c>
      <c r="I141" s="101" t="e">
        <f>_xlfn.XLOOKUP(ReportSummary___XYZ[[#This Row],[ID]],Table_Design[ID],Table_Design[Structure Name])</f>
        <v>#N/A</v>
      </c>
      <c r="J141" s="101" t="e">
        <f>_xlfn.XLOOKUP(ReportSummary___XYZ[[#This Row],[ID]],Table_Design[ID],Table_Design[Chainage '[m']])</f>
        <v>#N/A</v>
      </c>
      <c r="K141" s="118">
        <v>51910.640099999997</v>
      </c>
      <c r="L141" s="118">
        <v>159187.3223</v>
      </c>
      <c r="M141" s="118">
        <v>18.7836</v>
      </c>
      <c r="N141" s="54">
        <v>51910.6394</v>
      </c>
      <c r="O141" s="54">
        <v>159187.32279999999</v>
      </c>
      <c r="P141" s="54">
        <v>18.783799999999999</v>
      </c>
      <c r="Q141" s="35">
        <v>-6.9999999686842784E-4</v>
      </c>
      <c r="R141" s="103" cm="1">
        <f t="array" ref="R14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1" s="35">
        <v>4.999999946448952E-4</v>
      </c>
      <c r="T141" s="44" cm="1">
        <f t="array" ref="T14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1" s="35">
        <v>1.9999999999953388E-4</v>
      </c>
      <c r="V141" s="44" cm="1">
        <f t="array" ref="V14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1" s="101" t="s">
        <v>85</v>
      </c>
      <c r="AA141" s="105"/>
      <c r="AB141" s="1"/>
      <c r="AC141" s="1"/>
      <c r="AD141" s="1"/>
      <c r="AE141" s="1"/>
      <c r="AF141" s="1"/>
      <c r="AG141" s="4"/>
      <c r="AH141" s="4"/>
      <c r="AI141" s="4"/>
      <c r="AJ141" s="4"/>
      <c r="AK141" s="1"/>
      <c r="AL141" s="1"/>
      <c r="AM141" s="1"/>
    </row>
    <row r="142" spans="7:39" ht="14.25" customHeight="1" x14ac:dyDescent="0.2">
      <c r="G142" s="50">
        <v>45733.840277777781</v>
      </c>
      <c r="H142" s="101" t="s">
        <v>192</v>
      </c>
      <c r="I142" s="101" t="e">
        <f>_xlfn.XLOOKUP(ReportSummary___XYZ[[#This Row],[ID]],Table_Design[ID],Table_Design[Structure Name])</f>
        <v>#N/A</v>
      </c>
      <c r="J142" s="101" t="e">
        <f>_xlfn.XLOOKUP(ReportSummary___XYZ[[#This Row],[ID]],Table_Design[ID],Table_Design[Chainage '[m']])</f>
        <v>#N/A</v>
      </c>
      <c r="K142" s="118">
        <v>51913.751100000001</v>
      </c>
      <c r="L142" s="118">
        <v>159187.9178</v>
      </c>
      <c r="M142" s="118">
        <v>18.809000000000001</v>
      </c>
      <c r="N142" s="54">
        <v>51913.7503</v>
      </c>
      <c r="O142" s="54">
        <v>159187.9184</v>
      </c>
      <c r="P142" s="54">
        <v>18.809000000000001</v>
      </c>
      <c r="Q142" s="35">
        <v>-8.0000000161817297E-4</v>
      </c>
      <c r="R142" s="103" cm="1">
        <f t="array" ref="R14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2" s="35">
        <v>5.9999999939464033E-4</v>
      </c>
      <c r="T142" s="44" cm="1">
        <f t="array" ref="T14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2" s="35">
        <v>0</v>
      </c>
      <c r="V142" s="44" cm="1">
        <f t="array" ref="V14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2" s="101" t="s">
        <v>85</v>
      </c>
      <c r="AA142" s="105"/>
      <c r="AB142" s="1"/>
      <c r="AC142" s="1"/>
      <c r="AD142" s="1"/>
      <c r="AE142" s="1"/>
      <c r="AF142" s="1"/>
      <c r="AG142" s="4"/>
      <c r="AH142" s="4"/>
      <c r="AI142" s="4"/>
      <c r="AJ142" s="4"/>
      <c r="AK142" s="1"/>
      <c r="AL142" s="1"/>
      <c r="AM142" s="1"/>
    </row>
    <row r="143" spans="7:39" ht="14.25" customHeight="1" x14ac:dyDescent="0.2">
      <c r="G143" s="50">
        <v>45733.840277777781</v>
      </c>
      <c r="H143" s="101" t="s">
        <v>191</v>
      </c>
      <c r="I143" s="101" t="e">
        <f>_xlfn.XLOOKUP(ReportSummary___XYZ[[#This Row],[ID]],Table_Design[ID],Table_Design[Structure Name])</f>
        <v>#N/A</v>
      </c>
      <c r="J143" s="101" t="e">
        <f>_xlfn.XLOOKUP(ReportSummary___XYZ[[#This Row],[ID]],Table_Design[ID],Table_Design[Chainage '[m']])</f>
        <v>#N/A</v>
      </c>
      <c r="K143" s="118">
        <v>51913.421499999997</v>
      </c>
      <c r="L143" s="118">
        <v>159186.63630000001</v>
      </c>
      <c r="M143" s="118">
        <v>18.794899999999998</v>
      </c>
      <c r="N143" s="54">
        <v>51913.4205</v>
      </c>
      <c r="O143" s="54">
        <v>159186.63680000001</v>
      </c>
      <c r="P143" s="54">
        <v>18.794799999999999</v>
      </c>
      <c r="Q143" s="35">
        <v>-9.9999999656574801E-4</v>
      </c>
      <c r="R143" s="103" cm="1">
        <f t="array" ref="R14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3" s="35">
        <v>4.999999946448952E-4</v>
      </c>
      <c r="T143" s="44" cm="1">
        <f t="array" ref="T14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3" s="35">
        <v>-9.9999999999766942E-5</v>
      </c>
      <c r="V143" s="44" cm="1">
        <f t="array" ref="V14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3" s="101" t="s">
        <v>85</v>
      </c>
      <c r="AA143" s="105"/>
      <c r="AB143" s="1"/>
      <c r="AC143" s="1"/>
      <c r="AD143" s="1"/>
      <c r="AE143" s="1"/>
      <c r="AF143" s="1"/>
      <c r="AG143" s="4"/>
      <c r="AH143" s="4"/>
      <c r="AI143" s="4"/>
      <c r="AJ143" s="4"/>
      <c r="AK143" s="1"/>
      <c r="AL143" s="1"/>
      <c r="AM143" s="1"/>
    </row>
    <row r="144" spans="7:39" ht="14.25" customHeight="1" x14ac:dyDescent="0.2">
      <c r="G144" s="50">
        <v>45721.395833333336</v>
      </c>
      <c r="H144" s="101" t="s">
        <v>172</v>
      </c>
      <c r="I144" s="101" t="e">
        <f>_xlfn.XLOOKUP(ReportSummary___XYZ[[#This Row],[ID]],Table_Design[ID],Table_Design[Structure Name])</f>
        <v>#N/A</v>
      </c>
      <c r="J144" s="101" t="e">
        <f>_xlfn.XLOOKUP(ReportSummary___XYZ[[#This Row],[ID]],Table_Design[ID],Table_Design[Chainage '[m']])</f>
        <v>#N/A</v>
      </c>
      <c r="K144" s="118">
        <v>51885.34</v>
      </c>
      <c r="L144" s="118">
        <v>159195.739</v>
      </c>
      <c r="M144" s="118">
        <v>18.782</v>
      </c>
      <c r="N144" s="54">
        <v>51885.339</v>
      </c>
      <c r="O144" s="54">
        <v>159195.74</v>
      </c>
      <c r="P144" s="54">
        <v>18.782</v>
      </c>
      <c r="Q144" s="35">
        <v>-9.9999999656574801E-4</v>
      </c>
      <c r="R144" s="103" cm="1">
        <f t="array" ref="R14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4" s="35">
        <v>9.9999998928979039E-4</v>
      </c>
      <c r="T144" s="44" cm="1">
        <f t="array" ref="T14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4" s="35">
        <v>0</v>
      </c>
      <c r="V144" s="44" cm="1">
        <f t="array" ref="V14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4" s="101" t="s">
        <v>86</v>
      </c>
      <c r="AA144" s="105"/>
      <c r="AB144" s="1"/>
      <c r="AC144" s="1"/>
      <c r="AD144" s="1"/>
      <c r="AE144" s="1"/>
      <c r="AF144" s="1"/>
      <c r="AG144" s="4"/>
      <c r="AH144" s="4"/>
      <c r="AI144" s="4"/>
      <c r="AJ144" s="4"/>
      <c r="AK144" s="1"/>
      <c r="AL144" s="1"/>
      <c r="AM144" s="1"/>
    </row>
    <row r="145" spans="7:39" ht="14.25" customHeight="1" x14ac:dyDescent="0.2">
      <c r="G145" s="50">
        <v>45721.395833333336</v>
      </c>
      <c r="H145" s="101" t="s">
        <v>171</v>
      </c>
      <c r="I145" s="101" t="e">
        <f>_xlfn.XLOOKUP(ReportSummary___XYZ[[#This Row],[ID]],Table_Design[ID],Table_Design[Structure Name])</f>
        <v>#N/A</v>
      </c>
      <c r="J145" s="101" t="e">
        <f>_xlfn.XLOOKUP(ReportSummary___XYZ[[#This Row],[ID]],Table_Design[ID],Table_Design[Chainage '[m']])</f>
        <v>#N/A</v>
      </c>
      <c r="K145" s="118">
        <v>51884.958899999998</v>
      </c>
      <c r="L145" s="118">
        <v>159194.47070000001</v>
      </c>
      <c r="M145" s="118">
        <v>18.778099999999998</v>
      </c>
      <c r="N145" s="54">
        <v>51884.957999999999</v>
      </c>
      <c r="O145" s="54">
        <v>159194.47200000001</v>
      </c>
      <c r="P145" s="54">
        <v>18.777999999999999</v>
      </c>
      <c r="Q145" s="35">
        <v>-8.9999999909196049E-4</v>
      </c>
      <c r="R145" s="103" cm="1">
        <f t="array" ref="R14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5" s="35">
        <v>1.3000000035390258E-3</v>
      </c>
      <c r="T145" s="44" cm="1">
        <f t="array" ref="T14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5" s="35">
        <v>-9.9999999999766942E-5</v>
      </c>
      <c r="V145" s="44" cm="1">
        <f t="array" ref="V14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5" s="101" t="s">
        <v>86</v>
      </c>
      <c r="AA145" s="105"/>
      <c r="AB145" s="1"/>
      <c r="AC145" s="1"/>
      <c r="AD145" s="1"/>
      <c r="AE145" s="1"/>
      <c r="AF145" s="1"/>
      <c r="AG145" s="4"/>
      <c r="AH145" s="4"/>
      <c r="AI145" s="4"/>
      <c r="AJ145" s="4"/>
      <c r="AK145" s="1"/>
      <c r="AL145" s="1"/>
      <c r="AM145" s="1"/>
    </row>
    <row r="146" spans="7:39" ht="14.25" customHeight="1" x14ac:dyDescent="0.2">
      <c r="G146" s="50">
        <v>45721.395833333336</v>
      </c>
      <c r="H146" s="101" t="s">
        <v>174</v>
      </c>
      <c r="I146" s="101" t="e">
        <f>_xlfn.XLOOKUP(ReportSummary___XYZ[[#This Row],[ID]],Table_Design[ID],Table_Design[Structure Name])</f>
        <v>#N/A</v>
      </c>
      <c r="J146" s="101" t="e">
        <f>_xlfn.XLOOKUP(ReportSummary___XYZ[[#This Row],[ID]],Table_Design[ID],Table_Design[Chainage '[m']])</f>
        <v>#N/A</v>
      </c>
      <c r="K146" s="118">
        <v>51888.117700000003</v>
      </c>
      <c r="L146" s="118">
        <v>159194.94529999999</v>
      </c>
      <c r="M146" s="118">
        <v>18.7788</v>
      </c>
      <c r="N146" s="54">
        <v>51888.116999999998</v>
      </c>
      <c r="O146" s="54">
        <v>159194.946</v>
      </c>
      <c r="P146" s="54">
        <v>18.779</v>
      </c>
      <c r="Q146" s="35">
        <v>-7.0000000414438546E-4</v>
      </c>
      <c r="R146" s="103" cm="1">
        <f t="array" ref="R14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6" s="35">
        <v>7.0000000414438546E-4</v>
      </c>
      <c r="T146" s="44" cm="1">
        <f t="array" ref="T14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6" s="35">
        <v>1.9999999999953388E-4</v>
      </c>
      <c r="V146" s="44" cm="1">
        <f t="array" ref="V14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6" s="101" t="s">
        <v>86</v>
      </c>
      <c r="AA146" s="105"/>
      <c r="AB146" s="1"/>
      <c r="AC146" s="1"/>
      <c r="AD146" s="1"/>
      <c r="AE146" s="1"/>
      <c r="AF146" s="1"/>
      <c r="AG146" s="4"/>
      <c r="AH146" s="4"/>
      <c r="AI146" s="4"/>
      <c r="AJ146" s="4"/>
      <c r="AK146" s="1"/>
      <c r="AL146" s="1"/>
      <c r="AM146" s="1"/>
    </row>
    <row r="147" spans="7:39" ht="14.25" customHeight="1" x14ac:dyDescent="0.2">
      <c r="G147" s="50">
        <v>45721.395833333336</v>
      </c>
      <c r="H147" s="101" t="s">
        <v>173</v>
      </c>
      <c r="I147" s="101" t="e">
        <f>_xlfn.XLOOKUP(ReportSummary___XYZ[[#This Row],[ID]],Table_Design[ID],Table_Design[Structure Name])</f>
        <v>#N/A</v>
      </c>
      <c r="J147" s="101" t="e">
        <f>_xlfn.XLOOKUP(ReportSummary___XYZ[[#This Row],[ID]],Table_Design[ID],Table_Design[Chainage '[m']])</f>
        <v>#N/A</v>
      </c>
      <c r="K147" s="118">
        <v>51887.805099999998</v>
      </c>
      <c r="L147" s="118">
        <v>159193.65710000001</v>
      </c>
      <c r="M147" s="118">
        <v>18.778500000000001</v>
      </c>
      <c r="N147" s="54">
        <v>51887.803999999996</v>
      </c>
      <c r="O147" s="54">
        <v>159193.658</v>
      </c>
      <c r="P147" s="54">
        <v>18.777999999999999</v>
      </c>
      <c r="Q147" s="35">
        <v>-1.1000000013154931E-3</v>
      </c>
      <c r="R147" s="103" cm="1">
        <f t="array" ref="R14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7" s="35">
        <v>8.9999998454004526E-4</v>
      </c>
      <c r="T147" s="44" cm="1">
        <f t="array" ref="T14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7" s="35">
        <v>-5.0000000000238742E-4</v>
      </c>
      <c r="V147" s="44" cm="1">
        <f t="array" ref="V14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7" s="101" t="s">
        <v>86</v>
      </c>
      <c r="AA147" s="105"/>
      <c r="AB147" s="1"/>
      <c r="AC147" s="1"/>
      <c r="AD147" s="1"/>
      <c r="AE147" s="1"/>
      <c r="AF147" s="1"/>
      <c r="AG147" s="4"/>
      <c r="AH147" s="4"/>
      <c r="AI147" s="4"/>
      <c r="AJ147" s="4"/>
      <c r="AK147" s="1"/>
      <c r="AL147" s="1"/>
      <c r="AM147" s="1"/>
    </row>
    <row r="148" spans="7:39" ht="14.25" customHeight="1" x14ac:dyDescent="0.2">
      <c r="G148" s="50">
        <v>45721.395833333336</v>
      </c>
      <c r="H148" s="101" t="s">
        <v>176</v>
      </c>
      <c r="I148" s="101" t="e">
        <f>_xlfn.XLOOKUP(ReportSummary___XYZ[[#This Row],[ID]],Table_Design[ID],Table_Design[Structure Name])</f>
        <v>#N/A</v>
      </c>
      <c r="J148" s="101" t="e">
        <f>_xlfn.XLOOKUP(ReportSummary___XYZ[[#This Row],[ID]],Table_Design[ID],Table_Design[Chainage '[m']])</f>
        <v>#N/A</v>
      </c>
      <c r="K148" s="118">
        <v>51890.969100000002</v>
      </c>
      <c r="L148" s="118">
        <v>159194.1177</v>
      </c>
      <c r="M148" s="118">
        <v>18.779</v>
      </c>
      <c r="N148" s="54">
        <v>51890.968000000001</v>
      </c>
      <c r="O148" s="54">
        <v>159194.11799999999</v>
      </c>
      <c r="P148" s="54">
        <v>18.779</v>
      </c>
      <c r="Q148" s="35">
        <v>-1.1000000013154931E-3</v>
      </c>
      <c r="R148" s="103" cm="1">
        <f t="array" ref="R14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8" s="35">
        <v>2.9999998514540493E-4</v>
      </c>
      <c r="T148" s="44" cm="1">
        <f t="array" ref="T14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8" s="35">
        <v>0</v>
      </c>
      <c r="V148" s="44" cm="1">
        <f t="array" ref="V14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8" s="101" t="s">
        <v>86</v>
      </c>
      <c r="AA148" s="105"/>
      <c r="AB148" s="1"/>
      <c r="AC148" s="1"/>
      <c r="AD148" s="1"/>
      <c r="AE148" s="1"/>
      <c r="AF148" s="1"/>
      <c r="AG148" s="4"/>
      <c r="AH148" s="4"/>
      <c r="AI148" s="4"/>
      <c r="AJ148" s="4"/>
      <c r="AK148" s="1"/>
      <c r="AL148" s="1"/>
      <c r="AM148" s="1"/>
    </row>
    <row r="149" spans="7:39" ht="14.25" customHeight="1" x14ac:dyDescent="0.2">
      <c r="G149" s="50">
        <v>45721.395833333336</v>
      </c>
      <c r="H149" s="101" t="s">
        <v>175</v>
      </c>
      <c r="I149" s="101" t="e">
        <f>_xlfn.XLOOKUP(ReportSummary___XYZ[[#This Row],[ID]],Table_Design[ID],Table_Design[Structure Name])</f>
        <v>#N/A</v>
      </c>
      <c r="J149" s="101" t="e">
        <f>_xlfn.XLOOKUP(ReportSummary___XYZ[[#This Row],[ID]],Table_Design[ID],Table_Design[Chainage '[m']])</f>
        <v>#N/A</v>
      </c>
      <c r="K149" s="118">
        <v>51890.606800000001</v>
      </c>
      <c r="L149" s="118">
        <v>159192.86069999999</v>
      </c>
      <c r="M149" s="118">
        <v>18.771999999999998</v>
      </c>
      <c r="N149" s="54">
        <v>51890.606</v>
      </c>
      <c r="O149" s="54">
        <v>159192.86199999999</v>
      </c>
      <c r="P149" s="54">
        <v>18.771999999999998</v>
      </c>
      <c r="Q149" s="35">
        <v>-8.0000000161817297E-4</v>
      </c>
      <c r="R149" s="103" cm="1">
        <f t="array" ref="R14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49" s="35">
        <v>1.3000000035390258E-3</v>
      </c>
      <c r="T149" s="44" cm="1">
        <f t="array" ref="T14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49" s="35">
        <v>0</v>
      </c>
      <c r="V149" s="44" cm="1">
        <f t="array" ref="V14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4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4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4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49" s="101" t="s">
        <v>86</v>
      </c>
      <c r="AA149" s="105"/>
      <c r="AB149" s="1"/>
      <c r="AC149" s="1"/>
      <c r="AD149" s="1"/>
      <c r="AE149" s="1"/>
      <c r="AF149" s="1"/>
      <c r="AG149" s="4"/>
      <c r="AH149" s="4"/>
      <c r="AI149" s="4"/>
      <c r="AJ149" s="4"/>
      <c r="AK149" s="1"/>
      <c r="AL149" s="1"/>
      <c r="AM149" s="1"/>
    </row>
    <row r="150" spans="7:39" ht="14.25" customHeight="1" x14ac:dyDescent="0.2">
      <c r="G150" s="50">
        <v>45721.395833333336</v>
      </c>
      <c r="H150" s="101" t="s">
        <v>178</v>
      </c>
      <c r="I150" s="101" t="e">
        <f>_xlfn.XLOOKUP(ReportSummary___XYZ[[#This Row],[ID]],Table_Design[ID],Table_Design[Structure Name])</f>
        <v>#N/A</v>
      </c>
      <c r="J150" s="101" t="e">
        <f>_xlfn.XLOOKUP(ReportSummary___XYZ[[#This Row],[ID]],Table_Design[ID],Table_Design[Chainage '[m']])</f>
        <v>#N/A</v>
      </c>
      <c r="K150" s="118">
        <v>51893.758699999998</v>
      </c>
      <c r="L150" s="118">
        <v>159193.3144</v>
      </c>
      <c r="M150" s="118">
        <v>18.774100000000001</v>
      </c>
      <c r="N150" s="54">
        <v>51893.758000000002</v>
      </c>
      <c r="O150" s="54">
        <v>159193.315</v>
      </c>
      <c r="P150" s="54">
        <v>18.774000000000001</v>
      </c>
      <c r="Q150" s="35">
        <v>-6.9999999686842784E-4</v>
      </c>
      <c r="R150" s="103" cm="1">
        <f t="array" ref="R15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0" s="35">
        <v>5.9999999939464033E-4</v>
      </c>
      <c r="T150" s="44" cm="1">
        <f t="array" ref="T15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0" s="35">
        <v>-9.9999999999766942E-5</v>
      </c>
      <c r="V150" s="44" cm="1">
        <f t="array" ref="V15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0" s="101" t="s">
        <v>86</v>
      </c>
      <c r="AA150" s="105"/>
      <c r="AB150" s="1"/>
      <c r="AC150" s="1"/>
      <c r="AD150" s="1"/>
      <c r="AE150" s="1"/>
      <c r="AF150" s="1"/>
      <c r="AG150" s="4"/>
      <c r="AH150" s="4"/>
      <c r="AI150" s="4"/>
      <c r="AJ150" s="4"/>
      <c r="AK150" s="1"/>
      <c r="AL150" s="1"/>
      <c r="AM150" s="1"/>
    </row>
    <row r="151" spans="7:39" ht="14.25" customHeight="1" x14ac:dyDescent="0.2">
      <c r="G151" s="50">
        <v>45721.395833333336</v>
      </c>
      <c r="H151" s="101" t="s">
        <v>177</v>
      </c>
      <c r="I151" s="101" t="e">
        <f>_xlfn.XLOOKUP(ReportSummary___XYZ[[#This Row],[ID]],Table_Design[ID],Table_Design[Structure Name])</f>
        <v>#N/A</v>
      </c>
      <c r="J151" s="101" t="e">
        <f>_xlfn.XLOOKUP(ReportSummary___XYZ[[#This Row],[ID]],Table_Design[ID],Table_Design[Chainage '[m']])</f>
        <v>#N/A</v>
      </c>
      <c r="K151" s="118">
        <v>51893.441299999999</v>
      </c>
      <c r="L151" s="118">
        <v>159192.04019999999</v>
      </c>
      <c r="M151" s="118">
        <v>18.7683</v>
      </c>
      <c r="N151" s="54">
        <v>51893.440000000002</v>
      </c>
      <c r="O151" s="54">
        <v>159192.041</v>
      </c>
      <c r="P151" s="54">
        <v>18.768000000000001</v>
      </c>
      <c r="Q151" s="35">
        <v>-1.2999999962630682E-3</v>
      </c>
      <c r="R151" s="103" cm="1">
        <f t="array" ref="R15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1" s="35">
        <v>8.0000000889413059E-4</v>
      </c>
      <c r="T151" s="44" cm="1">
        <f t="array" ref="T15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1" s="35">
        <v>-2.9999999999930083E-4</v>
      </c>
      <c r="V151" s="44" cm="1">
        <f t="array" ref="V15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1" s="101" t="s">
        <v>86</v>
      </c>
      <c r="AA151" s="105"/>
      <c r="AB151" s="1"/>
      <c r="AC151" s="1"/>
      <c r="AD151" s="1"/>
      <c r="AE151" s="1"/>
      <c r="AF151" s="1"/>
      <c r="AG151" s="4"/>
      <c r="AH151" s="4"/>
      <c r="AI151" s="4"/>
      <c r="AJ151" s="4"/>
      <c r="AK151" s="1"/>
      <c r="AL151" s="1"/>
      <c r="AM151" s="1"/>
    </row>
    <row r="152" spans="7:39" ht="14.25" customHeight="1" x14ac:dyDescent="0.2">
      <c r="G152" s="50">
        <v>45721.395833333336</v>
      </c>
      <c r="H152" s="101" t="s">
        <v>180</v>
      </c>
      <c r="I152" s="101" t="e">
        <f>_xlfn.XLOOKUP(ReportSummary___XYZ[[#This Row],[ID]],Table_Design[ID],Table_Design[Structure Name])</f>
        <v>#N/A</v>
      </c>
      <c r="J152" s="101" t="e">
        <f>_xlfn.XLOOKUP(ReportSummary___XYZ[[#This Row],[ID]],Table_Design[ID],Table_Design[Chainage '[m']])</f>
        <v>#N/A</v>
      </c>
      <c r="K152" s="118">
        <v>51896.633300000001</v>
      </c>
      <c r="L152" s="118">
        <v>159192.48449999999</v>
      </c>
      <c r="M152" s="118">
        <v>18.7776</v>
      </c>
      <c r="N152" s="54">
        <v>51896.631999999998</v>
      </c>
      <c r="O152" s="54">
        <v>159192.48499999999</v>
      </c>
      <c r="P152" s="54">
        <v>18.777000000000001</v>
      </c>
      <c r="Q152" s="35">
        <v>-1.3000000035390258E-3</v>
      </c>
      <c r="R152" s="103" cm="1">
        <f t="array" ref="R15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2" s="35">
        <v>4.999999946448952E-4</v>
      </c>
      <c r="T152" s="44" cm="1">
        <f t="array" ref="T15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2" s="35">
        <v>-5.9999999999860165E-4</v>
      </c>
      <c r="V152" s="44" cm="1">
        <f t="array" ref="V15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2" s="101" t="s">
        <v>86</v>
      </c>
      <c r="AA152" s="105"/>
      <c r="AB152" s="1"/>
      <c r="AC152" s="1"/>
      <c r="AD152" s="1"/>
      <c r="AE152" s="1"/>
      <c r="AF152" s="1"/>
      <c r="AG152" s="1"/>
      <c r="AH152" s="1"/>
      <c r="AI152" s="1"/>
      <c r="AJ152" s="1"/>
      <c r="AK152" s="1"/>
      <c r="AL152" s="1"/>
      <c r="AM152" s="1"/>
    </row>
    <row r="153" spans="7:39" ht="14.25" customHeight="1" x14ac:dyDescent="0.2">
      <c r="G153" s="50">
        <v>45721.395833333336</v>
      </c>
      <c r="H153" s="101" t="s">
        <v>179</v>
      </c>
      <c r="I153" s="101" t="e">
        <f>_xlfn.XLOOKUP(ReportSummary___XYZ[[#This Row],[ID]],Table_Design[ID],Table_Design[Structure Name])</f>
        <v>#N/A</v>
      </c>
      <c r="J153" s="101" t="e">
        <f>_xlfn.XLOOKUP(ReportSummary___XYZ[[#This Row],[ID]],Table_Design[ID],Table_Design[Chainage '[m']])</f>
        <v>#N/A</v>
      </c>
      <c r="K153" s="118">
        <v>51896.249799999998</v>
      </c>
      <c r="L153" s="118">
        <v>159191.22630000001</v>
      </c>
      <c r="M153" s="118">
        <v>18.7698</v>
      </c>
      <c r="N153" s="54">
        <v>51896.249000000003</v>
      </c>
      <c r="O153" s="54">
        <v>159191.22700000001</v>
      </c>
      <c r="P153" s="54">
        <v>18.77</v>
      </c>
      <c r="Q153" s="35">
        <v>-7.9999999434221536E-4</v>
      </c>
      <c r="R153" s="103" cm="1">
        <f t="array" ref="R15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3" s="35">
        <v>7.0000000414438546E-4</v>
      </c>
      <c r="T153" s="44" cm="1">
        <f t="array" ref="T15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3" s="35">
        <v>1.9999999999953388E-4</v>
      </c>
      <c r="V153" s="44" cm="1">
        <f t="array" ref="V15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3" s="101" t="s">
        <v>86</v>
      </c>
      <c r="AA153" s="105"/>
      <c r="AB153" s="1"/>
      <c r="AC153" s="1"/>
      <c r="AD153" s="1"/>
      <c r="AE153" s="1"/>
      <c r="AF153" s="1"/>
      <c r="AG153" s="1"/>
      <c r="AH153" s="1"/>
      <c r="AI153" s="1"/>
      <c r="AJ153" s="1"/>
      <c r="AK153" s="1"/>
      <c r="AL153" s="1"/>
      <c r="AM153" s="1"/>
    </row>
    <row r="154" spans="7:39" ht="14.25" customHeight="1" x14ac:dyDescent="0.2">
      <c r="G154" s="50">
        <v>45721.395833333336</v>
      </c>
      <c r="H154" s="101" t="s">
        <v>182</v>
      </c>
      <c r="I154" s="101" t="e">
        <f>_xlfn.XLOOKUP(ReportSummary___XYZ[[#This Row],[ID]],Table_Design[ID],Table_Design[Structure Name])</f>
        <v>#N/A</v>
      </c>
      <c r="J154" s="101" t="e">
        <f>_xlfn.XLOOKUP(ReportSummary___XYZ[[#This Row],[ID]],Table_Design[ID],Table_Design[Chainage '[m']])</f>
        <v>#N/A</v>
      </c>
      <c r="K154" s="118">
        <v>51899.398699999998</v>
      </c>
      <c r="L154" s="118">
        <v>159191.69760000001</v>
      </c>
      <c r="M154" s="118">
        <v>18.777999999999999</v>
      </c>
      <c r="N154" s="54">
        <v>51899.398000000001</v>
      </c>
      <c r="O154" s="54">
        <v>159191.698</v>
      </c>
      <c r="P154" s="54">
        <v>18.777999999999999</v>
      </c>
      <c r="Q154" s="35">
        <v>-6.9999999686842784E-4</v>
      </c>
      <c r="R154" s="103" cm="1">
        <f t="array" ref="R15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4" s="35">
        <v>3.9999998989515007E-4</v>
      </c>
      <c r="T154" s="44" cm="1">
        <f t="array" ref="T15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4" s="35">
        <v>0</v>
      </c>
      <c r="V154" s="44" cm="1">
        <f t="array" ref="V15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4" s="101" t="s">
        <v>86</v>
      </c>
      <c r="AA154" s="105"/>
      <c r="AB154" s="1"/>
      <c r="AC154" s="1"/>
      <c r="AD154" s="1"/>
      <c r="AE154" s="1"/>
      <c r="AF154" s="1"/>
      <c r="AG154" s="1"/>
      <c r="AH154" s="1"/>
      <c r="AI154" s="1"/>
      <c r="AJ154" s="1"/>
      <c r="AK154" s="1"/>
      <c r="AL154" s="1"/>
      <c r="AM154" s="1"/>
    </row>
    <row r="155" spans="7:39" ht="14.25" customHeight="1" x14ac:dyDescent="0.2">
      <c r="G155" s="50">
        <v>45721.395833333336</v>
      </c>
      <c r="H155" s="101" t="s">
        <v>181</v>
      </c>
      <c r="I155" s="101" t="e">
        <f>_xlfn.XLOOKUP(ReportSummary___XYZ[[#This Row],[ID]],Table_Design[ID],Table_Design[Structure Name])</f>
        <v>#N/A</v>
      </c>
      <c r="J155" s="101" t="e">
        <f>_xlfn.XLOOKUP(ReportSummary___XYZ[[#This Row],[ID]],Table_Design[ID],Table_Design[Chainage '[m']])</f>
        <v>#N/A</v>
      </c>
      <c r="K155" s="118">
        <v>51899.041100000002</v>
      </c>
      <c r="L155" s="118">
        <v>159190.43340000001</v>
      </c>
      <c r="M155" s="118">
        <v>18.771100000000001</v>
      </c>
      <c r="N155" s="54">
        <v>51899.040000000001</v>
      </c>
      <c r="O155" s="54">
        <v>159190.435</v>
      </c>
      <c r="P155" s="54">
        <v>18.771000000000001</v>
      </c>
      <c r="Q155" s="35">
        <v>-1.1000000013154931E-3</v>
      </c>
      <c r="R155" s="103" cm="1">
        <f t="array" ref="R15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5" s="35">
        <v>1.5999999886844307E-3</v>
      </c>
      <c r="T155" s="44" cm="1">
        <f t="array" ref="T15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5" s="35">
        <v>-9.9999999999766942E-5</v>
      </c>
      <c r="V155" s="44" cm="1">
        <f t="array" ref="V15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5" s="101" t="s">
        <v>86</v>
      </c>
      <c r="AA155" s="105"/>
      <c r="AB155" s="1"/>
      <c r="AC155" s="1"/>
      <c r="AD155" s="1"/>
      <c r="AE155" s="1"/>
      <c r="AF155" s="1"/>
      <c r="AG155" s="1"/>
      <c r="AH155" s="1"/>
      <c r="AI155" s="1"/>
      <c r="AJ155" s="1"/>
      <c r="AK155" s="1"/>
      <c r="AL155" s="1"/>
      <c r="AM155" s="1"/>
    </row>
    <row r="156" spans="7:39" ht="14.25" customHeight="1" x14ac:dyDescent="0.2">
      <c r="G156" s="50">
        <v>45721.395833333336</v>
      </c>
      <c r="H156" s="101" t="s">
        <v>184</v>
      </c>
      <c r="I156" s="101" t="e">
        <f>_xlfn.XLOOKUP(ReportSummary___XYZ[[#This Row],[ID]],Table_Design[ID],Table_Design[Structure Name])</f>
        <v>#N/A</v>
      </c>
      <c r="J156" s="101" t="e">
        <f>_xlfn.XLOOKUP(ReportSummary___XYZ[[#This Row],[ID]],Table_Design[ID],Table_Design[Chainage '[m']])</f>
        <v>#N/A</v>
      </c>
      <c r="K156" s="118">
        <v>51902.292699999998</v>
      </c>
      <c r="L156" s="118">
        <v>159190.88459999999</v>
      </c>
      <c r="M156" s="118">
        <v>18.779</v>
      </c>
      <c r="N156" s="54">
        <v>51902.292000000001</v>
      </c>
      <c r="O156" s="54">
        <v>159190.88500000001</v>
      </c>
      <c r="P156" s="54">
        <v>18.779</v>
      </c>
      <c r="Q156" s="35">
        <v>-6.9999999686842784E-4</v>
      </c>
      <c r="R156" s="103" cm="1">
        <f t="array" ref="R15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6" s="35">
        <v>4.0000001899898052E-4</v>
      </c>
      <c r="T156" s="44" cm="1">
        <f t="array" ref="T15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6" s="35">
        <v>0</v>
      </c>
      <c r="V156" s="44" cm="1">
        <f t="array" ref="V15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6" s="101" t="s">
        <v>86</v>
      </c>
      <c r="AA156" s="105"/>
      <c r="AB156" s="1"/>
      <c r="AC156" s="1"/>
      <c r="AD156" s="1"/>
      <c r="AE156" s="1"/>
      <c r="AF156" s="1"/>
      <c r="AG156" s="1"/>
      <c r="AH156" s="1"/>
      <c r="AI156" s="1"/>
      <c r="AJ156" s="1"/>
      <c r="AK156" s="1"/>
      <c r="AL156" s="1"/>
      <c r="AM156" s="1"/>
    </row>
    <row r="157" spans="7:39" ht="14.25" customHeight="1" x14ac:dyDescent="0.2">
      <c r="G157" s="50">
        <v>45721.395833333336</v>
      </c>
      <c r="H157" s="101" t="s">
        <v>183</v>
      </c>
      <c r="I157" s="101" t="e">
        <f>_xlfn.XLOOKUP(ReportSummary___XYZ[[#This Row],[ID]],Table_Design[ID],Table_Design[Structure Name])</f>
        <v>#N/A</v>
      </c>
      <c r="J157" s="101" t="e">
        <f>_xlfn.XLOOKUP(ReportSummary___XYZ[[#This Row],[ID]],Table_Design[ID],Table_Design[Chainage '[m']])</f>
        <v>#N/A</v>
      </c>
      <c r="K157" s="118">
        <v>51901.989200000004</v>
      </c>
      <c r="L157" s="118">
        <v>159189.60260000001</v>
      </c>
      <c r="M157" s="118">
        <v>18.770099999999999</v>
      </c>
      <c r="N157" s="54">
        <v>51901.987999999998</v>
      </c>
      <c r="O157" s="54">
        <v>159189.60399999999</v>
      </c>
      <c r="P157" s="54">
        <v>18.77</v>
      </c>
      <c r="Q157" s="35">
        <v>-1.2000000060652383E-3</v>
      </c>
      <c r="R157" s="103" cm="1">
        <f t="array" ref="R15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7" s="35">
        <v>1.3999999791849405E-3</v>
      </c>
      <c r="T157" s="44" cm="1">
        <f t="array" ref="T15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7" s="35">
        <v>-9.9999999999766942E-5</v>
      </c>
      <c r="V157" s="44" cm="1">
        <f t="array" ref="V15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7" s="101" t="s">
        <v>86</v>
      </c>
      <c r="AA157" s="105"/>
      <c r="AB157" s="1"/>
      <c r="AC157" s="1"/>
      <c r="AD157" s="1"/>
      <c r="AE157" s="1"/>
      <c r="AF157" s="1"/>
      <c r="AG157" s="1"/>
      <c r="AH157" s="1"/>
      <c r="AI157" s="1"/>
      <c r="AJ157" s="1"/>
      <c r="AK157" s="1"/>
      <c r="AL157" s="1"/>
      <c r="AM157" s="1"/>
    </row>
    <row r="158" spans="7:39" ht="14.25" customHeight="1" x14ac:dyDescent="0.2">
      <c r="G158" s="50">
        <v>45721.395833333336</v>
      </c>
      <c r="H158" s="101" t="s">
        <v>186</v>
      </c>
      <c r="I158" s="101" t="e">
        <f>_xlfn.XLOOKUP(ReportSummary___XYZ[[#This Row],[ID]],Table_Design[ID],Table_Design[Structure Name])</f>
        <v>#N/A</v>
      </c>
      <c r="J158" s="101" t="e">
        <f>_xlfn.XLOOKUP(ReportSummary___XYZ[[#This Row],[ID]],Table_Design[ID],Table_Design[Chainage '[m']])</f>
        <v>#N/A</v>
      </c>
      <c r="K158" s="118">
        <v>51905.196199999998</v>
      </c>
      <c r="L158" s="118">
        <v>159190.09460000001</v>
      </c>
      <c r="M158" s="118">
        <v>18.780899999999999</v>
      </c>
      <c r="N158" s="54">
        <v>51905.195</v>
      </c>
      <c r="O158" s="54">
        <v>159190.095</v>
      </c>
      <c r="P158" s="54">
        <v>18.780999999999999</v>
      </c>
      <c r="Q158" s="35">
        <v>-1.1999999987892807E-3</v>
      </c>
      <c r="R158" s="103" cm="1">
        <f t="array" ref="R15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8" s="35">
        <v>3.9999998989515007E-4</v>
      </c>
      <c r="T158" s="44" cm="1">
        <f t="array" ref="T15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8" s="35">
        <v>9.9999999999766942E-5</v>
      </c>
      <c r="V158" s="44" cm="1">
        <f t="array" ref="V15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8" s="101" t="s">
        <v>86</v>
      </c>
      <c r="AA158" s="105"/>
      <c r="AB158" s="1"/>
      <c r="AC158" s="1"/>
      <c r="AD158" s="1"/>
      <c r="AE158" s="1"/>
      <c r="AF158" s="1"/>
      <c r="AG158" s="1"/>
      <c r="AH158" s="1"/>
      <c r="AI158" s="1"/>
      <c r="AJ158" s="1"/>
      <c r="AK158" s="1"/>
      <c r="AL158" s="1"/>
      <c r="AM158" s="1"/>
    </row>
    <row r="159" spans="7:39" ht="14.25" customHeight="1" x14ac:dyDescent="0.2">
      <c r="G159" s="50">
        <v>45721.395833333336</v>
      </c>
      <c r="H159" s="101" t="s">
        <v>185</v>
      </c>
      <c r="I159" s="101" t="e">
        <f>_xlfn.XLOOKUP(ReportSummary___XYZ[[#This Row],[ID]],Table_Design[ID],Table_Design[Structure Name])</f>
        <v>#N/A</v>
      </c>
      <c r="J159" s="101" t="e">
        <f>_xlfn.XLOOKUP(ReportSummary___XYZ[[#This Row],[ID]],Table_Design[ID],Table_Design[Chainage '[m']])</f>
        <v>#N/A</v>
      </c>
      <c r="K159" s="118">
        <v>51904.885600000001</v>
      </c>
      <c r="L159" s="118">
        <v>159188.8046</v>
      </c>
      <c r="M159" s="118">
        <v>18.773099999999999</v>
      </c>
      <c r="N159" s="54">
        <v>51904.883999999998</v>
      </c>
      <c r="O159" s="54">
        <v>159188.80600000001</v>
      </c>
      <c r="P159" s="54">
        <v>18.773</v>
      </c>
      <c r="Q159" s="35">
        <v>-1.6000000032363459E-3</v>
      </c>
      <c r="R159" s="103" cm="1">
        <f t="array" ref="R15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59" s="35">
        <v>1.4000000082887709E-3</v>
      </c>
      <c r="T159" s="44" cm="1">
        <f t="array" ref="T15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59" s="35">
        <v>-9.9999999999766942E-5</v>
      </c>
      <c r="V159" s="44" cm="1">
        <f t="array" ref="V15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5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5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5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59" s="101" t="s">
        <v>86</v>
      </c>
      <c r="AA159" s="105"/>
      <c r="AB159" s="1"/>
      <c r="AC159" s="1"/>
      <c r="AD159" s="1"/>
      <c r="AE159" s="1"/>
      <c r="AF159" s="1"/>
      <c r="AG159" s="1"/>
      <c r="AH159" s="1"/>
      <c r="AI159" s="1"/>
      <c r="AJ159" s="1"/>
      <c r="AK159" s="1"/>
      <c r="AL159" s="1"/>
      <c r="AM159" s="1"/>
    </row>
    <row r="160" spans="7:39" ht="14.25" customHeight="1" x14ac:dyDescent="0.2">
      <c r="G160" s="50">
        <v>45721.395833333336</v>
      </c>
      <c r="H160" s="101" t="s">
        <v>188</v>
      </c>
      <c r="I160" s="101" t="e">
        <f>_xlfn.XLOOKUP(ReportSummary___XYZ[[#This Row],[ID]],Table_Design[ID],Table_Design[Structure Name])</f>
        <v>#N/A</v>
      </c>
      <c r="J160" s="101" t="e">
        <f>_xlfn.XLOOKUP(ReportSummary___XYZ[[#This Row],[ID]],Table_Design[ID],Table_Design[Chainage '[m']])</f>
        <v>#N/A</v>
      </c>
      <c r="K160" s="118">
        <v>51907.9522</v>
      </c>
      <c r="L160" s="118">
        <v>159189.36230000001</v>
      </c>
      <c r="M160" s="118">
        <v>18.786000000000001</v>
      </c>
      <c r="N160" s="54">
        <v>51907.951000000001</v>
      </c>
      <c r="O160" s="54">
        <v>159189.36300000001</v>
      </c>
      <c r="P160" s="54">
        <v>18.786000000000001</v>
      </c>
      <c r="Q160" s="35">
        <v>-1.1999999987892807E-3</v>
      </c>
      <c r="R160" s="103" cm="1">
        <f t="array" ref="R16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0" s="35">
        <v>7.0000000414438546E-4</v>
      </c>
      <c r="T160" s="44" cm="1">
        <f t="array" ref="T16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0" s="35">
        <v>0</v>
      </c>
      <c r="V160" s="44" cm="1">
        <f t="array" ref="V16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0" s="101" t="s">
        <v>86</v>
      </c>
      <c r="AA160" s="105"/>
      <c r="AB160" s="1"/>
      <c r="AC160" s="1"/>
      <c r="AD160" s="1"/>
      <c r="AE160" s="1"/>
      <c r="AF160" s="1"/>
      <c r="AG160" s="1"/>
      <c r="AH160" s="1"/>
      <c r="AI160" s="1"/>
      <c r="AJ160" s="1"/>
      <c r="AK160" s="1"/>
      <c r="AL160" s="1"/>
      <c r="AM160" s="1"/>
    </row>
    <row r="161" spans="7:39" ht="14.25" customHeight="1" x14ac:dyDescent="0.2">
      <c r="G161" s="50">
        <v>45721.395833333336</v>
      </c>
      <c r="H161" s="101" t="s">
        <v>187</v>
      </c>
      <c r="I161" s="101" t="e">
        <f>_xlfn.XLOOKUP(ReportSummary___XYZ[[#This Row],[ID]],Table_Design[ID],Table_Design[Structure Name])</f>
        <v>#N/A</v>
      </c>
      <c r="J161" s="101" t="e">
        <f>_xlfn.XLOOKUP(ReportSummary___XYZ[[#This Row],[ID]],Table_Design[ID],Table_Design[Chainage '[m']])</f>
        <v>#N/A</v>
      </c>
      <c r="K161" s="118">
        <v>51907.578699999998</v>
      </c>
      <c r="L161" s="118">
        <v>159188.09770000001</v>
      </c>
      <c r="M161" s="118">
        <v>18.776</v>
      </c>
      <c r="N161" s="54">
        <v>51907.576999999997</v>
      </c>
      <c r="O161" s="54">
        <v>159188.09899999999</v>
      </c>
      <c r="P161" s="54">
        <v>18.776</v>
      </c>
      <c r="Q161" s="35">
        <v>-1.7000000007101335E-3</v>
      </c>
      <c r="R161" s="103" cm="1">
        <f t="array" ref="R16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1" s="35">
        <v>1.2999999744351953E-3</v>
      </c>
      <c r="T161" s="44" cm="1">
        <f t="array" ref="T16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1" s="35">
        <v>0</v>
      </c>
      <c r="V161" s="44" cm="1">
        <f t="array" ref="V16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1" s="101" t="s">
        <v>86</v>
      </c>
      <c r="AA161" s="105"/>
      <c r="AB161" s="1"/>
      <c r="AC161" s="1"/>
      <c r="AD161" s="1"/>
      <c r="AE161" s="1"/>
      <c r="AF161" s="1"/>
      <c r="AG161" s="1"/>
      <c r="AH161" s="1"/>
      <c r="AI161" s="1"/>
      <c r="AJ161" s="1"/>
      <c r="AK161" s="1"/>
      <c r="AL161" s="1"/>
      <c r="AM161" s="1"/>
    </row>
    <row r="162" spans="7:39" ht="14.25" customHeight="1" x14ac:dyDescent="0.2">
      <c r="G162" s="50">
        <v>45721.395833333336</v>
      </c>
      <c r="H162" s="101" t="s">
        <v>190</v>
      </c>
      <c r="I162" s="101" t="e">
        <f>_xlfn.XLOOKUP(ReportSummary___XYZ[[#This Row],[ID]],Table_Design[ID],Table_Design[Structure Name])</f>
        <v>#N/A</v>
      </c>
      <c r="J162" s="101" t="e">
        <f>_xlfn.XLOOKUP(ReportSummary___XYZ[[#This Row],[ID]],Table_Design[ID],Table_Design[Chainage '[m']])</f>
        <v>#N/A</v>
      </c>
      <c r="K162" s="118">
        <v>51910.962800000001</v>
      </c>
      <c r="L162" s="118">
        <v>159188.60079999999</v>
      </c>
      <c r="M162" s="118">
        <v>18.794599999999999</v>
      </c>
      <c r="N162" s="54">
        <v>51910.961000000003</v>
      </c>
      <c r="O162" s="54">
        <v>159188.601</v>
      </c>
      <c r="P162" s="54">
        <v>18.794</v>
      </c>
      <c r="Q162" s="35">
        <v>-1.799999998183921E-3</v>
      </c>
      <c r="R162" s="103" cm="1">
        <f t="array" ref="R16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2" s="35">
        <v>2.0000000949949026E-4</v>
      </c>
      <c r="T162" s="44" cm="1">
        <f t="array" ref="T16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2" s="35">
        <v>-5.9999999999860165E-4</v>
      </c>
      <c r="V162" s="44" cm="1">
        <f t="array" ref="V16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2" s="101" t="s">
        <v>86</v>
      </c>
      <c r="AA162" s="105"/>
      <c r="AB162" s="1"/>
      <c r="AC162" s="1"/>
      <c r="AD162" s="1"/>
      <c r="AE162" s="1"/>
      <c r="AF162" s="1"/>
      <c r="AG162" s="1"/>
      <c r="AH162" s="1"/>
      <c r="AI162" s="1"/>
      <c r="AJ162" s="1"/>
      <c r="AK162" s="1"/>
      <c r="AL162" s="1"/>
      <c r="AM162" s="1"/>
    </row>
    <row r="163" spans="7:39" ht="14.25" customHeight="1" x14ac:dyDescent="0.2">
      <c r="G163" s="50">
        <v>45721.395833333336</v>
      </c>
      <c r="H163" s="101" t="s">
        <v>189</v>
      </c>
      <c r="I163" s="101" t="e">
        <f>_xlfn.XLOOKUP(ReportSummary___XYZ[[#This Row],[ID]],Table_Design[ID],Table_Design[Structure Name])</f>
        <v>#N/A</v>
      </c>
      <c r="J163" s="101" t="e">
        <f>_xlfn.XLOOKUP(ReportSummary___XYZ[[#This Row],[ID]],Table_Design[ID],Table_Design[Chainage '[m']])</f>
        <v>#N/A</v>
      </c>
      <c r="K163" s="118">
        <v>51910.640099999997</v>
      </c>
      <c r="L163" s="118">
        <v>159187.3223</v>
      </c>
      <c r="M163" s="118">
        <v>18.7836</v>
      </c>
      <c r="N163" s="54">
        <v>51910.637999999999</v>
      </c>
      <c r="O163" s="54">
        <v>159187.323</v>
      </c>
      <c r="P163" s="54">
        <v>18.783000000000001</v>
      </c>
      <c r="Q163" s="35">
        <v>-2.0999999978812411E-3</v>
      </c>
      <c r="R163" s="103" cm="1">
        <f t="array" ref="R16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3" s="35">
        <v>7.0000000414438546E-4</v>
      </c>
      <c r="T163" s="44" cm="1">
        <f t="array" ref="T16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3" s="35">
        <v>-5.9999999999860165E-4</v>
      </c>
      <c r="V163" s="44" cm="1">
        <f t="array" ref="V16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3" s="101" t="s">
        <v>86</v>
      </c>
      <c r="AA163" s="105"/>
      <c r="AB163" s="1"/>
      <c r="AC163" s="1"/>
      <c r="AD163" s="1"/>
      <c r="AE163" s="1"/>
      <c r="AF163" s="1"/>
      <c r="AG163" s="1"/>
      <c r="AH163" s="1"/>
      <c r="AI163" s="1"/>
      <c r="AJ163" s="1"/>
      <c r="AK163" s="1"/>
      <c r="AL163" s="1"/>
      <c r="AM163" s="1"/>
    </row>
    <row r="164" spans="7:39" ht="14.25" customHeight="1" x14ac:dyDescent="0.2">
      <c r="G164" s="50">
        <v>45721.395833333336</v>
      </c>
      <c r="H164" s="101" t="s">
        <v>192</v>
      </c>
      <c r="I164" s="101" t="e">
        <f>_xlfn.XLOOKUP(ReportSummary___XYZ[[#This Row],[ID]],Table_Design[ID],Table_Design[Structure Name])</f>
        <v>#N/A</v>
      </c>
      <c r="J164" s="101" t="e">
        <f>_xlfn.XLOOKUP(ReportSummary___XYZ[[#This Row],[ID]],Table_Design[ID],Table_Design[Chainage '[m']])</f>
        <v>#N/A</v>
      </c>
      <c r="K164" s="118">
        <v>51913.751100000001</v>
      </c>
      <c r="L164" s="118">
        <v>159187.9178</v>
      </c>
      <c r="M164" s="118">
        <v>18.809000000000001</v>
      </c>
      <c r="N164" s="54">
        <v>51913.75</v>
      </c>
      <c r="O164" s="54">
        <v>159187.91800000001</v>
      </c>
      <c r="P164" s="54">
        <v>18.809000000000001</v>
      </c>
      <c r="Q164" s="35">
        <v>-1.1000000013154931E-3</v>
      </c>
      <c r="R164" s="103" cm="1">
        <f t="array" ref="R16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4" s="35">
        <v>2.0000000949949026E-4</v>
      </c>
      <c r="T164" s="44" cm="1">
        <f t="array" ref="T16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4" s="35">
        <v>0</v>
      </c>
      <c r="V164" s="44" cm="1">
        <f t="array" ref="V16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4" s="101" t="s">
        <v>86</v>
      </c>
      <c r="AA164" s="105"/>
      <c r="AB164" s="1"/>
      <c r="AC164" s="1"/>
      <c r="AD164" s="1"/>
      <c r="AE164" s="1"/>
      <c r="AF164" s="1"/>
      <c r="AG164" s="1"/>
      <c r="AH164" s="1"/>
      <c r="AI164" s="1"/>
      <c r="AJ164" s="1"/>
      <c r="AK164" s="1"/>
      <c r="AL164" s="1"/>
      <c r="AM164" s="1"/>
    </row>
    <row r="165" spans="7:39" ht="14.25" customHeight="1" x14ac:dyDescent="0.2">
      <c r="G165" s="50">
        <v>45721.395833333336</v>
      </c>
      <c r="H165" s="101" t="s">
        <v>191</v>
      </c>
      <c r="I165" s="101" t="e">
        <f>_xlfn.XLOOKUP(ReportSummary___XYZ[[#This Row],[ID]],Table_Design[ID],Table_Design[Structure Name])</f>
        <v>#N/A</v>
      </c>
      <c r="J165" s="101" t="e">
        <f>_xlfn.XLOOKUP(ReportSummary___XYZ[[#This Row],[ID]],Table_Design[ID],Table_Design[Chainage '[m']])</f>
        <v>#N/A</v>
      </c>
      <c r="K165" s="118">
        <v>51913.421499999997</v>
      </c>
      <c r="L165" s="118">
        <v>159186.63630000001</v>
      </c>
      <c r="M165" s="118">
        <v>18.794899999999998</v>
      </c>
      <c r="N165" s="54">
        <v>51913.42</v>
      </c>
      <c r="O165" s="54">
        <v>159186.63699999999</v>
      </c>
      <c r="P165" s="54">
        <v>18.795000000000002</v>
      </c>
      <c r="Q165" s="35">
        <v>-1.4999999984866008E-3</v>
      </c>
      <c r="R165" s="103" cm="1">
        <f t="array" ref="R16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5" s="35">
        <v>6.99999975040555E-4</v>
      </c>
      <c r="T165" s="44" cm="1">
        <f t="array" ref="T16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5" s="35">
        <v>1.0000000000331966E-4</v>
      </c>
      <c r="V165" s="44" cm="1">
        <f t="array" ref="V16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5" s="101" t="s">
        <v>86</v>
      </c>
      <c r="AA165" s="105"/>
      <c r="AB165" s="1"/>
      <c r="AC165" s="1"/>
      <c r="AD165" s="1"/>
      <c r="AE165" s="1"/>
      <c r="AF165" s="1"/>
      <c r="AG165" s="1"/>
      <c r="AH165" s="1"/>
      <c r="AI165" s="1"/>
      <c r="AJ165" s="1"/>
      <c r="AK165" s="1"/>
      <c r="AL165" s="1"/>
      <c r="AM165" s="1"/>
    </row>
    <row r="166" spans="7:39" ht="14.25" customHeight="1" x14ac:dyDescent="0.2">
      <c r="G166" s="50">
        <v>45721.395833333336</v>
      </c>
      <c r="H166" s="101" t="s">
        <v>165</v>
      </c>
      <c r="I166" s="101" t="e">
        <f>_xlfn.XLOOKUP(ReportSummary___XYZ[[#This Row],[ID]],Table_Design[ID],Table_Design[Structure Name])</f>
        <v>#N/A</v>
      </c>
      <c r="J166" s="101" t="e">
        <f>_xlfn.XLOOKUP(ReportSummary___XYZ[[#This Row],[ID]],Table_Design[ID],Table_Design[Chainage '[m']])</f>
        <v>#N/A</v>
      </c>
      <c r="K166" s="118">
        <v>51884.538999999997</v>
      </c>
      <c r="L166" s="118">
        <v>159193.38269999999</v>
      </c>
      <c r="M166" s="118">
        <v>19.331700000000001</v>
      </c>
      <c r="N166" s="54">
        <v>51884.538999999997</v>
      </c>
      <c r="O166" s="54">
        <v>159193.38399999999</v>
      </c>
      <c r="P166" s="54">
        <v>19.332000000000001</v>
      </c>
      <c r="Q166" s="35">
        <v>0</v>
      </c>
      <c r="R166" s="103" cm="1">
        <f t="array" ref="R16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6" s="35">
        <v>1.3000000035390258E-3</v>
      </c>
      <c r="T166" s="44" cm="1">
        <f t="array" ref="T16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6" s="35">
        <v>2.9999999999930083E-4</v>
      </c>
      <c r="V166" s="44" cm="1">
        <f t="array" ref="V16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6" s="101" t="s">
        <v>86</v>
      </c>
      <c r="AA166" s="105"/>
      <c r="AB166" s="1"/>
      <c r="AC166" s="1"/>
      <c r="AD166" s="1"/>
      <c r="AE166" s="1"/>
      <c r="AF166" s="1"/>
      <c r="AG166" s="1"/>
      <c r="AH166" s="1"/>
      <c r="AI166" s="1"/>
      <c r="AJ166" s="1"/>
      <c r="AK166" s="1"/>
      <c r="AL166" s="1"/>
      <c r="AM166" s="1"/>
    </row>
    <row r="167" spans="7:39" ht="14.25" customHeight="1" x14ac:dyDescent="0.2">
      <c r="G167" s="50">
        <v>45721.395833333336</v>
      </c>
      <c r="H167" s="101" t="s">
        <v>166</v>
      </c>
      <c r="I167" s="101" t="e">
        <f>_xlfn.XLOOKUP(ReportSummary___XYZ[[#This Row],[ID]],Table_Design[ID],Table_Design[Structure Name])</f>
        <v>#N/A</v>
      </c>
      <c r="J167" s="101" t="e">
        <f>_xlfn.XLOOKUP(ReportSummary___XYZ[[#This Row],[ID]],Table_Design[ID],Table_Design[Chainage '[m']])</f>
        <v>#N/A</v>
      </c>
      <c r="K167" s="118">
        <v>51890.2863</v>
      </c>
      <c r="L167" s="118">
        <v>159191.73069999999</v>
      </c>
      <c r="M167" s="118">
        <v>19.321999999999999</v>
      </c>
      <c r="N167" s="54">
        <v>51890.286999999997</v>
      </c>
      <c r="O167" s="54">
        <v>159191.73199999999</v>
      </c>
      <c r="P167" s="54">
        <v>19.321999999999999</v>
      </c>
      <c r="Q167" s="35">
        <v>6.9999999686842784E-4</v>
      </c>
      <c r="R167" s="103" cm="1">
        <f t="array" ref="R16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7" s="35">
        <v>1.3000000035390258E-3</v>
      </c>
      <c r="T167" s="44" cm="1">
        <f t="array" ref="T16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7" s="35">
        <v>0</v>
      </c>
      <c r="V167" s="44" cm="1">
        <f t="array" ref="V16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7" s="101" t="s">
        <v>86</v>
      </c>
      <c r="AA167" s="105"/>
      <c r="AB167" s="1"/>
      <c r="AC167" s="1"/>
      <c r="AD167" s="1"/>
      <c r="AE167" s="1"/>
      <c r="AF167" s="1"/>
      <c r="AG167" s="1"/>
      <c r="AH167" s="1"/>
      <c r="AI167" s="1"/>
      <c r="AJ167" s="1"/>
      <c r="AK167" s="1"/>
      <c r="AL167" s="1"/>
      <c r="AM167" s="1"/>
    </row>
    <row r="168" spans="7:39" ht="14.25" customHeight="1" x14ac:dyDescent="0.2">
      <c r="G168" s="50">
        <v>45721.395833333336</v>
      </c>
      <c r="H168" s="101" t="s">
        <v>167</v>
      </c>
      <c r="I168" s="101" t="e">
        <f>_xlfn.XLOOKUP(ReportSummary___XYZ[[#This Row],[ID]],Table_Design[ID],Table_Design[Structure Name])</f>
        <v>#N/A</v>
      </c>
      <c r="J168" s="101" t="e">
        <f>_xlfn.XLOOKUP(ReportSummary___XYZ[[#This Row],[ID]],Table_Design[ID],Table_Design[Chainage '[m']])</f>
        <v>#N/A</v>
      </c>
      <c r="K168" s="118">
        <v>51895.920700000002</v>
      </c>
      <c r="L168" s="118">
        <v>159190.1</v>
      </c>
      <c r="M168" s="118">
        <v>19.334</v>
      </c>
      <c r="N168" s="54">
        <v>51895.92</v>
      </c>
      <c r="O168" s="54">
        <v>159190.1</v>
      </c>
      <c r="P168" s="54">
        <v>19.334</v>
      </c>
      <c r="Q168" s="35">
        <v>-7.0000000414438546E-4</v>
      </c>
      <c r="R168" s="103" cm="1">
        <f t="array" ref="R16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8" s="35">
        <v>0</v>
      </c>
      <c r="T168" s="44" cm="1">
        <f t="array" ref="T16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8" s="35">
        <v>0</v>
      </c>
      <c r="V168" s="44" cm="1">
        <f t="array" ref="V16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8" s="101" t="s">
        <v>86</v>
      </c>
      <c r="AA168" s="105"/>
      <c r="AB168" s="1"/>
      <c r="AC168" s="1"/>
      <c r="AD168" s="1"/>
      <c r="AE168" s="1"/>
      <c r="AF168" s="1"/>
      <c r="AG168" s="1"/>
      <c r="AH168" s="1"/>
      <c r="AI168" s="1"/>
      <c r="AJ168" s="1"/>
      <c r="AK168" s="1"/>
      <c r="AL168" s="1"/>
      <c r="AM168" s="1"/>
    </row>
    <row r="169" spans="7:39" ht="14.25" customHeight="1" x14ac:dyDescent="0.2">
      <c r="G169" s="50">
        <v>45721.395833333336</v>
      </c>
      <c r="H169" s="101" t="s">
        <v>168</v>
      </c>
      <c r="I169" s="101" t="e">
        <f>_xlfn.XLOOKUP(ReportSummary___XYZ[[#This Row],[ID]],Table_Design[ID],Table_Design[Structure Name])</f>
        <v>#N/A</v>
      </c>
      <c r="J169" s="101" t="e">
        <f>_xlfn.XLOOKUP(ReportSummary___XYZ[[#This Row],[ID]],Table_Design[ID],Table_Design[Chainage '[m']])</f>
        <v>#N/A</v>
      </c>
      <c r="K169" s="118">
        <v>51899.7667</v>
      </c>
      <c r="L169" s="118">
        <v>159188.9933</v>
      </c>
      <c r="M169" s="118">
        <v>19.344999999999999</v>
      </c>
      <c r="N169" s="54">
        <v>51899.766000000003</v>
      </c>
      <c r="O169" s="54">
        <v>159188.99400000001</v>
      </c>
      <c r="P169" s="54">
        <v>19.344999999999999</v>
      </c>
      <c r="Q169" s="35">
        <v>-6.9999999686842784E-4</v>
      </c>
      <c r="R169" s="103" cm="1">
        <f t="array" ref="R16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69" s="35">
        <v>7.0000000414438546E-4</v>
      </c>
      <c r="T169" s="44" cm="1">
        <f t="array" ref="T16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69" s="35">
        <v>0</v>
      </c>
      <c r="V169" s="44" cm="1">
        <f t="array" ref="V16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6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6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6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69" s="101" t="s">
        <v>86</v>
      </c>
      <c r="AA169" s="105"/>
      <c r="AB169" s="1"/>
      <c r="AC169" s="1"/>
      <c r="AD169" s="1"/>
      <c r="AE169" s="1"/>
      <c r="AF169" s="1"/>
      <c r="AG169" s="1"/>
      <c r="AH169" s="1"/>
      <c r="AI169" s="1"/>
      <c r="AJ169" s="1"/>
      <c r="AK169" s="1"/>
      <c r="AL169" s="1"/>
      <c r="AM169" s="1"/>
    </row>
    <row r="170" spans="7:39" ht="14.25" customHeight="1" x14ac:dyDescent="0.2">
      <c r="G170" s="50">
        <v>45721.395833333336</v>
      </c>
      <c r="H170" s="101" t="s">
        <v>169</v>
      </c>
      <c r="I170" s="101" t="e">
        <f>_xlfn.XLOOKUP(ReportSummary___XYZ[[#This Row],[ID]],Table_Design[ID],Table_Design[Structure Name])</f>
        <v>#N/A</v>
      </c>
      <c r="J170" s="101" t="e">
        <f>_xlfn.XLOOKUP(ReportSummary___XYZ[[#This Row],[ID]],Table_Design[ID],Table_Design[Chainage '[m']])</f>
        <v>#N/A</v>
      </c>
      <c r="K170" s="118">
        <v>51903.6083</v>
      </c>
      <c r="L170" s="118">
        <v>159187.88200000001</v>
      </c>
      <c r="M170" s="118">
        <v>19.356999999999999</v>
      </c>
      <c r="N170" s="54">
        <v>51903.608</v>
      </c>
      <c r="O170" s="54">
        <v>159187.88200000001</v>
      </c>
      <c r="P170" s="54">
        <v>19.356999999999999</v>
      </c>
      <c r="Q170" s="35">
        <v>-2.9999999969732016E-4</v>
      </c>
      <c r="R170" s="103" cm="1">
        <f t="array" ref="R17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0" s="35">
        <v>0</v>
      </c>
      <c r="T170" s="44" cm="1">
        <f t="array" ref="T17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0" s="35">
        <v>0</v>
      </c>
      <c r="V170" s="44" cm="1">
        <f t="array" ref="V17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0" s="101" t="s">
        <v>86</v>
      </c>
      <c r="AA170" s="105"/>
      <c r="AB170" s="1"/>
      <c r="AC170" s="1"/>
      <c r="AD170" s="1"/>
      <c r="AE170" s="1"/>
      <c r="AF170" s="1"/>
      <c r="AG170" s="1"/>
      <c r="AH170" s="1"/>
      <c r="AI170" s="1"/>
      <c r="AJ170" s="1"/>
      <c r="AK170" s="1"/>
      <c r="AL170" s="1"/>
      <c r="AM170" s="1"/>
    </row>
    <row r="171" spans="7:39" ht="14.25" customHeight="1" x14ac:dyDescent="0.2">
      <c r="G171" s="50">
        <v>45721.395833333336</v>
      </c>
      <c r="H171" s="101" t="s">
        <v>170</v>
      </c>
      <c r="I171" s="101" t="e">
        <f>_xlfn.XLOOKUP(ReportSummary___XYZ[[#This Row],[ID]],Table_Design[ID],Table_Design[Structure Name])</f>
        <v>#N/A</v>
      </c>
      <c r="J171" s="101" t="e">
        <f>_xlfn.XLOOKUP(ReportSummary___XYZ[[#This Row],[ID]],Table_Design[ID],Table_Design[Chainage '[m']])</f>
        <v>#N/A</v>
      </c>
      <c r="K171" s="118">
        <v>51910.065000000002</v>
      </c>
      <c r="L171" s="118">
        <v>159186.02369999999</v>
      </c>
      <c r="M171" s="118">
        <v>19.356999999999999</v>
      </c>
      <c r="N171" s="54">
        <v>51910.065000000002</v>
      </c>
      <c r="O171" s="54">
        <v>159186.024</v>
      </c>
      <c r="P171" s="54">
        <v>19.356999999999999</v>
      </c>
      <c r="Q171" s="35">
        <v>0</v>
      </c>
      <c r="R171" s="103" cm="1">
        <f t="array" ref="R17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1" s="35">
        <v>3.0000001424923539E-4</v>
      </c>
      <c r="T171" s="44" cm="1">
        <f t="array" ref="T17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1" s="35">
        <v>0</v>
      </c>
      <c r="V171" s="44" cm="1">
        <f t="array" ref="V17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1" s="101" t="s">
        <v>86</v>
      </c>
      <c r="AA171" s="105"/>
      <c r="AB171" s="1"/>
      <c r="AC171" s="1"/>
      <c r="AD171" s="1"/>
      <c r="AE171" s="1"/>
      <c r="AF171" s="1"/>
      <c r="AG171" s="1"/>
      <c r="AH171" s="1"/>
      <c r="AI171" s="1"/>
      <c r="AJ171" s="1"/>
      <c r="AK171" s="1"/>
      <c r="AL171" s="1"/>
      <c r="AM171" s="1"/>
    </row>
    <row r="172" spans="7:39" ht="14.25" customHeight="1" x14ac:dyDescent="0.2">
      <c r="G172" s="50">
        <v>45710.451388888891</v>
      </c>
      <c r="H172" s="101" t="s">
        <v>172</v>
      </c>
      <c r="I172" s="101" t="e">
        <f>_xlfn.XLOOKUP(ReportSummary___XYZ[[#This Row],[ID]],Table_Design[ID],Table_Design[Structure Name])</f>
        <v>#N/A</v>
      </c>
      <c r="J172" s="101" t="e">
        <f>_xlfn.XLOOKUP(ReportSummary___XYZ[[#This Row],[ID]],Table_Design[ID],Table_Design[Chainage '[m']])</f>
        <v>#N/A</v>
      </c>
      <c r="K172" s="118">
        <v>51885.34</v>
      </c>
      <c r="L172" s="118">
        <v>159195.739</v>
      </c>
      <c r="M172" s="118">
        <v>18.782</v>
      </c>
      <c r="N172" s="54">
        <v>51885.341</v>
      </c>
      <c r="O172" s="54">
        <v>159195.73800000001</v>
      </c>
      <c r="P172" s="54">
        <v>18.782</v>
      </c>
      <c r="Q172" s="35">
        <v>1.0000000038417056E-3</v>
      </c>
      <c r="R172" s="103" cm="1">
        <f t="array" ref="R17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2" s="35">
        <v>-9.9999998928979039E-4</v>
      </c>
      <c r="T172" s="44" cm="1">
        <f t="array" ref="T17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2" s="35">
        <v>0</v>
      </c>
      <c r="V172" s="44" cm="1">
        <f t="array" ref="V17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2" s="101" t="s">
        <v>86</v>
      </c>
      <c r="AA172" s="105"/>
      <c r="AB172" s="1"/>
      <c r="AC172" s="1"/>
      <c r="AD172" s="1"/>
      <c r="AE172" s="1"/>
      <c r="AF172" s="1"/>
      <c r="AG172" s="1"/>
      <c r="AH172" s="1"/>
      <c r="AI172" s="1"/>
      <c r="AJ172" s="1"/>
      <c r="AK172" s="1"/>
      <c r="AL172" s="1"/>
      <c r="AM172" s="1"/>
    </row>
    <row r="173" spans="7:39" ht="14.25" customHeight="1" x14ac:dyDescent="0.2">
      <c r="G173" s="50">
        <v>45710.451388888891</v>
      </c>
      <c r="H173" s="101" t="s">
        <v>171</v>
      </c>
      <c r="I173" s="101" t="e">
        <f>_xlfn.XLOOKUP(ReportSummary___XYZ[[#This Row],[ID]],Table_Design[ID],Table_Design[Structure Name])</f>
        <v>#N/A</v>
      </c>
      <c r="J173" s="101" t="e">
        <f>_xlfn.XLOOKUP(ReportSummary___XYZ[[#This Row],[ID]],Table_Design[ID],Table_Design[Chainage '[m']])</f>
        <v>#N/A</v>
      </c>
      <c r="K173" s="118">
        <v>51884.958899999998</v>
      </c>
      <c r="L173" s="118">
        <v>159194.47070000001</v>
      </c>
      <c r="M173" s="118">
        <v>18.778099999999998</v>
      </c>
      <c r="N173" s="54">
        <v>51884.959999999999</v>
      </c>
      <c r="O173" s="54">
        <v>159194.47</v>
      </c>
      <c r="P173" s="54">
        <v>18.777999999999999</v>
      </c>
      <c r="Q173" s="35">
        <v>1.1000000013154931E-3</v>
      </c>
      <c r="R173" s="103" cm="1">
        <f t="array" ref="R17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3" s="35">
        <v>-7.0000000414438546E-4</v>
      </c>
      <c r="T173" s="44" cm="1">
        <f t="array" ref="T17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3" s="35">
        <v>-9.9999999999766942E-5</v>
      </c>
      <c r="V173" s="44" cm="1">
        <f t="array" ref="V17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3" s="101" t="s">
        <v>86</v>
      </c>
      <c r="AA173" s="105"/>
      <c r="AB173" s="1"/>
      <c r="AC173" s="1"/>
      <c r="AD173" s="1"/>
      <c r="AE173" s="1"/>
      <c r="AF173" s="1"/>
      <c r="AG173" s="1"/>
      <c r="AH173" s="1"/>
      <c r="AI173" s="1"/>
      <c r="AJ173" s="1"/>
      <c r="AK173" s="1"/>
      <c r="AL173" s="1"/>
      <c r="AM173" s="1"/>
    </row>
    <row r="174" spans="7:39" ht="14.25" customHeight="1" x14ac:dyDescent="0.2">
      <c r="G174" s="50">
        <v>45710.451388888891</v>
      </c>
      <c r="H174" s="101" t="s">
        <v>174</v>
      </c>
      <c r="I174" s="101" t="e">
        <f>_xlfn.XLOOKUP(ReportSummary___XYZ[[#This Row],[ID]],Table_Design[ID],Table_Design[Structure Name])</f>
        <v>#N/A</v>
      </c>
      <c r="J174" s="101" t="e">
        <f>_xlfn.XLOOKUP(ReportSummary___XYZ[[#This Row],[ID]],Table_Design[ID],Table_Design[Chainage '[m']])</f>
        <v>#N/A</v>
      </c>
      <c r="K174" s="118">
        <v>51888.117700000003</v>
      </c>
      <c r="L174" s="118">
        <v>159194.94529999999</v>
      </c>
      <c r="M174" s="118">
        <v>18.7788</v>
      </c>
      <c r="N174" s="54">
        <v>51888.118999999999</v>
      </c>
      <c r="O174" s="54">
        <v>159194.94500000001</v>
      </c>
      <c r="P174" s="54">
        <v>18.779</v>
      </c>
      <c r="Q174" s="35">
        <v>1.2999999962630682E-3</v>
      </c>
      <c r="R174" s="103" cm="1">
        <f t="array" ref="R17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4" s="35">
        <v>-2.9999998514540493E-4</v>
      </c>
      <c r="T174" s="44" cm="1">
        <f t="array" ref="T17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4" s="35">
        <v>1.9999999999953388E-4</v>
      </c>
      <c r="V174" s="44" cm="1">
        <f t="array" ref="V17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4" s="101" t="s">
        <v>86</v>
      </c>
      <c r="AA174" s="105"/>
      <c r="AB174" s="1"/>
      <c r="AC174" s="1"/>
      <c r="AD174" s="1"/>
      <c r="AE174" s="1"/>
      <c r="AF174" s="1"/>
      <c r="AG174" s="1"/>
      <c r="AH174" s="1"/>
      <c r="AI174" s="1"/>
      <c r="AJ174" s="1"/>
      <c r="AK174" s="1"/>
      <c r="AL174" s="1"/>
      <c r="AM174" s="1"/>
    </row>
    <row r="175" spans="7:39" ht="14.25" customHeight="1" x14ac:dyDescent="0.2">
      <c r="G175" s="50">
        <v>45710.451388888891</v>
      </c>
      <c r="H175" s="101" t="s">
        <v>173</v>
      </c>
      <c r="I175" s="101" t="e">
        <f>_xlfn.XLOOKUP(ReportSummary___XYZ[[#This Row],[ID]],Table_Design[ID],Table_Design[Structure Name])</f>
        <v>#N/A</v>
      </c>
      <c r="J175" s="101" t="e">
        <f>_xlfn.XLOOKUP(ReportSummary___XYZ[[#This Row],[ID]],Table_Design[ID],Table_Design[Chainage '[m']])</f>
        <v>#N/A</v>
      </c>
      <c r="K175" s="118">
        <v>51887.805099999998</v>
      </c>
      <c r="L175" s="118">
        <v>159193.65710000001</v>
      </c>
      <c r="M175" s="118">
        <v>18.778500000000001</v>
      </c>
      <c r="N175" s="54">
        <v>51887.807000000001</v>
      </c>
      <c r="O175" s="54">
        <v>159193.65700000001</v>
      </c>
      <c r="P175" s="54">
        <v>18.779</v>
      </c>
      <c r="Q175" s="35">
        <v>1.9000000029336661E-3</v>
      </c>
      <c r="R175" s="103" cm="1">
        <f t="array" ref="R17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5" s="35">
        <v>-1.0000000474974513E-4</v>
      </c>
      <c r="T175" s="44" cm="1">
        <f t="array" ref="T17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5" s="35">
        <v>4.9999999999883471E-4</v>
      </c>
      <c r="V175" s="44" cm="1">
        <f t="array" ref="V17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5" s="101" t="s">
        <v>86</v>
      </c>
      <c r="AA175" s="105"/>
      <c r="AB175" s="1"/>
      <c r="AC175" s="1"/>
      <c r="AD175" s="1"/>
      <c r="AE175" s="1"/>
      <c r="AF175" s="1"/>
      <c r="AG175" s="1"/>
      <c r="AH175" s="1"/>
      <c r="AI175" s="1"/>
      <c r="AJ175" s="1"/>
      <c r="AK175" s="1"/>
      <c r="AL175" s="1"/>
      <c r="AM175" s="1"/>
    </row>
    <row r="176" spans="7:39" ht="14.25" customHeight="1" x14ac:dyDescent="0.2">
      <c r="G176" s="50">
        <v>45710.451388888891</v>
      </c>
      <c r="H176" s="101" t="s">
        <v>176</v>
      </c>
      <c r="I176" s="101" t="e">
        <f>_xlfn.XLOOKUP(ReportSummary___XYZ[[#This Row],[ID]],Table_Design[ID],Table_Design[Structure Name])</f>
        <v>#N/A</v>
      </c>
      <c r="J176" s="101" t="e">
        <f>_xlfn.XLOOKUP(ReportSummary___XYZ[[#This Row],[ID]],Table_Design[ID],Table_Design[Chainage '[m']])</f>
        <v>#N/A</v>
      </c>
      <c r="K176" s="118">
        <v>51890.969100000002</v>
      </c>
      <c r="L176" s="118">
        <v>159194.1177</v>
      </c>
      <c r="M176" s="118">
        <v>18.779</v>
      </c>
      <c r="N176" s="54">
        <v>51890.970999999998</v>
      </c>
      <c r="O176" s="54">
        <v>159194.11799999999</v>
      </c>
      <c r="P176" s="54">
        <v>18.779</v>
      </c>
      <c r="Q176" s="35">
        <v>1.8999999956577085E-3</v>
      </c>
      <c r="R176" s="103" cm="1">
        <f t="array" ref="R17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6" s="35">
        <v>2.9999998514540493E-4</v>
      </c>
      <c r="T176" s="44" cm="1">
        <f t="array" ref="T17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6" s="35">
        <v>0</v>
      </c>
      <c r="V176" s="44" cm="1">
        <f t="array" ref="V17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6" s="101" t="s">
        <v>86</v>
      </c>
      <c r="AA176" s="105"/>
      <c r="AB176" s="1"/>
      <c r="AC176" s="1"/>
      <c r="AD176" s="1"/>
      <c r="AE176" s="1"/>
      <c r="AF176" s="1"/>
      <c r="AG176" s="1"/>
      <c r="AH176" s="1"/>
      <c r="AI176" s="1"/>
      <c r="AJ176" s="1"/>
      <c r="AK176" s="1"/>
      <c r="AL176" s="1"/>
      <c r="AM176" s="1"/>
    </row>
    <row r="177" spans="7:39" ht="14.25" customHeight="1" x14ac:dyDescent="0.2">
      <c r="G177" s="50">
        <v>45710.451388888891</v>
      </c>
      <c r="H177" s="101" t="s">
        <v>175</v>
      </c>
      <c r="I177" s="101" t="e">
        <f>_xlfn.XLOOKUP(ReportSummary___XYZ[[#This Row],[ID]],Table_Design[ID],Table_Design[Structure Name])</f>
        <v>#N/A</v>
      </c>
      <c r="J177" s="101" t="e">
        <f>_xlfn.XLOOKUP(ReportSummary___XYZ[[#This Row],[ID]],Table_Design[ID],Table_Design[Chainage '[m']])</f>
        <v>#N/A</v>
      </c>
      <c r="K177" s="118">
        <v>51890.606800000001</v>
      </c>
      <c r="L177" s="118">
        <v>159192.86069999999</v>
      </c>
      <c r="M177" s="118">
        <v>18.771999999999998</v>
      </c>
      <c r="N177" s="54">
        <v>51890.608</v>
      </c>
      <c r="O177" s="54">
        <v>159192.85999999999</v>
      </c>
      <c r="P177" s="54">
        <v>18.771999999999998</v>
      </c>
      <c r="Q177" s="35">
        <v>1.1999999987892807E-3</v>
      </c>
      <c r="R177" s="103" cm="1">
        <f t="array" ref="R17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7" s="35">
        <v>-7.0000000414438546E-4</v>
      </c>
      <c r="T177" s="44" cm="1">
        <f t="array" ref="T17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7" s="35">
        <v>0</v>
      </c>
      <c r="V177" s="44" cm="1">
        <f t="array" ref="V17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7" s="101" t="s">
        <v>86</v>
      </c>
      <c r="AA177" s="105"/>
      <c r="AB177" s="1"/>
      <c r="AC177" s="1"/>
      <c r="AD177" s="1"/>
      <c r="AE177" s="1"/>
      <c r="AF177" s="1"/>
      <c r="AG177" s="1"/>
      <c r="AH177" s="1"/>
      <c r="AI177" s="1"/>
      <c r="AJ177" s="1"/>
      <c r="AK177" s="1"/>
      <c r="AL177" s="1"/>
      <c r="AM177" s="1"/>
    </row>
    <row r="178" spans="7:39" ht="14.25" customHeight="1" x14ac:dyDescent="0.2">
      <c r="G178" s="50">
        <v>45710.451388888891</v>
      </c>
      <c r="H178" s="101" t="s">
        <v>178</v>
      </c>
      <c r="I178" s="101" t="e">
        <f>_xlfn.XLOOKUP(ReportSummary___XYZ[[#This Row],[ID]],Table_Design[ID],Table_Design[Structure Name])</f>
        <v>#N/A</v>
      </c>
      <c r="J178" s="101" t="e">
        <f>_xlfn.XLOOKUP(ReportSummary___XYZ[[#This Row],[ID]],Table_Design[ID],Table_Design[Chainage '[m']])</f>
        <v>#N/A</v>
      </c>
      <c r="K178" s="118">
        <v>51893.758699999998</v>
      </c>
      <c r="L178" s="118">
        <v>159193.3144</v>
      </c>
      <c r="M178" s="118">
        <v>18.774100000000001</v>
      </c>
      <c r="N178" s="54">
        <v>51893.760000000002</v>
      </c>
      <c r="O178" s="54">
        <v>159193.31400000001</v>
      </c>
      <c r="P178" s="54">
        <v>18.774000000000001</v>
      </c>
      <c r="Q178" s="35">
        <v>1.3000000035390258E-3</v>
      </c>
      <c r="R178" s="103" cm="1">
        <f t="array" ref="R17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8" s="35">
        <v>-3.9999998989515007E-4</v>
      </c>
      <c r="T178" s="44" cm="1">
        <f t="array" ref="T17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8" s="35">
        <v>-9.9999999999766942E-5</v>
      </c>
      <c r="V178" s="44" cm="1">
        <f t="array" ref="V17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8" s="101" t="s">
        <v>86</v>
      </c>
      <c r="AA178" s="105"/>
      <c r="AB178" s="1"/>
      <c r="AC178" s="1"/>
      <c r="AD178" s="1"/>
      <c r="AE178" s="1"/>
      <c r="AF178" s="1"/>
      <c r="AG178" s="1"/>
      <c r="AH178" s="1"/>
      <c r="AI178" s="1"/>
      <c r="AJ178" s="1"/>
      <c r="AK178" s="1"/>
      <c r="AL178" s="1"/>
      <c r="AM178" s="1"/>
    </row>
    <row r="179" spans="7:39" ht="14.25" customHeight="1" x14ac:dyDescent="0.2">
      <c r="G179" s="50">
        <v>45710.451388888891</v>
      </c>
      <c r="H179" s="101" t="s">
        <v>177</v>
      </c>
      <c r="I179" s="101" t="e">
        <f>_xlfn.XLOOKUP(ReportSummary___XYZ[[#This Row],[ID]],Table_Design[ID],Table_Design[Structure Name])</f>
        <v>#N/A</v>
      </c>
      <c r="J179" s="101" t="e">
        <f>_xlfn.XLOOKUP(ReportSummary___XYZ[[#This Row],[ID]],Table_Design[ID],Table_Design[Chainage '[m']])</f>
        <v>#N/A</v>
      </c>
      <c r="K179" s="118">
        <v>51893.441299999999</v>
      </c>
      <c r="L179" s="118">
        <v>159192.04019999999</v>
      </c>
      <c r="M179" s="118">
        <v>18.7683</v>
      </c>
      <c r="N179" s="54">
        <v>51893.442999999999</v>
      </c>
      <c r="O179" s="54">
        <v>159192.04</v>
      </c>
      <c r="P179" s="54">
        <v>18.768000000000001</v>
      </c>
      <c r="Q179" s="35">
        <v>1.7000000007101335E-3</v>
      </c>
      <c r="R179" s="103" cm="1">
        <f t="array" ref="R17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79" s="35">
        <v>-1.999999803956598E-4</v>
      </c>
      <c r="T179" s="44" cm="1">
        <f t="array" ref="T17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79" s="35">
        <v>-2.9999999999930083E-4</v>
      </c>
      <c r="V179" s="44" cm="1">
        <f t="array" ref="V17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7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7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7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79" s="101" t="s">
        <v>86</v>
      </c>
      <c r="AA179" s="105"/>
      <c r="AB179" s="1"/>
      <c r="AC179" s="1"/>
      <c r="AD179" s="1"/>
      <c r="AE179" s="1"/>
      <c r="AF179" s="1"/>
      <c r="AG179" s="1"/>
      <c r="AH179" s="1"/>
      <c r="AI179" s="1"/>
      <c r="AJ179" s="1"/>
      <c r="AK179" s="1"/>
      <c r="AL179" s="1"/>
      <c r="AM179" s="1"/>
    </row>
    <row r="180" spans="7:39" ht="14.25" customHeight="1" x14ac:dyDescent="0.2">
      <c r="G180" s="50">
        <v>45710.451388888891</v>
      </c>
      <c r="H180" s="101" t="s">
        <v>180</v>
      </c>
      <c r="I180" s="101" t="e">
        <f>_xlfn.XLOOKUP(ReportSummary___XYZ[[#This Row],[ID]],Table_Design[ID],Table_Design[Structure Name])</f>
        <v>#N/A</v>
      </c>
      <c r="J180" s="101" t="e">
        <f>_xlfn.XLOOKUP(ReportSummary___XYZ[[#This Row],[ID]],Table_Design[ID],Table_Design[Chainage '[m']])</f>
        <v>#N/A</v>
      </c>
      <c r="K180" s="118">
        <v>51896.633300000001</v>
      </c>
      <c r="L180" s="118">
        <v>159192.48449999999</v>
      </c>
      <c r="M180" s="118">
        <v>18.7776</v>
      </c>
      <c r="N180" s="54">
        <v>51896.635000000002</v>
      </c>
      <c r="O180" s="54">
        <v>159192.484</v>
      </c>
      <c r="P180" s="54">
        <v>18.777999999999999</v>
      </c>
      <c r="Q180" s="35">
        <v>1.7000000007101335E-3</v>
      </c>
      <c r="R180" s="103" cm="1">
        <f t="array" ref="R18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0" s="35">
        <v>-4.999999946448952E-4</v>
      </c>
      <c r="T180" s="44" cm="1">
        <f t="array" ref="T18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0" s="35">
        <v>3.9999999999906777E-4</v>
      </c>
      <c r="V180" s="44" cm="1">
        <f t="array" ref="V18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0" s="101" t="s">
        <v>86</v>
      </c>
      <c r="AA180" s="105"/>
      <c r="AB180" s="1"/>
      <c r="AC180" s="1"/>
      <c r="AD180" s="1"/>
      <c r="AE180" s="1"/>
      <c r="AF180" s="1"/>
      <c r="AG180" s="1"/>
      <c r="AH180" s="1"/>
      <c r="AI180" s="1"/>
      <c r="AJ180" s="1"/>
      <c r="AK180" s="1"/>
      <c r="AL180" s="1"/>
      <c r="AM180" s="1"/>
    </row>
    <row r="181" spans="7:39" ht="14.25" customHeight="1" x14ac:dyDescent="0.2">
      <c r="G181" s="50">
        <v>45710.451388888891</v>
      </c>
      <c r="H181" s="101" t="s">
        <v>179</v>
      </c>
      <c r="I181" s="101" t="e">
        <f>_xlfn.XLOOKUP(ReportSummary___XYZ[[#This Row],[ID]],Table_Design[ID],Table_Design[Structure Name])</f>
        <v>#N/A</v>
      </c>
      <c r="J181" s="101" t="e">
        <f>_xlfn.XLOOKUP(ReportSummary___XYZ[[#This Row],[ID]],Table_Design[ID],Table_Design[Chainage '[m']])</f>
        <v>#N/A</v>
      </c>
      <c r="K181" s="118">
        <v>51896.249799999998</v>
      </c>
      <c r="L181" s="118">
        <v>159191.22630000001</v>
      </c>
      <c r="M181" s="118">
        <v>18.7698</v>
      </c>
      <c r="N181" s="54">
        <v>51896.250999999997</v>
      </c>
      <c r="O181" s="54">
        <v>159191.22700000001</v>
      </c>
      <c r="P181" s="54">
        <v>18.768999999999998</v>
      </c>
      <c r="Q181" s="35">
        <v>1.1999999987892807E-3</v>
      </c>
      <c r="R181" s="103" cm="1">
        <f t="array" ref="R18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1" s="35">
        <v>7.0000000414438546E-4</v>
      </c>
      <c r="T181" s="44" cm="1">
        <f t="array" ref="T18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1" s="35">
        <v>-8.0000000000168825E-4</v>
      </c>
      <c r="V181" s="44" cm="1">
        <f t="array" ref="V18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1" s="101" t="s">
        <v>86</v>
      </c>
      <c r="AA181" s="105"/>
      <c r="AB181" s="1"/>
      <c r="AC181" s="1"/>
      <c r="AD181" s="1"/>
      <c r="AE181" s="1"/>
      <c r="AF181" s="1"/>
      <c r="AG181" s="1"/>
      <c r="AH181" s="1"/>
      <c r="AI181" s="1"/>
      <c r="AJ181" s="1"/>
      <c r="AK181" s="1"/>
      <c r="AL181" s="1"/>
      <c r="AM181" s="1"/>
    </row>
    <row r="182" spans="7:39" ht="14.25" customHeight="1" x14ac:dyDescent="0.2">
      <c r="G182" s="50">
        <v>45710.451388888891</v>
      </c>
      <c r="H182" s="101" t="s">
        <v>182</v>
      </c>
      <c r="I182" s="101" t="e">
        <f>_xlfn.XLOOKUP(ReportSummary___XYZ[[#This Row],[ID]],Table_Design[ID],Table_Design[Structure Name])</f>
        <v>#N/A</v>
      </c>
      <c r="J182" s="101" t="e">
        <f>_xlfn.XLOOKUP(ReportSummary___XYZ[[#This Row],[ID]],Table_Design[ID],Table_Design[Chainage '[m']])</f>
        <v>#N/A</v>
      </c>
      <c r="K182" s="118">
        <v>51899.398699999998</v>
      </c>
      <c r="L182" s="118">
        <v>159191.69760000001</v>
      </c>
      <c r="M182" s="118">
        <v>18.777999999999999</v>
      </c>
      <c r="N182" s="54">
        <v>51899.4</v>
      </c>
      <c r="O182" s="54">
        <v>159191.69699999999</v>
      </c>
      <c r="P182" s="54">
        <v>18.777999999999999</v>
      </c>
      <c r="Q182" s="35">
        <v>1.3000000035390258E-3</v>
      </c>
      <c r="R182" s="103" cm="1">
        <f t="array" ref="R18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2" s="35">
        <v>-6.0000002849847078E-4</v>
      </c>
      <c r="T182" s="44" cm="1">
        <f t="array" ref="T18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2" s="35">
        <v>0</v>
      </c>
      <c r="V182" s="44" cm="1">
        <f t="array" ref="V18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2" s="101" t="s">
        <v>86</v>
      </c>
      <c r="AA182" s="105"/>
      <c r="AB182" s="1"/>
      <c r="AC182" s="1"/>
      <c r="AD182" s="1"/>
      <c r="AE182" s="1"/>
      <c r="AF182" s="1"/>
      <c r="AG182" s="1"/>
      <c r="AH182" s="1"/>
      <c r="AI182" s="1"/>
      <c r="AJ182" s="1"/>
      <c r="AK182" s="1"/>
      <c r="AL182" s="1"/>
      <c r="AM182" s="1"/>
    </row>
    <row r="183" spans="7:39" ht="14.25" customHeight="1" x14ac:dyDescent="0.2">
      <c r="G183" s="50">
        <v>45710.451388888891</v>
      </c>
      <c r="H183" s="101" t="s">
        <v>181</v>
      </c>
      <c r="I183" s="101" t="e">
        <f>_xlfn.XLOOKUP(ReportSummary___XYZ[[#This Row],[ID]],Table_Design[ID],Table_Design[Structure Name])</f>
        <v>#N/A</v>
      </c>
      <c r="J183" s="101" t="e">
        <f>_xlfn.XLOOKUP(ReportSummary___XYZ[[#This Row],[ID]],Table_Design[ID],Table_Design[Chainage '[m']])</f>
        <v>#N/A</v>
      </c>
      <c r="K183" s="118">
        <v>51899.041100000002</v>
      </c>
      <c r="L183" s="118">
        <v>159190.43340000001</v>
      </c>
      <c r="M183" s="118">
        <v>18.771100000000001</v>
      </c>
      <c r="N183" s="54">
        <v>51899.042999999998</v>
      </c>
      <c r="O183" s="54">
        <v>159190.432</v>
      </c>
      <c r="P183" s="54">
        <v>18.771000000000001</v>
      </c>
      <c r="Q183" s="35">
        <v>1.8999999956577085E-3</v>
      </c>
      <c r="R183" s="103" cm="1">
        <f t="array" ref="R18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3" s="35">
        <v>-1.4000000082887709E-3</v>
      </c>
      <c r="T183" s="44" cm="1">
        <f t="array" ref="T18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3" s="35">
        <v>-9.9999999999766942E-5</v>
      </c>
      <c r="V183" s="44" cm="1">
        <f t="array" ref="V18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3" s="101" t="s">
        <v>86</v>
      </c>
      <c r="AA183" s="105"/>
      <c r="AB183" s="1"/>
      <c r="AC183" s="1"/>
      <c r="AD183" s="1"/>
      <c r="AE183" s="1"/>
      <c r="AF183" s="1"/>
      <c r="AG183" s="1"/>
      <c r="AH183" s="1"/>
      <c r="AI183" s="1"/>
      <c r="AJ183" s="1"/>
      <c r="AK183" s="1"/>
      <c r="AL183" s="1"/>
      <c r="AM183" s="1"/>
    </row>
    <row r="184" spans="7:39" ht="14.25" customHeight="1" x14ac:dyDescent="0.2">
      <c r="G184" s="50">
        <v>45710.451388888891</v>
      </c>
      <c r="H184" s="101" t="s">
        <v>184</v>
      </c>
      <c r="I184" s="101" t="e">
        <f>_xlfn.XLOOKUP(ReportSummary___XYZ[[#This Row],[ID]],Table_Design[ID],Table_Design[Structure Name])</f>
        <v>#N/A</v>
      </c>
      <c r="J184" s="101" t="e">
        <f>_xlfn.XLOOKUP(ReportSummary___XYZ[[#This Row],[ID]],Table_Design[ID],Table_Design[Chainage '[m']])</f>
        <v>#N/A</v>
      </c>
      <c r="K184" s="118">
        <v>51902.292699999998</v>
      </c>
      <c r="L184" s="118">
        <v>159190.88459999999</v>
      </c>
      <c r="M184" s="118">
        <v>18.779</v>
      </c>
      <c r="N184" s="54">
        <v>51902.294000000002</v>
      </c>
      <c r="O184" s="54">
        <v>159190.88399999999</v>
      </c>
      <c r="P184" s="54">
        <v>18.779</v>
      </c>
      <c r="Q184" s="35">
        <v>1.3000000035390258E-3</v>
      </c>
      <c r="R184" s="103" cm="1">
        <f t="array" ref="R184">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4" s="35">
        <v>-5.9999999939464033E-4</v>
      </c>
      <c r="T184" s="44" cm="1">
        <f t="array" ref="T184">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4" s="35">
        <v>0</v>
      </c>
      <c r="V184" s="44" cm="1">
        <f t="array" ref="V184">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4"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4"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4"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4" s="101" t="s">
        <v>86</v>
      </c>
      <c r="AA184" s="105"/>
      <c r="AB184" s="1"/>
      <c r="AC184" s="1"/>
      <c r="AD184" s="1"/>
      <c r="AE184" s="1"/>
      <c r="AF184" s="1"/>
      <c r="AG184" s="1"/>
      <c r="AH184" s="1"/>
      <c r="AI184" s="1"/>
      <c r="AJ184" s="1"/>
      <c r="AK184" s="1"/>
      <c r="AL184" s="1"/>
      <c r="AM184" s="1"/>
    </row>
    <row r="185" spans="7:39" ht="14.25" customHeight="1" x14ac:dyDescent="0.2">
      <c r="G185" s="50">
        <v>45710.451388888891</v>
      </c>
      <c r="H185" s="101" t="s">
        <v>183</v>
      </c>
      <c r="I185" s="101" t="e">
        <f>_xlfn.XLOOKUP(ReportSummary___XYZ[[#This Row],[ID]],Table_Design[ID],Table_Design[Structure Name])</f>
        <v>#N/A</v>
      </c>
      <c r="J185" s="101" t="e">
        <f>_xlfn.XLOOKUP(ReportSummary___XYZ[[#This Row],[ID]],Table_Design[ID],Table_Design[Chainage '[m']])</f>
        <v>#N/A</v>
      </c>
      <c r="K185" s="118">
        <v>51901.989200000004</v>
      </c>
      <c r="L185" s="118">
        <v>159189.60260000001</v>
      </c>
      <c r="M185" s="118">
        <v>18.770099999999999</v>
      </c>
      <c r="N185" s="54">
        <v>51901.991000000002</v>
      </c>
      <c r="O185" s="54">
        <v>159189.601</v>
      </c>
      <c r="P185" s="54">
        <v>18.77</v>
      </c>
      <c r="Q185" s="35">
        <v>1.799999998183921E-3</v>
      </c>
      <c r="R185" s="103" cm="1">
        <f t="array" ref="R185">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5" s="35">
        <v>-1.6000000177882612E-3</v>
      </c>
      <c r="T185" s="44" cm="1">
        <f t="array" ref="T185">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5" s="35">
        <v>-9.9999999999766942E-5</v>
      </c>
      <c r="V185" s="44" cm="1">
        <f t="array" ref="V185">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5"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5"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5"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5" s="101" t="s">
        <v>86</v>
      </c>
      <c r="AA185" s="105"/>
      <c r="AB185" s="1"/>
      <c r="AC185" s="1"/>
      <c r="AD185" s="1"/>
      <c r="AE185" s="1"/>
      <c r="AF185" s="1"/>
      <c r="AG185" s="1"/>
      <c r="AH185" s="1"/>
      <c r="AI185" s="1"/>
      <c r="AJ185" s="1"/>
      <c r="AK185" s="1"/>
      <c r="AL185" s="1"/>
      <c r="AM185" s="1"/>
    </row>
    <row r="186" spans="7:39" ht="14.25" customHeight="1" x14ac:dyDescent="0.2">
      <c r="G186" s="50">
        <v>45710.451388888891</v>
      </c>
      <c r="H186" s="101" t="s">
        <v>186</v>
      </c>
      <c r="I186" s="101" t="e">
        <f>_xlfn.XLOOKUP(ReportSummary___XYZ[[#This Row],[ID]],Table_Design[ID],Table_Design[Structure Name])</f>
        <v>#N/A</v>
      </c>
      <c r="J186" s="101" t="e">
        <f>_xlfn.XLOOKUP(ReportSummary___XYZ[[#This Row],[ID]],Table_Design[ID],Table_Design[Chainage '[m']])</f>
        <v>#N/A</v>
      </c>
      <c r="K186" s="118">
        <v>51905.196199999998</v>
      </c>
      <c r="L186" s="118">
        <v>159190.09460000001</v>
      </c>
      <c r="M186" s="118">
        <v>18.780899999999999</v>
      </c>
      <c r="N186" s="54">
        <v>51905.197999999997</v>
      </c>
      <c r="O186" s="54">
        <v>159190.09400000001</v>
      </c>
      <c r="P186" s="54">
        <v>18.780999999999999</v>
      </c>
      <c r="Q186" s="35">
        <v>1.799999998183921E-3</v>
      </c>
      <c r="R186" s="103" cm="1">
        <f t="array" ref="R186">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6" s="35">
        <v>-5.9999999939464033E-4</v>
      </c>
      <c r="T186" s="44" cm="1">
        <f t="array" ref="T186">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6" s="35">
        <v>9.9999999999766942E-5</v>
      </c>
      <c r="V186" s="44" cm="1">
        <f t="array" ref="V186">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6"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6"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6"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6" s="101" t="s">
        <v>86</v>
      </c>
      <c r="AA186" s="105"/>
      <c r="AB186" s="1"/>
      <c r="AC186" s="1"/>
      <c r="AD186" s="1"/>
      <c r="AE186" s="1"/>
      <c r="AF186" s="1"/>
      <c r="AG186" s="1"/>
      <c r="AH186" s="1"/>
      <c r="AI186" s="1"/>
      <c r="AJ186" s="1"/>
      <c r="AK186" s="1"/>
      <c r="AL186" s="1"/>
      <c r="AM186" s="1"/>
    </row>
    <row r="187" spans="7:39" ht="14.25" customHeight="1" x14ac:dyDescent="0.2">
      <c r="G187" s="50">
        <v>45710.451388888891</v>
      </c>
      <c r="H187" s="101" t="s">
        <v>185</v>
      </c>
      <c r="I187" s="101" t="e">
        <f>_xlfn.XLOOKUP(ReportSummary___XYZ[[#This Row],[ID]],Table_Design[ID],Table_Design[Structure Name])</f>
        <v>#N/A</v>
      </c>
      <c r="J187" s="101" t="e">
        <f>_xlfn.XLOOKUP(ReportSummary___XYZ[[#This Row],[ID]],Table_Design[ID],Table_Design[Chainage '[m']])</f>
        <v>#N/A</v>
      </c>
      <c r="K187" s="118">
        <v>51904.885600000001</v>
      </c>
      <c r="L187" s="118">
        <v>159188.8046</v>
      </c>
      <c r="M187" s="118">
        <v>18.773099999999999</v>
      </c>
      <c r="N187" s="54">
        <v>51904.887999999999</v>
      </c>
      <c r="O187" s="54">
        <v>159188.80300000001</v>
      </c>
      <c r="P187" s="54">
        <v>18.773</v>
      </c>
      <c r="Q187" s="35">
        <v>2.3999999975785613E-3</v>
      </c>
      <c r="R187" s="103" cm="1">
        <f t="array" ref="R187">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7" s="35">
        <v>-1.5999999886844307E-3</v>
      </c>
      <c r="T187" s="44" cm="1">
        <f t="array" ref="T187">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7" s="35">
        <v>-9.9999999999766942E-5</v>
      </c>
      <c r="V187" s="44" cm="1">
        <f t="array" ref="V187">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7"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7"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7"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7" s="101" t="s">
        <v>86</v>
      </c>
      <c r="AA187" s="105"/>
      <c r="AB187" s="1"/>
      <c r="AC187" s="1"/>
      <c r="AD187" s="1"/>
      <c r="AE187" s="1"/>
      <c r="AF187" s="1"/>
      <c r="AG187" s="1"/>
      <c r="AH187" s="1"/>
      <c r="AI187" s="1"/>
      <c r="AJ187" s="1"/>
      <c r="AK187" s="1"/>
      <c r="AL187" s="1"/>
      <c r="AM187" s="1"/>
    </row>
    <row r="188" spans="7:39" ht="14.25" customHeight="1" x14ac:dyDescent="0.2">
      <c r="G188" s="50">
        <v>45710.451388888891</v>
      </c>
      <c r="H188" s="101" t="s">
        <v>188</v>
      </c>
      <c r="I188" s="101" t="e">
        <f>_xlfn.XLOOKUP(ReportSummary___XYZ[[#This Row],[ID]],Table_Design[ID],Table_Design[Structure Name])</f>
        <v>#N/A</v>
      </c>
      <c r="J188" s="101" t="e">
        <f>_xlfn.XLOOKUP(ReportSummary___XYZ[[#This Row],[ID]],Table_Design[ID],Table_Design[Chainage '[m']])</f>
        <v>#N/A</v>
      </c>
      <c r="K188" s="118">
        <v>51907.9522</v>
      </c>
      <c r="L188" s="118">
        <v>159189.36230000001</v>
      </c>
      <c r="M188" s="118">
        <v>18.786000000000001</v>
      </c>
      <c r="N188" s="54">
        <v>51907.953999999998</v>
      </c>
      <c r="O188" s="54">
        <v>159189.361</v>
      </c>
      <c r="P188" s="54">
        <v>18.786000000000001</v>
      </c>
      <c r="Q188" s="35">
        <v>1.799999998183921E-3</v>
      </c>
      <c r="R188" s="103" cm="1">
        <f t="array" ref="R188">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8" s="35">
        <v>-1.3000000035390258E-3</v>
      </c>
      <c r="T188" s="44" cm="1">
        <f t="array" ref="T188">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8" s="35">
        <v>0</v>
      </c>
      <c r="V188" s="44" cm="1">
        <f t="array" ref="V188">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8"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8"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8"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8" s="101" t="s">
        <v>86</v>
      </c>
      <c r="AA188" s="105"/>
      <c r="AB188" s="1"/>
      <c r="AC188" s="1"/>
      <c r="AD188" s="1"/>
      <c r="AE188" s="1"/>
      <c r="AF188" s="1"/>
      <c r="AG188" s="1"/>
      <c r="AH188" s="1"/>
      <c r="AI188" s="1"/>
      <c r="AJ188" s="1"/>
      <c r="AK188" s="1"/>
      <c r="AL188" s="1"/>
      <c r="AM188" s="1"/>
    </row>
    <row r="189" spans="7:39" ht="14.25" customHeight="1" x14ac:dyDescent="0.2">
      <c r="G189" s="50">
        <v>45710.451388888891</v>
      </c>
      <c r="H189" s="101" t="s">
        <v>187</v>
      </c>
      <c r="I189" s="101" t="e">
        <f>_xlfn.XLOOKUP(ReportSummary___XYZ[[#This Row],[ID]],Table_Design[ID],Table_Design[Structure Name])</f>
        <v>#N/A</v>
      </c>
      <c r="J189" s="101" t="e">
        <f>_xlfn.XLOOKUP(ReportSummary___XYZ[[#This Row],[ID]],Table_Design[ID],Table_Design[Chainage '[m']])</f>
        <v>#N/A</v>
      </c>
      <c r="K189" s="118">
        <v>51907.578699999998</v>
      </c>
      <c r="L189" s="118">
        <v>159188.09770000001</v>
      </c>
      <c r="M189" s="118">
        <v>18.776</v>
      </c>
      <c r="N189" s="54">
        <v>51907.580999999998</v>
      </c>
      <c r="O189" s="54">
        <v>159188.09599999999</v>
      </c>
      <c r="P189" s="54">
        <v>18.776</v>
      </c>
      <c r="Q189" s="35">
        <v>2.3000000001047738E-3</v>
      </c>
      <c r="R189" s="103" cm="1">
        <f t="array" ref="R189">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89" s="35">
        <v>-1.7000000225380063E-3</v>
      </c>
      <c r="T189" s="44" cm="1">
        <f t="array" ref="T189">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89" s="35">
        <v>0</v>
      </c>
      <c r="V189" s="44" cm="1">
        <f t="array" ref="V189">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89"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89"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89"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89" s="101" t="s">
        <v>86</v>
      </c>
      <c r="AA189" s="105"/>
      <c r="AB189" s="1"/>
      <c r="AC189" s="1"/>
      <c r="AD189" s="1"/>
      <c r="AE189" s="1"/>
      <c r="AF189" s="1"/>
      <c r="AG189" s="1"/>
      <c r="AH189" s="1"/>
      <c r="AI189" s="1"/>
      <c r="AJ189" s="1"/>
      <c r="AK189" s="1"/>
      <c r="AL189" s="1"/>
      <c r="AM189" s="1"/>
    </row>
    <row r="190" spans="7:39" ht="14.25" customHeight="1" x14ac:dyDescent="0.2">
      <c r="G190" s="50">
        <v>45710.451388888891</v>
      </c>
      <c r="H190" s="101" t="s">
        <v>190</v>
      </c>
      <c r="I190" s="101" t="e">
        <f>_xlfn.XLOOKUP(ReportSummary___XYZ[[#This Row],[ID]],Table_Design[ID],Table_Design[Structure Name])</f>
        <v>#N/A</v>
      </c>
      <c r="J190" s="101" t="e">
        <f>_xlfn.XLOOKUP(ReportSummary___XYZ[[#This Row],[ID]],Table_Design[ID],Table_Design[Chainage '[m']])</f>
        <v>#N/A</v>
      </c>
      <c r="K190" s="118">
        <v>51910.962800000001</v>
      </c>
      <c r="L190" s="118">
        <v>159188.60079999999</v>
      </c>
      <c r="M190" s="118">
        <v>18.794599999999999</v>
      </c>
      <c r="N190" s="54">
        <v>51910.964999999997</v>
      </c>
      <c r="O190" s="54">
        <v>159188.6</v>
      </c>
      <c r="P190" s="54">
        <v>18.795000000000002</v>
      </c>
      <c r="Q190" s="35">
        <v>2.1999999953550287E-3</v>
      </c>
      <c r="R190" s="103" cm="1">
        <f t="array" ref="R190">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90" s="35">
        <v>-7.9999997979030013E-4</v>
      </c>
      <c r="T190" s="44" cm="1">
        <f t="array" ref="T190">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90" s="35">
        <v>4.0000000000262048E-4</v>
      </c>
      <c r="V190" s="44" cm="1">
        <f t="array" ref="V190">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90"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90"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90"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90" s="101" t="s">
        <v>86</v>
      </c>
      <c r="AA190" s="105"/>
      <c r="AB190" s="1"/>
      <c r="AC190" s="1"/>
      <c r="AD190" s="1"/>
      <c r="AE190" s="1"/>
      <c r="AF190" s="1"/>
      <c r="AG190" s="1"/>
      <c r="AH190" s="1"/>
      <c r="AI190" s="1"/>
      <c r="AJ190" s="1"/>
      <c r="AK190" s="1"/>
      <c r="AL190" s="1"/>
      <c r="AM190" s="1"/>
    </row>
    <row r="191" spans="7:39" ht="14.25" customHeight="1" x14ac:dyDescent="0.2">
      <c r="G191" s="50">
        <v>45710.451388888891</v>
      </c>
      <c r="H191" s="101" t="s">
        <v>189</v>
      </c>
      <c r="I191" s="101" t="e">
        <f>_xlfn.XLOOKUP(ReportSummary___XYZ[[#This Row],[ID]],Table_Design[ID],Table_Design[Structure Name])</f>
        <v>#N/A</v>
      </c>
      <c r="J191" s="101" t="e">
        <f>_xlfn.XLOOKUP(ReportSummary___XYZ[[#This Row],[ID]],Table_Design[ID],Table_Design[Chainage '[m']])</f>
        <v>#N/A</v>
      </c>
      <c r="K191" s="118">
        <v>51910.640099999997</v>
      </c>
      <c r="L191" s="118">
        <v>159187.3223</v>
      </c>
      <c r="M191" s="118">
        <v>18.7836</v>
      </c>
      <c r="N191" s="54">
        <v>51910.642999999996</v>
      </c>
      <c r="O191" s="54">
        <v>159187.321</v>
      </c>
      <c r="P191" s="54">
        <v>18.783999999999999</v>
      </c>
      <c r="Q191" s="35">
        <v>2.8999999994994141E-3</v>
      </c>
      <c r="R191" s="103" cm="1">
        <f t="array" ref="R191">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91" s="35">
        <v>-1.3000000035390258E-3</v>
      </c>
      <c r="T191" s="44" cm="1">
        <f t="array" ref="T191">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91" s="35">
        <v>3.9999999999906777E-4</v>
      </c>
      <c r="V191" s="44" cm="1">
        <f t="array" ref="V191">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91"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91"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91"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91" s="101" t="s">
        <v>86</v>
      </c>
      <c r="AA191" s="105"/>
      <c r="AB191" s="1"/>
      <c r="AC191" s="1"/>
      <c r="AD191" s="1"/>
      <c r="AE191" s="1"/>
      <c r="AF191" s="1"/>
      <c r="AG191" s="1"/>
      <c r="AH191" s="1"/>
      <c r="AI191" s="1"/>
      <c r="AJ191" s="1"/>
      <c r="AK191" s="1"/>
      <c r="AL191" s="1"/>
      <c r="AM191" s="1"/>
    </row>
    <row r="192" spans="7:39" ht="14.25" customHeight="1" x14ac:dyDescent="0.2">
      <c r="G192" s="50">
        <v>45710.451388888891</v>
      </c>
      <c r="H192" s="101" t="s">
        <v>192</v>
      </c>
      <c r="I192" s="101" t="e">
        <f>_xlfn.XLOOKUP(ReportSummary___XYZ[[#This Row],[ID]],Table_Design[ID],Table_Design[Structure Name])</f>
        <v>#N/A</v>
      </c>
      <c r="J192" s="101" t="e">
        <f>_xlfn.XLOOKUP(ReportSummary___XYZ[[#This Row],[ID]],Table_Design[ID],Table_Design[Chainage '[m']])</f>
        <v>#N/A</v>
      </c>
      <c r="K192" s="118">
        <v>51913.751100000001</v>
      </c>
      <c r="L192" s="118">
        <v>159187.9178</v>
      </c>
      <c r="M192" s="118">
        <v>18.809000000000001</v>
      </c>
      <c r="N192" s="54">
        <v>51913.752999999997</v>
      </c>
      <c r="O192" s="54">
        <v>159187.91699999999</v>
      </c>
      <c r="P192" s="54">
        <v>18.809000000000001</v>
      </c>
      <c r="Q192" s="35">
        <v>1.8999999956577085E-3</v>
      </c>
      <c r="R192" s="103" cm="1">
        <f t="array" ref="R192">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92" s="35">
        <v>-8.0000000889413059E-4</v>
      </c>
      <c r="T192" s="44" cm="1">
        <f t="array" ref="T192">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92" s="35">
        <v>0</v>
      </c>
      <c r="V192" s="44" cm="1">
        <f t="array" ref="V192">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92"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92"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92"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92" s="101" t="s">
        <v>86</v>
      </c>
      <c r="AA192" s="105"/>
      <c r="AB192" s="1"/>
      <c r="AC192" s="1"/>
      <c r="AD192" s="1"/>
      <c r="AE192" s="1"/>
      <c r="AF192" s="1"/>
      <c r="AG192" s="1"/>
      <c r="AH192" s="1"/>
      <c r="AI192" s="1"/>
      <c r="AJ192" s="1"/>
      <c r="AK192" s="1"/>
      <c r="AL192" s="1"/>
      <c r="AM192" s="1"/>
    </row>
    <row r="193" spans="7:39" ht="14.25" customHeight="1" x14ac:dyDescent="0.2">
      <c r="G193" s="50">
        <v>45710.451388888891</v>
      </c>
      <c r="H193" s="101" t="s">
        <v>191</v>
      </c>
      <c r="I193" s="101" t="e">
        <f>_xlfn.XLOOKUP(ReportSummary___XYZ[[#This Row],[ID]],Table_Design[ID],Table_Design[Structure Name])</f>
        <v>#N/A</v>
      </c>
      <c r="J193" s="101" t="e">
        <f>_xlfn.XLOOKUP(ReportSummary___XYZ[[#This Row],[ID]],Table_Design[ID],Table_Design[Chainage '[m']])</f>
        <v>#N/A</v>
      </c>
      <c r="K193" s="118">
        <v>51913.421499999997</v>
      </c>
      <c r="L193" s="118">
        <v>159186.63630000001</v>
      </c>
      <c r="M193" s="118">
        <v>18.794899999999998</v>
      </c>
      <c r="N193" s="54">
        <v>51913.423999999999</v>
      </c>
      <c r="O193" s="54">
        <v>159186.63500000001</v>
      </c>
      <c r="P193" s="54">
        <v>18.795000000000002</v>
      </c>
      <c r="Q193" s="35">
        <v>2.5000000023283064E-3</v>
      </c>
      <c r="R193" s="103" cm="1">
        <f t="array" ref="R193">_xlfn.IFS(ReportSummary___XYZ[[#This Row],[Diff to BL. East.]]="-",0,
AND(ReportSummary___XYZ[[#This Row],[Diff to BL. East.]]&gt;=$S$4,ReportSummary___XYZ[[#This Row],[Diff to BL. East.]]&lt;$U$4),0,
OR(AND(ReportSummary___XYZ[[#This Row],[Diff to BL. East.]]&lt;$S$4,ReportSummary___XYZ[[#This Row],[Diff to BL. East.]]&gt;=$S$5),AND(ReportSummary___XYZ[[#This Row],[Diff to BL. East.]]&gt;$U$4,ReportSummary___XYZ[[#This Row],[Diff to BL. East.]]&lt;=$U$5)),1,
OR(AND(ReportSummary___XYZ[[#This Row],[Diff to BL. East.]]&lt;$S$5,ReportSummary___XYZ[[#This Row],[Diff to BL. East.]]&gt;=$S$6),AND(ReportSummary___XYZ[[#This Row],[Diff to BL. East.]]&gt;$U$5,ReportSummary___XYZ[[#This Row],[Diff to BL. East.]]&lt;=$U$6)),2,
OR(AND(ReportSummary___XYZ[[#This Row],[Diff to BL. East.]]&lt;$S$6,ReportSummary___XYZ[[#This Row],[Diff to BL. East.]]&gt;=$S$7),AND(ReportSummary___XYZ[[#This Row],[Diff to BL. East.]]&gt;$U$6,ReportSummary___XYZ[[#This Row],[Diff to BL. East.]]&lt;=$U$7)),3,
OR(ReportSummary___XYZ[[#This Row],[Diff to BL. East.]]&lt;$S$7,ReportSummary___XYZ[[#This Row],[Diff to BL. East.]]&gt;$U$7),4)</f>
        <v>0</v>
      </c>
      <c r="S193" s="35">
        <v>-1.3000000035390258E-3</v>
      </c>
      <c r="T193" s="44" cm="1">
        <f t="array" ref="T193">_xlfn.IFS(ReportSummary___XYZ[[#This Row],[Diff to BL. North.]]="-",0,
AND(ReportSummary___XYZ[[#This Row],[Diff to BL. North.]]&gt;=$S$4,ReportSummary___XYZ[[#This Row],[Diff to BL. North.]]&lt;$U$4),0,
OR(AND(ReportSummary___XYZ[[#This Row],[Diff to BL. North.]]&lt;$S$4,ReportSummary___XYZ[[#This Row],[Diff to BL. North.]]&gt;=$S$5),AND(ReportSummary___XYZ[[#This Row],[Diff to BL. North.]]&gt;$U$4,ReportSummary___XYZ[[#This Row],[Diff to BL. North.]]&lt;=$U$5)),1,
OR(AND(ReportSummary___XYZ[[#This Row],[Diff to BL. North.]]&lt;$S$5,ReportSummary___XYZ[[#This Row],[Diff to BL. North.]]&gt;=$S$6),AND(ReportSummary___XYZ[[#This Row],[Diff to BL. North.]]&gt;$U$5,ReportSummary___XYZ[[#This Row],[Diff to BL. North.]]&lt;=$U$6)),2,
OR(AND(ReportSummary___XYZ[[#This Row],[Diff to BL. North.]]&lt;$S$6,ReportSummary___XYZ[[#This Row],[Diff to BL. North.]]&gt;=$S$7),AND(ReportSummary___XYZ[[#This Row],[Diff to BL. North.]]&gt;$U$6,ReportSummary___XYZ[[#This Row],[Diff to BL. North.]]&lt;=$U$7)),3,
OR(ReportSummary___XYZ[[#This Row],[Diff to BL. North.]]&lt;$S$7,ReportSummary___XYZ[[#This Row],[Diff to BL. North.]]&gt;$U$7),4)</f>
        <v>0</v>
      </c>
      <c r="U193" s="35">
        <v>1.0000000000331966E-4</v>
      </c>
      <c r="V193" s="44" cm="1">
        <f t="array" ref="V193">_xlfn.IFS(ReportSummary___XYZ[[#This Row],[Diff to BL. Level]]="-",0,
AND(ReportSummary___XYZ[[#This Row],[Diff to BL. Level]]&gt;=$S$4,ReportSummary___XYZ[[#This Row],[Diff to BL. Level]]&lt;$U$4),0,
OR(AND(ReportSummary___XYZ[[#This Row],[Diff to BL. Level]]&lt;$S$4,ReportSummary___XYZ[[#This Row],[Diff to BL. Level]]&gt;=$S$5),AND(ReportSummary___XYZ[[#This Row],[Diff to BL. Level]]&gt;$U$4,ReportSummary___XYZ[[#This Row],[Diff to BL. Level]]&lt;=$U$5)),1,
OR(AND(ReportSummary___XYZ[[#This Row],[Diff to BL. Level]]&lt;$S$5,ReportSummary___XYZ[[#This Row],[Diff to BL. Level]]&gt;=$S$6),AND(ReportSummary___XYZ[[#This Row],[Diff to BL. Level]]&gt;$U$5,ReportSummary___XYZ[[#This Row],[Diff to BL. Level]]&lt;=$U$6)),2,
OR(AND(ReportSummary___XYZ[[#This Row],[Diff to BL. Level]]&lt;$S$6,ReportSummary___XYZ[[#This Row],[Diff to BL. Level]]&gt;=$S$7),AND(ReportSummary___XYZ[[#This Row],[Diff to BL. Level]]&gt;$U$6,ReportSummary___XYZ[[#This Row],[Diff to BL. Level]]&lt;=$U$7)),3,
OR(ReportSummary___XYZ[[#This Row],[Diff to BL. Level]]&lt;$S$7,ReportSummary___XYZ[[#This Row],[Diff to BL. Level]]&gt;$U$7),4)</f>
        <v>0</v>
      </c>
      <c r="W193" s="44" t="str">
        <f>_xlfn.LET(
_xlpm.CurrentReading,ReportSummary___XYZ[[#This Row],[Obs. Easting]],
_xlpm.LastReading,_xlfn.XLOOKUP(ReportSummary___XYZ[[#This Row],[ID]]&amp;"-"&amp;LastSurvey,Readings[Key],Readings[Obs. X],"-"),
IFERROR(IF(OR(_xlpm.LastReading=0, ISBLANK(_xlpm.LastReading), ISBLANK(_xlpm.CurrentReading)),"-", _xlpm.CurrentReading-_xlpm.LastReading),"-"))</f>
        <v>-</v>
      </c>
      <c r="X193" s="44" t="str">
        <f>_xlfn.LET(
_xlpm.CurrentReading,ReportSummary___XYZ[[#This Row],[Obs. Northing]],
_xlpm.LastReading,_xlfn.XLOOKUP(ReportSummary___XYZ[[#This Row],[ID]]&amp;"-"&amp;LastSurvey,Readings[Key],Readings[Obs. Y],"-"),
IFERROR(IF(OR(_xlpm.LastReading=0, ISBLANK(_xlpm.LastReading), ISBLANK(_xlpm.CurrentReading)),"-", _xlpm.CurrentReading-_xlpm.LastReading),"-"))</f>
        <v>-</v>
      </c>
      <c r="Y193" s="44" t="str">
        <f>_xlfn.LET(
_xlpm.CurrentReading,ReportSummary___XYZ[[#This Row],[Obs. Height]],
_xlpm.LastReading,_xlfn.XLOOKUP(ReportSummary___XYZ[[#This Row],[ID]]&amp;"-"&amp;LastSurvey,Readings[Key],Readings[Obs. Z],"-"),
IFERROR(IF(OR(_xlpm.LastReading=0, ISBLANK(_xlpm.LastReading), ISBLANK(_xlpm.CurrentReading)),"-", _xlpm.CurrentReading-_xlpm.LastReading),"-"))</f>
        <v>-</v>
      </c>
      <c r="Z193" s="101" t="s">
        <v>86</v>
      </c>
      <c r="AA193" s="105"/>
      <c r="AB193" s="1"/>
      <c r="AC193" s="1"/>
      <c r="AD193" s="1"/>
      <c r="AE193" s="1"/>
      <c r="AF193" s="1"/>
      <c r="AG193" s="1"/>
      <c r="AH193" s="1"/>
      <c r="AI193" s="1"/>
      <c r="AJ193" s="1"/>
      <c r="AK193" s="1"/>
      <c r="AL193" s="1"/>
      <c r="AM193" s="1"/>
    </row>
    <row r="194" spans="7:39" ht="14.25" customHeight="1" x14ac:dyDescent="0.2">
      <c r="AB194" s="1"/>
      <c r="AC194" s="1"/>
      <c r="AD194" s="1"/>
      <c r="AE194" s="1"/>
      <c r="AF194" s="1"/>
      <c r="AG194" s="1"/>
      <c r="AH194" s="1"/>
      <c r="AI194" s="1"/>
      <c r="AJ194" s="1"/>
      <c r="AK194" s="1"/>
      <c r="AL194" s="1"/>
      <c r="AM194" s="1"/>
    </row>
    <row r="195" spans="7:39" ht="14.25" customHeight="1" x14ac:dyDescent="0.2">
      <c r="AB195" s="1"/>
      <c r="AC195" s="1"/>
      <c r="AD195" s="1"/>
      <c r="AE195" s="1"/>
      <c r="AF195" s="1"/>
      <c r="AG195" s="1"/>
      <c r="AH195" s="1"/>
      <c r="AI195" s="1"/>
      <c r="AJ195" s="1"/>
      <c r="AK195" s="1"/>
      <c r="AL195" s="1"/>
      <c r="AM195" s="1"/>
    </row>
    <row r="196" spans="7:39" ht="14.25" customHeight="1" x14ac:dyDescent="0.2">
      <c r="AB196" s="1"/>
      <c r="AC196" s="1"/>
      <c r="AD196" s="1"/>
      <c r="AE196" s="1"/>
      <c r="AF196" s="1"/>
      <c r="AG196" s="1"/>
      <c r="AH196" s="1"/>
      <c r="AI196" s="1"/>
      <c r="AJ196" s="1"/>
      <c r="AK196" s="1"/>
      <c r="AL196" s="1"/>
      <c r="AM196" s="1"/>
    </row>
    <row r="197" spans="7:39" ht="14.25" customHeight="1" x14ac:dyDescent="0.2">
      <c r="AB197" s="1"/>
      <c r="AC197" s="1"/>
      <c r="AD197" s="1"/>
      <c r="AE197" s="1"/>
      <c r="AF197" s="1"/>
      <c r="AG197" s="1"/>
      <c r="AH197" s="1"/>
      <c r="AI197" s="1"/>
      <c r="AJ197" s="1"/>
      <c r="AK197" s="1"/>
      <c r="AL197" s="1"/>
      <c r="AM197" s="1"/>
    </row>
    <row r="198" spans="7:39" ht="14.25" customHeight="1" x14ac:dyDescent="0.2">
      <c r="AB198" s="1"/>
      <c r="AC198" s="1"/>
      <c r="AD198" s="1"/>
      <c r="AE198" s="1"/>
      <c r="AF198" s="1"/>
      <c r="AG198" s="1"/>
      <c r="AH198" s="1"/>
      <c r="AI198" s="1"/>
      <c r="AJ198" s="1"/>
      <c r="AK198" s="1"/>
      <c r="AL198" s="1"/>
      <c r="AM198" s="1"/>
    </row>
    <row r="199" spans="7:39" ht="14.25" customHeight="1" x14ac:dyDescent="0.2">
      <c r="AB199" s="1"/>
      <c r="AC199" s="1"/>
      <c r="AD199" s="1"/>
      <c r="AE199" s="1"/>
      <c r="AF199" s="1"/>
      <c r="AG199" s="1"/>
      <c r="AH199" s="1"/>
      <c r="AI199" s="1"/>
      <c r="AJ199" s="1"/>
      <c r="AK199" s="1"/>
      <c r="AL199" s="1"/>
      <c r="AM199" s="1"/>
    </row>
    <row r="200" spans="7:39" ht="14.25" customHeight="1" x14ac:dyDescent="0.2">
      <c r="AB200" s="1"/>
      <c r="AC200" s="1"/>
      <c r="AD200" s="1"/>
      <c r="AE200" s="1"/>
      <c r="AF200" s="1"/>
      <c r="AG200" s="1"/>
      <c r="AH200" s="1"/>
      <c r="AI200" s="1"/>
      <c r="AJ200" s="1"/>
      <c r="AK200" s="1"/>
      <c r="AL200" s="1"/>
      <c r="AM200" s="1"/>
    </row>
    <row r="201" spans="7:39" ht="14.25" customHeight="1" x14ac:dyDescent="0.2">
      <c r="AB201" s="1"/>
      <c r="AC201" s="1"/>
      <c r="AD201" s="1"/>
      <c r="AE201" s="1"/>
      <c r="AF201" s="1"/>
      <c r="AG201" s="1"/>
      <c r="AH201" s="1"/>
      <c r="AI201" s="1"/>
      <c r="AJ201" s="1"/>
      <c r="AK201" s="1"/>
      <c r="AL201" s="1"/>
      <c r="AM201" s="1"/>
    </row>
    <row r="202" spans="7:39" ht="14.25" customHeight="1" x14ac:dyDescent="0.2">
      <c r="AB202" s="1"/>
      <c r="AC202" s="1"/>
      <c r="AD202" s="1"/>
      <c r="AE202" s="1"/>
      <c r="AF202" s="1"/>
      <c r="AG202" s="1"/>
      <c r="AH202" s="1"/>
      <c r="AI202" s="1"/>
      <c r="AJ202" s="1"/>
      <c r="AK202" s="1"/>
      <c r="AL202" s="1"/>
      <c r="AM202" s="1"/>
    </row>
    <row r="203" spans="7:39" ht="14.25" customHeight="1" x14ac:dyDescent="0.2">
      <c r="AB203" s="1"/>
      <c r="AC203" s="1"/>
      <c r="AD203" s="1"/>
      <c r="AE203" s="1"/>
      <c r="AF203" s="1"/>
      <c r="AG203" s="1"/>
      <c r="AH203" s="1"/>
      <c r="AI203" s="1"/>
      <c r="AJ203" s="1"/>
      <c r="AK203" s="1"/>
      <c r="AL203" s="1"/>
      <c r="AM203" s="1"/>
    </row>
    <row r="204" spans="7:39" ht="14.25" customHeight="1" x14ac:dyDescent="0.2">
      <c r="AB204" s="1"/>
      <c r="AC204" s="1"/>
      <c r="AD204" s="1"/>
      <c r="AE204" s="1"/>
      <c r="AF204" s="1"/>
      <c r="AG204" s="1"/>
      <c r="AH204" s="1"/>
      <c r="AI204" s="1"/>
      <c r="AJ204" s="1"/>
      <c r="AK204" s="1"/>
      <c r="AL204" s="1"/>
      <c r="AM204" s="1"/>
    </row>
    <row r="205" spans="7:39" ht="14.25" customHeight="1" x14ac:dyDescent="0.2">
      <c r="AB205" s="1"/>
      <c r="AC205" s="1"/>
      <c r="AD205" s="1"/>
      <c r="AE205" s="1"/>
      <c r="AF205" s="1"/>
      <c r="AG205" s="1"/>
      <c r="AH205" s="1"/>
      <c r="AI205" s="1"/>
      <c r="AJ205" s="1"/>
      <c r="AK205" s="1"/>
      <c r="AL205" s="1"/>
      <c r="AM205" s="1"/>
    </row>
    <row r="206" spans="7:39" ht="14.25" customHeight="1" x14ac:dyDescent="0.2">
      <c r="AB206" s="1"/>
      <c r="AC206" s="1"/>
      <c r="AD206" s="1"/>
      <c r="AE206" s="1"/>
      <c r="AF206" s="1"/>
      <c r="AG206" s="1"/>
      <c r="AH206" s="1"/>
      <c r="AI206" s="1"/>
      <c r="AJ206" s="1"/>
      <c r="AK206" s="1"/>
      <c r="AL206" s="1"/>
      <c r="AM206" s="1"/>
    </row>
    <row r="207" spans="7:39" ht="14.25" customHeight="1" x14ac:dyDescent="0.2">
      <c r="AB207" s="1"/>
      <c r="AC207" s="1"/>
      <c r="AD207" s="1"/>
      <c r="AE207" s="1"/>
      <c r="AF207" s="1"/>
      <c r="AG207" s="1"/>
      <c r="AH207" s="1"/>
      <c r="AI207" s="1"/>
      <c r="AJ207" s="1"/>
      <c r="AK207" s="1"/>
      <c r="AL207" s="1"/>
      <c r="AM207" s="1"/>
    </row>
    <row r="208" spans="7:39" ht="14.25" customHeight="1" x14ac:dyDescent="0.2">
      <c r="AB208" s="1"/>
      <c r="AC208" s="1"/>
      <c r="AD208" s="1"/>
      <c r="AE208" s="1"/>
      <c r="AF208" s="1"/>
      <c r="AG208" s="1"/>
      <c r="AH208" s="1"/>
      <c r="AI208" s="1"/>
      <c r="AJ208" s="1"/>
      <c r="AK208" s="1"/>
      <c r="AL208" s="1"/>
      <c r="AM208" s="1"/>
    </row>
    <row r="209" spans="28:39" ht="14.25" customHeight="1" x14ac:dyDescent="0.2">
      <c r="AB209" s="1"/>
      <c r="AC209" s="1"/>
      <c r="AD209" s="1"/>
      <c r="AE209" s="1"/>
      <c r="AF209" s="1"/>
      <c r="AG209" s="1"/>
      <c r="AH209" s="1"/>
      <c r="AI209" s="1"/>
      <c r="AJ209" s="1"/>
      <c r="AK209" s="1"/>
      <c r="AL209" s="1"/>
      <c r="AM209" s="1"/>
    </row>
    <row r="210" spans="28:39" ht="14.25" customHeight="1" x14ac:dyDescent="0.2">
      <c r="AB210" s="1"/>
      <c r="AC210" s="1"/>
      <c r="AD210" s="1"/>
      <c r="AE210" s="1"/>
      <c r="AF210" s="1"/>
      <c r="AG210" s="1"/>
      <c r="AH210" s="1"/>
      <c r="AI210" s="1"/>
      <c r="AJ210" s="1"/>
      <c r="AK210" s="1"/>
      <c r="AL210" s="1"/>
      <c r="AM210" s="1"/>
    </row>
    <row r="211" spans="28:39" ht="14.25" customHeight="1" x14ac:dyDescent="0.2">
      <c r="AJ211" s="1"/>
      <c r="AK211" s="1"/>
      <c r="AL211" s="1"/>
      <c r="AM211" s="1"/>
    </row>
    <row r="212" spans="28:39" ht="14.25" customHeight="1" x14ac:dyDescent="0.2">
      <c r="AJ212" s="1"/>
      <c r="AK212" s="1"/>
      <c r="AL212" s="1"/>
      <c r="AM212" s="1"/>
    </row>
    <row r="213" spans="28:39" ht="14.25" customHeight="1" x14ac:dyDescent="0.2">
      <c r="AJ213" s="1"/>
      <c r="AK213" s="1"/>
      <c r="AL213" s="1"/>
      <c r="AM213" s="1"/>
    </row>
    <row r="214" spans="28:39" ht="14.25" customHeight="1" x14ac:dyDescent="0.2">
      <c r="AJ214" s="1"/>
      <c r="AK214" s="1"/>
      <c r="AL214" s="1"/>
      <c r="AM214" s="1"/>
    </row>
    <row r="215" spans="28:39" ht="14.25" customHeight="1" x14ac:dyDescent="0.2">
      <c r="AJ215" s="1"/>
      <c r="AK215" s="1"/>
      <c r="AL215" s="1"/>
      <c r="AM215" s="1"/>
    </row>
    <row r="216" spans="28:39" ht="14.25" customHeight="1" x14ac:dyDescent="0.2">
      <c r="AJ216" s="1"/>
      <c r="AK216" s="1"/>
      <c r="AL216" s="1"/>
      <c r="AM216" s="1"/>
    </row>
    <row r="217" spans="28:39" ht="14.25" customHeight="1" x14ac:dyDescent="0.2">
      <c r="AJ217" s="1"/>
      <c r="AK217" s="1"/>
      <c r="AL217" s="1"/>
      <c r="AM217" s="1"/>
    </row>
    <row r="218" spans="28:39" ht="14.25" customHeight="1" x14ac:dyDescent="0.2">
      <c r="AJ218" s="1"/>
      <c r="AK218" s="1"/>
      <c r="AL218" s="1"/>
      <c r="AM218" s="1"/>
    </row>
    <row r="219" spans="28:39" ht="14.25" customHeight="1" x14ac:dyDescent="0.2">
      <c r="AJ219" s="1"/>
      <c r="AK219" s="1"/>
      <c r="AL219" s="1"/>
      <c r="AM219" s="1"/>
    </row>
    <row r="220" spans="28:39" ht="14.25" customHeight="1" x14ac:dyDescent="0.2">
      <c r="AJ220" s="1"/>
      <c r="AK220" s="1"/>
      <c r="AL220" s="1"/>
      <c r="AM220" s="1"/>
    </row>
    <row r="221" spans="28:39" ht="14.25" customHeight="1" x14ac:dyDescent="0.2">
      <c r="AJ221" s="1"/>
      <c r="AK221" s="1"/>
      <c r="AL221" s="1"/>
      <c r="AM221" s="1"/>
    </row>
    <row r="222" spans="28:39" ht="14.25" customHeight="1" x14ac:dyDescent="0.2">
      <c r="AJ222" s="1"/>
      <c r="AK222" s="1"/>
      <c r="AL222" s="1"/>
      <c r="AM222" s="1"/>
    </row>
    <row r="223" spans="28:39" ht="14.25" customHeight="1" x14ac:dyDescent="0.2">
      <c r="AJ223" s="1"/>
      <c r="AK223" s="1"/>
      <c r="AL223" s="1"/>
      <c r="AM223" s="1"/>
    </row>
    <row r="224" spans="28:39" ht="14.25" customHeight="1" x14ac:dyDescent="0.2">
      <c r="AJ224" s="1"/>
      <c r="AK224" s="1"/>
      <c r="AL224" s="1"/>
      <c r="AM224" s="1"/>
    </row>
    <row r="225" spans="36:39" ht="14.25" customHeight="1" x14ac:dyDescent="0.2">
      <c r="AJ225" s="1"/>
      <c r="AK225" s="1"/>
      <c r="AL225" s="1"/>
      <c r="AM225" s="1"/>
    </row>
    <row r="226" spans="36:39" ht="14.25" customHeight="1" x14ac:dyDescent="0.2">
      <c r="AJ226" s="1"/>
      <c r="AK226" s="1"/>
      <c r="AL226" s="1"/>
      <c r="AM226" s="1"/>
    </row>
    <row r="227" spans="36:39" ht="14.25" customHeight="1" x14ac:dyDescent="0.2">
      <c r="AJ227" s="1"/>
      <c r="AK227" s="1"/>
      <c r="AL227" s="1"/>
      <c r="AM227" s="1"/>
    </row>
    <row r="228" spans="36:39" ht="14.25" customHeight="1" x14ac:dyDescent="0.2">
      <c r="AJ228" s="1"/>
      <c r="AK228" s="1"/>
      <c r="AL228" s="1"/>
      <c r="AM228" s="1"/>
    </row>
    <row r="229" spans="36:39" ht="14.25" customHeight="1" x14ac:dyDescent="0.2">
      <c r="AJ229" s="1"/>
      <c r="AK229" s="1"/>
      <c r="AL229" s="1"/>
      <c r="AM229" s="1"/>
    </row>
    <row r="230" spans="36:39" ht="14.25" customHeight="1" x14ac:dyDescent="0.2">
      <c r="AJ230" s="1"/>
      <c r="AK230" s="1"/>
      <c r="AL230" s="1"/>
      <c r="AM230" s="1"/>
    </row>
    <row r="231" spans="36:39" ht="14.25" customHeight="1" x14ac:dyDescent="0.2">
      <c r="AJ231" s="1"/>
      <c r="AK231" s="1"/>
      <c r="AL231" s="1"/>
      <c r="AM231" s="1"/>
    </row>
    <row r="232" spans="36:39" ht="14.25" customHeight="1" x14ac:dyDescent="0.2">
      <c r="AJ232" s="1"/>
      <c r="AK232" s="1"/>
      <c r="AL232" s="1"/>
      <c r="AM232" s="1"/>
    </row>
    <row r="233" spans="36:39" ht="14.25" customHeight="1" x14ac:dyDescent="0.2">
      <c r="AJ233" s="1"/>
      <c r="AK233" s="1"/>
      <c r="AL233" s="1"/>
      <c r="AM233" s="1"/>
    </row>
    <row r="234" spans="36:39" ht="14.25" customHeight="1" x14ac:dyDescent="0.2">
      <c r="AJ234" s="1"/>
      <c r="AK234" s="1"/>
      <c r="AL234" s="1"/>
      <c r="AM234" s="1"/>
    </row>
    <row r="235" spans="36:39" ht="14.25" customHeight="1" x14ac:dyDescent="0.2">
      <c r="AJ235" s="1"/>
      <c r="AK235" s="1"/>
      <c r="AL235" s="1"/>
      <c r="AM235" s="1"/>
    </row>
    <row r="236" spans="36:39" ht="14.25" customHeight="1" x14ac:dyDescent="0.2">
      <c r="AJ236" s="1"/>
      <c r="AK236" s="1"/>
      <c r="AL236" s="1"/>
      <c r="AM236" s="1"/>
    </row>
    <row r="237" spans="36:39" ht="14.25" customHeight="1" x14ac:dyDescent="0.2">
      <c r="AJ237" s="1"/>
      <c r="AK237" s="1"/>
      <c r="AL237" s="1"/>
      <c r="AM237" s="1"/>
    </row>
    <row r="238" spans="36:39" ht="14.25" customHeight="1" x14ac:dyDescent="0.2">
      <c r="AJ238" s="1"/>
      <c r="AK238" s="1"/>
      <c r="AL238" s="1"/>
      <c r="AM238" s="1"/>
    </row>
    <row r="239" spans="36:39" ht="14.25" customHeight="1" x14ac:dyDescent="0.2">
      <c r="AJ239" s="1"/>
      <c r="AK239" s="1"/>
      <c r="AL239" s="1"/>
      <c r="AM239" s="1"/>
    </row>
    <row r="240" spans="36:39" ht="14.25" customHeight="1" x14ac:dyDescent="0.2">
      <c r="AJ240" s="1"/>
      <c r="AK240" s="1"/>
      <c r="AL240" s="1"/>
      <c r="AM240" s="1"/>
    </row>
    <row r="241" spans="36:39" ht="14.25" customHeight="1" x14ac:dyDescent="0.2">
      <c r="AJ241" s="1"/>
      <c r="AK241" s="1"/>
      <c r="AL241" s="1"/>
      <c r="AM241" s="1"/>
    </row>
    <row r="242" spans="36:39" ht="14.25" customHeight="1" x14ac:dyDescent="0.2">
      <c r="AJ242" s="1"/>
      <c r="AK242" s="1"/>
      <c r="AL242" s="1"/>
      <c r="AM242" s="1"/>
    </row>
    <row r="243" spans="36:39" ht="14.25" customHeight="1" x14ac:dyDescent="0.2">
      <c r="AJ243" s="1"/>
      <c r="AK243" s="1"/>
      <c r="AL243" s="1"/>
      <c r="AM243" s="1"/>
    </row>
    <row r="244" spans="36:39" ht="14.25" customHeight="1" x14ac:dyDescent="0.2">
      <c r="AJ244" s="1"/>
      <c r="AK244" s="1"/>
      <c r="AL244" s="1"/>
      <c r="AM244" s="1"/>
    </row>
    <row r="245" spans="36:39" ht="14.25" customHeight="1" x14ac:dyDescent="0.2">
      <c r="AJ245" s="1"/>
      <c r="AK245" s="1"/>
      <c r="AL245" s="1"/>
      <c r="AM245" s="1"/>
    </row>
    <row r="246" spans="36:39" ht="14.25" customHeight="1" x14ac:dyDescent="0.2">
      <c r="AJ246" s="1"/>
      <c r="AK246" s="1"/>
      <c r="AL246" s="1"/>
      <c r="AM246" s="1"/>
    </row>
    <row r="247" spans="36:39" ht="14.25" customHeight="1" x14ac:dyDescent="0.2">
      <c r="AJ247" s="1"/>
      <c r="AK247" s="1"/>
      <c r="AL247" s="1"/>
      <c r="AM247" s="1"/>
    </row>
    <row r="248" spans="36:39" ht="14.25" customHeight="1" x14ac:dyDescent="0.2">
      <c r="AJ248" s="1"/>
      <c r="AK248" s="1"/>
      <c r="AL248" s="1"/>
      <c r="AM248" s="1"/>
    </row>
    <row r="249" spans="36:39" ht="14.25" customHeight="1" x14ac:dyDescent="0.2">
      <c r="AJ249" s="1"/>
      <c r="AK249" s="1"/>
      <c r="AL249" s="1"/>
      <c r="AM249" s="1"/>
    </row>
    <row r="250" spans="36:39" ht="14.25" customHeight="1" x14ac:dyDescent="0.2">
      <c r="AJ250" s="1"/>
      <c r="AK250" s="1"/>
      <c r="AL250" s="1"/>
      <c r="AM250" s="1"/>
    </row>
    <row r="251" spans="36:39" ht="14.25" customHeight="1" x14ac:dyDescent="0.2">
      <c r="AJ251" s="1"/>
      <c r="AK251" s="1"/>
      <c r="AL251" s="1"/>
      <c r="AM251" s="1"/>
    </row>
    <row r="252" spans="36:39" ht="14.25" customHeight="1" x14ac:dyDescent="0.2">
      <c r="AJ252" s="1"/>
      <c r="AK252" s="1"/>
      <c r="AL252" s="1"/>
      <c r="AM252" s="1"/>
    </row>
    <row r="253" spans="36:39" ht="14.25" customHeight="1" x14ac:dyDescent="0.2">
      <c r="AJ253" s="1"/>
      <c r="AK253" s="1"/>
      <c r="AL253" s="1"/>
      <c r="AM253" s="1"/>
    </row>
    <row r="254" spans="36:39" ht="14.25" customHeight="1" x14ac:dyDescent="0.2">
      <c r="AJ254" s="1"/>
      <c r="AK254" s="1"/>
      <c r="AL254" s="1"/>
      <c r="AM254" s="1"/>
    </row>
    <row r="255" spans="36:39" ht="14.25" customHeight="1" x14ac:dyDescent="0.2">
      <c r="AJ255" s="1"/>
      <c r="AK255" s="1"/>
      <c r="AL255" s="1"/>
      <c r="AM255" s="1"/>
    </row>
    <row r="256" spans="36:39" ht="14.25" customHeight="1" x14ac:dyDescent="0.2">
      <c r="AJ256" s="1"/>
      <c r="AK256" s="1"/>
      <c r="AL256" s="1"/>
      <c r="AM256" s="1"/>
    </row>
    <row r="257" spans="36:39" ht="14.25" customHeight="1" x14ac:dyDescent="0.2">
      <c r="AJ257" s="1"/>
      <c r="AK257" s="1"/>
      <c r="AL257" s="1"/>
      <c r="AM257" s="1"/>
    </row>
    <row r="258" spans="36:39" ht="14.25" customHeight="1" x14ac:dyDescent="0.2">
      <c r="AJ258" s="1"/>
      <c r="AK258" s="1"/>
      <c r="AL258" s="1"/>
      <c r="AM258" s="1"/>
    </row>
    <row r="259" spans="36:39" ht="14.25" customHeight="1" x14ac:dyDescent="0.2">
      <c r="AJ259" s="1"/>
      <c r="AK259" s="1"/>
      <c r="AL259" s="1"/>
      <c r="AM259" s="1"/>
    </row>
    <row r="260" spans="36:39" ht="14.25" customHeight="1" x14ac:dyDescent="0.2">
      <c r="AJ260" s="1"/>
      <c r="AK260" s="1"/>
      <c r="AL260" s="1"/>
      <c r="AM260" s="1"/>
    </row>
    <row r="261" spans="36:39" ht="14.25" customHeight="1" x14ac:dyDescent="0.2">
      <c r="AJ261" s="1"/>
      <c r="AK261" s="1"/>
      <c r="AL261" s="1"/>
      <c r="AM261" s="1"/>
    </row>
    <row r="262" spans="36:39" ht="14.25" customHeight="1" x14ac:dyDescent="0.2">
      <c r="AJ262" s="1"/>
      <c r="AK262" s="1"/>
      <c r="AL262" s="1"/>
      <c r="AM262" s="1"/>
    </row>
    <row r="263" spans="36:39" ht="14.25" customHeight="1" x14ac:dyDescent="0.2">
      <c r="AJ263" s="1"/>
      <c r="AK263" s="1"/>
      <c r="AL263" s="1"/>
      <c r="AM263" s="1"/>
    </row>
    <row r="264" spans="36:39" ht="14.25" customHeight="1" x14ac:dyDescent="0.2">
      <c r="AJ264" s="1"/>
      <c r="AK264" s="1"/>
      <c r="AL264" s="1"/>
      <c r="AM264" s="1"/>
    </row>
    <row r="265" spans="36:39" ht="14.25" customHeight="1" x14ac:dyDescent="0.2">
      <c r="AJ265" s="1"/>
      <c r="AK265" s="1"/>
      <c r="AL265" s="1"/>
      <c r="AM265" s="1"/>
    </row>
    <row r="266" spans="36:39" ht="14.25" customHeight="1" x14ac:dyDescent="0.2">
      <c r="AJ266" s="1"/>
      <c r="AK266" s="1"/>
      <c r="AL266" s="1"/>
      <c r="AM266" s="1"/>
    </row>
    <row r="267" spans="36:39" ht="14.25" customHeight="1" x14ac:dyDescent="0.2">
      <c r="AJ267" s="1"/>
      <c r="AK267" s="1"/>
      <c r="AL267" s="1"/>
      <c r="AM267" s="1"/>
    </row>
    <row r="268" spans="36:39" ht="14.25" customHeight="1" x14ac:dyDescent="0.2">
      <c r="AJ268" s="1"/>
      <c r="AK268" s="1"/>
      <c r="AL268" s="1"/>
      <c r="AM268" s="1"/>
    </row>
    <row r="269" spans="36:39" ht="14.25" customHeight="1" x14ac:dyDescent="0.2">
      <c r="AJ269" s="1"/>
      <c r="AK269" s="1"/>
      <c r="AL269" s="1"/>
      <c r="AM269" s="1"/>
    </row>
    <row r="270" spans="36:39" ht="14.25" customHeight="1" x14ac:dyDescent="0.2">
      <c r="AJ270" s="1"/>
      <c r="AK270" s="1"/>
      <c r="AL270" s="1"/>
      <c r="AM270" s="1"/>
    </row>
    <row r="271" spans="36:39" ht="14.25" customHeight="1" x14ac:dyDescent="0.2">
      <c r="AJ271" s="1"/>
      <c r="AK271" s="1"/>
      <c r="AL271" s="1"/>
      <c r="AM271" s="1"/>
    </row>
    <row r="272" spans="36:39" ht="14.25" customHeight="1" x14ac:dyDescent="0.2">
      <c r="AJ272" s="1"/>
      <c r="AK272" s="1"/>
      <c r="AL272" s="1"/>
      <c r="AM272" s="1"/>
    </row>
    <row r="273" spans="36:39" ht="14.25" customHeight="1" x14ac:dyDescent="0.2">
      <c r="AJ273" s="1"/>
      <c r="AK273" s="1"/>
      <c r="AL273" s="1"/>
      <c r="AM273" s="1"/>
    </row>
    <row r="274" spans="36:39" ht="14.25" customHeight="1" x14ac:dyDescent="0.2">
      <c r="AJ274" s="1"/>
      <c r="AK274" s="1"/>
      <c r="AL274" s="1"/>
      <c r="AM274" s="1"/>
    </row>
    <row r="275" spans="36:39" ht="14.25" customHeight="1" x14ac:dyDescent="0.2">
      <c r="AJ275" s="1"/>
      <c r="AK275" s="1"/>
      <c r="AL275" s="1"/>
      <c r="AM275" s="1"/>
    </row>
    <row r="276" spans="36:39" ht="14.25" customHeight="1" x14ac:dyDescent="0.2">
      <c r="AJ276" s="1"/>
      <c r="AK276" s="1"/>
      <c r="AL276" s="1"/>
      <c r="AM276" s="1"/>
    </row>
    <row r="277" spans="36:39" ht="14.25" customHeight="1" x14ac:dyDescent="0.2">
      <c r="AJ277" s="1"/>
      <c r="AK277" s="1"/>
      <c r="AL277" s="1"/>
      <c r="AM277" s="1"/>
    </row>
    <row r="278" spans="36:39" ht="14.25" customHeight="1" x14ac:dyDescent="0.2">
      <c r="AJ278" s="1"/>
      <c r="AK278" s="1"/>
      <c r="AL278" s="1"/>
      <c r="AM278" s="1"/>
    </row>
    <row r="279" spans="36:39" ht="14.25" customHeight="1" x14ac:dyDescent="0.2">
      <c r="AJ279" s="1"/>
      <c r="AK279" s="1"/>
      <c r="AL279" s="1"/>
      <c r="AM279" s="1"/>
    </row>
    <row r="280" spans="36:39" ht="14.25" customHeight="1" x14ac:dyDescent="0.2">
      <c r="AJ280" s="1"/>
      <c r="AK280" s="1"/>
      <c r="AL280" s="1"/>
      <c r="AM280" s="1"/>
    </row>
    <row r="281" spans="36:39" ht="14.25" customHeight="1" x14ac:dyDescent="0.2">
      <c r="AJ281" s="1"/>
      <c r="AK281" s="1"/>
      <c r="AL281" s="1"/>
      <c r="AM281" s="1"/>
    </row>
    <row r="282" spans="36:39" ht="14.25" customHeight="1" x14ac:dyDescent="0.2">
      <c r="AJ282" s="1"/>
      <c r="AK282" s="1"/>
      <c r="AL282" s="1"/>
      <c r="AM282" s="1"/>
    </row>
    <row r="283" spans="36:39" ht="14.25" customHeight="1" x14ac:dyDescent="0.2">
      <c r="AJ283" s="1"/>
      <c r="AK283" s="1"/>
      <c r="AL283" s="1"/>
      <c r="AM283" s="1"/>
    </row>
    <row r="284" spans="36:39" ht="14.25" customHeight="1" x14ac:dyDescent="0.2">
      <c r="AJ284" s="1"/>
      <c r="AK284" s="1"/>
      <c r="AL284" s="1"/>
      <c r="AM284" s="1"/>
    </row>
    <row r="285" spans="36:39" ht="14.25" customHeight="1" x14ac:dyDescent="0.2">
      <c r="AJ285" s="1"/>
      <c r="AK285" s="1"/>
      <c r="AL285" s="1"/>
      <c r="AM285" s="1"/>
    </row>
    <row r="286" spans="36:39" ht="14.25" customHeight="1" x14ac:dyDescent="0.2">
      <c r="AJ286" s="1"/>
      <c r="AK286" s="1"/>
      <c r="AL286" s="1"/>
      <c r="AM286" s="1"/>
    </row>
    <row r="287" spans="36:39" ht="14.25" customHeight="1" x14ac:dyDescent="0.2">
      <c r="AJ287" s="1"/>
      <c r="AK287" s="1"/>
      <c r="AL287" s="1"/>
      <c r="AM287" s="1"/>
    </row>
    <row r="288" spans="36:39" ht="14.25" customHeight="1" x14ac:dyDescent="0.2">
      <c r="AJ288" s="1"/>
      <c r="AK288" s="1"/>
      <c r="AL288" s="1"/>
      <c r="AM288" s="1"/>
    </row>
    <row r="289" spans="36:39" ht="14.25" customHeight="1" x14ac:dyDescent="0.2">
      <c r="AJ289" s="1"/>
      <c r="AK289" s="1"/>
      <c r="AL289" s="1"/>
      <c r="AM289" s="1"/>
    </row>
    <row r="290" spans="36:39" ht="14.25" customHeight="1" x14ac:dyDescent="0.2">
      <c r="AJ290" s="1"/>
      <c r="AK290" s="1"/>
      <c r="AL290" s="1"/>
      <c r="AM290" s="1"/>
    </row>
    <row r="291" spans="36:39" ht="14.25" customHeight="1" x14ac:dyDescent="0.2">
      <c r="AJ291" s="1"/>
      <c r="AK291" s="1"/>
      <c r="AL291" s="1"/>
      <c r="AM291" s="1"/>
    </row>
    <row r="292" spans="36:39" ht="14.25" customHeight="1" x14ac:dyDescent="0.2">
      <c r="AJ292" s="1"/>
      <c r="AK292" s="1"/>
      <c r="AL292" s="1"/>
      <c r="AM292" s="1"/>
    </row>
    <row r="293" spans="36:39" ht="14.25" customHeight="1" x14ac:dyDescent="0.2">
      <c r="AJ293" s="1"/>
      <c r="AK293" s="1"/>
      <c r="AL293" s="1"/>
      <c r="AM293" s="1"/>
    </row>
    <row r="294" spans="36:39" ht="14.25" customHeight="1" x14ac:dyDescent="0.2">
      <c r="AJ294" s="1"/>
      <c r="AK294" s="1"/>
      <c r="AL294" s="1"/>
      <c r="AM294" s="1"/>
    </row>
    <row r="295" spans="36:39" ht="14.25" customHeight="1" x14ac:dyDescent="0.2">
      <c r="AJ295" s="1"/>
      <c r="AK295" s="1"/>
      <c r="AL295" s="1"/>
      <c r="AM295" s="1"/>
    </row>
    <row r="296" spans="36:39" ht="14.25" customHeight="1" x14ac:dyDescent="0.2">
      <c r="AJ296" s="1"/>
      <c r="AK296" s="1"/>
      <c r="AL296" s="1"/>
      <c r="AM296" s="1"/>
    </row>
    <row r="297" spans="36:39" ht="14.25" customHeight="1" x14ac:dyDescent="0.2">
      <c r="AJ297" s="1"/>
      <c r="AK297" s="1"/>
      <c r="AL297" s="1"/>
      <c r="AM297" s="1"/>
    </row>
    <row r="298" spans="36:39" ht="14.25" customHeight="1" x14ac:dyDescent="0.2">
      <c r="AJ298" s="1"/>
      <c r="AK298" s="1"/>
      <c r="AL298" s="1"/>
      <c r="AM298" s="1"/>
    </row>
    <row r="299" spans="36:39" ht="14.25" customHeight="1" x14ac:dyDescent="0.2">
      <c r="AJ299" s="1"/>
      <c r="AK299" s="1"/>
      <c r="AL299" s="1"/>
      <c r="AM299" s="1"/>
    </row>
    <row r="300" spans="36:39" ht="14.25" customHeight="1" x14ac:dyDescent="0.2">
      <c r="AJ300" s="1"/>
      <c r="AK300" s="1"/>
      <c r="AL300" s="1"/>
      <c r="AM300" s="1"/>
    </row>
    <row r="301" spans="36:39" ht="14.25" customHeight="1" x14ac:dyDescent="0.2">
      <c r="AJ301" s="1"/>
      <c r="AK301" s="1"/>
      <c r="AL301" s="1"/>
      <c r="AM301" s="1"/>
    </row>
    <row r="302" spans="36:39" ht="14.25" customHeight="1" x14ac:dyDescent="0.2">
      <c r="AJ302" s="1"/>
      <c r="AK302" s="1"/>
      <c r="AL302" s="1"/>
      <c r="AM302" s="1"/>
    </row>
    <row r="303" spans="36:39" ht="14.25" customHeight="1" x14ac:dyDescent="0.2">
      <c r="AJ303" s="1"/>
      <c r="AK303" s="1"/>
      <c r="AL303" s="1"/>
      <c r="AM303" s="1"/>
    </row>
    <row r="304" spans="36:39" ht="14.25" customHeight="1" x14ac:dyDescent="0.2">
      <c r="AJ304" s="1"/>
      <c r="AK304" s="1"/>
      <c r="AL304" s="1"/>
      <c r="AM304" s="1"/>
    </row>
    <row r="305" spans="36:39" ht="14.25" customHeight="1" x14ac:dyDescent="0.2">
      <c r="AJ305" s="1"/>
      <c r="AK305" s="1"/>
      <c r="AL305" s="1"/>
      <c r="AM305" s="1"/>
    </row>
    <row r="306" spans="36:39" ht="14.25" customHeight="1" x14ac:dyDescent="0.2">
      <c r="AJ306" s="1"/>
      <c r="AK306" s="1"/>
      <c r="AL306" s="1"/>
      <c r="AM306" s="1"/>
    </row>
    <row r="307" spans="36:39" ht="14.25" customHeight="1" x14ac:dyDescent="0.2">
      <c r="AJ307" s="1"/>
      <c r="AK307" s="1"/>
      <c r="AL307" s="1"/>
      <c r="AM307" s="1"/>
    </row>
    <row r="308" spans="36:39" ht="14.25" customHeight="1" x14ac:dyDescent="0.2">
      <c r="AJ308" s="1"/>
      <c r="AK308" s="1"/>
      <c r="AL308" s="1"/>
      <c r="AM308" s="1"/>
    </row>
    <row r="309" spans="36:39" ht="14.25" customHeight="1" x14ac:dyDescent="0.2">
      <c r="AJ309" s="1"/>
      <c r="AK309" s="1"/>
      <c r="AL309" s="1"/>
      <c r="AM309" s="1"/>
    </row>
    <row r="310" spans="36:39" ht="14.25" customHeight="1" x14ac:dyDescent="0.2">
      <c r="AJ310" s="1"/>
      <c r="AK310" s="1"/>
      <c r="AL310" s="1"/>
      <c r="AM310" s="1"/>
    </row>
    <row r="311" spans="36:39" ht="14.25" customHeight="1" x14ac:dyDescent="0.2">
      <c r="AJ311" s="1"/>
      <c r="AK311" s="1"/>
      <c r="AL311" s="1"/>
      <c r="AM311" s="1"/>
    </row>
    <row r="312" spans="36:39" ht="14.25" customHeight="1" x14ac:dyDescent="0.2">
      <c r="AJ312" s="1"/>
      <c r="AK312" s="1"/>
      <c r="AL312" s="1"/>
      <c r="AM312" s="1"/>
    </row>
    <row r="313" spans="36:39" ht="14.25" customHeight="1" x14ac:dyDescent="0.2">
      <c r="AJ313" s="1"/>
      <c r="AK313" s="1"/>
      <c r="AL313" s="1"/>
      <c r="AM313" s="1"/>
    </row>
    <row r="314" spans="36:39" ht="14.25" customHeight="1" x14ac:dyDescent="0.2">
      <c r="AJ314" s="1"/>
      <c r="AK314" s="1"/>
      <c r="AL314" s="1"/>
      <c r="AM314" s="1"/>
    </row>
    <row r="315" spans="36:39" ht="14.25" customHeight="1" x14ac:dyDescent="0.2">
      <c r="AJ315" s="1"/>
      <c r="AK315" s="1"/>
      <c r="AL315" s="1"/>
      <c r="AM315" s="1"/>
    </row>
    <row r="316" spans="36:39" ht="14.25" customHeight="1" x14ac:dyDescent="0.2">
      <c r="AJ316" s="1"/>
      <c r="AK316" s="1"/>
      <c r="AL316" s="1"/>
      <c r="AM316" s="1"/>
    </row>
    <row r="317" spans="36:39" ht="14.25" customHeight="1" x14ac:dyDescent="0.2">
      <c r="AJ317" s="1"/>
      <c r="AK317" s="1"/>
      <c r="AL317" s="1"/>
      <c r="AM317" s="1"/>
    </row>
    <row r="318" spans="36:39" ht="14.25" customHeight="1" x14ac:dyDescent="0.2">
      <c r="AJ318" s="1"/>
      <c r="AK318" s="1"/>
      <c r="AL318" s="1"/>
      <c r="AM318" s="1"/>
    </row>
    <row r="319" spans="36:39" ht="14.25" customHeight="1" x14ac:dyDescent="0.2">
      <c r="AJ319" s="1"/>
      <c r="AK319" s="1"/>
      <c r="AL319" s="1"/>
      <c r="AM319" s="1"/>
    </row>
    <row r="320" spans="36:39" ht="14.25" customHeight="1" x14ac:dyDescent="0.2">
      <c r="AJ320" s="1"/>
      <c r="AK320" s="1"/>
      <c r="AL320" s="1"/>
      <c r="AM320" s="1"/>
    </row>
    <row r="321" spans="36:39" ht="14.25" customHeight="1" x14ac:dyDescent="0.2">
      <c r="AJ321" s="1"/>
      <c r="AK321" s="1"/>
      <c r="AL321" s="1"/>
      <c r="AM321" s="1"/>
    </row>
    <row r="322" spans="36:39" ht="14.25" customHeight="1" x14ac:dyDescent="0.2">
      <c r="AJ322" s="1"/>
      <c r="AK322" s="1"/>
      <c r="AL322" s="1"/>
      <c r="AM322" s="1"/>
    </row>
    <row r="323" spans="36:39" ht="14.25" customHeight="1" x14ac:dyDescent="0.2">
      <c r="AJ323" s="1"/>
      <c r="AK323" s="1"/>
      <c r="AL323" s="1"/>
      <c r="AM323" s="1"/>
    </row>
    <row r="324" spans="36:39" ht="14.25" customHeight="1" x14ac:dyDescent="0.2">
      <c r="AJ324" s="1"/>
      <c r="AK324" s="1"/>
      <c r="AL324" s="1"/>
      <c r="AM324" s="1"/>
    </row>
    <row r="325" spans="36:39" ht="14.25" customHeight="1" x14ac:dyDescent="0.2">
      <c r="AJ325" s="1"/>
      <c r="AK325" s="1"/>
      <c r="AL325" s="1"/>
      <c r="AM325" s="1"/>
    </row>
    <row r="326" spans="36:39" ht="14.25" customHeight="1" x14ac:dyDescent="0.2">
      <c r="AJ326" s="1"/>
      <c r="AK326" s="1"/>
      <c r="AL326" s="1"/>
      <c r="AM326" s="1"/>
    </row>
    <row r="327" spans="36:39" ht="14.25" customHeight="1" x14ac:dyDescent="0.2">
      <c r="AJ327" s="1"/>
      <c r="AK327" s="1"/>
      <c r="AL327" s="1"/>
      <c r="AM327" s="1"/>
    </row>
    <row r="328" spans="36:39" ht="14.25" customHeight="1" x14ac:dyDescent="0.2">
      <c r="AJ328" s="1"/>
      <c r="AK328" s="1"/>
      <c r="AL328" s="1"/>
      <c r="AM328" s="1"/>
    </row>
    <row r="329" spans="36:39" ht="14.25" customHeight="1" x14ac:dyDescent="0.2">
      <c r="AJ329" s="1"/>
      <c r="AK329" s="1"/>
      <c r="AL329" s="1"/>
      <c r="AM329" s="1"/>
    </row>
    <row r="330" spans="36:39" ht="14.25" customHeight="1" x14ac:dyDescent="0.2">
      <c r="AJ330" s="1"/>
      <c r="AK330" s="1"/>
      <c r="AL330" s="1"/>
      <c r="AM330" s="1"/>
    </row>
    <row r="331" spans="36:39" ht="14.25" customHeight="1" x14ac:dyDescent="0.2">
      <c r="AJ331" s="1"/>
      <c r="AK331" s="1"/>
      <c r="AL331" s="1"/>
      <c r="AM331" s="1"/>
    </row>
    <row r="332" spans="36:39" ht="14.25" customHeight="1" x14ac:dyDescent="0.2">
      <c r="AJ332" s="1"/>
      <c r="AK332" s="1"/>
      <c r="AL332" s="1"/>
      <c r="AM332" s="1"/>
    </row>
    <row r="333" spans="36:39" ht="14.25" customHeight="1" x14ac:dyDescent="0.2">
      <c r="AJ333" s="1"/>
      <c r="AK333" s="1"/>
      <c r="AL333" s="1"/>
      <c r="AM333" s="1"/>
    </row>
    <row r="334" spans="36:39" ht="14.25" customHeight="1" x14ac:dyDescent="0.2">
      <c r="AJ334" s="1"/>
      <c r="AK334" s="1"/>
      <c r="AL334" s="1"/>
      <c r="AM334" s="1"/>
    </row>
    <row r="335" spans="36:39" ht="14.25" customHeight="1" x14ac:dyDescent="0.2">
      <c r="AJ335" s="1"/>
      <c r="AK335" s="1"/>
      <c r="AL335" s="1"/>
      <c r="AM335" s="1"/>
    </row>
    <row r="336" spans="36:39" ht="14.25" customHeight="1" x14ac:dyDescent="0.2">
      <c r="AJ336" s="1"/>
      <c r="AK336" s="1"/>
      <c r="AL336" s="1"/>
      <c r="AM336" s="1"/>
    </row>
    <row r="337" spans="36:39" ht="14.25" customHeight="1" x14ac:dyDescent="0.2">
      <c r="AJ337" s="1"/>
      <c r="AK337" s="1"/>
      <c r="AL337" s="1"/>
      <c r="AM337" s="1"/>
    </row>
    <row r="338" spans="36:39" ht="14.25" customHeight="1" x14ac:dyDescent="0.2">
      <c r="AJ338" s="1"/>
      <c r="AK338" s="1"/>
      <c r="AL338" s="1"/>
      <c r="AM338" s="1"/>
    </row>
    <row r="339" spans="36:39" ht="14.25" customHeight="1" x14ac:dyDescent="0.2">
      <c r="AJ339" s="1"/>
      <c r="AK339" s="1"/>
      <c r="AL339" s="1"/>
      <c r="AM339" s="1"/>
    </row>
    <row r="340" spans="36:39" ht="14.25" customHeight="1" x14ac:dyDescent="0.2">
      <c r="AJ340" s="1"/>
      <c r="AK340" s="1"/>
      <c r="AL340" s="1"/>
      <c r="AM340" s="1"/>
    </row>
    <row r="341" spans="36:39" ht="14.25" customHeight="1" x14ac:dyDescent="0.2">
      <c r="AJ341" s="1"/>
      <c r="AK341" s="1"/>
      <c r="AL341" s="1"/>
      <c r="AM341" s="1"/>
    </row>
    <row r="342" spans="36:39" ht="14.25" customHeight="1" x14ac:dyDescent="0.2">
      <c r="AJ342" s="1"/>
      <c r="AK342" s="1"/>
      <c r="AL342" s="1"/>
      <c r="AM342" s="1"/>
    </row>
    <row r="343" spans="36:39" ht="14.25" customHeight="1" x14ac:dyDescent="0.2">
      <c r="AJ343" s="1"/>
      <c r="AK343" s="1"/>
      <c r="AL343" s="1"/>
      <c r="AM343" s="1"/>
    </row>
    <row r="344" spans="36:39" ht="14.25" customHeight="1" x14ac:dyDescent="0.2">
      <c r="AJ344" s="1"/>
      <c r="AK344" s="1"/>
      <c r="AL344" s="1"/>
      <c r="AM344" s="1"/>
    </row>
    <row r="345" spans="36:39" ht="14.25" customHeight="1" x14ac:dyDescent="0.2">
      <c r="AJ345" s="1"/>
      <c r="AK345" s="1"/>
      <c r="AL345" s="1"/>
      <c r="AM345" s="1"/>
    </row>
    <row r="346" spans="36:39" ht="14.25" customHeight="1" x14ac:dyDescent="0.2">
      <c r="AJ346" s="1"/>
      <c r="AK346" s="1"/>
      <c r="AL346" s="1"/>
      <c r="AM346" s="1"/>
    </row>
    <row r="347" spans="36:39" ht="14.25" customHeight="1" x14ac:dyDescent="0.2">
      <c r="AJ347" s="1"/>
      <c r="AK347" s="1"/>
      <c r="AL347" s="1"/>
      <c r="AM347" s="1"/>
    </row>
    <row r="348" spans="36:39" ht="14.25" customHeight="1" x14ac:dyDescent="0.2">
      <c r="AJ348" s="1"/>
      <c r="AK348" s="1"/>
      <c r="AL348" s="1"/>
      <c r="AM348" s="1"/>
    </row>
    <row r="349" spans="36:39" ht="14.25" customHeight="1" x14ac:dyDescent="0.2">
      <c r="AJ349" s="1"/>
      <c r="AK349" s="1"/>
      <c r="AL349" s="1"/>
      <c r="AM349" s="1"/>
    </row>
    <row r="350" spans="36:39" ht="14.25" customHeight="1" x14ac:dyDescent="0.2">
      <c r="AJ350" s="1"/>
      <c r="AK350" s="1"/>
      <c r="AL350" s="1"/>
      <c r="AM350" s="1"/>
    </row>
    <row r="351" spans="36:39" ht="14.25" customHeight="1" x14ac:dyDescent="0.2">
      <c r="AJ351" s="1"/>
      <c r="AK351" s="1"/>
      <c r="AL351" s="1"/>
      <c r="AM351" s="1"/>
    </row>
    <row r="352" spans="36:39" ht="14.25" customHeight="1" x14ac:dyDescent="0.2">
      <c r="AJ352" s="1"/>
      <c r="AK352" s="1"/>
      <c r="AL352" s="1"/>
      <c r="AM352" s="1"/>
    </row>
    <row r="353" spans="36:39" ht="14.25" customHeight="1" x14ac:dyDescent="0.2">
      <c r="AJ353" s="1"/>
      <c r="AK353" s="1"/>
      <c r="AL353" s="1"/>
      <c r="AM353" s="1"/>
    </row>
    <row r="354" spans="36:39" ht="14.25" customHeight="1" x14ac:dyDescent="0.2">
      <c r="AJ354" s="1"/>
      <c r="AK354" s="1"/>
      <c r="AL354" s="1"/>
      <c r="AM354" s="1"/>
    </row>
    <row r="355" spans="36:39" ht="14.25" customHeight="1" x14ac:dyDescent="0.2">
      <c r="AJ355" s="1"/>
      <c r="AK355" s="1"/>
      <c r="AL355" s="1"/>
      <c r="AM355" s="1"/>
    </row>
    <row r="356" spans="36:39" ht="14.25" customHeight="1" x14ac:dyDescent="0.2">
      <c r="AJ356" s="1"/>
      <c r="AK356" s="1"/>
      <c r="AL356" s="1"/>
      <c r="AM356" s="1"/>
    </row>
    <row r="357" spans="36:39" ht="14.25" customHeight="1" x14ac:dyDescent="0.2">
      <c r="AJ357" s="1"/>
      <c r="AK357" s="1"/>
      <c r="AL357" s="1"/>
      <c r="AM357" s="1"/>
    </row>
    <row r="358" spans="36:39" ht="14.25" customHeight="1" x14ac:dyDescent="0.2">
      <c r="AJ358" s="1"/>
      <c r="AK358" s="1"/>
      <c r="AL358" s="1"/>
      <c r="AM358" s="1"/>
    </row>
    <row r="359" spans="36:39" ht="14.25" customHeight="1" x14ac:dyDescent="0.2">
      <c r="AJ359" s="1"/>
      <c r="AK359" s="1"/>
      <c r="AL359" s="1"/>
      <c r="AM359" s="1"/>
    </row>
    <row r="360" spans="36:39" ht="14.25" customHeight="1" x14ac:dyDescent="0.2">
      <c r="AJ360" s="1"/>
      <c r="AK360" s="1"/>
      <c r="AL360" s="1"/>
      <c r="AM360" s="1"/>
    </row>
    <row r="361" spans="36:39" ht="14.25" customHeight="1" x14ac:dyDescent="0.2">
      <c r="AJ361" s="1"/>
      <c r="AK361" s="1"/>
      <c r="AL361" s="1"/>
      <c r="AM361" s="1"/>
    </row>
    <row r="362" spans="36:39" ht="14.25" customHeight="1" x14ac:dyDescent="0.2">
      <c r="AJ362" s="1"/>
      <c r="AK362" s="1"/>
      <c r="AL362" s="1"/>
      <c r="AM362" s="1"/>
    </row>
    <row r="363" spans="36:39" ht="14.25" customHeight="1" x14ac:dyDescent="0.2">
      <c r="AJ363" s="1"/>
      <c r="AK363" s="1"/>
      <c r="AL363" s="1"/>
      <c r="AM363" s="1"/>
    </row>
    <row r="364" spans="36:39" ht="14.25" customHeight="1" x14ac:dyDescent="0.2">
      <c r="AJ364" s="1"/>
      <c r="AK364" s="1"/>
      <c r="AL364" s="1"/>
      <c r="AM364" s="1"/>
    </row>
    <row r="365" spans="36:39" ht="14.25" customHeight="1" x14ac:dyDescent="0.2">
      <c r="AJ365" s="1"/>
      <c r="AK365" s="1"/>
      <c r="AL365" s="1"/>
      <c r="AM365" s="1"/>
    </row>
    <row r="366" spans="36:39" ht="14.25" customHeight="1" x14ac:dyDescent="0.2">
      <c r="AJ366" s="1"/>
      <c r="AK366" s="1"/>
      <c r="AL366" s="1"/>
      <c r="AM366" s="1"/>
    </row>
    <row r="367" spans="36:39" ht="14.25" customHeight="1" x14ac:dyDescent="0.2">
      <c r="AJ367" s="1"/>
      <c r="AK367" s="1"/>
      <c r="AL367" s="1"/>
      <c r="AM367" s="1"/>
    </row>
    <row r="368" spans="36:39" ht="14.25" customHeight="1" x14ac:dyDescent="0.2">
      <c r="AJ368" s="1"/>
      <c r="AK368" s="1"/>
      <c r="AL368" s="1"/>
      <c r="AM368" s="1"/>
    </row>
    <row r="369" spans="36:39" ht="14.25" customHeight="1" x14ac:dyDescent="0.2">
      <c r="AJ369" s="1"/>
      <c r="AK369" s="1"/>
      <c r="AL369" s="1"/>
      <c r="AM369" s="1"/>
    </row>
    <row r="370" spans="36:39" ht="14.25" customHeight="1" x14ac:dyDescent="0.2">
      <c r="AJ370" s="1"/>
      <c r="AK370" s="1"/>
      <c r="AL370" s="1"/>
      <c r="AM370" s="1"/>
    </row>
    <row r="371" spans="36:39" ht="14.25" customHeight="1" x14ac:dyDescent="0.2">
      <c r="AJ371" s="1"/>
      <c r="AK371" s="1"/>
      <c r="AL371" s="1"/>
      <c r="AM371" s="1"/>
    </row>
    <row r="372" spans="36:39" ht="14.25" customHeight="1" x14ac:dyDescent="0.2">
      <c r="AJ372" s="1"/>
      <c r="AK372" s="1"/>
      <c r="AL372" s="1"/>
      <c r="AM372" s="1"/>
    </row>
    <row r="373" spans="36:39" ht="14.25" customHeight="1" x14ac:dyDescent="0.2">
      <c r="AJ373" s="1"/>
      <c r="AK373" s="1"/>
      <c r="AL373" s="1"/>
      <c r="AM373" s="1"/>
    </row>
    <row r="374" spans="36:39" ht="14.25" customHeight="1" x14ac:dyDescent="0.2">
      <c r="AJ374" s="1"/>
      <c r="AK374" s="1"/>
      <c r="AL374" s="1"/>
      <c r="AM374" s="1"/>
    </row>
    <row r="375" spans="36:39" ht="14.25" customHeight="1" x14ac:dyDescent="0.2">
      <c r="AJ375" s="1"/>
      <c r="AK375" s="1"/>
      <c r="AL375" s="1"/>
      <c r="AM375" s="1"/>
    </row>
    <row r="376" spans="36:39" ht="14.25" customHeight="1" x14ac:dyDescent="0.2">
      <c r="AJ376" s="1"/>
      <c r="AK376" s="1"/>
      <c r="AL376" s="1"/>
      <c r="AM376" s="1"/>
    </row>
    <row r="377" spans="36:39" ht="14.25" customHeight="1" x14ac:dyDescent="0.2">
      <c r="AJ377" s="1"/>
      <c r="AK377" s="1"/>
      <c r="AL377" s="1"/>
      <c r="AM377" s="1"/>
    </row>
    <row r="378" spans="36:39" ht="14.25" customHeight="1" x14ac:dyDescent="0.2">
      <c r="AJ378" s="1"/>
      <c r="AK378" s="1"/>
      <c r="AL378" s="1"/>
      <c r="AM378" s="1"/>
    </row>
    <row r="379" spans="36:39" ht="14.25" customHeight="1" x14ac:dyDescent="0.2">
      <c r="AJ379" s="1"/>
      <c r="AK379" s="1"/>
      <c r="AL379" s="1"/>
      <c r="AM379" s="1"/>
    </row>
    <row r="380" spans="36:39" ht="14.25" customHeight="1" x14ac:dyDescent="0.2">
      <c r="AJ380" s="1"/>
      <c r="AK380" s="1"/>
      <c r="AL380" s="1"/>
      <c r="AM380" s="1"/>
    </row>
    <row r="381" spans="36:39" ht="14.25" customHeight="1" x14ac:dyDescent="0.2">
      <c r="AJ381" s="1"/>
      <c r="AK381" s="1"/>
      <c r="AL381" s="1"/>
      <c r="AM381" s="1"/>
    </row>
    <row r="382" spans="36:39" ht="14.25" customHeight="1" x14ac:dyDescent="0.2">
      <c r="AJ382" s="1"/>
      <c r="AK382" s="1"/>
      <c r="AL382" s="1"/>
      <c r="AM382" s="1"/>
    </row>
    <row r="383" spans="36:39" ht="14.25" customHeight="1" x14ac:dyDescent="0.2">
      <c r="AJ383" s="1"/>
      <c r="AK383" s="1"/>
      <c r="AL383" s="1"/>
      <c r="AM383" s="1"/>
    </row>
    <row r="384" spans="36:39" ht="14.25" customHeight="1" x14ac:dyDescent="0.2">
      <c r="AJ384" s="1"/>
      <c r="AK384" s="1"/>
      <c r="AL384" s="1"/>
      <c r="AM384" s="1"/>
    </row>
    <row r="385" spans="36:39" ht="14.25" customHeight="1" x14ac:dyDescent="0.2">
      <c r="AJ385" s="1"/>
      <c r="AK385" s="1"/>
      <c r="AL385" s="1"/>
      <c r="AM385" s="1"/>
    </row>
    <row r="386" spans="36:39" ht="14.25" customHeight="1" x14ac:dyDescent="0.2">
      <c r="AJ386" s="1"/>
      <c r="AK386" s="1"/>
      <c r="AL386" s="1"/>
      <c r="AM386" s="1"/>
    </row>
    <row r="387" spans="36:39" ht="14.25" customHeight="1" x14ac:dyDescent="0.2">
      <c r="AJ387" s="1"/>
      <c r="AK387" s="1"/>
      <c r="AL387" s="1"/>
      <c r="AM387" s="1"/>
    </row>
    <row r="388" spans="36:39" ht="14.25" customHeight="1" x14ac:dyDescent="0.2">
      <c r="AJ388" s="1"/>
      <c r="AK388" s="1"/>
      <c r="AL388" s="1"/>
      <c r="AM388" s="1"/>
    </row>
    <row r="389" spans="36:39" ht="14.25" customHeight="1" x14ac:dyDescent="0.2">
      <c r="AJ389" s="1"/>
      <c r="AK389" s="1"/>
      <c r="AL389" s="1"/>
      <c r="AM389" s="1"/>
    </row>
    <row r="390" spans="36:39" ht="14.25" customHeight="1" x14ac:dyDescent="0.2">
      <c r="AJ390" s="1"/>
      <c r="AK390" s="1"/>
      <c r="AL390" s="1"/>
      <c r="AM390" s="1"/>
    </row>
    <row r="391" spans="36:39" ht="14.25" customHeight="1" x14ac:dyDescent="0.2">
      <c r="AJ391" s="1"/>
      <c r="AK391" s="1"/>
      <c r="AL391" s="1"/>
      <c r="AM391" s="1"/>
    </row>
    <row r="392" spans="36:39" ht="14.25" customHeight="1" x14ac:dyDescent="0.2">
      <c r="AJ392" s="1"/>
      <c r="AK392" s="1"/>
      <c r="AL392" s="1"/>
      <c r="AM392" s="1"/>
    </row>
    <row r="393" spans="36:39" ht="14.25" customHeight="1" x14ac:dyDescent="0.2">
      <c r="AJ393" s="1"/>
      <c r="AK393" s="1"/>
      <c r="AL393" s="1"/>
      <c r="AM393" s="1"/>
    </row>
    <row r="394" spans="36:39" ht="14.25" customHeight="1" x14ac:dyDescent="0.2">
      <c r="AJ394" s="1"/>
      <c r="AK394" s="1"/>
      <c r="AL394" s="1"/>
      <c r="AM394" s="1"/>
    </row>
    <row r="395" spans="36:39" ht="14.25" customHeight="1" x14ac:dyDescent="0.2">
      <c r="AJ395" s="1"/>
      <c r="AK395" s="1"/>
      <c r="AL395" s="1"/>
      <c r="AM395" s="1"/>
    </row>
    <row r="396" spans="36:39" ht="14.25" customHeight="1" x14ac:dyDescent="0.2">
      <c r="AJ396" s="1"/>
      <c r="AK396" s="1"/>
      <c r="AL396" s="1"/>
      <c r="AM396" s="1"/>
    </row>
    <row r="397" spans="36:39" ht="14.25" customHeight="1" x14ac:dyDescent="0.2">
      <c r="AJ397" s="1"/>
      <c r="AK397" s="1"/>
      <c r="AL397" s="1"/>
      <c r="AM397" s="1"/>
    </row>
    <row r="398" spans="36:39" ht="14.25" customHeight="1" x14ac:dyDescent="0.2">
      <c r="AJ398" s="1"/>
      <c r="AK398" s="1"/>
      <c r="AL398" s="1"/>
      <c r="AM398" s="1"/>
    </row>
    <row r="399" spans="36:39" ht="14.25" customHeight="1" x14ac:dyDescent="0.2">
      <c r="AJ399" s="1"/>
      <c r="AK399" s="1"/>
      <c r="AL399" s="1"/>
      <c r="AM399" s="1"/>
    </row>
    <row r="400" spans="36:39" ht="14.25" customHeight="1" x14ac:dyDescent="0.2">
      <c r="AJ400" s="1"/>
      <c r="AK400" s="1"/>
      <c r="AL400" s="1"/>
      <c r="AM400" s="1"/>
    </row>
    <row r="401" spans="36:39" ht="14.25" customHeight="1" x14ac:dyDescent="0.2">
      <c r="AJ401" s="1"/>
      <c r="AK401" s="1"/>
      <c r="AL401" s="1"/>
      <c r="AM401" s="1"/>
    </row>
    <row r="402" spans="36:39" ht="14.25" customHeight="1" x14ac:dyDescent="0.2">
      <c r="AJ402" s="1"/>
      <c r="AK402" s="1"/>
      <c r="AL402" s="1"/>
      <c r="AM402" s="1"/>
    </row>
    <row r="403" spans="36:39" ht="14.25" customHeight="1" x14ac:dyDescent="0.2">
      <c r="AJ403" s="1"/>
      <c r="AK403" s="1"/>
      <c r="AL403" s="1"/>
      <c r="AM403" s="1"/>
    </row>
    <row r="404" spans="36:39" ht="14.25" customHeight="1" x14ac:dyDescent="0.2">
      <c r="AJ404" s="1"/>
      <c r="AK404" s="1"/>
      <c r="AL404" s="1"/>
      <c r="AM404" s="1"/>
    </row>
    <row r="405" spans="36:39" ht="14.25" customHeight="1" x14ac:dyDescent="0.2">
      <c r="AJ405" s="1"/>
      <c r="AK405" s="1"/>
      <c r="AL405" s="1"/>
      <c r="AM405" s="1"/>
    </row>
    <row r="406" spans="36:39" ht="14.25" customHeight="1" x14ac:dyDescent="0.2">
      <c r="AJ406" s="1"/>
      <c r="AK406" s="1"/>
      <c r="AL406" s="1"/>
      <c r="AM406" s="1"/>
    </row>
    <row r="407" spans="36:39" ht="14.25" customHeight="1" x14ac:dyDescent="0.2">
      <c r="AJ407" s="1"/>
      <c r="AK407" s="1"/>
      <c r="AL407" s="1"/>
      <c r="AM407" s="1"/>
    </row>
    <row r="408" spans="36:39" ht="14.25" customHeight="1" x14ac:dyDescent="0.2">
      <c r="AJ408" s="1"/>
      <c r="AK408" s="1"/>
      <c r="AL408" s="1"/>
      <c r="AM408" s="1"/>
    </row>
    <row r="409" spans="36:39" ht="14.25" customHeight="1" x14ac:dyDescent="0.2">
      <c r="AJ409" s="1"/>
      <c r="AK409" s="1"/>
      <c r="AL409" s="1"/>
      <c r="AM409" s="1"/>
    </row>
    <row r="410" spans="36:39" ht="14.25" customHeight="1" x14ac:dyDescent="0.2">
      <c r="AJ410" s="1"/>
      <c r="AK410" s="1"/>
      <c r="AL410" s="1"/>
      <c r="AM410" s="1"/>
    </row>
  </sheetData>
  <mergeCells count="44">
    <mergeCell ref="B10:E10"/>
    <mergeCell ref="Q3:R3"/>
    <mergeCell ref="N9:P9"/>
    <mergeCell ref="K9:M9"/>
    <mergeCell ref="S5:T5"/>
    <mergeCell ref="S6:T6"/>
    <mergeCell ref="B8:E8"/>
    <mergeCell ref="G9:I9"/>
    <mergeCell ref="G3:I3"/>
    <mergeCell ref="G4:I4"/>
    <mergeCell ref="G5:I5"/>
    <mergeCell ref="G6:I6"/>
    <mergeCell ref="G7:I7"/>
    <mergeCell ref="B2:E3"/>
    <mergeCell ref="B4:E4"/>
    <mergeCell ref="B5:E5"/>
    <mergeCell ref="B6:E6"/>
    <mergeCell ref="B7:E7"/>
    <mergeCell ref="O7:P7"/>
    <mergeCell ref="X4:Y4"/>
    <mergeCell ref="X5:Y5"/>
    <mergeCell ref="X6:Y6"/>
    <mergeCell ref="S7:T7"/>
    <mergeCell ref="S4:T4"/>
    <mergeCell ref="J7:N7"/>
    <mergeCell ref="Q2:V2"/>
    <mergeCell ref="W9:Y9"/>
    <mergeCell ref="Q9:V9"/>
    <mergeCell ref="Z9:AA9"/>
    <mergeCell ref="W2:Y2"/>
    <mergeCell ref="W3:Y3"/>
    <mergeCell ref="X7:Y7"/>
    <mergeCell ref="U3:V3"/>
    <mergeCell ref="U4:V4"/>
    <mergeCell ref="U5:V5"/>
    <mergeCell ref="U6:V6"/>
    <mergeCell ref="U7:V7"/>
    <mergeCell ref="S3:T3"/>
    <mergeCell ref="G2:P2"/>
    <mergeCell ref="O6:P6"/>
    <mergeCell ref="J3:P3"/>
    <mergeCell ref="J4:P4"/>
    <mergeCell ref="J5:P5"/>
    <mergeCell ref="J6:N6"/>
  </mergeCells>
  <phoneticPr fontId="4" type="noConversion"/>
  <conditionalFormatting sqref="G11:AA193">
    <cfRule type="expression" dxfId="16" priority="308">
      <formula>$G11&lt;&gt;$J$6</formula>
    </cfRule>
  </conditionalFormatting>
  <conditionalFormatting sqref="Q11:R193">
    <cfRule type="expression" dxfId="15" priority="213">
      <formula>$R11&gt;0</formula>
    </cfRule>
  </conditionalFormatting>
  <conditionalFormatting sqref="S11:T193">
    <cfRule type="expression" dxfId="14" priority="220">
      <formula>$T11&gt;0</formula>
    </cfRule>
  </conditionalFormatting>
  <conditionalFormatting sqref="U11:V193">
    <cfRule type="expression" dxfId="13" priority="235">
      <formula>$V11&gt;0</formula>
    </cfRule>
  </conditionalFormatting>
  <conditionalFormatting sqref="W4:W7 W11:Y193">
    <cfRule type="dataBar" priority="1">
      <dataBar>
        <cfvo type="num" val="$W$4"/>
        <cfvo type="num" val="$W$7"/>
        <color theme="2"/>
      </dataBar>
      <extLst>
        <ext xmlns:x14="http://schemas.microsoft.com/office/spreadsheetml/2009/9/main" uri="{B025F937-C7B1-47D3-B67F-A62EFF666E3E}">
          <x14:id>{BA4164B6-628C-4E83-A7E7-9EE64E392A44}</x14:id>
        </ext>
      </extLst>
    </cfRule>
  </conditionalFormatting>
  <dataValidations count="1">
    <dataValidation type="list" allowBlank="1" showInputMessage="1" showErrorMessage="1" sqref="J6" xr:uid="{6ECF8C39-0182-49D7-BE28-57DDBB7C3983}">
      <formula1>INDIRECT("Lookup_SurveyEpoch[Epoch]")</formula1>
    </dataValidation>
  </dataValidations>
  <printOptions horizontalCentered="1"/>
  <pageMargins left="0.51181102362204722" right="0.51181102362204722" top="0.74803149606299213" bottom="0.74803149606299213" header="0.31496062992125984" footer="0.31496062992125984"/>
  <pageSetup paperSize="139" scale="51" fitToHeight="0" orientation="landscape" horizontalDpi="1200" verticalDpi="1200" r:id="rId1"/>
  <headerFooter scaleWithDoc="0">
    <oddHeader>&amp;L&amp;"-,Regular"Monitoring Table Report&amp;R&amp;"-,Regular"&amp;D</oddHeader>
    <oddFooter>&amp;C&amp;"-,Regular"&amp;F</oddFooter>
  </headerFooter>
  <rowBreaks count="1" manualBreakCount="1">
    <brk id="193" min="6" max="21" man="1"/>
  </rowBreak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82" id="{437574F7-7617-4372-9AE2-D4AB93F567AB}">
            <x14:iconSet iconSet="5Arrows"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B4:B8</xm:sqref>
        </x14:conditionalFormatting>
        <x14:conditionalFormatting xmlns:xm="http://schemas.microsoft.com/office/excel/2006/main">
          <x14:cfRule type="iconSet" priority="19" id="{F163146E-DFEC-4F2B-9FE5-3F85F9813A0A}">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R4:R7</xm:sqref>
        </x14:conditionalFormatting>
        <x14:conditionalFormatting xmlns:xm="http://schemas.microsoft.com/office/excel/2006/main">
          <x14:cfRule type="iconSet" priority="446" id="{2EC2F1CE-44E5-4CFE-99D6-59D822A99662}">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T11:T193 R11:R193 V11:V193</xm:sqref>
        </x14:conditionalFormatting>
        <x14:conditionalFormatting xmlns:xm="http://schemas.microsoft.com/office/excel/2006/main">
          <x14:cfRule type="dataBar" id="{BA4164B6-628C-4E83-A7E7-9EE64E392A44}">
            <x14:dataBar minLength="0" maxLength="100" gradient="0">
              <x14:cfvo type="num">
                <xm:f>$W$4</xm:f>
              </x14:cfvo>
              <x14:cfvo type="num">
                <xm:f>$W$7</xm:f>
              </x14:cfvo>
              <x14:negativeFillColor theme="2"/>
              <x14:axisColor theme="2"/>
            </x14:dataBar>
          </x14:cfRule>
          <xm:sqref>W4:W7 W11:Y193</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90C3D-3208-4270-8EAB-678CE9CA717D}">
  <sheetPr codeName="Sheet6">
    <tabColor theme="1" tint="0.249977111117893"/>
    <pageSetUpPr fitToPage="1"/>
  </sheetPr>
  <dimension ref="B2:BE410"/>
  <sheetViews>
    <sheetView showGridLines="0" zoomScale="85" zoomScaleNormal="85" workbookViewId="0">
      <pane xSplit="6" ySplit="10" topLeftCell="G11" activePane="bottomRight" state="frozen"/>
      <selection activeCell="K35" sqref="K35:K36"/>
      <selection pane="topRight" activeCell="K35" sqref="K35:K36"/>
      <selection pane="bottomLeft" activeCell="K35" sqref="K35:K36"/>
      <selection pane="bottomRight" activeCell="K35" sqref="K35:K36"/>
    </sheetView>
  </sheetViews>
  <sheetFormatPr defaultColWidth="9.140625" defaultRowHeight="14.25" customHeight="1" x14ac:dyDescent="0.2"/>
  <cols>
    <col min="1" max="1" width="2.85546875" style="1" customWidth="1"/>
    <col min="2" max="2" width="12" style="1" customWidth="1"/>
    <col min="3" max="3" width="14.28515625" style="1" customWidth="1"/>
    <col min="4" max="5" width="10.85546875" style="1" customWidth="1"/>
    <col min="6" max="6" width="2.85546875" style="1" customWidth="1"/>
    <col min="7" max="7" width="17" style="1" bestFit="1" customWidth="1"/>
    <col min="8" max="8" width="18.85546875" style="1" customWidth="1"/>
    <col min="9" max="9" width="11.5703125" style="1" customWidth="1"/>
    <col min="10" max="11" width="15.140625" style="3" customWidth="1"/>
    <col min="12" max="12" width="11.5703125" style="10" customWidth="1"/>
    <col min="13" max="14" width="15.140625" style="7" customWidth="1"/>
    <col min="15" max="15" width="11.5703125" style="10" customWidth="1"/>
    <col min="16" max="16" width="11.42578125" style="7" customWidth="1"/>
    <col min="17" max="17" width="8.28515625" style="7" customWidth="1"/>
    <col min="18" max="18" width="11.42578125" style="10" customWidth="1"/>
    <col min="19" max="19" width="8.28515625" style="10" customWidth="1"/>
    <col min="20" max="20" width="11.42578125" style="10" customWidth="1"/>
    <col min="21" max="21" width="8.28515625" style="10" customWidth="1"/>
    <col min="22" max="22" width="11.42578125" style="10" customWidth="1"/>
    <col min="23" max="23" width="8.28515625" style="10" customWidth="1"/>
    <col min="24" max="24" width="11.42578125" style="10" customWidth="1"/>
    <col min="25" max="25" width="8.28515625" style="10" customWidth="1"/>
    <col min="26" max="28" width="14" style="10" customWidth="1"/>
    <col min="29" max="29" width="12.7109375" style="10" customWidth="1"/>
    <col min="30" max="30" width="39" style="10" customWidth="1"/>
    <col min="31" max="32" width="35.42578125" style="10" customWidth="1"/>
    <col min="33" max="33" width="5.7109375" style="10" customWidth="1"/>
    <col min="34" max="34" width="7.85546875" style="10" customWidth="1"/>
    <col min="35" max="37" width="11.5703125" style="10" customWidth="1"/>
    <col min="38" max="38" width="20.7109375" style="10" customWidth="1"/>
    <col min="39" max="40" width="33.140625" style="10" customWidth="1"/>
    <col min="41" max="41" width="12.28515625" style="7" customWidth="1"/>
    <col min="42" max="42" width="18.140625" style="7" bestFit="1" customWidth="1"/>
    <col min="43" max="43" width="32.28515625" style="10" customWidth="1"/>
    <col min="44" max="44" width="19.42578125" style="7" customWidth="1"/>
    <col min="45" max="45" width="39" style="1" bestFit="1" customWidth="1"/>
    <col min="46" max="46" width="16.28515625" style="1" customWidth="1"/>
    <col min="47" max="47" width="13.85546875" style="1" bestFit="1" customWidth="1"/>
    <col min="48" max="48" width="8.7109375" style="1" bestFit="1" customWidth="1"/>
    <col min="49" max="49" width="11.42578125" style="1" bestFit="1" customWidth="1"/>
    <col min="50" max="52" width="12.42578125" style="1" customWidth="1"/>
    <col min="53" max="53" width="2.7109375" style="1" customWidth="1"/>
    <col min="54" max="55" width="9.140625" style="1"/>
    <col min="56" max="56" width="10.28515625" style="1" bestFit="1" customWidth="1"/>
    <col min="57" max="57" width="9.7109375" style="1" bestFit="1" customWidth="1"/>
    <col min="58" max="59" width="9.140625" style="1"/>
    <col min="60" max="60" width="14.42578125" style="1" bestFit="1" customWidth="1"/>
    <col min="61" max="61" width="6.28515625" style="1" bestFit="1" customWidth="1"/>
    <col min="62" max="62" width="11.42578125" style="1" bestFit="1" customWidth="1"/>
    <col min="63" max="63" width="12.5703125" style="1" bestFit="1" customWidth="1"/>
    <col min="64" max="64" width="11" style="1" bestFit="1" customWidth="1"/>
    <col min="65" max="65" width="6.42578125" style="1" bestFit="1" customWidth="1"/>
    <col min="66" max="16384" width="9.140625" style="1"/>
  </cols>
  <sheetData>
    <row r="2" spans="2:57" ht="15" customHeight="1" x14ac:dyDescent="0.2">
      <c r="B2" s="281" t="s">
        <v>62</v>
      </c>
      <c r="C2" s="282"/>
      <c r="D2" s="282"/>
      <c r="E2" s="283"/>
      <c r="G2" s="257" t="s">
        <v>61</v>
      </c>
      <c r="H2" s="257"/>
      <c r="I2" s="257"/>
      <c r="J2" s="257"/>
      <c r="K2" s="257"/>
      <c r="L2" s="257"/>
      <c r="M2" s="257"/>
      <c r="N2" s="257"/>
      <c r="O2" s="257"/>
      <c r="P2" s="295" t="s">
        <v>60</v>
      </c>
      <c r="Q2" s="296"/>
      <c r="R2" s="296"/>
      <c r="S2" s="296"/>
      <c r="T2" s="296"/>
      <c r="U2" s="296"/>
      <c r="V2" s="296"/>
      <c r="W2" s="296"/>
      <c r="X2" s="296"/>
      <c r="Y2" s="297"/>
      <c r="Z2" s="257" t="s">
        <v>77</v>
      </c>
      <c r="AA2" s="257"/>
      <c r="AB2" s="257"/>
      <c r="AC2" s="60"/>
      <c r="AD2" s="61"/>
    </row>
    <row r="3" spans="2:57" ht="14.25" customHeight="1" x14ac:dyDescent="0.2">
      <c r="B3" s="284"/>
      <c r="C3" s="285"/>
      <c r="D3" s="285"/>
      <c r="E3" s="286"/>
      <c r="G3" s="293" t="s">
        <v>55</v>
      </c>
      <c r="H3" s="293"/>
      <c r="I3" s="293"/>
      <c r="J3" s="258" t="s">
        <v>103</v>
      </c>
      <c r="K3" s="258"/>
      <c r="L3" s="258"/>
      <c r="M3" s="258"/>
      <c r="N3" s="258"/>
      <c r="O3" s="258"/>
      <c r="P3" s="266" t="s">
        <v>56</v>
      </c>
      <c r="Q3" s="266"/>
      <c r="R3" s="266" t="s">
        <v>57</v>
      </c>
      <c r="S3" s="266"/>
      <c r="T3" s="266"/>
      <c r="U3" s="266"/>
      <c r="V3" s="266" t="s">
        <v>58</v>
      </c>
      <c r="W3" s="266"/>
      <c r="X3" s="266"/>
      <c r="Y3" s="266"/>
      <c r="Z3" s="266" t="s">
        <v>59</v>
      </c>
      <c r="AA3" s="266"/>
      <c r="AB3" s="266"/>
      <c r="AC3" s="62"/>
      <c r="AD3" s="63"/>
    </row>
    <row r="4" spans="2:57" s="4" customFormat="1" ht="14.25" customHeight="1" x14ac:dyDescent="0.2">
      <c r="B4" s="270" t="s">
        <v>78</v>
      </c>
      <c r="C4" s="271"/>
      <c r="D4" s="271"/>
      <c r="E4" s="272"/>
      <c r="G4" s="293" t="s">
        <v>54</v>
      </c>
      <c r="H4" s="293"/>
      <c r="I4" s="293"/>
      <c r="J4" s="258" t="s">
        <v>104</v>
      </c>
      <c r="K4" s="258"/>
      <c r="L4" s="258"/>
      <c r="M4" s="258"/>
      <c r="N4" s="258"/>
      <c r="O4" s="258"/>
      <c r="P4" s="36">
        <v>1</v>
      </c>
      <c r="Q4" s="36">
        <v>1</v>
      </c>
      <c r="R4" s="268">
        <v>-1.2E-2</v>
      </c>
      <c r="S4" s="268"/>
      <c r="T4" s="268"/>
      <c r="U4" s="268"/>
      <c r="V4" s="268">
        <v>1.2E-2</v>
      </c>
      <c r="W4" s="268"/>
      <c r="X4" s="268"/>
      <c r="Y4" s="268"/>
      <c r="Z4" s="37">
        <v>-0.01</v>
      </c>
      <c r="AA4" s="267" t="str">
        <f>"less than " &amp; TEXT(Z4, "0.000")</f>
        <v>less than -0.010</v>
      </c>
      <c r="AB4" s="267"/>
      <c r="AC4" s="62"/>
      <c r="AD4" s="63"/>
      <c r="AR4" s="7"/>
    </row>
    <row r="5" spans="2:57" s="4" customFormat="1" ht="14.25" customHeight="1" x14ac:dyDescent="0.2">
      <c r="B5" s="270" t="s">
        <v>63</v>
      </c>
      <c r="C5" s="271"/>
      <c r="D5" s="271"/>
      <c r="E5" s="272"/>
      <c r="G5" s="293" t="s">
        <v>53</v>
      </c>
      <c r="H5" s="293"/>
      <c r="I5" s="293"/>
      <c r="J5" s="258">
        <v>2400049</v>
      </c>
      <c r="K5" s="258"/>
      <c r="L5" s="258"/>
      <c r="M5" s="258"/>
      <c r="N5" s="258"/>
      <c r="O5" s="258"/>
      <c r="P5" s="36">
        <v>2</v>
      </c>
      <c r="Q5" s="36">
        <v>2</v>
      </c>
      <c r="R5" s="268">
        <v>-1.4999999999999999E-2</v>
      </c>
      <c r="S5" s="268"/>
      <c r="T5" s="268"/>
      <c r="U5" s="268"/>
      <c r="V5" s="268">
        <v>1.4999999999999999E-2</v>
      </c>
      <c r="W5" s="268"/>
      <c r="X5" s="268"/>
      <c r="Y5" s="268"/>
      <c r="Z5" s="37">
        <v>-5.0000000000000001E-3</v>
      </c>
      <c r="AA5" s="267" t="str">
        <f>"between "  &amp; TEXT(Z5,"0.000") &amp; " and 0.000"</f>
        <v>between -0.005 and 0.000</v>
      </c>
      <c r="AB5" s="267"/>
      <c r="AC5" s="62"/>
      <c r="AD5" s="63"/>
      <c r="AR5" s="7"/>
    </row>
    <row r="6" spans="2:57" s="4" customFormat="1" ht="14.25" customHeight="1" x14ac:dyDescent="0.2">
      <c r="B6" s="270" t="s">
        <v>65</v>
      </c>
      <c r="C6" s="271"/>
      <c r="D6" s="271"/>
      <c r="E6" s="272"/>
      <c r="G6" s="293" t="s">
        <v>69</v>
      </c>
      <c r="H6" s="293"/>
      <c r="I6" s="293"/>
      <c r="J6" s="294">
        <v>45388.291666666664</v>
      </c>
      <c r="K6" s="294"/>
      <c r="L6" s="294"/>
      <c r="M6" s="294"/>
      <c r="N6" s="258" t="str">
        <f>_xlfn.XLOOKUP(J6,Lookup_SurveyEpoch[Epoch], Lookup_SurveyEpoch[Index],"-")</f>
        <v>-</v>
      </c>
      <c r="O6" s="258"/>
      <c r="P6" s="36">
        <v>3</v>
      </c>
      <c r="Q6" s="36">
        <v>3</v>
      </c>
      <c r="R6" s="268">
        <v>-0.02</v>
      </c>
      <c r="S6" s="268"/>
      <c r="T6" s="268"/>
      <c r="U6" s="268"/>
      <c r="V6" s="268">
        <v>0.02</v>
      </c>
      <c r="W6" s="268"/>
      <c r="X6" s="268"/>
      <c r="Y6" s="268"/>
      <c r="Z6" s="37">
        <v>5.0000000000000001E-3</v>
      </c>
      <c r="AA6" s="267" t="str">
        <f>"between 0.000 and " &amp; TEXT(Z6,"0.000")</f>
        <v>between 0.000 and 0.005</v>
      </c>
      <c r="AB6" s="267"/>
      <c r="AC6" s="62"/>
      <c r="AD6" s="63"/>
    </row>
    <row r="7" spans="2:57" s="4" customFormat="1" ht="14.25" customHeight="1" x14ac:dyDescent="0.2">
      <c r="B7" s="270" t="s">
        <v>64</v>
      </c>
      <c r="C7" s="271"/>
      <c r="D7" s="271"/>
      <c r="E7" s="272"/>
      <c r="G7" s="293" t="s">
        <v>70</v>
      </c>
      <c r="H7" s="293"/>
      <c r="I7" s="293"/>
      <c r="J7" s="294" t="e">
        <f>_xlfn.XLOOKUP(N7,Lookup_SurveyEpoch[Index], Lookup_SurveyEpoch[Epoch],"-")</f>
        <v>#VALUE!</v>
      </c>
      <c r="K7" s="294"/>
      <c r="L7" s="294"/>
      <c r="M7" s="294"/>
      <c r="N7" s="258" t="e">
        <f>N6-1</f>
        <v>#VALUE!</v>
      </c>
      <c r="O7" s="258"/>
      <c r="P7" s="36">
        <v>4</v>
      </c>
      <c r="Q7" s="36">
        <v>4</v>
      </c>
      <c r="R7" s="268">
        <v>-0.03</v>
      </c>
      <c r="S7" s="268"/>
      <c r="T7" s="268"/>
      <c r="U7" s="268"/>
      <c r="V7" s="268">
        <v>0.03</v>
      </c>
      <c r="W7" s="268"/>
      <c r="X7" s="268"/>
      <c r="Y7" s="268"/>
      <c r="Z7" s="37">
        <v>0.01</v>
      </c>
      <c r="AA7" s="267" t="str">
        <f>"greater than " &amp; TEXT(Z7, "0.000")</f>
        <v>greater than 0.010</v>
      </c>
      <c r="AB7" s="267"/>
      <c r="AC7" s="64"/>
      <c r="AD7" s="65"/>
      <c r="AR7" s="7"/>
    </row>
    <row r="8" spans="2:57" s="4" customFormat="1" ht="14.25" customHeight="1" x14ac:dyDescent="0.2">
      <c r="B8" s="270" t="s">
        <v>66</v>
      </c>
      <c r="C8" s="271"/>
      <c r="D8" s="271"/>
      <c r="E8" s="272"/>
      <c r="J8" s="5"/>
      <c r="K8" s="5"/>
      <c r="L8" s="10"/>
      <c r="M8" s="7"/>
      <c r="N8" s="7"/>
      <c r="O8" s="10"/>
      <c r="P8" s="7"/>
      <c r="Q8" s="7"/>
      <c r="R8" s="10"/>
      <c r="S8" s="10"/>
      <c r="T8" s="10"/>
      <c r="U8" s="10"/>
      <c r="V8" s="10"/>
      <c r="W8" s="10"/>
      <c r="X8" s="10"/>
      <c r="Y8" s="10"/>
      <c r="Z8" s="10"/>
      <c r="AA8" s="10"/>
      <c r="AB8" s="10"/>
      <c r="AC8" s="10"/>
      <c r="AD8" s="10"/>
      <c r="AE8" s="10"/>
      <c r="AF8" s="10"/>
      <c r="AG8" s="10"/>
      <c r="AH8" s="10"/>
      <c r="AI8" s="10"/>
      <c r="AJ8" s="10"/>
      <c r="AK8" s="10"/>
      <c r="AL8" s="10"/>
      <c r="AR8" s="7"/>
    </row>
    <row r="9" spans="2:57" ht="22.5" customHeight="1" x14ac:dyDescent="0.2">
      <c r="G9" s="287" t="s">
        <v>67</v>
      </c>
      <c r="H9" s="287"/>
      <c r="I9" s="287"/>
      <c r="J9" s="288" t="s">
        <v>20</v>
      </c>
      <c r="K9" s="288"/>
      <c r="L9" s="288"/>
      <c r="M9" s="289" t="s">
        <v>21</v>
      </c>
      <c r="N9" s="289"/>
      <c r="O9" s="289"/>
      <c r="P9" s="290" t="s">
        <v>22</v>
      </c>
      <c r="Q9" s="291"/>
      <c r="R9" s="291"/>
      <c r="S9" s="291"/>
      <c r="T9" s="291"/>
      <c r="U9" s="291"/>
      <c r="V9" s="291"/>
      <c r="W9" s="291"/>
      <c r="X9" s="291"/>
      <c r="Y9" s="292"/>
      <c r="Z9" s="287" t="s">
        <v>51</v>
      </c>
      <c r="AA9" s="287"/>
      <c r="AB9" s="287"/>
      <c r="AC9" s="287" t="s">
        <v>52</v>
      </c>
      <c r="AD9" s="287"/>
      <c r="AO9" s="10"/>
      <c r="AP9" s="10"/>
      <c r="AR9" s="10"/>
      <c r="AS9" s="10"/>
      <c r="AT9" s="7"/>
      <c r="AU9" s="7"/>
      <c r="BA9" s="7"/>
      <c r="BB9" s="7"/>
      <c r="BC9" s="7"/>
      <c r="BE9" s="4"/>
    </row>
    <row r="10" spans="2:57" s="6" customFormat="1" ht="30" customHeight="1" x14ac:dyDescent="0.2">
      <c r="B10" s="273" t="s">
        <v>50</v>
      </c>
      <c r="C10" s="274"/>
      <c r="D10" s="274"/>
      <c r="E10" s="275"/>
      <c r="G10" s="67" t="s">
        <v>6</v>
      </c>
      <c r="H10" s="68" t="s">
        <v>2</v>
      </c>
      <c r="I10" s="68" t="s">
        <v>148</v>
      </c>
      <c r="J10" s="69" t="s">
        <v>149</v>
      </c>
      <c r="K10" s="69" t="s">
        <v>150</v>
      </c>
      <c r="L10" s="69" t="s">
        <v>151</v>
      </c>
      <c r="M10" s="70" t="s">
        <v>152</v>
      </c>
      <c r="N10" s="70" t="s">
        <v>153</v>
      </c>
      <c r="O10" s="70" t="s">
        <v>154</v>
      </c>
      <c r="P10" s="71" t="s">
        <v>155</v>
      </c>
      <c r="Q10" s="71" t="s">
        <v>72</v>
      </c>
      <c r="R10" s="71" t="s">
        <v>156</v>
      </c>
      <c r="S10" s="71" t="s">
        <v>73</v>
      </c>
      <c r="T10" s="71" t="s">
        <v>157</v>
      </c>
      <c r="U10" s="71" t="s">
        <v>56</v>
      </c>
      <c r="V10" s="71" t="s">
        <v>158</v>
      </c>
      <c r="W10" s="71" t="s">
        <v>105</v>
      </c>
      <c r="X10" s="71" t="s">
        <v>159</v>
      </c>
      <c r="Y10" s="71" t="s">
        <v>106</v>
      </c>
      <c r="Z10" s="72" t="s">
        <v>74</v>
      </c>
      <c r="AA10" s="72" t="s">
        <v>75</v>
      </c>
      <c r="AB10" s="72" t="s">
        <v>76</v>
      </c>
      <c r="AC10" s="68" t="s">
        <v>9</v>
      </c>
      <c r="AD10" s="73" t="s">
        <v>160</v>
      </c>
      <c r="AT10" s="1"/>
      <c r="AU10" s="1"/>
    </row>
    <row r="11" spans="2:57" ht="14.25" customHeight="1" x14ac:dyDescent="0.2">
      <c r="G11" s="82">
        <v>45776.284722222219</v>
      </c>
      <c r="H11" s="108" t="s">
        <v>172</v>
      </c>
      <c r="I11" s="108"/>
      <c r="J11" s="150">
        <v>51885.34</v>
      </c>
      <c r="K11" s="150">
        <v>159195.739</v>
      </c>
      <c r="L11" s="150">
        <v>18.782</v>
      </c>
      <c r="M11" s="83">
        <v>51885.339</v>
      </c>
      <c r="N11" s="83">
        <v>159195.73800000001</v>
      </c>
      <c r="O11" s="83">
        <v>18.780999999999999</v>
      </c>
      <c r="P11" s="84">
        <v>-9.9999999656574801E-4</v>
      </c>
      <c r="Q11" s="110" cm="1">
        <f t="array" ref="Q1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 s="84">
        <v>-9.9999998928979039E-4</v>
      </c>
      <c r="S11" s="85" cm="1">
        <f t="array" ref="S1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 s="84">
        <v>-1.0000000000012221E-3</v>
      </c>
      <c r="U11" s="85" cm="1">
        <f t="array" ref="U1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 s="85">
        <v>-9.9999999656574801E-4</v>
      </c>
      <c r="W11" s="85" cm="1">
        <f t="array" ref="W1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 s="85">
        <v>-9.9999998928979039E-4</v>
      </c>
      <c r="Y11" s="85" cm="1">
        <f t="array" ref="Y1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 s="85"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 s="85"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 s="85"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 s="108" t="s">
        <v>86</v>
      </c>
      <c r="AD11" s="112"/>
      <c r="AE11" s="1"/>
      <c r="AF11" s="1"/>
      <c r="AG11" s="4"/>
      <c r="AH11" s="4"/>
      <c r="AI11" s="4"/>
      <c r="AJ11" s="4"/>
      <c r="AK11" s="1"/>
      <c r="AL11" s="1"/>
      <c r="AM11" s="9"/>
      <c r="AN11" s="6"/>
      <c r="AO11" s="6"/>
      <c r="AP11" s="6"/>
      <c r="AQ11" s="8"/>
      <c r="AR11" s="8"/>
    </row>
    <row r="12" spans="2:57" ht="14.25" customHeight="1" x14ac:dyDescent="0.2">
      <c r="G12" s="74">
        <v>45776.284722222219</v>
      </c>
      <c r="H12" s="107" t="s">
        <v>171</v>
      </c>
      <c r="I12" s="107"/>
      <c r="J12" s="116">
        <v>51884.958899999998</v>
      </c>
      <c r="K12" s="116">
        <v>159194.47070000001</v>
      </c>
      <c r="L12" s="116">
        <v>18.778099999999998</v>
      </c>
      <c r="M12" s="75">
        <v>51884.957999999999</v>
      </c>
      <c r="N12" s="75">
        <v>159194.47099999999</v>
      </c>
      <c r="O12" s="75">
        <v>18.777000000000001</v>
      </c>
      <c r="P12" s="76">
        <v>-8.9999999909196049E-4</v>
      </c>
      <c r="Q12" s="109" cm="1">
        <f t="array" ref="Q1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 s="76">
        <v>2.9999998514540493E-4</v>
      </c>
      <c r="S12" s="77" cm="1">
        <f t="array" ref="S1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 s="76">
        <v>-1.0999999999974364E-3</v>
      </c>
      <c r="U12" s="77" cm="1">
        <f t="array" ref="U1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 s="77">
        <v>-8.9999999909196049E-4</v>
      </c>
      <c r="W12" s="77" cm="1">
        <f t="array" ref="W1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 s="77">
        <v>2.9999998514540493E-4</v>
      </c>
      <c r="Y12" s="77" cm="1">
        <f t="array" ref="Y1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 s="107" t="s">
        <v>86</v>
      </c>
      <c r="AD12" s="111"/>
      <c r="AE12" s="1"/>
      <c r="AF12" s="1"/>
      <c r="AG12" s="4"/>
      <c r="AH12" s="4"/>
      <c r="AI12" s="4"/>
      <c r="AJ12" s="4"/>
      <c r="AK12" s="1"/>
      <c r="AL12" s="1"/>
      <c r="AM12" s="9"/>
      <c r="AN12" s="6"/>
      <c r="AO12" s="6"/>
      <c r="AP12" s="6"/>
      <c r="AQ12" s="8"/>
      <c r="AR12" s="8"/>
    </row>
    <row r="13" spans="2:57" ht="14.25" customHeight="1" x14ac:dyDescent="0.2">
      <c r="G13" s="74">
        <v>45776.284722222219</v>
      </c>
      <c r="H13" s="107" t="s">
        <v>174</v>
      </c>
      <c r="I13" s="107"/>
      <c r="J13" s="116">
        <v>51888.117700000003</v>
      </c>
      <c r="K13" s="116">
        <v>159194.94529999999</v>
      </c>
      <c r="L13" s="116">
        <v>18.7788</v>
      </c>
      <c r="M13" s="75">
        <v>51888.116999999998</v>
      </c>
      <c r="N13" s="75">
        <v>159194.94500000001</v>
      </c>
      <c r="O13" s="75">
        <v>18.777000000000001</v>
      </c>
      <c r="P13" s="76">
        <v>-7.0000000414438546E-4</v>
      </c>
      <c r="Q13" s="109" cm="1">
        <f t="array" ref="Q1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 s="76">
        <v>-2.9999998514540493E-4</v>
      </c>
      <c r="S13" s="77" cm="1">
        <f t="array" ref="S1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 s="76">
        <v>-1.7999999999993577E-3</v>
      </c>
      <c r="U13" s="77" cm="1">
        <f t="array" ref="U1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 s="77">
        <v>-7.0000000414438546E-4</v>
      </c>
      <c r="W13" s="77" cm="1">
        <f t="array" ref="W1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 s="77">
        <v>-2.9999998514540493E-4</v>
      </c>
      <c r="Y13" s="77" cm="1">
        <f t="array" ref="Y1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 s="107" t="s">
        <v>86</v>
      </c>
      <c r="AD13" s="111"/>
      <c r="AE13" s="1"/>
      <c r="AF13" s="1"/>
      <c r="AG13" s="4"/>
      <c r="AH13" s="4"/>
      <c r="AI13" s="4"/>
      <c r="AJ13" s="4"/>
      <c r="AK13" s="1"/>
      <c r="AL13" s="1"/>
      <c r="AM13" s="9"/>
      <c r="AN13" s="6"/>
      <c r="AO13" s="6"/>
      <c r="AP13" s="6"/>
      <c r="AQ13" s="8"/>
      <c r="AR13" s="8"/>
    </row>
    <row r="14" spans="2:57" ht="14.25" customHeight="1" x14ac:dyDescent="0.2">
      <c r="G14" s="74">
        <v>45776.284722222219</v>
      </c>
      <c r="H14" s="107" t="s">
        <v>173</v>
      </c>
      <c r="I14" s="107"/>
      <c r="J14" s="116">
        <v>51887.805099999998</v>
      </c>
      <c r="K14" s="116">
        <v>159193.65710000001</v>
      </c>
      <c r="L14" s="116">
        <v>18.778500000000001</v>
      </c>
      <c r="M14" s="75">
        <v>51887.803999999996</v>
      </c>
      <c r="N14" s="75">
        <v>159193.65700000001</v>
      </c>
      <c r="O14" s="75">
        <v>18.777000000000001</v>
      </c>
      <c r="P14" s="76">
        <v>-1.1000000013154931E-3</v>
      </c>
      <c r="Q14" s="109" cm="1">
        <f t="array" ref="Q1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 s="76">
        <v>-1.0000000474974513E-4</v>
      </c>
      <c r="S14" s="77" cm="1">
        <f t="array" ref="S1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 s="76">
        <v>-1.5000000000000568E-3</v>
      </c>
      <c r="U14" s="77" cm="1">
        <f t="array" ref="U1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 s="77">
        <v>-1.1000000013154931E-3</v>
      </c>
      <c r="W14" s="77" cm="1">
        <f t="array" ref="W1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 s="77">
        <v>-1.0000000474974513E-4</v>
      </c>
      <c r="Y14" s="77" cm="1">
        <f t="array" ref="Y1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 s="107" t="s">
        <v>86</v>
      </c>
      <c r="AD14" s="111"/>
      <c r="AE14" s="1"/>
      <c r="AF14" s="1"/>
      <c r="AG14" s="4"/>
      <c r="AH14" s="4"/>
      <c r="AI14" s="4"/>
      <c r="AJ14" s="4"/>
      <c r="AK14" s="1"/>
      <c r="AL14" s="1"/>
      <c r="AM14" s="9"/>
      <c r="AN14" s="6"/>
      <c r="AO14" s="6"/>
      <c r="AP14" s="6"/>
      <c r="AQ14" s="8"/>
      <c r="AR14" s="8"/>
    </row>
    <row r="15" spans="2:57" ht="14.25" customHeight="1" x14ac:dyDescent="0.2">
      <c r="G15" s="74">
        <v>45776.284722222219</v>
      </c>
      <c r="H15" s="107" t="s">
        <v>176</v>
      </c>
      <c r="I15" s="107"/>
      <c r="J15" s="116">
        <v>51890.969100000002</v>
      </c>
      <c r="K15" s="116">
        <v>159194.1177</v>
      </c>
      <c r="L15" s="116">
        <v>18.779</v>
      </c>
      <c r="M15" s="75">
        <v>51890.968000000001</v>
      </c>
      <c r="N15" s="75">
        <v>159194.11799999999</v>
      </c>
      <c r="O15" s="75">
        <v>18.777999999999999</v>
      </c>
      <c r="P15" s="76">
        <v>-1.1000000013154931E-3</v>
      </c>
      <c r="Q15" s="109" cm="1">
        <f t="array" ref="Q1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 s="76">
        <v>2.9999998514540493E-4</v>
      </c>
      <c r="S15" s="77" cm="1">
        <f t="array" ref="S1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 s="76">
        <v>-1.0000000000012221E-3</v>
      </c>
      <c r="U15" s="77" cm="1">
        <f t="array" ref="U1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 s="77">
        <v>-1.1000000013154931E-3</v>
      </c>
      <c r="W15" s="77" cm="1">
        <f t="array" ref="W1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 s="77">
        <v>2.9999998514540493E-4</v>
      </c>
      <c r="Y15" s="77" cm="1">
        <f t="array" ref="Y1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 s="107" t="s">
        <v>86</v>
      </c>
      <c r="AD15" s="111"/>
      <c r="AE15" s="1"/>
      <c r="AF15" s="1"/>
      <c r="AG15" s="4"/>
      <c r="AH15" s="8"/>
      <c r="AI15" s="1"/>
      <c r="AJ15" s="1"/>
      <c r="AK15" s="1"/>
      <c r="AL15" s="1"/>
      <c r="AM15" s="1"/>
      <c r="AN15" s="1"/>
      <c r="AO15" s="1"/>
      <c r="AP15" s="1"/>
      <c r="AQ15" s="1"/>
      <c r="AR15" s="1"/>
    </row>
    <row r="16" spans="2:57" ht="14.25" customHeight="1" x14ac:dyDescent="0.2">
      <c r="G16" s="74">
        <v>45776.284722222219</v>
      </c>
      <c r="H16" s="107" t="s">
        <v>175</v>
      </c>
      <c r="I16" s="107"/>
      <c r="J16" s="116">
        <v>51890.606800000001</v>
      </c>
      <c r="K16" s="116">
        <v>159192.86069999999</v>
      </c>
      <c r="L16" s="116">
        <v>18.771999999999998</v>
      </c>
      <c r="M16" s="75">
        <v>51890.606</v>
      </c>
      <c r="N16" s="75">
        <v>159192.861</v>
      </c>
      <c r="O16" s="75">
        <v>18.771000000000001</v>
      </c>
      <c r="P16" s="76">
        <v>-8.0000000161817297E-4</v>
      </c>
      <c r="Q16" s="109" cm="1">
        <f t="array" ref="Q1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 s="76">
        <v>3.0000001424923539E-4</v>
      </c>
      <c r="S16" s="77" cm="1">
        <f t="array" ref="S1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 s="76">
        <v>-9.9999999999766942E-4</v>
      </c>
      <c r="U16" s="77" cm="1">
        <f t="array" ref="U1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 s="77">
        <v>-8.0000000161817297E-4</v>
      </c>
      <c r="W16" s="77" cm="1">
        <f t="array" ref="W1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 s="77">
        <v>3.0000001424923539E-4</v>
      </c>
      <c r="Y16" s="77" cm="1">
        <f t="array" ref="Y1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 s="107" t="s">
        <v>86</v>
      </c>
      <c r="AD16" s="111"/>
      <c r="AE16" s="1"/>
      <c r="AF16" s="1"/>
      <c r="AG16" s="4"/>
      <c r="AH16" s="8"/>
      <c r="AI16" s="1"/>
      <c r="AJ16" s="1"/>
      <c r="AK16" s="1"/>
      <c r="AL16" s="1"/>
      <c r="AM16" s="1"/>
      <c r="AN16" s="1"/>
      <c r="AO16" s="1"/>
      <c r="AP16" s="1"/>
      <c r="AQ16" s="1"/>
      <c r="AR16" s="1"/>
    </row>
    <row r="17" spans="7:44" ht="14.25" customHeight="1" x14ac:dyDescent="0.2">
      <c r="G17" s="74">
        <v>45776.284722222219</v>
      </c>
      <c r="H17" s="107" t="s">
        <v>178</v>
      </c>
      <c r="I17" s="107"/>
      <c r="J17" s="116">
        <v>51893.758699999998</v>
      </c>
      <c r="K17" s="116">
        <v>159193.3144</v>
      </c>
      <c r="L17" s="116">
        <v>18.774100000000001</v>
      </c>
      <c r="M17" s="75">
        <v>51893.758000000002</v>
      </c>
      <c r="N17" s="75">
        <v>159193.315</v>
      </c>
      <c r="O17" s="75">
        <v>18.773</v>
      </c>
      <c r="P17" s="76">
        <v>-6.9999999686842784E-4</v>
      </c>
      <c r="Q17" s="109" cm="1">
        <f t="array" ref="Q1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 s="76">
        <v>5.9999999939464033E-4</v>
      </c>
      <c r="S17" s="77" cm="1">
        <f t="array" ref="S1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 s="76">
        <v>-1.1000000000009891E-3</v>
      </c>
      <c r="U17" s="77" cm="1">
        <f t="array" ref="U1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 s="77">
        <v>-6.9999999686842784E-4</v>
      </c>
      <c r="W17" s="77" cm="1">
        <f t="array" ref="W1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 s="77">
        <v>5.9999999939464033E-4</v>
      </c>
      <c r="Y17" s="77" cm="1">
        <f t="array" ref="Y1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 s="107" t="s">
        <v>86</v>
      </c>
      <c r="AD17" s="111"/>
      <c r="AE17" s="1"/>
      <c r="AF17" s="1"/>
      <c r="AG17" s="4"/>
      <c r="AH17" s="8"/>
      <c r="AI17" s="1"/>
      <c r="AJ17" s="1"/>
      <c r="AK17" s="1"/>
      <c r="AL17" s="1"/>
      <c r="AM17" s="1"/>
      <c r="AN17" s="1"/>
      <c r="AO17" s="1"/>
      <c r="AP17" s="1"/>
      <c r="AQ17" s="1"/>
      <c r="AR17" s="1"/>
    </row>
    <row r="18" spans="7:44" ht="14.25" customHeight="1" x14ac:dyDescent="0.2">
      <c r="G18" s="74">
        <v>45776.284722222219</v>
      </c>
      <c r="H18" s="107" t="s">
        <v>177</v>
      </c>
      <c r="I18" s="107"/>
      <c r="J18" s="116">
        <v>51893.441299999999</v>
      </c>
      <c r="K18" s="116">
        <v>159192.04019999999</v>
      </c>
      <c r="L18" s="116">
        <v>18.7683</v>
      </c>
      <c r="M18" s="75">
        <v>51893.440000000002</v>
      </c>
      <c r="N18" s="75">
        <v>159192.041</v>
      </c>
      <c r="O18" s="75">
        <v>18.768000000000001</v>
      </c>
      <c r="P18" s="76">
        <v>-1.2999999962630682E-3</v>
      </c>
      <c r="Q18" s="109" cm="1">
        <f t="array" ref="Q1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 s="76">
        <v>8.0000000889413059E-4</v>
      </c>
      <c r="S18" s="77" cm="1">
        <f t="array" ref="S1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 s="76">
        <v>-2.9999999999930083E-4</v>
      </c>
      <c r="U18" s="77" cm="1">
        <f t="array" ref="U1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 s="77">
        <v>-1.2999999962630682E-3</v>
      </c>
      <c r="W18" s="77" cm="1">
        <f t="array" ref="W1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 s="77">
        <v>8.0000000889413059E-4</v>
      </c>
      <c r="Y18" s="77" cm="1">
        <f t="array" ref="Y1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 s="107" t="s">
        <v>86</v>
      </c>
      <c r="AD18" s="111"/>
      <c r="AE18" s="1"/>
      <c r="AF18" s="1"/>
      <c r="AG18" s="4"/>
      <c r="AH18" s="8"/>
      <c r="AI18" s="1"/>
      <c r="AJ18" s="1"/>
      <c r="AK18" s="1"/>
      <c r="AL18" s="1"/>
      <c r="AM18" s="1"/>
      <c r="AN18" s="1"/>
      <c r="AO18" s="1"/>
      <c r="AP18" s="1"/>
      <c r="AQ18" s="1"/>
      <c r="AR18" s="1"/>
    </row>
    <row r="19" spans="7:44" ht="14.25" customHeight="1" x14ac:dyDescent="0.2">
      <c r="G19" s="74">
        <v>45776.284722222219</v>
      </c>
      <c r="H19" s="107" t="s">
        <v>180</v>
      </c>
      <c r="I19" s="107"/>
      <c r="J19" s="116">
        <v>51896.633300000001</v>
      </c>
      <c r="K19" s="116">
        <v>159192.48449999999</v>
      </c>
      <c r="L19" s="116">
        <v>18.7776</v>
      </c>
      <c r="M19" s="75">
        <v>51896.633000000002</v>
      </c>
      <c r="N19" s="75">
        <v>159192.48499999999</v>
      </c>
      <c r="O19" s="75">
        <v>18.777000000000001</v>
      </c>
      <c r="P19" s="76">
        <v>-2.9999999969732016E-4</v>
      </c>
      <c r="Q19" s="109" cm="1">
        <f t="array" ref="Q1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9" s="76">
        <v>4.999999946448952E-4</v>
      </c>
      <c r="S19" s="77" cm="1">
        <f t="array" ref="S1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9" s="76">
        <v>-5.9999999999860165E-4</v>
      </c>
      <c r="U19" s="77" cm="1">
        <f t="array" ref="U1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9" s="77">
        <v>-2.9999999969732016E-4</v>
      </c>
      <c r="W19" s="77" cm="1">
        <f t="array" ref="W1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9" s="77">
        <v>4.999999946448952E-4</v>
      </c>
      <c r="Y19" s="77" cm="1">
        <f t="array" ref="Y1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9" s="107" t="s">
        <v>86</v>
      </c>
      <c r="AD19" s="111"/>
      <c r="AE19" s="1"/>
      <c r="AF19" s="1"/>
      <c r="AG19" s="4"/>
      <c r="AH19" s="8"/>
      <c r="AI19" s="1"/>
      <c r="AJ19" s="1"/>
      <c r="AK19" s="1"/>
      <c r="AL19" s="1"/>
      <c r="AM19" s="1"/>
      <c r="AN19" s="1"/>
      <c r="AO19" s="1"/>
      <c r="AP19" s="1"/>
      <c r="AQ19" s="1"/>
      <c r="AR19" s="1"/>
    </row>
    <row r="20" spans="7:44" ht="14.25" customHeight="1" x14ac:dyDescent="0.2">
      <c r="G20" s="74">
        <v>45776.284722222219</v>
      </c>
      <c r="H20" s="107" t="s">
        <v>179</v>
      </c>
      <c r="I20" s="107"/>
      <c r="J20" s="116">
        <v>51896.249799999998</v>
      </c>
      <c r="K20" s="116">
        <v>159191.22630000001</v>
      </c>
      <c r="L20" s="116">
        <v>18.7698</v>
      </c>
      <c r="M20" s="75">
        <v>51896.249000000003</v>
      </c>
      <c r="N20" s="75">
        <v>159191.226</v>
      </c>
      <c r="O20" s="75">
        <v>18.768999999999998</v>
      </c>
      <c r="P20" s="76">
        <v>-7.9999999434221536E-4</v>
      </c>
      <c r="Q20" s="109" cm="1">
        <f t="array" ref="Q2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0" s="76">
        <v>-3.0000001424923539E-4</v>
      </c>
      <c r="S20" s="77" cm="1">
        <f t="array" ref="S2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0" s="76">
        <v>-8.0000000000168825E-4</v>
      </c>
      <c r="U20" s="77" cm="1">
        <f t="array" ref="U2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0" s="77">
        <v>-7.9999999434221536E-4</v>
      </c>
      <c r="W20" s="77" cm="1">
        <f t="array" ref="W2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0" s="77">
        <v>-3.0000001424923539E-4</v>
      </c>
      <c r="Y20" s="77" cm="1">
        <f t="array" ref="Y2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0" s="107" t="s">
        <v>86</v>
      </c>
      <c r="AD20" s="111"/>
      <c r="AE20" s="1"/>
      <c r="AF20" s="1"/>
      <c r="AG20" s="4"/>
      <c r="AH20" s="8"/>
      <c r="AI20" s="1"/>
      <c r="AJ20" s="1"/>
      <c r="AK20" s="1"/>
      <c r="AL20" s="1"/>
      <c r="AM20" s="1"/>
      <c r="AN20" s="1"/>
      <c r="AO20" s="1"/>
      <c r="AP20" s="1"/>
      <c r="AQ20" s="1"/>
      <c r="AR20" s="1"/>
    </row>
    <row r="21" spans="7:44" ht="14.25" customHeight="1" x14ac:dyDescent="0.2">
      <c r="G21" s="74">
        <v>45776.284722222219</v>
      </c>
      <c r="H21" s="107" t="s">
        <v>182</v>
      </c>
      <c r="I21" s="107"/>
      <c r="J21" s="116">
        <v>51899.398699999998</v>
      </c>
      <c r="K21" s="116">
        <v>159191.69760000001</v>
      </c>
      <c r="L21" s="116">
        <v>18.777999999999999</v>
      </c>
      <c r="M21" s="75">
        <v>51899.398000000001</v>
      </c>
      <c r="N21" s="75">
        <v>159191.698</v>
      </c>
      <c r="O21" s="75">
        <v>18.777000000000001</v>
      </c>
      <c r="P21" s="76">
        <v>-6.9999999686842784E-4</v>
      </c>
      <c r="Q21" s="109" cm="1">
        <f t="array" ref="Q2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1" s="76">
        <v>3.9999998989515007E-4</v>
      </c>
      <c r="S21" s="77" cm="1">
        <f t="array" ref="S2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1" s="76">
        <v>-9.9999999999766942E-4</v>
      </c>
      <c r="U21" s="77" cm="1">
        <f t="array" ref="U2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1" s="77">
        <v>-6.9999999686842784E-4</v>
      </c>
      <c r="W21" s="77" cm="1">
        <f t="array" ref="W2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1" s="77">
        <v>3.9999998989515007E-4</v>
      </c>
      <c r="Y21" s="77" cm="1">
        <f t="array" ref="Y2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1" s="107" t="s">
        <v>86</v>
      </c>
      <c r="AD21" s="111"/>
      <c r="AE21" s="1"/>
      <c r="AF21" s="1"/>
      <c r="AG21" s="4"/>
      <c r="AH21" s="8"/>
      <c r="AI21" s="1"/>
      <c r="AJ21" s="1"/>
      <c r="AK21" s="1"/>
      <c r="AL21" s="1"/>
      <c r="AM21" s="1"/>
      <c r="AN21" s="1"/>
      <c r="AO21" s="1"/>
      <c r="AP21" s="1"/>
      <c r="AQ21" s="1"/>
      <c r="AR21" s="1"/>
    </row>
    <row r="22" spans="7:44" ht="14.25" customHeight="1" x14ac:dyDescent="0.2">
      <c r="G22" s="74">
        <v>45776.284722222219</v>
      </c>
      <c r="H22" s="107" t="s">
        <v>181</v>
      </c>
      <c r="I22" s="107"/>
      <c r="J22" s="116">
        <v>51899.041100000002</v>
      </c>
      <c r="K22" s="116">
        <v>159190.43340000001</v>
      </c>
      <c r="L22" s="116">
        <v>18.771100000000001</v>
      </c>
      <c r="M22" s="75">
        <v>51899.040000000001</v>
      </c>
      <c r="N22" s="75">
        <v>159190.43400000001</v>
      </c>
      <c r="O22" s="75">
        <v>18.77</v>
      </c>
      <c r="P22" s="76">
        <v>-1.1000000013154931E-3</v>
      </c>
      <c r="Q22" s="109" cm="1">
        <f t="array" ref="Q2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2" s="76">
        <v>5.9999999939464033E-4</v>
      </c>
      <c r="S22" s="77" cm="1">
        <f t="array" ref="S2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2" s="76">
        <v>-1.1000000000009891E-3</v>
      </c>
      <c r="U22" s="77" cm="1">
        <f t="array" ref="U2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2" s="77">
        <v>-1.1000000013154931E-3</v>
      </c>
      <c r="W22" s="77" cm="1">
        <f t="array" ref="W2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2" s="77">
        <v>5.9999999939464033E-4</v>
      </c>
      <c r="Y22" s="77" cm="1">
        <f t="array" ref="Y2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2" s="107" t="s">
        <v>86</v>
      </c>
      <c r="AD22" s="111"/>
      <c r="AE22" s="1"/>
      <c r="AF22" s="1"/>
      <c r="AG22" s="4"/>
      <c r="AH22" s="8"/>
      <c r="AI22" s="1"/>
      <c r="AJ22" s="1"/>
      <c r="AK22" s="1"/>
      <c r="AL22" s="1"/>
      <c r="AM22" s="1"/>
      <c r="AN22" s="1"/>
      <c r="AO22" s="1"/>
      <c r="AP22" s="1"/>
      <c r="AQ22" s="1"/>
      <c r="AR22" s="1"/>
    </row>
    <row r="23" spans="7:44" ht="14.25" customHeight="1" x14ac:dyDescent="0.2">
      <c r="G23" s="74">
        <v>45776.284722222219</v>
      </c>
      <c r="H23" s="107" t="s">
        <v>184</v>
      </c>
      <c r="I23" s="107"/>
      <c r="J23" s="116">
        <v>51902.292699999998</v>
      </c>
      <c r="K23" s="116">
        <v>159190.88459999999</v>
      </c>
      <c r="L23" s="116">
        <v>18.779</v>
      </c>
      <c r="M23" s="75">
        <v>51902.292000000001</v>
      </c>
      <c r="N23" s="75">
        <v>159190.88500000001</v>
      </c>
      <c r="O23" s="75">
        <v>18.777999999999999</v>
      </c>
      <c r="P23" s="76">
        <v>-6.9999999686842784E-4</v>
      </c>
      <c r="Q23" s="109" cm="1">
        <f t="array" ref="Q2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3" s="76">
        <v>4.0000001899898052E-4</v>
      </c>
      <c r="S23" s="77" cm="1">
        <f t="array" ref="S2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3" s="76">
        <v>-1.0000000000012221E-3</v>
      </c>
      <c r="U23" s="77" cm="1">
        <f t="array" ref="U2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3" s="77">
        <v>-6.9999999686842784E-4</v>
      </c>
      <c r="W23" s="77" cm="1">
        <f t="array" ref="W2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3" s="77">
        <v>4.0000001899898052E-4</v>
      </c>
      <c r="Y23" s="77" cm="1">
        <f t="array" ref="Y2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3" s="107" t="s">
        <v>86</v>
      </c>
      <c r="AD23" s="111"/>
      <c r="AE23" s="1"/>
      <c r="AF23" s="1"/>
      <c r="AG23" s="4"/>
      <c r="AH23" s="8"/>
      <c r="AI23" s="1"/>
      <c r="AJ23" s="1"/>
      <c r="AK23" s="1"/>
      <c r="AL23" s="1"/>
      <c r="AM23" s="1"/>
      <c r="AN23" s="1"/>
      <c r="AO23" s="1"/>
      <c r="AP23" s="1"/>
      <c r="AQ23" s="1"/>
      <c r="AR23" s="1"/>
    </row>
    <row r="24" spans="7:44" ht="14.25" customHeight="1" x14ac:dyDescent="0.2">
      <c r="G24" s="74">
        <v>45776.284722222219</v>
      </c>
      <c r="H24" s="107" t="s">
        <v>183</v>
      </c>
      <c r="I24" s="107"/>
      <c r="J24" s="116">
        <v>51901.989200000004</v>
      </c>
      <c r="K24" s="116">
        <v>159189.60260000001</v>
      </c>
      <c r="L24" s="116">
        <v>18.770099999999999</v>
      </c>
      <c r="M24" s="75">
        <v>51901.987999999998</v>
      </c>
      <c r="N24" s="75">
        <v>159189.60399999999</v>
      </c>
      <c r="O24" s="75">
        <v>18.768999999999998</v>
      </c>
      <c r="P24" s="76">
        <v>-1.2000000060652383E-3</v>
      </c>
      <c r="Q24" s="109" cm="1">
        <f t="array" ref="Q2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4" s="76">
        <v>1.3999999791849405E-3</v>
      </c>
      <c r="S24" s="77" cm="1">
        <f t="array" ref="S2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4" s="76">
        <v>-1.1000000000009891E-3</v>
      </c>
      <c r="U24" s="77" cm="1">
        <f t="array" ref="U2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4" s="77">
        <v>-1.2000000060652383E-3</v>
      </c>
      <c r="W24" s="77" cm="1">
        <f t="array" ref="W2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4" s="77">
        <v>1.3999999791849405E-3</v>
      </c>
      <c r="Y24" s="77" cm="1">
        <f t="array" ref="Y2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4" s="107" t="s">
        <v>86</v>
      </c>
      <c r="AD24" s="111"/>
      <c r="AE24" s="1"/>
      <c r="AF24" s="1"/>
      <c r="AG24" s="4"/>
      <c r="AH24" s="8"/>
      <c r="AI24" s="1"/>
      <c r="AJ24" s="1"/>
      <c r="AK24" s="1"/>
      <c r="AL24" s="1"/>
      <c r="AM24" s="1"/>
      <c r="AN24" s="1"/>
      <c r="AO24" s="1"/>
      <c r="AP24" s="1"/>
      <c r="AQ24" s="1"/>
      <c r="AR24" s="1"/>
    </row>
    <row r="25" spans="7:44" ht="14.25" customHeight="1" x14ac:dyDescent="0.2">
      <c r="G25" s="74">
        <v>45776.284722222219</v>
      </c>
      <c r="H25" s="107" t="s">
        <v>186</v>
      </c>
      <c r="I25" s="107"/>
      <c r="J25" s="116">
        <v>51905.196199999998</v>
      </c>
      <c r="K25" s="116">
        <v>159190.09460000001</v>
      </c>
      <c r="L25" s="116">
        <v>18.780899999999999</v>
      </c>
      <c r="M25" s="75">
        <v>51905.195</v>
      </c>
      <c r="N25" s="75">
        <v>159190.095</v>
      </c>
      <c r="O25" s="75">
        <v>18.78</v>
      </c>
      <c r="P25" s="76">
        <v>-1.1999999987892807E-3</v>
      </c>
      <c r="Q25" s="109" cm="1">
        <f t="array" ref="Q2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5" s="76">
        <v>3.9999998989515007E-4</v>
      </c>
      <c r="S25" s="77" cm="1">
        <f t="array" ref="S2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5" s="76">
        <v>-8.9999999999790248E-4</v>
      </c>
      <c r="U25" s="77" cm="1">
        <f t="array" ref="U2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5" s="77">
        <v>-1.1999999987892807E-3</v>
      </c>
      <c r="W25" s="77" cm="1">
        <f t="array" ref="W2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5" s="77">
        <v>3.9999998989515007E-4</v>
      </c>
      <c r="Y25" s="77" cm="1">
        <f t="array" ref="Y2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5" s="107" t="s">
        <v>86</v>
      </c>
      <c r="AD25" s="111"/>
      <c r="AE25" s="1"/>
      <c r="AF25" s="1"/>
      <c r="AG25" s="4"/>
      <c r="AH25" s="8"/>
      <c r="AI25" s="1"/>
      <c r="AJ25" s="1"/>
      <c r="AK25" s="1"/>
      <c r="AL25" s="1"/>
      <c r="AM25" s="1"/>
      <c r="AN25" s="1"/>
      <c r="AO25" s="1"/>
      <c r="AP25" s="1"/>
      <c r="AQ25" s="1"/>
      <c r="AR25" s="1"/>
    </row>
    <row r="26" spans="7:44" ht="14.25" customHeight="1" x14ac:dyDescent="0.2">
      <c r="G26" s="74">
        <v>45776.284722222219</v>
      </c>
      <c r="H26" s="107" t="s">
        <v>185</v>
      </c>
      <c r="I26" s="107"/>
      <c r="J26" s="116">
        <v>51904.885600000001</v>
      </c>
      <c r="K26" s="116">
        <v>159188.8046</v>
      </c>
      <c r="L26" s="116">
        <v>18.773099999999999</v>
      </c>
      <c r="M26" s="75">
        <v>51904.883999999998</v>
      </c>
      <c r="N26" s="75">
        <v>159188.80600000001</v>
      </c>
      <c r="O26" s="75">
        <v>18.773</v>
      </c>
      <c r="P26" s="76">
        <v>-1.6000000032363459E-3</v>
      </c>
      <c r="Q26" s="109" cm="1">
        <f t="array" ref="Q2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6" s="76">
        <v>1.4000000082887709E-3</v>
      </c>
      <c r="S26" s="77" cm="1">
        <f t="array" ref="S2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6" s="76">
        <v>-9.9999999999766942E-5</v>
      </c>
      <c r="U26" s="77" cm="1">
        <f t="array" ref="U2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6" s="77">
        <v>-1.6000000032363459E-3</v>
      </c>
      <c r="W26" s="77" cm="1">
        <f t="array" ref="W2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6" s="77">
        <v>1.4000000082887709E-3</v>
      </c>
      <c r="Y26" s="77" cm="1">
        <f t="array" ref="Y2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6" s="107" t="s">
        <v>86</v>
      </c>
      <c r="AD26" s="111"/>
      <c r="AE26" s="1"/>
      <c r="AF26" s="1"/>
      <c r="AG26" s="4"/>
      <c r="AH26" s="8"/>
      <c r="AI26" s="1"/>
      <c r="AJ26" s="1"/>
      <c r="AK26" s="1"/>
      <c r="AL26" s="1"/>
      <c r="AM26" s="1"/>
      <c r="AN26" s="1"/>
      <c r="AO26" s="1"/>
      <c r="AP26" s="1"/>
      <c r="AQ26" s="1"/>
      <c r="AR26" s="1"/>
    </row>
    <row r="27" spans="7:44" ht="14.25" customHeight="1" x14ac:dyDescent="0.2">
      <c r="G27" s="74">
        <v>45776.284722222219</v>
      </c>
      <c r="H27" s="107" t="s">
        <v>188</v>
      </c>
      <c r="I27" s="107"/>
      <c r="J27" s="116">
        <v>51907.9522</v>
      </c>
      <c r="K27" s="116">
        <v>159189.36230000001</v>
      </c>
      <c r="L27" s="116">
        <v>18.786000000000001</v>
      </c>
      <c r="M27" s="75">
        <v>51907.951999999997</v>
      </c>
      <c r="N27" s="75">
        <v>159189.36300000001</v>
      </c>
      <c r="O27" s="75">
        <v>18.785</v>
      </c>
      <c r="P27" s="76">
        <v>-2.0000000222353265E-4</v>
      </c>
      <c r="Q27" s="109" cm="1">
        <f t="array" ref="Q2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7" s="76">
        <v>7.0000000414438546E-4</v>
      </c>
      <c r="S27" s="77" cm="1">
        <f t="array" ref="S2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7" s="76">
        <v>-1.0000000000012221E-3</v>
      </c>
      <c r="U27" s="77" cm="1">
        <f t="array" ref="U2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7" s="77">
        <v>-2.0000000222353265E-4</v>
      </c>
      <c r="W27" s="77" cm="1">
        <f t="array" ref="W2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7" s="77">
        <v>7.0000000414438546E-4</v>
      </c>
      <c r="Y27" s="77" cm="1">
        <f t="array" ref="Y2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7" s="107" t="s">
        <v>86</v>
      </c>
      <c r="AD27" s="111"/>
      <c r="AE27" s="1"/>
      <c r="AF27" s="1"/>
      <c r="AG27" s="4"/>
      <c r="AH27" s="8"/>
      <c r="AI27" s="1"/>
      <c r="AJ27" s="1"/>
      <c r="AK27" s="1"/>
      <c r="AL27" s="1"/>
      <c r="AM27" s="1"/>
      <c r="AN27" s="1"/>
      <c r="AO27" s="1"/>
      <c r="AP27" s="1"/>
      <c r="AQ27" s="1"/>
      <c r="AR27" s="1"/>
    </row>
    <row r="28" spans="7:44" ht="14.25" customHeight="1" x14ac:dyDescent="0.2">
      <c r="G28" s="74">
        <v>45776.284722222219</v>
      </c>
      <c r="H28" s="107" t="s">
        <v>187</v>
      </c>
      <c r="I28" s="107"/>
      <c r="J28" s="116">
        <v>51907.578699999998</v>
      </c>
      <c r="K28" s="116">
        <v>159188.09770000001</v>
      </c>
      <c r="L28" s="116">
        <v>18.776</v>
      </c>
      <c r="M28" s="75">
        <v>51907.578000000001</v>
      </c>
      <c r="N28" s="75">
        <v>159188.09899999999</v>
      </c>
      <c r="O28" s="75">
        <v>18.774999999999999</v>
      </c>
      <c r="P28" s="76">
        <v>-6.9999999686842784E-4</v>
      </c>
      <c r="Q28" s="109" cm="1">
        <f t="array" ref="Q2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8" s="76">
        <v>1.2999999744351953E-3</v>
      </c>
      <c r="S28" s="77" cm="1">
        <f t="array" ref="S2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8" s="76">
        <v>-1.0000000000012221E-3</v>
      </c>
      <c r="U28" s="77" cm="1">
        <f t="array" ref="U2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8" s="77">
        <v>-6.9999999686842784E-4</v>
      </c>
      <c r="W28" s="77" cm="1">
        <f t="array" ref="W2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8" s="77">
        <v>1.2999999744351953E-3</v>
      </c>
      <c r="Y28" s="77" cm="1">
        <f t="array" ref="Y2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8" s="107" t="s">
        <v>86</v>
      </c>
      <c r="AD28" s="111"/>
      <c r="AE28" s="1"/>
      <c r="AF28" s="1"/>
      <c r="AG28" s="4"/>
      <c r="AH28" s="8"/>
      <c r="AI28" s="1"/>
      <c r="AJ28" s="1"/>
      <c r="AK28" s="1"/>
      <c r="AL28" s="1"/>
      <c r="AM28" s="1"/>
      <c r="AN28" s="1"/>
      <c r="AO28" s="1"/>
      <c r="AP28" s="1"/>
      <c r="AQ28" s="1"/>
      <c r="AR28" s="1"/>
    </row>
    <row r="29" spans="7:44" ht="14.25" customHeight="1" x14ac:dyDescent="0.2">
      <c r="G29" s="74">
        <v>45776.284722222219</v>
      </c>
      <c r="H29" s="107" t="s">
        <v>190</v>
      </c>
      <c r="I29" s="107"/>
      <c r="J29" s="116">
        <v>51910.962800000001</v>
      </c>
      <c r="K29" s="116">
        <v>159188.60079999999</v>
      </c>
      <c r="L29" s="116">
        <v>18.794599999999999</v>
      </c>
      <c r="M29" s="75">
        <v>51910.962</v>
      </c>
      <c r="N29" s="75">
        <v>159188.601</v>
      </c>
      <c r="O29" s="75">
        <v>18.794</v>
      </c>
      <c r="P29" s="76">
        <v>-8.0000000161817297E-4</v>
      </c>
      <c r="Q29" s="109" cm="1">
        <f t="array" ref="Q2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29" s="76">
        <v>2.0000000949949026E-4</v>
      </c>
      <c r="S29" s="77" cm="1">
        <f t="array" ref="S2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29" s="76">
        <v>-5.9999999999860165E-4</v>
      </c>
      <c r="U29" s="77" cm="1">
        <f t="array" ref="U2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29" s="77">
        <v>-8.0000000161817297E-4</v>
      </c>
      <c r="W29" s="77" cm="1">
        <f t="array" ref="W2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29" s="77">
        <v>2.0000000949949026E-4</v>
      </c>
      <c r="Y29" s="77" cm="1">
        <f t="array" ref="Y2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2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2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2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29" s="107" t="s">
        <v>86</v>
      </c>
      <c r="AD29" s="111"/>
      <c r="AE29" s="1"/>
      <c r="AF29" s="1"/>
      <c r="AG29" s="4"/>
      <c r="AH29" s="8"/>
      <c r="AI29" s="1"/>
      <c r="AJ29" s="1"/>
      <c r="AK29" s="1"/>
      <c r="AL29" s="1"/>
      <c r="AM29" s="1"/>
      <c r="AN29" s="1"/>
      <c r="AO29" s="1"/>
      <c r="AP29" s="1"/>
      <c r="AQ29" s="1"/>
      <c r="AR29" s="1"/>
    </row>
    <row r="30" spans="7:44" ht="14.25" customHeight="1" x14ac:dyDescent="0.2">
      <c r="G30" s="74">
        <v>45776.284722222219</v>
      </c>
      <c r="H30" s="107" t="s">
        <v>189</v>
      </c>
      <c r="I30" s="107"/>
      <c r="J30" s="116">
        <v>51910.640099999997</v>
      </c>
      <c r="K30" s="116">
        <v>159187.3223</v>
      </c>
      <c r="L30" s="116">
        <v>18.7836</v>
      </c>
      <c r="M30" s="75">
        <v>51910.639000000003</v>
      </c>
      <c r="N30" s="75">
        <v>159187.323</v>
      </c>
      <c r="O30" s="75">
        <v>18.783000000000001</v>
      </c>
      <c r="P30" s="76">
        <v>-1.0999999940395355E-3</v>
      </c>
      <c r="Q30" s="109" cm="1">
        <f t="array" ref="Q3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0" s="76">
        <v>7.0000000414438546E-4</v>
      </c>
      <c r="S30" s="77" cm="1">
        <f t="array" ref="S3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0" s="76">
        <v>-5.9999999999860165E-4</v>
      </c>
      <c r="U30" s="77" cm="1">
        <f t="array" ref="U3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0" s="77">
        <v>-1.0999999940395355E-3</v>
      </c>
      <c r="W30" s="77" cm="1">
        <f t="array" ref="W3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0" s="77">
        <v>7.0000000414438546E-4</v>
      </c>
      <c r="Y30" s="77" cm="1">
        <f t="array" ref="Y3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0" s="107" t="s">
        <v>86</v>
      </c>
      <c r="AD30" s="111"/>
      <c r="AE30" s="1"/>
      <c r="AF30" s="1"/>
      <c r="AG30" s="4"/>
      <c r="AH30" s="8"/>
      <c r="AI30" s="1"/>
      <c r="AJ30" s="1"/>
      <c r="AK30" s="1"/>
      <c r="AL30" s="1"/>
      <c r="AM30" s="1"/>
      <c r="AN30" s="1"/>
      <c r="AO30" s="1"/>
      <c r="AP30" s="1"/>
      <c r="AQ30" s="1"/>
      <c r="AR30" s="1"/>
    </row>
    <row r="31" spans="7:44" ht="14.25" customHeight="1" x14ac:dyDescent="0.2">
      <c r="G31" s="74">
        <v>45776.284722222219</v>
      </c>
      <c r="H31" s="107" t="s">
        <v>192</v>
      </c>
      <c r="I31" s="107"/>
      <c r="J31" s="116">
        <v>51913.751100000001</v>
      </c>
      <c r="K31" s="116">
        <v>159187.9178</v>
      </c>
      <c r="L31" s="116">
        <v>18.809000000000001</v>
      </c>
      <c r="M31" s="75">
        <v>51913.75</v>
      </c>
      <c r="N31" s="75">
        <v>159187.91800000001</v>
      </c>
      <c r="O31" s="75">
        <v>18.808</v>
      </c>
      <c r="P31" s="76">
        <v>-1.1000000013154931E-3</v>
      </c>
      <c r="Q31" s="109" cm="1">
        <f t="array" ref="Q3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1" s="76">
        <v>2.0000000949949026E-4</v>
      </c>
      <c r="S31" s="77" cm="1">
        <f t="array" ref="S3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1" s="76">
        <v>-1.0000000000012221E-3</v>
      </c>
      <c r="U31" s="77" cm="1">
        <f t="array" ref="U3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1" s="77">
        <v>-1.1000000013154931E-3</v>
      </c>
      <c r="W31" s="77" cm="1">
        <f t="array" ref="W3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1" s="77">
        <v>2.0000000949949026E-4</v>
      </c>
      <c r="Y31" s="77" cm="1">
        <f t="array" ref="Y3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1" s="107" t="s">
        <v>86</v>
      </c>
      <c r="AD31" s="111"/>
      <c r="AE31" s="1"/>
      <c r="AF31" s="1"/>
      <c r="AG31" s="4"/>
      <c r="AH31" s="8"/>
      <c r="AI31" s="1"/>
      <c r="AJ31" s="1"/>
      <c r="AK31" s="1"/>
      <c r="AL31" s="1"/>
      <c r="AM31" s="1"/>
      <c r="AN31" s="1"/>
      <c r="AO31" s="1"/>
      <c r="AP31" s="1"/>
      <c r="AQ31" s="1"/>
      <c r="AR31" s="1"/>
    </row>
    <row r="32" spans="7:44" ht="14.25" customHeight="1" x14ac:dyDescent="0.2">
      <c r="G32" s="74">
        <v>45776.284722222219</v>
      </c>
      <c r="H32" s="107" t="s">
        <v>191</v>
      </c>
      <c r="I32" s="107"/>
      <c r="J32" s="116">
        <v>51913.421499999997</v>
      </c>
      <c r="K32" s="116">
        <v>159186.63630000001</v>
      </c>
      <c r="L32" s="116">
        <v>18.794899999999998</v>
      </c>
      <c r="M32" s="75">
        <v>51913.42</v>
      </c>
      <c r="N32" s="75">
        <v>159186.63699999999</v>
      </c>
      <c r="O32" s="75">
        <v>18.794</v>
      </c>
      <c r="P32" s="76">
        <v>-1.4999999984866008E-3</v>
      </c>
      <c r="Q32" s="109" cm="1">
        <f t="array" ref="Q3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2" s="76">
        <v>6.99999975040555E-4</v>
      </c>
      <c r="S32" s="77" cm="1">
        <f t="array" ref="S3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2" s="76">
        <v>-8.9999999999790248E-4</v>
      </c>
      <c r="U32" s="77" cm="1">
        <f t="array" ref="U3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2" s="77">
        <v>-1.4999999984866008E-3</v>
      </c>
      <c r="W32" s="77" cm="1">
        <f t="array" ref="W3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2" s="77">
        <v>6.99999975040555E-4</v>
      </c>
      <c r="Y32" s="77" cm="1">
        <f t="array" ref="Y3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2" s="107" t="s">
        <v>86</v>
      </c>
      <c r="AD32" s="111"/>
      <c r="AE32" s="1"/>
      <c r="AF32" s="1"/>
      <c r="AG32" s="4"/>
      <c r="AH32" s="8"/>
      <c r="AI32" s="1"/>
      <c r="AJ32" s="1"/>
      <c r="AK32" s="1"/>
      <c r="AL32" s="1"/>
      <c r="AM32" s="1"/>
      <c r="AN32" s="1"/>
      <c r="AO32" s="1"/>
      <c r="AP32" s="1"/>
      <c r="AQ32" s="1"/>
      <c r="AR32" s="1"/>
    </row>
    <row r="33" spans="7:44" ht="14.25" customHeight="1" x14ac:dyDescent="0.2">
      <c r="G33" s="74">
        <v>45776.284722222219</v>
      </c>
      <c r="H33" s="107" t="s">
        <v>165</v>
      </c>
      <c r="I33" s="107"/>
      <c r="J33" s="116">
        <v>51884.538999999997</v>
      </c>
      <c r="K33" s="116">
        <v>159193.38269999999</v>
      </c>
      <c r="L33" s="116">
        <v>19.331700000000001</v>
      </c>
      <c r="M33" s="75">
        <v>51884.538999999997</v>
      </c>
      <c r="N33" s="75">
        <v>159193.38200000001</v>
      </c>
      <c r="O33" s="75">
        <v>19.329999999999998</v>
      </c>
      <c r="P33" s="76">
        <v>0</v>
      </c>
      <c r="Q33" s="109" cm="1">
        <f t="array" ref="Q3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3" s="76">
        <v>-6.99999975040555E-4</v>
      </c>
      <c r="S33" s="77" cm="1">
        <f t="array" ref="S3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3" s="76">
        <v>-1.7000000000031434E-3</v>
      </c>
      <c r="U33" s="77" cm="1">
        <f t="array" ref="U3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3" s="77">
        <v>0</v>
      </c>
      <c r="W33" s="77" cm="1">
        <f t="array" ref="W3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3" s="77">
        <v>-6.99999975040555E-4</v>
      </c>
      <c r="Y33" s="77" cm="1">
        <f t="array" ref="Y3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3" s="107" t="s">
        <v>86</v>
      </c>
      <c r="AD33" s="111"/>
      <c r="AE33" s="1"/>
      <c r="AF33" s="1"/>
      <c r="AG33" s="4"/>
      <c r="AH33" s="8"/>
      <c r="AI33" s="1"/>
      <c r="AJ33" s="1"/>
      <c r="AK33" s="1"/>
      <c r="AL33" s="1"/>
      <c r="AM33" s="1"/>
      <c r="AN33" s="1"/>
      <c r="AO33" s="1"/>
      <c r="AP33" s="1"/>
      <c r="AQ33" s="1"/>
      <c r="AR33" s="1"/>
    </row>
    <row r="34" spans="7:44" ht="14.25" customHeight="1" x14ac:dyDescent="0.2">
      <c r="G34" s="74">
        <v>45776.284722222219</v>
      </c>
      <c r="H34" s="107" t="s">
        <v>166</v>
      </c>
      <c r="I34" s="107"/>
      <c r="J34" s="116">
        <v>51890.2863</v>
      </c>
      <c r="K34" s="116">
        <v>159191.73069999999</v>
      </c>
      <c r="L34" s="116">
        <v>19.321999999999999</v>
      </c>
      <c r="M34" s="75">
        <v>51890.286</v>
      </c>
      <c r="N34" s="75">
        <v>159191.73000000001</v>
      </c>
      <c r="O34" s="75">
        <v>19.321000000000002</v>
      </c>
      <c r="P34" s="76">
        <v>-2.9999999969732016E-4</v>
      </c>
      <c r="Q34" s="109" cm="1">
        <f t="array" ref="Q3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4" s="76">
        <v>-6.99999975040555E-4</v>
      </c>
      <c r="S34" s="77" cm="1">
        <f t="array" ref="S3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4" s="76">
        <v>-9.9999999999766942E-4</v>
      </c>
      <c r="U34" s="77" cm="1">
        <f t="array" ref="U3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4" s="77">
        <v>-2.9999999969732016E-4</v>
      </c>
      <c r="W34" s="77" cm="1">
        <f t="array" ref="W3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4" s="77">
        <v>-6.99999975040555E-4</v>
      </c>
      <c r="Y34" s="77" cm="1">
        <f t="array" ref="Y3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4" s="107" t="s">
        <v>86</v>
      </c>
      <c r="AD34" s="111"/>
      <c r="AE34" s="1"/>
      <c r="AF34" s="1"/>
      <c r="AG34" s="4"/>
      <c r="AH34" s="8"/>
      <c r="AI34" s="1"/>
      <c r="AJ34" s="1"/>
      <c r="AK34" s="1"/>
      <c r="AL34" s="1"/>
      <c r="AM34" s="1"/>
      <c r="AN34" s="1"/>
      <c r="AO34" s="1"/>
      <c r="AP34" s="1"/>
      <c r="AQ34" s="1"/>
      <c r="AR34" s="1"/>
    </row>
    <row r="35" spans="7:44" ht="14.25" customHeight="1" x14ac:dyDescent="0.2">
      <c r="G35" s="74">
        <v>45776.284722222219</v>
      </c>
      <c r="H35" s="107" t="s">
        <v>167</v>
      </c>
      <c r="I35" s="107"/>
      <c r="J35" s="116">
        <v>51895.920700000002</v>
      </c>
      <c r="K35" s="116">
        <v>159190.1</v>
      </c>
      <c r="L35" s="116">
        <v>19.334</v>
      </c>
      <c r="M35" s="75">
        <v>51895.921000000002</v>
      </c>
      <c r="N35" s="75">
        <v>159190.1</v>
      </c>
      <c r="O35" s="75">
        <v>19.332999999999998</v>
      </c>
      <c r="P35" s="76">
        <v>2.9999999969732016E-4</v>
      </c>
      <c r="Q35" s="109" cm="1">
        <f t="array" ref="Q3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5" s="76">
        <v>0</v>
      </c>
      <c r="S35" s="77" cm="1">
        <f t="array" ref="S3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5" s="76">
        <v>-1.0000000000012221E-3</v>
      </c>
      <c r="U35" s="77" cm="1">
        <f t="array" ref="U3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5" s="77">
        <v>2.9999999969732016E-4</v>
      </c>
      <c r="W35" s="77" cm="1">
        <f t="array" ref="W3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5" s="77">
        <v>0</v>
      </c>
      <c r="Y35" s="77" cm="1">
        <f t="array" ref="Y3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5" s="107" t="s">
        <v>86</v>
      </c>
      <c r="AD35" s="111"/>
      <c r="AE35" s="1"/>
      <c r="AF35" s="1"/>
      <c r="AG35" s="4"/>
      <c r="AH35" s="8"/>
      <c r="AI35" s="1"/>
      <c r="AJ35" s="1"/>
      <c r="AK35" s="1"/>
      <c r="AL35" s="1"/>
      <c r="AM35" s="1"/>
      <c r="AN35" s="1"/>
      <c r="AO35" s="1"/>
      <c r="AP35" s="1"/>
      <c r="AQ35" s="1"/>
      <c r="AR35" s="1"/>
    </row>
    <row r="36" spans="7:44" ht="14.25" customHeight="1" x14ac:dyDescent="0.2">
      <c r="G36" s="74">
        <v>45776.284722222219</v>
      </c>
      <c r="H36" s="107" t="s">
        <v>168</v>
      </c>
      <c r="I36" s="107"/>
      <c r="J36" s="116">
        <v>51899.7667</v>
      </c>
      <c r="K36" s="116">
        <v>159188.9933</v>
      </c>
      <c r="L36" s="116">
        <v>19.344999999999999</v>
      </c>
      <c r="M36" s="75">
        <v>51899.767</v>
      </c>
      <c r="N36" s="75">
        <v>159188.99299999999</v>
      </c>
      <c r="O36" s="75">
        <v>19.344000000000001</v>
      </c>
      <c r="P36" s="76">
        <v>2.9999999969732016E-4</v>
      </c>
      <c r="Q36" s="109" cm="1">
        <f t="array" ref="Q3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6" s="76">
        <v>-3.0000001424923539E-4</v>
      </c>
      <c r="S36" s="77" cm="1">
        <f t="array" ref="S3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6" s="76">
        <v>-9.9999999999766942E-4</v>
      </c>
      <c r="U36" s="77" cm="1">
        <f t="array" ref="U3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6" s="77">
        <v>2.9999999969732016E-4</v>
      </c>
      <c r="W36" s="77" cm="1">
        <f t="array" ref="W3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6" s="77">
        <v>-3.0000001424923539E-4</v>
      </c>
      <c r="Y36" s="77" cm="1">
        <f t="array" ref="Y3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6" s="107" t="s">
        <v>86</v>
      </c>
      <c r="AD36" s="111"/>
      <c r="AE36" s="1"/>
      <c r="AF36" s="1"/>
      <c r="AG36" s="4"/>
      <c r="AH36" s="8"/>
      <c r="AI36" s="1"/>
      <c r="AJ36" s="1"/>
      <c r="AK36" s="1"/>
      <c r="AL36" s="1"/>
      <c r="AM36" s="1"/>
      <c r="AN36" s="1"/>
      <c r="AO36" s="1"/>
      <c r="AP36" s="1"/>
      <c r="AQ36" s="1"/>
      <c r="AR36" s="1"/>
    </row>
    <row r="37" spans="7:44" ht="14.25" customHeight="1" x14ac:dyDescent="0.2">
      <c r="G37" s="74">
        <v>45776.284722222219</v>
      </c>
      <c r="H37" s="107" t="s">
        <v>169</v>
      </c>
      <c r="I37" s="107"/>
      <c r="J37" s="116">
        <v>51903.6083</v>
      </c>
      <c r="K37" s="116">
        <v>159187.88200000001</v>
      </c>
      <c r="L37" s="116">
        <v>19.356999999999999</v>
      </c>
      <c r="M37" s="75">
        <v>51903.608</v>
      </c>
      <c r="N37" s="75">
        <v>159187.88200000001</v>
      </c>
      <c r="O37" s="75">
        <v>19.356000000000002</v>
      </c>
      <c r="P37" s="76">
        <v>-2.9999999969732016E-4</v>
      </c>
      <c r="Q37" s="109" cm="1">
        <f t="array" ref="Q3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7" s="76">
        <v>0</v>
      </c>
      <c r="S37" s="77" cm="1">
        <f t="array" ref="S3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7" s="76">
        <v>-9.9999999999766942E-4</v>
      </c>
      <c r="U37" s="77" cm="1">
        <f t="array" ref="U3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7" s="77">
        <v>-2.9999999969732016E-4</v>
      </c>
      <c r="W37" s="77" cm="1">
        <f t="array" ref="W3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7" s="77">
        <v>0</v>
      </c>
      <c r="Y37" s="77" cm="1">
        <f t="array" ref="Y3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7" s="107" t="s">
        <v>86</v>
      </c>
      <c r="AD37" s="111"/>
      <c r="AE37" s="1"/>
      <c r="AF37" s="1"/>
      <c r="AG37" s="4"/>
      <c r="AH37" s="8"/>
      <c r="AI37" s="1"/>
      <c r="AJ37" s="1"/>
      <c r="AK37" s="1"/>
      <c r="AL37" s="1"/>
      <c r="AM37" s="1"/>
      <c r="AN37" s="1"/>
      <c r="AO37" s="1"/>
      <c r="AP37" s="1"/>
      <c r="AQ37" s="1"/>
      <c r="AR37" s="1"/>
    </row>
    <row r="38" spans="7:44" ht="14.25" customHeight="1" x14ac:dyDescent="0.2">
      <c r="G38" s="74">
        <v>45776.284722222219</v>
      </c>
      <c r="H38" s="107" t="s">
        <v>170</v>
      </c>
      <c r="I38" s="107"/>
      <c r="J38" s="116">
        <v>51910.065000000002</v>
      </c>
      <c r="K38" s="116">
        <v>159186.02369999999</v>
      </c>
      <c r="L38" s="116">
        <v>19.356999999999999</v>
      </c>
      <c r="M38" s="75">
        <v>51910.065000000002</v>
      </c>
      <c r="N38" s="75">
        <v>159186.02299999999</v>
      </c>
      <c r="O38" s="75">
        <v>19.356999999999999</v>
      </c>
      <c r="P38" s="76">
        <v>0</v>
      </c>
      <c r="Q38" s="109" cm="1">
        <f t="array" ref="Q3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8" s="76">
        <v>-7.0000000414438546E-4</v>
      </c>
      <c r="S38" s="77" cm="1">
        <f t="array" ref="S3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8" s="76">
        <v>0</v>
      </c>
      <c r="U38" s="77" cm="1">
        <f t="array" ref="U3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8" s="77">
        <v>0</v>
      </c>
      <c r="W38" s="77" cm="1">
        <f t="array" ref="W3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8" s="77">
        <v>-7.0000000414438546E-4</v>
      </c>
      <c r="Y38" s="77" cm="1">
        <f t="array" ref="Y3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8" s="107" t="s">
        <v>86</v>
      </c>
      <c r="AD38" s="111"/>
      <c r="AE38" s="1"/>
      <c r="AF38" s="1"/>
      <c r="AG38" s="4"/>
      <c r="AH38" s="8"/>
      <c r="AI38" s="1"/>
      <c r="AJ38" s="1"/>
      <c r="AK38" s="1"/>
      <c r="AL38" s="1"/>
      <c r="AM38" s="1"/>
      <c r="AN38" s="1"/>
      <c r="AO38" s="1"/>
      <c r="AP38" s="1"/>
      <c r="AQ38" s="1"/>
      <c r="AR38" s="1"/>
    </row>
    <row r="39" spans="7:44" ht="14.25" customHeight="1" x14ac:dyDescent="0.2">
      <c r="G39" s="74">
        <v>45775.28125</v>
      </c>
      <c r="H39" s="107" t="s">
        <v>172</v>
      </c>
      <c r="I39" s="107"/>
      <c r="J39" s="116">
        <v>51885.34</v>
      </c>
      <c r="K39" s="116">
        <v>159195.739</v>
      </c>
      <c r="L39" s="116">
        <v>18.782</v>
      </c>
      <c r="M39" s="75">
        <v>51885.34</v>
      </c>
      <c r="N39" s="75">
        <v>159195.739</v>
      </c>
      <c r="O39" s="75">
        <v>18.783000000000001</v>
      </c>
      <c r="P39" s="76">
        <v>0</v>
      </c>
      <c r="Q39" s="109" cm="1">
        <f t="array" ref="Q3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39" s="76">
        <v>0</v>
      </c>
      <c r="S39" s="77" cm="1">
        <f t="array" ref="S3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39" s="76">
        <v>1.0000000000012221E-3</v>
      </c>
      <c r="U39" s="77" cm="1">
        <f t="array" ref="U3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39" s="77">
        <v>0</v>
      </c>
      <c r="W39" s="77" cm="1">
        <f t="array" ref="W3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39" s="77">
        <v>0</v>
      </c>
      <c r="Y39" s="77" cm="1">
        <f t="array" ref="Y3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3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3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3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39" s="107" t="s">
        <v>86</v>
      </c>
      <c r="AD39" s="111"/>
      <c r="AE39" s="1"/>
      <c r="AF39" s="1"/>
      <c r="AG39" s="4"/>
      <c r="AH39" s="8"/>
      <c r="AI39" s="1"/>
      <c r="AJ39" s="1"/>
      <c r="AK39" s="1"/>
      <c r="AL39" s="1"/>
      <c r="AM39" s="1"/>
      <c r="AN39" s="1"/>
      <c r="AO39" s="1"/>
      <c r="AP39" s="1"/>
      <c r="AQ39" s="1"/>
      <c r="AR39" s="1"/>
    </row>
    <row r="40" spans="7:44" ht="14.25" customHeight="1" x14ac:dyDescent="0.2">
      <c r="G40" s="74">
        <v>45775.28125</v>
      </c>
      <c r="H40" s="107" t="s">
        <v>171</v>
      </c>
      <c r="I40" s="107"/>
      <c r="J40" s="116">
        <v>51884.958899999998</v>
      </c>
      <c r="K40" s="116">
        <v>159194.47070000001</v>
      </c>
      <c r="L40" s="116">
        <v>18.778099999999998</v>
      </c>
      <c r="M40" s="75">
        <v>51884.959000000003</v>
      </c>
      <c r="N40" s="75">
        <v>159194.47099999999</v>
      </c>
      <c r="O40" s="75">
        <v>18.779</v>
      </c>
      <c r="P40" s="76">
        <v>1.0000000474974513E-4</v>
      </c>
      <c r="Q40" s="109" cm="1">
        <f t="array" ref="Q4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0" s="76">
        <v>2.9999998514540493E-4</v>
      </c>
      <c r="S40" s="77" cm="1">
        <f t="array" ref="S4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0" s="76">
        <v>9.0000000000145519E-4</v>
      </c>
      <c r="U40" s="77" cm="1">
        <f t="array" ref="U4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0" s="77">
        <v>1.0000000474974513E-4</v>
      </c>
      <c r="W40" s="77" cm="1">
        <f t="array" ref="W4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0" s="77">
        <v>2.9999998514540493E-4</v>
      </c>
      <c r="Y40" s="77" cm="1">
        <f t="array" ref="Y4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0" s="107" t="s">
        <v>86</v>
      </c>
      <c r="AD40" s="111"/>
      <c r="AE40" s="1"/>
      <c r="AF40" s="1"/>
      <c r="AG40" s="4"/>
      <c r="AH40" s="8"/>
      <c r="AI40" s="1"/>
      <c r="AJ40" s="1"/>
      <c r="AK40" s="1"/>
      <c r="AL40" s="1"/>
      <c r="AM40" s="1"/>
      <c r="AN40" s="1"/>
      <c r="AO40" s="1"/>
      <c r="AP40" s="1"/>
      <c r="AQ40" s="1"/>
      <c r="AR40" s="1"/>
    </row>
    <row r="41" spans="7:44" ht="14.25" customHeight="1" x14ac:dyDescent="0.2">
      <c r="G41" s="74">
        <v>45775.28125</v>
      </c>
      <c r="H41" s="107" t="s">
        <v>174</v>
      </c>
      <c r="I41" s="107"/>
      <c r="J41" s="116">
        <v>51888.117700000003</v>
      </c>
      <c r="K41" s="116">
        <v>159194.94529999999</v>
      </c>
      <c r="L41" s="116">
        <v>18.7788</v>
      </c>
      <c r="M41" s="75">
        <v>51888.116999999998</v>
      </c>
      <c r="N41" s="75">
        <v>159194.946</v>
      </c>
      <c r="O41" s="75">
        <v>18.779</v>
      </c>
      <c r="P41" s="76">
        <v>-7.0000000414438546E-4</v>
      </c>
      <c r="Q41" s="109" cm="1">
        <f t="array" ref="Q4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1" s="76">
        <v>7.0000000414438546E-4</v>
      </c>
      <c r="S41" s="77" cm="1">
        <f t="array" ref="S4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1" s="76">
        <v>1.9999999999953388E-4</v>
      </c>
      <c r="U41" s="77" cm="1">
        <f t="array" ref="U4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1" s="77">
        <v>-7.0000000414438546E-4</v>
      </c>
      <c r="W41" s="77" cm="1">
        <f t="array" ref="W4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1" s="77">
        <v>7.0000000414438546E-4</v>
      </c>
      <c r="Y41" s="77" cm="1">
        <f t="array" ref="Y4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1" s="107" t="s">
        <v>86</v>
      </c>
      <c r="AD41" s="111"/>
      <c r="AE41" s="1"/>
      <c r="AF41" s="1"/>
      <c r="AG41" s="4"/>
      <c r="AH41" s="8"/>
      <c r="AI41" s="1"/>
      <c r="AJ41" s="1"/>
      <c r="AK41" s="1"/>
      <c r="AL41" s="1"/>
      <c r="AM41" s="1"/>
      <c r="AN41" s="1"/>
      <c r="AO41" s="1"/>
      <c r="AP41" s="1"/>
      <c r="AQ41" s="1"/>
      <c r="AR41" s="1"/>
    </row>
    <row r="42" spans="7:44" ht="14.25" customHeight="1" x14ac:dyDescent="0.2">
      <c r="G42" s="74">
        <v>45775.28125</v>
      </c>
      <c r="H42" s="107" t="s">
        <v>173</v>
      </c>
      <c r="I42" s="107"/>
      <c r="J42" s="116">
        <v>51887.805099999998</v>
      </c>
      <c r="K42" s="116">
        <v>159193.65710000001</v>
      </c>
      <c r="L42" s="116">
        <v>18.778500000000001</v>
      </c>
      <c r="M42" s="75">
        <v>51887.805</v>
      </c>
      <c r="N42" s="75">
        <v>159193.658</v>
      </c>
      <c r="O42" s="75">
        <v>18.779</v>
      </c>
      <c r="P42" s="76">
        <v>-9.9999997473787516E-5</v>
      </c>
      <c r="Q42" s="109" cm="1">
        <f t="array" ref="Q4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2" s="76">
        <v>8.9999998454004526E-4</v>
      </c>
      <c r="S42" s="77" cm="1">
        <f t="array" ref="S4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2" s="76">
        <v>4.9999999999883471E-4</v>
      </c>
      <c r="U42" s="77" cm="1">
        <f t="array" ref="U4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2" s="77">
        <v>-9.9999997473787516E-5</v>
      </c>
      <c r="W42" s="77" cm="1">
        <f t="array" ref="W4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2" s="77">
        <v>8.9999998454004526E-4</v>
      </c>
      <c r="Y42" s="77" cm="1">
        <f t="array" ref="Y4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2" s="107" t="s">
        <v>86</v>
      </c>
      <c r="AD42" s="111"/>
      <c r="AE42" s="1"/>
      <c r="AF42" s="1"/>
      <c r="AG42" s="4"/>
      <c r="AH42" s="8"/>
      <c r="AI42" s="1"/>
      <c r="AJ42" s="1"/>
      <c r="AK42" s="1"/>
      <c r="AL42" s="1"/>
      <c r="AM42" s="1"/>
      <c r="AN42" s="1"/>
      <c r="AO42" s="1"/>
      <c r="AP42" s="1"/>
      <c r="AQ42" s="1"/>
      <c r="AR42" s="1"/>
    </row>
    <row r="43" spans="7:44" ht="14.25" customHeight="1" x14ac:dyDescent="0.2">
      <c r="G43" s="74">
        <v>45775.28125</v>
      </c>
      <c r="H43" s="107" t="s">
        <v>176</v>
      </c>
      <c r="I43" s="107"/>
      <c r="J43" s="116">
        <v>51890.969100000002</v>
      </c>
      <c r="K43" s="116">
        <v>159194.1177</v>
      </c>
      <c r="L43" s="116">
        <v>18.779</v>
      </c>
      <c r="M43" s="75">
        <v>51890.968999999997</v>
      </c>
      <c r="N43" s="75">
        <v>159194.11799999999</v>
      </c>
      <c r="O43" s="75">
        <v>18.78</v>
      </c>
      <c r="P43" s="76">
        <v>-1.0000000474974513E-4</v>
      </c>
      <c r="Q43" s="109" cm="1">
        <f t="array" ref="Q4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3" s="76">
        <v>2.9999998514540493E-4</v>
      </c>
      <c r="S43" s="77" cm="1">
        <f t="array" ref="S4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3" s="76">
        <v>1.0000000000012221E-3</v>
      </c>
      <c r="U43" s="77" cm="1">
        <f t="array" ref="U4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3" s="77">
        <v>-1.0000000474974513E-4</v>
      </c>
      <c r="W43" s="77" cm="1">
        <f t="array" ref="W4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3" s="77">
        <v>2.9999998514540493E-4</v>
      </c>
      <c r="Y43" s="77" cm="1">
        <f t="array" ref="Y4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3" s="107" t="s">
        <v>86</v>
      </c>
      <c r="AD43" s="111"/>
      <c r="AE43" s="1"/>
      <c r="AF43" s="1"/>
      <c r="AG43" s="4"/>
      <c r="AH43" s="8"/>
      <c r="AI43" s="1"/>
      <c r="AJ43" s="1"/>
      <c r="AK43" s="1"/>
      <c r="AL43" s="1"/>
      <c r="AM43" s="1"/>
      <c r="AN43" s="1"/>
      <c r="AO43" s="1"/>
      <c r="AP43" s="1"/>
      <c r="AQ43" s="1"/>
      <c r="AR43" s="1"/>
    </row>
    <row r="44" spans="7:44" ht="14.25" customHeight="1" x14ac:dyDescent="0.2">
      <c r="G44" s="74">
        <v>45775.28125</v>
      </c>
      <c r="H44" s="107" t="s">
        <v>175</v>
      </c>
      <c r="I44" s="107"/>
      <c r="J44" s="116">
        <v>51890.606800000001</v>
      </c>
      <c r="K44" s="116">
        <v>159192.86069999999</v>
      </c>
      <c r="L44" s="116">
        <v>18.771999999999998</v>
      </c>
      <c r="M44" s="75">
        <v>51890.606</v>
      </c>
      <c r="N44" s="75">
        <v>159192.86199999999</v>
      </c>
      <c r="O44" s="75">
        <v>18.773</v>
      </c>
      <c r="P44" s="76">
        <v>-8.0000000161817297E-4</v>
      </c>
      <c r="Q44" s="109" cm="1">
        <f t="array" ref="Q4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4" s="76">
        <v>1.3000000035390258E-3</v>
      </c>
      <c r="S44" s="77" cm="1">
        <f t="array" ref="S4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4" s="76">
        <v>1.0000000000012221E-3</v>
      </c>
      <c r="U44" s="77" cm="1">
        <f t="array" ref="U4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4" s="77">
        <v>-8.0000000161817297E-4</v>
      </c>
      <c r="W44" s="77" cm="1">
        <f t="array" ref="W4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4" s="77">
        <v>1.3000000035390258E-3</v>
      </c>
      <c r="Y44" s="77" cm="1">
        <f t="array" ref="Y4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4" s="107" t="s">
        <v>86</v>
      </c>
      <c r="AD44" s="111"/>
      <c r="AE44" s="1"/>
      <c r="AF44" s="1"/>
      <c r="AG44" s="4"/>
      <c r="AH44" s="8"/>
      <c r="AI44" s="1"/>
      <c r="AJ44" s="1"/>
      <c r="AK44" s="1"/>
      <c r="AL44" s="1"/>
      <c r="AM44" s="1"/>
      <c r="AN44" s="1"/>
      <c r="AO44" s="1"/>
      <c r="AP44" s="1"/>
      <c r="AQ44" s="1"/>
      <c r="AR44" s="1"/>
    </row>
    <row r="45" spans="7:44" ht="14.25" customHeight="1" x14ac:dyDescent="0.2">
      <c r="G45" s="74">
        <v>45775.28125</v>
      </c>
      <c r="H45" s="107" t="s">
        <v>178</v>
      </c>
      <c r="I45" s="107"/>
      <c r="J45" s="116">
        <v>51893.758699999998</v>
      </c>
      <c r="K45" s="116">
        <v>159193.3144</v>
      </c>
      <c r="L45" s="116">
        <v>18.774100000000001</v>
      </c>
      <c r="M45" s="75">
        <v>51893.758000000002</v>
      </c>
      <c r="N45" s="75">
        <v>159193.315</v>
      </c>
      <c r="O45" s="75">
        <v>18.774999999999999</v>
      </c>
      <c r="P45" s="76">
        <v>-6.9999999686842784E-4</v>
      </c>
      <c r="Q45" s="109" cm="1">
        <f t="array" ref="Q4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5" s="76">
        <v>5.9999999939464033E-4</v>
      </c>
      <c r="S45" s="77" cm="1">
        <f t="array" ref="S4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5" s="76">
        <v>8.9999999999790248E-4</v>
      </c>
      <c r="U45" s="77" cm="1">
        <f t="array" ref="U4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5" s="77">
        <v>-6.9999999686842784E-4</v>
      </c>
      <c r="W45" s="77" cm="1">
        <f t="array" ref="W4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5" s="77">
        <v>5.9999999939464033E-4</v>
      </c>
      <c r="Y45" s="77" cm="1">
        <f t="array" ref="Y4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5" s="107" t="s">
        <v>86</v>
      </c>
      <c r="AD45" s="111"/>
      <c r="AE45" s="1"/>
      <c r="AF45" s="1"/>
      <c r="AG45" s="4"/>
      <c r="AH45" s="4"/>
      <c r="AI45" s="4"/>
      <c r="AJ45" s="4"/>
      <c r="AK45" s="1"/>
      <c r="AL45" s="1"/>
      <c r="AM45" s="9"/>
      <c r="AN45" s="6"/>
      <c r="AO45" s="6"/>
      <c r="AP45" s="6"/>
      <c r="AQ45" s="8"/>
      <c r="AR45" s="8"/>
    </row>
    <row r="46" spans="7:44" ht="14.25" customHeight="1" x14ac:dyDescent="0.2">
      <c r="G46" s="74">
        <v>45775.28125</v>
      </c>
      <c r="H46" s="107" t="s">
        <v>177</v>
      </c>
      <c r="I46" s="107"/>
      <c r="J46" s="116">
        <v>51893.441299999999</v>
      </c>
      <c r="K46" s="116">
        <v>159192.04019999999</v>
      </c>
      <c r="L46" s="116">
        <v>18.7683</v>
      </c>
      <c r="M46" s="75">
        <v>51893.440999999999</v>
      </c>
      <c r="N46" s="75">
        <v>159192.041</v>
      </c>
      <c r="O46" s="75">
        <v>18.77</v>
      </c>
      <c r="P46" s="76">
        <v>-2.9999999969732016E-4</v>
      </c>
      <c r="Q46" s="109" cm="1">
        <f t="array" ref="Q4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6" s="76">
        <v>8.0000000889413059E-4</v>
      </c>
      <c r="S46" s="77" cm="1">
        <f t="array" ref="S4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6" s="76">
        <v>1.6999999999995907E-3</v>
      </c>
      <c r="U46" s="77" cm="1">
        <f t="array" ref="U4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6" s="77">
        <v>-2.9999999969732016E-4</v>
      </c>
      <c r="W46" s="77" cm="1">
        <f t="array" ref="W4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6" s="77">
        <v>8.0000000889413059E-4</v>
      </c>
      <c r="Y46" s="77" cm="1">
        <f t="array" ref="Y4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6" s="107" t="s">
        <v>86</v>
      </c>
      <c r="AD46" s="111"/>
      <c r="AE46" s="1"/>
      <c r="AF46" s="1"/>
      <c r="AG46" s="4"/>
      <c r="AH46" s="4"/>
      <c r="AI46" s="4"/>
      <c r="AJ46" s="4"/>
      <c r="AK46" s="1"/>
      <c r="AL46" s="1"/>
      <c r="AM46" s="9"/>
      <c r="AN46" s="6"/>
      <c r="AO46" s="6"/>
      <c r="AP46" s="6"/>
      <c r="AQ46" s="8"/>
      <c r="AR46" s="8"/>
    </row>
    <row r="47" spans="7:44" ht="14.25" customHeight="1" x14ac:dyDescent="0.2">
      <c r="G47" s="74">
        <v>45775.28125</v>
      </c>
      <c r="H47" s="107" t="s">
        <v>180</v>
      </c>
      <c r="I47" s="107"/>
      <c r="J47" s="116">
        <v>51896.633300000001</v>
      </c>
      <c r="K47" s="116">
        <v>159192.48449999999</v>
      </c>
      <c r="L47" s="116">
        <v>18.7776</v>
      </c>
      <c r="M47" s="75">
        <v>51896.633000000002</v>
      </c>
      <c r="N47" s="75">
        <v>159192.48499999999</v>
      </c>
      <c r="O47" s="75">
        <v>18.777999999999999</v>
      </c>
      <c r="P47" s="76">
        <v>-2.9999999969732016E-4</v>
      </c>
      <c r="Q47" s="109" cm="1">
        <f t="array" ref="Q4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7" s="76">
        <v>4.999999946448952E-4</v>
      </c>
      <c r="S47" s="77" cm="1">
        <f t="array" ref="S4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7" s="76">
        <v>3.9999999999906777E-4</v>
      </c>
      <c r="U47" s="77" cm="1">
        <f t="array" ref="U4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7" s="77">
        <v>-2.9999999969732016E-4</v>
      </c>
      <c r="W47" s="77" cm="1">
        <f t="array" ref="W4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7" s="77">
        <v>4.999999946448952E-4</v>
      </c>
      <c r="Y47" s="77" cm="1">
        <f t="array" ref="Y4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7" s="107" t="s">
        <v>86</v>
      </c>
      <c r="AD47" s="111"/>
      <c r="AE47" s="1"/>
      <c r="AF47" s="1"/>
      <c r="AG47" s="4"/>
      <c r="AH47" s="4"/>
      <c r="AI47" s="4"/>
      <c r="AJ47" s="4"/>
      <c r="AK47" s="1"/>
      <c r="AL47" s="1"/>
      <c r="AM47" s="9"/>
      <c r="AN47" s="6"/>
      <c r="AO47" s="6"/>
      <c r="AP47" s="6"/>
      <c r="AQ47" s="8"/>
      <c r="AR47" s="8"/>
    </row>
    <row r="48" spans="7:44" ht="14.25" customHeight="1" x14ac:dyDescent="0.2">
      <c r="G48" s="74">
        <v>45775.28125</v>
      </c>
      <c r="H48" s="107" t="s">
        <v>179</v>
      </c>
      <c r="I48" s="107"/>
      <c r="J48" s="116">
        <v>51896.249799999998</v>
      </c>
      <c r="K48" s="116">
        <v>159191.22630000001</v>
      </c>
      <c r="L48" s="116">
        <v>18.7698</v>
      </c>
      <c r="M48" s="75">
        <v>51896.249000000003</v>
      </c>
      <c r="N48" s="75">
        <v>159191.22700000001</v>
      </c>
      <c r="O48" s="75">
        <v>18.771000000000001</v>
      </c>
      <c r="P48" s="76">
        <v>-7.9999999434221536E-4</v>
      </c>
      <c r="Q48" s="109" cm="1">
        <f t="array" ref="Q4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8" s="76">
        <v>7.0000000414438546E-4</v>
      </c>
      <c r="S48" s="77" cm="1">
        <f t="array" ref="S4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8" s="76">
        <v>1.200000000000756E-3</v>
      </c>
      <c r="U48" s="77" cm="1">
        <f t="array" ref="U4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8" s="77">
        <v>-7.9999999434221536E-4</v>
      </c>
      <c r="W48" s="77" cm="1">
        <f t="array" ref="W4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8" s="77">
        <v>7.0000000414438546E-4</v>
      </c>
      <c r="Y48" s="77" cm="1">
        <f t="array" ref="Y4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8" s="107" t="s">
        <v>86</v>
      </c>
      <c r="AD48" s="111"/>
      <c r="AE48" s="1"/>
      <c r="AF48" s="1"/>
      <c r="AG48" s="4"/>
      <c r="AH48" s="4"/>
      <c r="AI48" s="4"/>
      <c r="AJ48" s="4"/>
      <c r="AK48" s="1"/>
      <c r="AL48" s="1"/>
      <c r="AM48" s="9"/>
      <c r="AN48" s="6"/>
      <c r="AO48" s="6"/>
      <c r="AP48" s="6"/>
      <c r="AQ48" s="8"/>
      <c r="AR48" s="8"/>
    </row>
    <row r="49" spans="7:44" ht="14.25" customHeight="1" x14ac:dyDescent="0.2">
      <c r="G49" s="74">
        <v>45775.28125</v>
      </c>
      <c r="H49" s="107" t="s">
        <v>182</v>
      </c>
      <c r="I49" s="107"/>
      <c r="J49" s="116">
        <v>51899.398699999998</v>
      </c>
      <c r="K49" s="116">
        <v>159191.69760000001</v>
      </c>
      <c r="L49" s="116">
        <v>18.777999999999999</v>
      </c>
      <c r="M49" s="75">
        <v>51899.398000000001</v>
      </c>
      <c r="N49" s="75">
        <v>159191.698</v>
      </c>
      <c r="O49" s="75">
        <v>18.779</v>
      </c>
      <c r="P49" s="76">
        <v>-6.9999999686842784E-4</v>
      </c>
      <c r="Q49" s="109" cm="1">
        <f t="array" ref="Q4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49" s="76">
        <v>3.9999998989515007E-4</v>
      </c>
      <c r="S49" s="77" cm="1">
        <f t="array" ref="S4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49" s="76">
        <v>1.0000000000012221E-3</v>
      </c>
      <c r="U49" s="77" cm="1">
        <f t="array" ref="U4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49" s="77">
        <v>-6.9999999686842784E-4</v>
      </c>
      <c r="W49" s="77" cm="1">
        <f t="array" ref="W4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49" s="77">
        <v>3.9999998989515007E-4</v>
      </c>
      <c r="Y49" s="77" cm="1">
        <f t="array" ref="Y4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4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4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4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49" s="107" t="s">
        <v>86</v>
      </c>
      <c r="AD49" s="111"/>
      <c r="AE49" s="1"/>
      <c r="AF49" s="1"/>
      <c r="AG49" s="4"/>
      <c r="AH49" s="4"/>
      <c r="AI49" s="4"/>
      <c r="AJ49" s="4"/>
      <c r="AK49" s="1"/>
      <c r="AL49" s="1"/>
      <c r="AM49" s="9"/>
      <c r="AN49" s="6"/>
      <c r="AO49" s="6"/>
      <c r="AP49" s="6"/>
      <c r="AQ49" s="8"/>
      <c r="AR49" s="8"/>
    </row>
    <row r="50" spans="7:44" ht="14.25" customHeight="1" x14ac:dyDescent="0.2">
      <c r="G50" s="74">
        <v>45775.28125</v>
      </c>
      <c r="H50" s="107" t="s">
        <v>181</v>
      </c>
      <c r="I50" s="107"/>
      <c r="J50" s="116">
        <v>51899.041100000002</v>
      </c>
      <c r="K50" s="116">
        <v>159190.43340000001</v>
      </c>
      <c r="L50" s="116">
        <v>18.771100000000001</v>
      </c>
      <c r="M50" s="75">
        <v>51899.040000000001</v>
      </c>
      <c r="N50" s="75">
        <v>159190.435</v>
      </c>
      <c r="O50" s="75">
        <v>18.771999999999998</v>
      </c>
      <c r="P50" s="76">
        <v>-1.1000000013154931E-3</v>
      </c>
      <c r="Q50" s="109" cm="1">
        <f t="array" ref="Q5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0" s="76">
        <v>1.5999999886844307E-3</v>
      </c>
      <c r="S50" s="77" cm="1">
        <f t="array" ref="S5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0" s="76">
        <v>8.9999999999790248E-4</v>
      </c>
      <c r="U50" s="77" cm="1">
        <f t="array" ref="U5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0" s="77">
        <v>-1.1000000013154931E-3</v>
      </c>
      <c r="W50" s="77" cm="1">
        <f t="array" ref="W5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0" s="77">
        <v>1.5999999886844307E-3</v>
      </c>
      <c r="Y50" s="77" cm="1">
        <f t="array" ref="Y5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0" s="107" t="s">
        <v>86</v>
      </c>
      <c r="AD50" s="111"/>
      <c r="AE50" s="1"/>
      <c r="AF50" s="1"/>
      <c r="AG50" s="4"/>
      <c r="AH50" s="4"/>
      <c r="AI50" s="4"/>
      <c r="AJ50" s="4"/>
      <c r="AK50" s="1"/>
      <c r="AL50" s="1"/>
      <c r="AM50" s="9"/>
      <c r="AN50" s="6"/>
      <c r="AO50" s="6"/>
      <c r="AP50" s="6"/>
      <c r="AQ50" s="8"/>
      <c r="AR50" s="8"/>
    </row>
    <row r="51" spans="7:44" ht="14.25" customHeight="1" x14ac:dyDescent="0.2">
      <c r="G51" s="74">
        <v>45775.28125</v>
      </c>
      <c r="H51" s="107" t="s">
        <v>184</v>
      </c>
      <c r="I51" s="107"/>
      <c r="J51" s="116">
        <v>51902.292699999998</v>
      </c>
      <c r="K51" s="116">
        <v>159190.88459999999</v>
      </c>
      <c r="L51" s="116">
        <v>18.779</v>
      </c>
      <c r="M51" s="75">
        <v>51902.292999999998</v>
      </c>
      <c r="N51" s="75">
        <v>159190.886</v>
      </c>
      <c r="O51" s="75">
        <v>18.779</v>
      </c>
      <c r="P51" s="76">
        <v>2.9999999969732016E-4</v>
      </c>
      <c r="Q51" s="109" cm="1">
        <f t="array" ref="Q5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1" s="76">
        <v>1.4000000082887709E-3</v>
      </c>
      <c r="S51" s="77" cm="1">
        <f t="array" ref="S5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1" s="76">
        <v>0</v>
      </c>
      <c r="U51" s="77" cm="1">
        <f t="array" ref="U5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1" s="77">
        <v>2.9999999969732016E-4</v>
      </c>
      <c r="W51" s="77" cm="1">
        <f t="array" ref="W5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1" s="77">
        <v>1.4000000082887709E-3</v>
      </c>
      <c r="Y51" s="77" cm="1">
        <f t="array" ref="Y5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1" s="107" t="s">
        <v>86</v>
      </c>
      <c r="AD51" s="111"/>
      <c r="AE51" s="1"/>
      <c r="AF51" s="1"/>
      <c r="AG51" s="4"/>
      <c r="AH51" s="4"/>
      <c r="AI51" s="4"/>
      <c r="AJ51" s="4"/>
      <c r="AK51" s="1"/>
      <c r="AL51" s="1"/>
      <c r="AM51" s="9"/>
      <c r="AN51" s="6"/>
      <c r="AO51" s="6"/>
      <c r="AP51" s="6"/>
      <c r="AQ51" s="8"/>
      <c r="AR51" s="8"/>
    </row>
    <row r="52" spans="7:44" ht="14.25" customHeight="1" x14ac:dyDescent="0.2">
      <c r="G52" s="74">
        <v>45775.28125</v>
      </c>
      <c r="H52" s="107" t="s">
        <v>183</v>
      </c>
      <c r="I52" s="107"/>
      <c r="J52" s="116">
        <v>51901.989200000004</v>
      </c>
      <c r="K52" s="116">
        <v>159189.60260000001</v>
      </c>
      <c r="L52" s="116">
        <v>18.770099999999999</v>
      </c>
      <c r="M52" s="75">
        <v>51901.989000000001</v>
      </c>
      <c r="N52" s="75">
        <v>159189.60399999999</v>
      </c>
      <c r="O52" s="75">
        <v>18.771000000000001</v>
      </c>
      <c r="P52" s="76">
        <v>-2.0000000222353265E-4</v>
      </c>
      <c r="Q52" s="109" cm="1">
        <f t="array" ref="Q5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2" s="76">
        <v>1.3999999791849405E-3</v>
      </c>
      <c r="S52" s="77" cm="1">
        <f t="array" ref="S5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2" s="76">
        <v>9.0000000000145519E-4</v>
      </c>
      <c r="U52" s="77" cm="1">
        <f t="array" ref="U5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2" s="77">
        <v>-2.0000000222353265E-4</v>
      </c>
      <c r="W52" s="77" cm="1">
        <f t="array" ref="W5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2" s="77">
        <v>1.3999999791849405E-3</v>
      </c>
      <c r="Y52" s="77" cm="1">
        <f t="array" ref="Y5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2" s="107" t="s">
        <v>86</v>
      </c>
      <c r="AD52" s="111"/>
      <c r="AE52" s="1"/>
      <c r="AF52" s="1"/>
      <c r="AG52" s="4"/>
      <c r="AH52" s="4"/>
      <c r="AI52" s="4"/>
      <c r="AJ52" s="4"/>
      <c r="AK52" s="1"/>
      <c r="AL52" s="1"/>
      <c r="AM52" s="9"/>
      <c r="AN52" s="6"/>
      <c r="AO52" s="6"/>
      <c r="AP52" s="6"/>
      <c r="AQ52" s="8"/>
      <c r="AR52" s="8"/>
    </row>
    <row r="53" spans="7:44" ht="14.25" customHeight="1" x14ac:dyDescent="0.2">
      <c r="G53" s="74">
        <v>45775.28125</v>
      </c>
      <c r="H53" s="107" t="s">
        <v>186</v>
      </c>
      <c r="I53" s="107"/>
      <c r="J53" s="116">
        <v>51905.196199999998</v>
      </c>
      <c r="K53" s="116">
        <v>159190.09460000001</v>
      </c>
      <c r="L53" s="116">
        <v>18.780899999999999</v>
      </c>
      <c r="M53" s="75">
        <v>51905.196000000004</v>
      </c>
      <c r="N53" s="75">
        <v>159190.09599999999</v>
      </c>
      <c r="O53" s="75">
        <v>18.780999999999999</v>
      </c>
      <c r="P53" s="76">
        <v>-1.9999999494757503E-4</v>
      </c>
      <c r="Q53" s="109" cm="1">
        <f t="array" ref="Q5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3" s="76">
        <v>1.3999999791849405E-3</v>
      </c>
      <c r="S53" s="77" cm="1">
        <f t="array" ref="S5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3" s="76">
        <v>9.9999999999766942E-5</v>
      </c>
      <c r="U53" s="77" cm="1">
        <f t="array" ref="U5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3" s="77">
        <v>-1.9999999494757503E-4</v>
      </c>
      <c r="W53" s="77" cm="1">
        <f t="array" ref="W5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3" s="77">
        <v>1.3999999791849405E-3</v>
      </c>
      <c r="Y53" s="77" cm="1">
        <f t="array" ref="Y5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3" s="107" t="s">
        <v>86</v>
      </c>
      <c r="AD53" s="111"/>
      <c r="AE53" s="1"/>
      <c r="AF53" s="1"/>
      <c r="AG53" s="4"/>
      <c r="AH53" s="4"/>
      <c r="AI53" s="4"/>
      <c r="AJ53" s="4"/>
      <c r="AK53" s="1"/>
      <c r="AL53" s="1"/>
      <c r="AM53" s="9"/>
      <c r="AN53" s="6"/>
      <c r="AO53" s="6"/>
      <c r="AP53" s="6"/>
      <c r="AQ53" s="8"/>
      <c r="AR53" s="8"/>
    </row>
    <row r="54" spans="7:44" ht="14.25" customHeight="1" x14ac:dyDescent="0.2">
      <c r="G54" s="74">
        <v>45775.28125</v>
      </c>
      <c r="H54" s="107" t="s">
        <v>185</v>
      </c>
      <c r="I54" s="107"/>
      <c r="J54" s="116">
        <v>51904.885600000001</v>
      </c>
      <c r="K54" s="116">
        <v>159188.8046</v>
      </c>
      <c r="L54" s="116">
        <v>18.773099999999999</v>
      </c>
      <c r="M54" s="75">
        <v>51904.885000000002</v>
      </c>
      <c r="N54" s="75">
        <v>159188.80600000001</v>
      </c>
      <c r="O54" s="75">
        <v>18.774000000000001</v>
      </c>
      <c r="P54" s="76">
        <v>-5.9999999939464033E-4</v>
      </c>
      <c r="Q54" s="109" cm="1">
        <f t="array" ref="Q5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4" s="76">
        <v>1.4000000082887709E-3</v>
      </c>
      <c r="S54" s="77" cm="1">
        <f t="array" ref="S5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4" s="76">
        <v>9.0000000000145519E-4</v>
      </c>
      <c r="U54" s="77" cm="1">
        <f t="array" ref="U5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4" s="77">
        <v>-5.9999999939464033E-4</v>
      </c>
      <c r="W54" s="77" cm="1">
        <f t="array" ref="W5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4" s="77">
        <v>1.4000000082887709E-3</v>
      </c>
      <c r="Y54" s="77" cm="1">
        <f t="array" ref="Y5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4" s="107" t="s">
        <v>86</v>
      </c>
      <c r="AD54" s="111"/>
      <c r="AE54" s="1"/>
      <c r="AF54" s="1"/>
      <c r="AG54" s="4"/>
      <c r="AH54" s="4"/>
      <c r="AI54" s="4"/>
      <c r="AJ54" s="4"/>
      <c r="AK54" s="1"/>
      <c r="AL54" s="1"/>
      <c r="AM54" s="9"/>
      <c r="AN54" s="6"/>
      <c r="AO54" s="6"/>
      <c r="AP54" s="6"/>
      <c r="AQ54" s="8"/>
      <c r="AR54" s="8"/>
    </row>
    <row r="55" spans="7:44" ht="14.25" customHeight="1" x14ac:dyDescent="0.2">
      <c r="G55" s="74">
        <v>45775.28125</v>
      </c>
      <c r="H55" s="107" t="s">
        <v>188</v>
      </c>
      <c r="I55" s="107"/>
      <c r="J55" s="116">
        <v>51907.9522</v>
      </c>
      <c r="K55" s="116">
        <v>159189.36230000001</v>
      </c>
      <c r="L55" s="116">
        <v>18.786000000000001</v>
      </c>
      <c r="M55" s="75">
        <v>51907.951999999997</v>
      </c>
      <c r="N55" s="75">
        <v>159189.364</v>
      </c>
      <c r="O55" s="75">
        <v>18.786000000000001</v>
      </c>
      <c r="P55" s="76">
        <v>-2.0000000222353265E-4</v>
      </c>
      <c r="Q55" s="109" cm="1">
        <f t="array" ref="Q5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5" s="76">
        <v>1.6999999934341758E-3</v>
      </c>
      <c r="S55" s="77" cm="1">
        <f t="array" ref="S5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5" s="76">
        <v>0</v>
      </c>
      <c r="U55" s="77" cm="1">
        <f t="array" ref="U5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5" s="77">
        <v>-2.0000000222353265E-4</v>
      </c>
      <c r="W55" s="77" cm="1">
        <f t="array" ref="W5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5" s="77">
        <v>1.6999999934341758E-3</v>
      </c>
      <c r="Y55" s="77" cm="1">
        <f t="array" ref="Y5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5" s="107" t="s">
        <v>86</v>
      </c>
      <c r="AD55" s="111"/>
      <c r="AE55" s="1"/>
      <c r="AF55" s="1"/>
      <c r="AG55" s="4"/>
      <c r="AH55" s="4"/>
      <c r="AI55" s="4"/>
      <c r="AJ55" s="4"/>
      <c r="AK55" s="1"/>
      <c r="AL55" s="1"/>
      <c r="AM55" s="9"/>
      <c r="AN55" s="6"/>
      <c r="AO55" s="6"/>
      <c r="AP55" s="6"/>
      <c r="AQ55" s="8"/>
      <c r="AR55" s="8"/>
    </row>
    <row r="56" spans="7:44" ht="14.25" customHeight="1" x14ac:dyDescent="0.2">
      <c r="G56" s="74">
        <v>45775.28125</v>
      </c>
      <c r="H56" s="107" t="s">
        <v>187</v>
      </c>
      <c r="I56" s="107"/>
      <c r="J56" s="116">
        <v>51907.578699999998</v>
      </c>
      <c r="K56" s="116">
        <v>159188.09770000001</v>
      </c>
      <c r="L56" s="116">
        <v>18.776</v>
      </c>
      <c r="M56" s="75">
        <v>51907.578000000001</v>
      </c>
      <c r="N56" s="75">
        <v>159188.1</v>
      </c>
      <c r="O56" s="75">
        <v>18.776</v>
      </c>
      <c r="P56" s="76">
        <v>-6.9999999686842784E-4</v>
      </c>
      <c r="Q56" s="109" cm="1">
        <f t="array" ref="Q5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6" s="76">
        <v>2.2999999928288162E-3</v>
      </c>
      <c r="S56" s="77" cm="1">
        <f t="array" ref="S5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6" s="76">
        <v>0</v>
      </c>
      <c r="U56" s="77" cm="1">
        <f t="array" ref="U5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6" s="77">
        <v>-6.9999999686842784E-4</v>
      </c>
      <c r="W56" s="77" cm="1">
        <f t="array" ref="W5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6" s="77">
        <v>2.2999999928288162E-3</v>
      </c>
      <c r="Y56" s="77" cm="1">
        <f t="array" ref="Y5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6" s="107" t="s">
        <v>86</v>
      </c>
      <c r="AD56" s="111"/>
      <c r="AE56" s="1"/>
      <c r="AF56" s="1"/>
      <c r="AG56" s="4"/>
      <c r="AH56" s="4"/>
      <c r="AI56" s="4"/>
      <c r="AJ56" s="4"/>
      <c r="AK56" s="1"/>
      <c r="AL56" s="1"/>
      <c r="AM56" s="9"/>
      <c r="AN56" s="6"/>
      <c r="AO56" s="6"/>
      <c r="AP56" s="6"/>
      <c r="AQ56" s="8"/>
      <c r="AR56" s="8"/>
    </row>
    <row r="57" spans="7:44" ht="14.25" customHeight="1" x14ac:dyDescent="0.2">
      <c r="G57" s="74">
        <v>45775.28125</v>
      </c>
      <c r="H57" s="107" t="s">
        <v>190</v>
      </c>
      <c r="I57" s="107"/>
      <c r="J57" s="116">
        <v>51910.962800000001</v>
      </c>
      <c r="K57" s="116">
        <v>159188.60079999999</v>
      </c>
      <c r="L57" s="116">
        <v>18.794599999999999</v>
      </c>
      <c r="M57" s="75">
        <v>51910.962</v>
      </c>
      <c r="N57" s="75">
        <v>159188.60200000001</v>
      </c>
      <c r="O57" s="75">
        <v>18.795000000000002</v>
      </c>
      <c r="P57" s="76">
        <v>-8.0000000161817297E-4</v>
      </c>
      <c r="Q57" s="109" cm="1">
        <f t="array" ref="Q5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7" s="76">
        <v>1.2000000278931111E-3</v>
      </c>
      <c r="S57" s="77" cm="1">
        <f t="array" ref="S5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7" s="76">
        <v>4.0000000000262048E-4</v>
      </c>
      <c r="U57" s="77" cm="1">
        <f t="array" ref="U5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7" s="77">
        <v>-8.0000000161817297E-4</v>
      </c>
      <c r="W57" s="77" cm="1">
        <f t="array" ref="W5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7" s="77">
        <v>1.2000000278931111E-3</v>
      </c>
      <c r="Y57" s="77" cm="1">
        <f t="array" ref="Y5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7" s="107" t="s">
        <v>86</v>
      </c>
      <c r="AD57" s="111"/>
      <c r="AE57" s="1"/>
      <c r="AF57" s="1"/>
      <c r="AG57" s="4"/>
      <c r="AH57" s="4"/>
      <c r="AI57" s="4"/>
      <c r="AJ57" s="4"/>
      <c r="AK57" s="1"/>
      <c r="AL57" s="1"/>
      <c r="AM57" s="9"/>
      <c r="AN57" s="6"/>
      <c r="AO57" s="6"/>
      <c r="AP57" s="6"/>
      <c r="AQ57" s="8"/>
      <c r="AR57" s="8"/>
    </row>
    <row r="58" spans="7:44" ht="14.25" customHeight="1" x14ac:dyDescent="0.2">
      <c r="G58" s="74">
        <v>45775.28125</v>
      </c>
      <c r="H58" s="107" t="s">
        <v>189</v>
      </c>
      <c r="I58" s="107"/>
      <c r="J58" s="116">
        <v>51910.640099999997</v>
      </c>
      <c r="K58" s="116">
        <v>159187.3223</v>
      </c>
      <c r="L58" s="116">
        <v>18.7836</v>
      </c>
      <c r="M58" s="75">
        <v>51910.639000000003</v>
      </c>
      <c r="N58" s="75">
        <v>159187.32399999999</v>
      </c>
      <c r="O58" s="75">
        <v>18.783999999999999</v>
      </c>
      <c r="P58" s="76">
        <v>-1.0999999940395355E-3</v>
      </c>
      <c r="Q58" s="109" cm="1">
        <f t="array" ref="Q5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8" s="76">
        <v>1.6999999934341758E-3</v>
      </c>
      <c r="S58" s="77" cm="1">
        <f t="array" ref="S5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8" s="76">
        <v>3.9999999999906777E-4</v>
      </c>
      <c r="U58" s="77" cm="1">
        <f t="array" ref="U5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8" s="77">
        <v>-1.0999999940395355E-3</v>
      </c>
      <c r="W58" s="77" cm="1">
        <f t="array" ref="W5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8" s="77">
        <v>1.6999999934341758E-3</v>
      </c>
      <c r="Y58" s="77" cm="1">
        <f t="array" ref="Y5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8" s="107" t="s">
        <v>86</v>
      </c>
      <c r="AD58" s="111"/>
      <c r="AE58" s="1"/>
      <c r="AF58" s="1"/>
      <c r="AG58" s="4"/>
      <c r="AH58" s="4"/>
      <c r="AI58" s="4"/>
      <c r="AJ58" s="4"/>
      <c r="AK58" s="1"/>
      <c r="AL58" s="1"/>
      <c r="AM58" s="9"/>
      <c r="AN58" s="6"/>
      <c r="AO58" s="6"/>
      <c r="AP58" s="6"/>
      <c r="AQ58" s="8"/>
      <c r="AR58" s="8"/>
    </row>
    <row r="59" spans="7:44" ht="14.25" customHeight="1" x14ac:dyDescent="0.2">
      <c r="G59" s="74">
        <v>45775.28125</v>
      </c>
      <c r="H59" s="107" t="s">
        <v>192</v>
      </c>
      <c r="I59" s="107"/>
      <c r="J59" s="116">
        <v>51913.751100000001</v>
      </c>
      <c r="K59" s="116">
        <v>159187.9178</v>
      </c>
      <c r="L59" s="116">
        <v>18.809000000000001</v>
      </c>
      <c r="M59" s="75">
        <v>51913.75</v>
      </c>
      <c r="N59" s="75">
        <v>159187.91899999999</v>
      </c>
      <c r="O59" s="75">
        <v>18.809000000000001</v>
      </c>
      <c r="P59" s="76">
        <v>-1.1000000013154931E-3</v>
      </c>
      <c r="Q59" s="109" cm="1">
        <f t="array" ref="Q5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59" s="76">
        <v>1.1999999987892807E-3</v>
      </c>
      <c r="S59" s="77" cm="1">
        <f t="array" ref="S5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59" s="76">
        <v>0</v>
      </c>
      <c r="U59" s="77" cm="1">
        <f t="array" ref="U5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59" s="77">
        <v>-1.1000000013154931E-3</v>
      </c>
      <c r="W59" s="77" cm="1">
        <f t="array" ref="W5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59" s="77">
        <v>1.1999999987892807E-3</v>
      </c>
      <c r="Y59" s="77" cm="1">
        <f t="array" ref="Y5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5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5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5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59" s="107" t="s">
        <v>86</v>
      </c>
      <c r="AD59" s="111"/>
      <c r="AE59" s="1"/>
      <c r="AF59" s="1"/>
      <c r="AG59" s="4"/>
      <c r="AH59" s="4"/>
      <c r="AI59" s="4"/>
      <c r="AJ59" s="4"/>
      <c r="AK59" s="1"/>
      <c r="AL59" s="1"/>
      <c r="AM59" s="1"/>
      <c r="AN59" s="1"/>
      <c r="AO59" s="1"/>
      <c r="AP59" s="1"/>
      <c r="AQ59" s="1"/>
      <c r="AR59" s="1"/>
    </row>
    <row r="60" spans="7:44" ht="14.25" customHeight="1" x14ac:dyDescent="0.2">
      <c r="G60" s="74">
        <v>45775.28125</v>
      </c>
      <c r="H60" s="107" t="s">
        <v>191</v>
      </c>
      <c r="I60" s="107"/>
      <c r="J60" s="116">
        <v>51913.421499999997</v>
      </c>
      <c r="K60" s="116">
        <v>159186.63630000001</v>
      </c>
      <c r="L60" s="116">
        <v>18.794899999999998</v>
      </c>
      <c r="M60" s="75">
        <v>51913.421000000002</v>
      </c>
      <c r="N60" s="75">
        <v>159186.63800000001</v>
      </c>
      <c r="O60" s="75">
        <v>18.795000000000002</v>
      </c>
      <c r="P60" s="76">
        <v>-4.999999946448952E-4</v>
      </c>
      <c r="Q60" s="109" cm="1">
        <f t="array" ref="Q6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0" s="76">
        <v>1.6999999934341758E-3</v>
      </c>
      <c r="S60" s="77" cm="1">
        <f t="array" ref="S6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0" s="76">
        <v>1.0000000000331966E-4</v>
      </c>
      <c r="U60" s="77" cm="1">
        <f t="array" ref="U6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0" s="77">
        <v>-4.999999946448952E-4</v>
      </c>
      <c r="W60" s="77" cm="1">
        <f t="array" ref="W6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0" s="77">
        <v>1.6999999934341758E-3</v>
      </c>
      <c r="Y60" s="77" cm="1">
        <f t="array" ref="Y6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0" s="107" t="s">
        <v>86</v>
      </c>
      <c r="AD60" s="111"/>
      <c r="AE60" s="1"/>
      <c r="AF60" s="1"/>
      <c r="AG60" s="4"/>
      <c r="AH60" s="4"/>
      <c r="AI60" s="4"/>
      <c r="AJ60" s="4"/>
      <c r="AK60" s="1"/>
      <c r="AL60" s="1"/>
      <c r="AM60" s="1"/>
      <c r="AN60" s="1"/>
      <c r="AO60" s="1"/>
      <c r="AP60" s="1"/>
      <c r="AQ60" s="1"/>
      <c r="AR60" s="1"/>
    </row>
    <row r="61" spans="7:44" ht="14.25" customHeight="1" x14ac:dyDescent="0.2">
      <c r="G61" s="74">
        <v>45775.28125</v>
      </c>
      <c r="H61" s="107" t="s">
        <v>165</v>
      </c>
      <c r="I61" s="107"/>
      <c r="J61" s="116">
        <v>51884.538999999997</v>
      </c>
      <c r="K61" s="116">
        <v>159193.38269999999</v>
      </c>
      <c r="L61" s="116">
        <v>19.331700000000001</v>
      </c>
      <c r="M61" s="75">
        <v>51884.538999999997</v>
      </c>
      <c r="N61" s="75">
        <v>159193.383</v>
      </c>
      <c r="O61" s="75">
        <v>19.332000000000001</v>
      </c>
      <c r="P61" s="76">
        <v>0</v>
      </c>
      <c r="Q61" s="109" cm="1">
        <f t="array" ref="Q6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1" s="76">
        <v>3.0000001424923539E-4</v>
      </c>
      <c r="S61" s="77" cm="1">
        <f t="array" ref="S6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1" s="76">
        <v>2.9999999999930083E-4</v>
      </c>
      <c r="U61" s="77" cm="1">
        <f t="array" ref="U6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1" s="77">
        <v>0</v>
      </c>
      <c r="W61" s="77" cm="1">
        <f t="array" ref="W6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1" s="77">
        <v>3.0000001424923539E-4</v>
      </c>
      <c r="Y61" s="77" cm="1">
        <f t="array" ref="Y6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1" s="107" t="s">
        <v>86</v>
      </c>
      <c r="AD61" s="111"/>
      <c r="AE61" s="1"/>
      <c r="AF61" s="1"/>
      <c r="AG61" s="1"/>
      <c r="AH61" s="1"/>
      <c r="AI61" s="1"/>
      <c r="AJ61" s="4"/>
      <c r="AK61" s="4"/>
      <c r="AL61" s="4"/>
      <c r="AM61" s="4"/>
      <c r="AN61" s="1"/>
      <c r="AO61" s="1"/>
      <c r="AP61" s="1"/>
      <c r="AQ61" s="1"/>
      <c r="AR61" s="1"/>
    </row>
    <row r="62" spans="7:44" ht="14.25" customHeight="1" x14ac:dyDescent="0.2">
      <c r="G62" s="74">
        <v>45775.28125</v>
      </c>
      <c r="H62" s="107" t="s">
        <v>166</v>
      </c>
      <c r="I62" s="107"/>
      <c r="J62" s="116">
        <v>51890.2863</v>
      </c>
      <c r="K62" s="116">
        <v>159191.73069999999</v>
      </c>
      <c r="L62" s="116">
        <v>19.321999999999999</v>
      </c>
      <c r="M62" s="75">
        <v>51890.286999999997</v>
      </c>
      <c r="N62" s="75">
        <v>159191.731</v>
      </c>
      <c r="O62" s="75">
        <v>19.321999999999999</v>
      </c>
      <c r="P62" s="76">
        <v>6.9999999686842784E-4</v>
      </c>
      <c r="Q62" s="109" cm="1">
        <f t="array" ref="Q6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2" s="76">
        <v>3.0000001424923539E-4</v>
      </c>
      <c r="S62" s="77" cm="1">
        <f t="array" ref="S6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2" s="76">
        <v>0</v>
      </c>
      <c r="U62" s="77" cm="1">
        <f t="array" ref="U6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2" s="77">
        <v>6.9999999686842784E-4</v>
      </c>
      <c r="W62" s="77" cm="1">
        <f t="array" ref="W6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2" s="77">
        <v>3.0000001424923539E-4</v>
      </c>
      <c r="Y62" s="77" cm="1">
        <f t="array" ref="Y6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2" s="107" t="s">
        <v>86</v>
      </c>
      <c r="AD62" s="111"/>
      <c r="AE62" s="1"/>
      <c r="AF62" s="1"/>
      <c r="AG62" s="1"/>
      <c r="AH62" s="1"/>
      <c r="AI62" s="1"/>
      <c r="AJ62" s="4"/>
      <c r="AK62" s="4"/>
      <c r="AL62" s="4"/>
      <c r="AM62" s="4"/>
      <c r="AN62" s="1"/>
      <c r="AO62" s="1"/>
      <c r="AP62" s="1"/>
      <c r="AQ62" s="1"/>
      <c r="AR62" s="1"/>
    </row>
    <row r="63" spans="7:44" ht="14.25" customHeight="1" x14ac:dyDescent="0.2">
      <c r="G63" s="74">
        <v>45775.28125</v>
      </c>
      <c r="H63" s="107" t="s">
        <v>167</v>
      </c>
      <c r="I63" s="107"/>
      <c r="J63" s="116">
        <v>51895.920700000002</v>
      </c>
      <c r="K63" s="116">
        <v>159190.1</v>
      </c>
      <c r="L63" s="116">
        <v>19.334</v>
      </c>
      <c r="M63" s="75">
        <v>51895.921000000002</v>
      </c>
      <c r="N63" s="75">
        <v>159190.1</v>
      </c>
      <c r="O63" s="75">
        <v>19.335000000000001</v>
      </c>
      <c r="P63" s="76">
        <v>2.9999999969732016E-4</v>
      </c>
      <c r="Q63" s="109" cm="1">
        <f t="array" ref="Q6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3" s="76">
        <v>0</v>
      </c>
      <c r="S63" s="77" cm="1">
        <f t="array" ref="S6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3" s="76">
        <v>1.0000000000012221E-3</v>
      </c>
      <c r="U63" s="77" cm="1">
        <f t="array" ref="U6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3" s="77">
        <v>2.9999999969732016E-4</v>
      </c>
      <c r="W63" s="77" cm="1">
        <f t="array" ref="W6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3" s="77">
        <v>0</v>
      </c>
      <c r="Y63" s="77" cm="1">
        <f t="array" ref="Y6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3" s="107" t="s">
        <v>86</v>
      </c>
      <c r="AD63" s="111"/>
      <c r="AE63" s="1"/>
      <c r="AF63" s="1"/>
      <c r="AG63" s="1"/>
      <c r="AH63" s="1"/>
      <c r="AI63" s="1"/>
      <c r="AJ63" s="4"/>
      <c r="AK63" s="4"/>
      <c r="AL63" s="4"/>
      <c r="AM63" s="4"/>
      <c r="AN63" s="1"/>
      <c r="AO63" s="1"/>
      <c r="AP63" s="1"/>
      <c r="AQ63" s="1"/>
      <c r="AR63" s="1"/>
    </row>
    <row r="64" spans="7:44" ht="14.25" customHeight="1" x14ac:dyDescent="0.2">
      <c r="G64" s="74">
        <v>45775.28125</v>
      </c>
      <c r="H64" s="107" t="s">
        <v>168</v>
      </c>
      <c r="I64" s="107"/>
      <c r="J64" s="116">
        <v>51899.7667</v>
      </c>
      <c r="K64" s="116">
        <v>159188.9933</v>
      </c>
      <c r="L64" s="116">
        <v>19.344999999999999</v>
      </c>
      <c r="M64" s="75">
        <v>51899.767999999996</v>
      </c>
      <c r="N64" s="75">
        <v>159188.99400000001</v>
      </c>
      <c r="O64" s="75">
        <v>19.346</v>
      </c>
      <c r="P64" s="76">
        <v>1.2999999962630682E-3</v>
      </c>
      <c r="Q64" s="109" cm="1">
        <f t="array" ref="Q6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4" s="76">
        <v>7.0000000414438546E-4</v>
      </c>
      <c r="S64" s="77" cm="1">
        <f t="array" ref="S6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4" s="76">
        <v>1.0000000000012221E-3</v>
      </c>
      <c r="U64" s="77" cm="1">
        <f t="array" ref="U6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4" s="77">
        <v>1.2999999962630682E-3</v>
      </c>
      <c r="W64" s="77" cm="1">
        <f t="array" ref="W6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4" s="77">
        <v>7.0000000414438546E-4</v>
      </c>
      <c r="Y64" s="77" cm="1">
        <f t="array" ref="Y6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4" s="107" t="s">
        <v>86</v>
      </c>
      <c r="AD64" s="111"/>
      <c r="AE64" s="1"/>
      <c r="AF64" s="1"/>
      <c r="AG64" s="1"/>
      <c r="AH64" s="1"/>
      <c r="AI64" s="1"/>
      <c r="AJ64" s="4"/>
      <c r="AK64" s="4"/>
      <c r="AL64" s="4"/>
      <c r="AM64" s="4"/>
      <c r="AN64" s="1"/>
      <c r="AO64" s="1"/>
      <c r="AP64" s="1"/>
      <c r="AQ64" s="1"/>
      <c r="AR64" s="1"/>
    </row>
    <row r="65" spans="7:44" ht="14.25" customHeight="1" x14ac:dyDescent="0.2">
      <c r="G65" s="74">
        <v>45775.28125</v>
      </c>
      <c r="H65" s="107" t="s">
        <v>169</v>
      </c>
      <c r="I65" s="107"/>
      <c r="J65" s="116">
        <v>51903.6083</v>
      </c>
      <c r="K65" s="116">
        <v>159187.88200000001</v>
      </c>
      <c r="L65" s="116">
        <v>19.356999999999999</v>
      </c>
      <c r="M65" s="75">
        <v>51903.608999999997</v>
      </c>
      <c r="N65" s="75">
        <v>159187.88200000001</v>
      </c>
      <c r="O65" s="75">
        <v>19.356999999999999</v>
      </c>
      <c r="P65" s="76">
        <v>6.9999999686842784E-4</v>
      </c>
      <c r="Q65" s="109" cm="1">
        <f t="array" ref="Q6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5" s="76">
        <v>0</v>
      </c>
      <c r="S65" s="77" cm="1">
        <f t="array" ref="S6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5" s="76">
        <v>0</v>
      </c>
      <c r="U65" s="77" cm="1">
        <f t="array" ref="U6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5" s="77">
        <v>6.9999999686842784E-4</v>
      </c>
      <c r="W65" s="77" cm="1">
        <f t="array" ref="W6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5" s="77">
        <v>0</v>
      </c>
      <c r="Y65" s="77" cm="1">
        <f t="array" ref="Y6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5" s="107" t="s">
        <v>86</v>
      </c>
      <c r="AD65" s="111"/>
      <c r="AE65" s="1"/>
      <c r="AF65" s="1"/>
      <c r="AG65" s="1"/>
      <c r="AH65" s="1"/>
      <c r="AI65" s="1"/>
      <c r="AJ65" s="4"/>
      <c r="AK65" s="4"/>
      <c r="AL65" s="4"/>
      <c r="AM65" s="4"/>
      <c r="AN65" s="1"/>
      <c r="AO65" s="1"/>
      <c r="AP65" s="1"/>
      <c r="AQ65" s="1"/>
      <c r="AR65" s="1"/>
    </row>
    <row r="66" spans="7:44" ht="14.25" customHeight="1" x14ac:dyDescent="0.2">
      <c r="G66" s="74">
        <v>45775.28125</v>
      </c>
      <c r="H66" s="107" t="s">
        <v>170</v>
      </c>
      <c r="I66" s="107"/>
      <c r="J66" s="116">
        <v>51910.065000000002</v>
      </c>
      <c r="K66" s="116">
        <v>159186.02369999999</v>
      </c>
      <c r="L66" s="116">
        <v>19.356999999999999</v>
      </c>
      <c r="M66" s="75">
        <v>51910.065000000002</v>
      </c>
      <c r="N66" s="75">
        <v>159186.024</v>
      </c>
      <c r="O66" s="75">
        <v>19.356999999999999</v>
      </c>
      <c r="P66" s="76">
        <v>0</v>
      </c>
      <c r="Q66" s="109" cm="1">
        <f t="array" ref="Q6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6" s="76">
        <v>3.0000001424923539E-4</v>
      </c>
      <c r="S66" s="77" cm="1">
        <f t="array" ref="S6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6" s="76">
        <v>0</v>
      </c>
      <c r="U66" s="77" cm="1">
        <f t="array" ref="U6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6" s="77">
        <v>0</v>
      </c>
      <c r="W66" s="77" cm="1">
        <f t="array" ref="W6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6" s="77">
        <v>3.0000001424923539E-4</v>
      </c>
      <c r="Y66" s="77" cm="1">
        <f t="array" ref="Y6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6" s="107" t="s">
        <v>86</v>
      </c>
      <c r="AD66" s="111"/>
      <c r="AE66" s="1"/>
      <c r="AF66" s="1"/>
      <c r="AG66" s="1"/>
      <c r="AH66" s="1"/>
      <c r="AI66" s="1"/>
      <c r="AJ66" s="4"/>
      <c r="AK66" s="4"/>
      <c r="AL66" s="4"/>
      <c r="AM66" s="4"/>
      <c r="AN66" s="1"/>
      <c r="AO66" s="1"/>
      <c r="AP66" s="1"/>
      <c r="AQ66" s="1"/>
      <c r="AR66" s="1"/>
    </row>
    <row r="67" spans="7:44" ht="14.25" customHeight="1" x14ac:dyDescent="0.2">
      <c r="G67" s="74">
        <v>45750.28125</v>
      </c>
      <c r="H67" s="107" t="s">
        <v>172</v>
      </c>
      <c r="I67" s="107"/>
      <c r="J67" s="116">
        <v>51885.34</v>
      </c>
      <c r="K67" s="116">
        <v>159195.739</v>
      </c>
      <c r="L67" s="116">
        <v>18.782</v>
      </c>
      <c r="M67" s="75">
        <v>51885.339</v>
      </c>
      <c r="N67" s="75">
        <v>159195.73800000001</v>
      </c>
      <c r="O67" s="75">
        <v>18.782</v>
      </c>
      <c r="P67" s="76">
        <v>-9.9999999656574801E-4</v>
      </c>
      <c r="Q67" s="109" cm="1">
        <f t="array" ref="Q6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7" s="76">
        <v>-9.9999998928979039E-4</v>
      </c>
      <c r="S67" s="77" cm="1">
        <f t="array" ref="S6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7" s="76">
        <v>0</v>
      </c>
      <c r="U67" s="77" cm="1">
        <f t="array" ref="U6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7" s="77">
        <v>-9.9999999656574801E-4</v>
      </c>
      <c r="W67" s="77" cm="1">
        <f t="array" ref="W6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7" s="77">
        <v>-9.9999998928979039E-4</v>
      </c>
      <c r="Y67" s="77" cm="1">
        <f t="array" ref="Y6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7" s="107" t="s">
        <v>85</v>
      </c>
      <c r="AD67" s="111"/>
      <c r="AE67" s="1"/>
      <c r="AF67" s="1"/>
      <c r="AG67" s="1"/>
      <c r="AH67" s="1"/>
      <c r="AI67" s="1"/>
      <c r="AJ67" s="4"/>
      <c r="AK67" s="4"/>
      <c r="AL67" s="4"/>
      <c r="AM67" s="4"/>
      <c r="AN67" s="1"/>
      <c r="AO67" s="1"/>
      <c r="AP67" s="1"/>
      <c r="AQ67" s="1"/>
      <c r="AR67" s="1"/>
    </row>
    <row r="68" spans="7:44" ht="14.25" customHeight="1" x14ac:dyDescent="0.2">
      <c r="G68" s="74">
        <v>45750.28125</v>
      </c>
      <c r="H68" s="107" t="s">
        <v>171</v>
      </c>
      <c r="I68" s="107"/>
      <c r="J68" s="116">
        <v>51884.958899999998</v>
      </c>
      <c r="K68" s="116">
        <v>159194.47070000001</v>
      </c>
      <c r="L68" s="116">
        <v>18.778099999999998</v>
      </c>
      <c r="M68" s="75">
        <v>51884.959000000003</v>
      </c>
      <c r="N68" s="75">
        <v>159194.47099999999</v>
      </c>
      <c r="O68" s="75">
        <v>18.779</v>
      </c>
      <c r="P68" s="76">
        <v>1.0000000474974513E-4</v>
      </c>
      <c r="Q68" s="109" cm="1">
        <f t="array" ref="Q6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8" s="76">
        <v>2.9999998514540493E-4</v>
      </c>
      <c r="S68" s="77" cm="1">
        <f t="array" ref="S6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8" s="76">
        <v>9.0000000000145519E-4</v>
      </c>
      <c r="U68" s="77" cm="1">
        <f t="array" ref="U6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8" s="77">
        <v>1.0000000474974513E-4</v>
      </c>
      <c r="W68" s="77" cm="1">
        <f t="array" ref="W6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8" s="77">
        <v>2.9999998514540493E-4</v>
      </c>
      <c r="Y68" s="77" cm="1">
        <f t="array" ref="Y6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8" s="107" t="s">
        <v>85</v>
      </c>
      <c r="AD68" s="111"/>
      <c r="AE68" s="1"/>
      <c r="AF68" s="1"/>
      <c r="AG68" s="1"/>
      <c r="AH68" s="1"/>
      <c r="AI68" s="1"/>
      <c r="AJ68" s="4"/>
      <c r="AK68" s="4"/>
      <c r="AL68" s="4"/>
      <c r="AM68" s="4"/>
      <c r="AN68" s="1"/>
      <c r="AO68" s="1"/>
      <c r="AP68" s="1"/>
      <c r="AQ68" s="1"/>
      <c r="AR68" s="1"/>
    </row>
    <row r="69" spans="7:44" ht="14.25" customHeight="1" x14ac:dyDescent="0.2">
      <c r="G69" s="74">
        <v>45750.28125</v>
      </c>
      <c r="H69" s="107" t="s">
        <v>174</v>
      </c>
      <c r="I69" s="107"/>
      <c r="J69" s="116">
        <v>51888.117700000003</v>
      </c>
      <c r="K69" s="116">
        <v>159194.94529999999</v>
      </c>
      <c r="L69" s="116">
        <v>18.7788</v>
      </c>
      <c r="M69" s="75">
        <v>51888.116999999998</v>
      </c>
      <c r="N69" s="75">
        <v>159194.94500000001</v>
      </c>
      <c r="O69" s="75">
        <v>18.779</v>
      </c>
      <c r="P69" s="76">
        <v>-7.0000000414438546E-4</v>
      </c>
      <c r="Q69" s="109" cm="1">
        <f t="array" ref="Q6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69" s="76">
        <v>-2.9999998514540493E-4</v>
      </c>
      <c r="S69" s="77" cm="1">
        <f t="array" ref="S6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69" s="76">
        <v>1.9999999999953388E-4</v>
      </c>
      <c r="U69" s="77" cm="1">
        <f t="array" ref="U6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69" s="77">
        <v>-7.0000000414438546E-4</v>
      </c>
      <c r="W69" s="77" cm="1">
        <f t="array" ref="W6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69" s="77">
        <v>-2.9999998514540493E-4</v>
      </c>
      <c r="Y69" s="77" cm="1">
        <f t="array" ref="Y6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6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6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6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69" s="107" t="s">
        <v>85</v>
      </c>
      <c r="AD69" s="111"/>
      <c r="AE69" s="1"/>
      <c r="AF69" s="1"/>
      <c r="AG69" s="1"/>
      <c r="AH69" s="1"/>
      <c r="AI69" s="1"/>
      <c r="AJ69" s="4"/>
      <c r="AK69" s="4"/>
      <c r="AL69" s="4"/>
      <c r="AM69" s="4"/>
      <c r="AN69" s="1"/>
      <c r="AO69" s="1"/>
      <c r="AP69" s="1"/>
      <c r="AQ69" s="1"/>
      <c r="AR69" s="1"/>
    </row>
    <row r="70" spans="7:44" ht="14.25" customHeight="1" x14ac:dyDescent="0.2">
      <c r="G70" s="74">
        <v>45750.28125</v>
      </c>
      <c r="H70" s="107" t="s">
        <v>173</v>
      </c>
      <c r="I70" s="107"/>
      <c r="J70" s="116">
        <v>51887.805099999998</v>
      </c>
      <c r="K70" s="116">
        <v>159193.65710000001</v>
      </c>
      <c r="L70" s="116">
        <v>18.778500000000001</v>
      </c>
      <c r="M70" s="75">
        <v>51887.803999999996</v>
      </c>
      <c r="N70" s="75">
        <v>159193.65700000001</v>
      </c>
      <c r="O70" s="75">
        <v>18.779</v>
      </c>
      <c r="P70" s="76">
        <v>-1.1000000013154931E-3</v>
      </c>
      <c r="Q70" s="109" cm="1">
        <f t="array" ref="Q7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0" s="76">
        <v>-1.0000000474974513E-4</v>
      </c>
      <c r="S70" s="77" cm="1">
        <f t="array" ref="S7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0" s="76">
        <v>4.9999999999883471E-4</v>
      </c>
      <c r="U70" s="77" cm="1">
        <f t="array" ref="U7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0" s="77">
        <v>-1.1000000013154931E-3</v>
      </c>
      <c r="W70" s="77" cm="1">
        <f t="array" ref="W7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0" s="77">
        <v>-1.0000000474974513E-4</v>
      </c>
      <c r="Y70" s="77" cm="1">
        <f t="array" ref="Y7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0" s="107" t="s">
        <v>85</v>
      </c>
      <c r="AD70" s="111"/>
      <c r="AE70" s="1"/>
      <c r="AF70" s="1"/>
      <c r="AG70" s="1"/>
      <c r="AH70" s="1"/>
      <c r="AI70" s="1"/>
      <c r="AJ70" s="4"/>
      <c r="AK70" s="4"/>
      <c r="AL70" s="4"/>
      <c r="AM70" s="4"/>
      <c r="AN70" s="1"/>
      <c r="AO70" s="1"/>
      <c r="AP70" s="1"/>
      <c r="AQ70" s="1"/>
      <c r="AR70" s="1"/>
    </row>
    <row r="71" spans="7:44" ht="14.25" customHeight="1" x14ac:dyDescent="0.2">
      <c r="G71" s="74">
        <v>45750.28125</v>
      </c>
      <c r="H71" s="107" t="s">
        <v>176</v>
      </c>
      <c r="I71" s="107"/>
      <c r="J71" s="116">
        <v>51890.969100000002</v>
      </c>
      <c r="K71" s="116">
        <v>159194.1177</v>
      </c>
      <c r="L71" s="116">
        <v>18.779</v>
      </c>
      <c r="M71" s="75">
        <v>51890.968000000001</v>
      </c>
      <c r="N71" s="75">
        <v>159194.117</v>
      </c>
      <c r="O71" s="75">
        <v>18.779</v>
      </c>
      <c r="P71" s="76">
        <v>-1.1000000013154931E-3</v>
      </c>
      <c r="Q71" s="109" cm="1">
        <f t="array" ref="Q7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1" s="76">
        <v>-7.0000000414438546E-4</v>
      </c>
      <c r="S71" s="77" cm="1">
        <f t="array" ref="S7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1" s="76">
        <v>0</v>
      </c>
      <c r="U71" s="77" cm="1">
        <f t="array" ref="U7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1" s="77">
        <v>-1.1000000013154931E-3</v>
      </c>
      <c r="W71" s="77" cm="1">
        <f t="array" ref="W7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1" s="77">
        <v>-7.0000000414438546E-4</v>
      </c>
      <c r="Y71" s="77" cm="1">
        <f t="array" ref="Y7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1" s="107" t="s">
        <v>85</v>
      </c>
      <c r="AD71" s="111"/>
      <c r="AE71" s="1"/>
      <c r="AF71" s="1"/>
      <c r="AG71" s="1"/>
      <c r="AH71" s="1"/>
      <c r="AI71" s="1"/>
      <c r="AJ71" s="4"/>
      <c r="AK71" s="4"/>
      <c r="AL71" s="4"/>
      <c r="AM71" s="4"/>
      <c r="AN71" s="1"/>
      <c r="AO71" s="1"/>
      <c r="AP71" s="1"/>
      <c r="AQ71" s="1"/>
      <c r="AR71" s="1"/>
    </row>
    <row r="72" spans="7:44" ht="14.25" customHeight="1" x14ac:dyDescent="0.2">
      <c r="G72" s="74">
        <v>45750.28125</v>
      </c>
      <c r="H72" s="107" t="s">
        <v>175</v>
      </c>
      <c r="I72" s="107"/>
      <c r="J72" s="116">
        <v>51890.606800000001</v>
      </c>
      <c r="K72" s="116">
        <v>159192.86069999999</v>
      </c>
      <c r="L72" s="116">
        <v>18.771999999999998</v>
      </c>
      <c r="M72" s="75">
        <v>51890.606</v>
      </c>
      <c r="N72" s="75">
        <v>159192.861</v>
      </c>
      <c r="O72" s="75">
        <v>18.771999999999998</v>
      </c>
      <c r="P72" s="76">
        <v>-8.0000000161817297E-4</v>
      </c>
      <c r="Q72" s="109" cm="1">
        <f t="array" ref="Q7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2" s="76">
        <v>3.0000001424923539E-4</v>
      </c>
      <c r="S72" s="77" cm="1">
        <f t="array" ref="S7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2" s="76">
        <v>0</v>
      </c>
      <c r="U72" s="77" cm="1">
        <f t="array" ref="U7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2" s="77">
        <v>-8.0000000161817297E-4</v>
      </c>
      <c r="W72" s="77" cm="1">
        <f t="array" ref="W7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2" s="77">
        <v>3.0000001424923539E-4</v>
      </c>
      <c r="Y72" s="77" cm="1">
        <f t="array" ref="Y7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2" s="107" t="s">
        <v>85</v>
      </c>
      <c r="AD72" s="111"/>
      <c r="AE72" s="1"/>
      <c r="AF72" s="1"/>
      <c r="AG72" s="1"/>
      <c r="AH72" s="1"/>
      <c r="AI72" s="1"/>
      <c r="AJ72" s="4"/>
      <c r="AK72" s="4"/>
      <c r="AL72" s="4"/>
      <c r="AM72" s="4"/>
      <c r="AN72" s="1"/>
      <c r="AO72" s="1"/>
      <c r="AP72" s="1"/>
      <c r="AQ72" s="1"/>
      <c r="AR72" s="1"/>
    </row>
    <row r="73" spans="7:44" ht="14.25" customHeight="1" x14ac:dyDescent="0.2">
      <c r="G73" s="74">
        <v>45750.28125</v>
      </c>
      <c r="H73" s="107" t="s">
        <v>178</v>
      </c>
      <c r="I73" s="107"/>
      <c r="J73" s="116">
        <v>51893.758699999998</v>
      </c>
      <c r="K73" s="116">
        <v>159193.3144</v>
      </c>
      <c r="L73" s="116">
        <v>18.774100000000001</v>
      </c>
      <c r="M73" s="75">
        <v>51893.758000000002</v>
      </c>
      <c r="N73" s="75">
        <v>159193.31400000001</v>
      </c>
      <c r="O73" s="75">
        <v>18.774000000000001</v>
      </c>
      <c r="P73" s="76">
        <v>-6.9999999686842784E-4</v>
      </c>
      <c r="Q73" s="109" cm="1">
        <f t="array" ref="Q7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3" s="76">
        <v>-3.9999998989515007E-4</v>
      </c>
      <c r="S73" s="77" cm="1">
        <f t="array" ref="S7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3" s="76">
        <v>-9.9999999999766942E-5</v>
      </c>
      <c r="U73" s="77" cm="1">
        <f t="array" ref="U7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3" s="77">
        <v>-6.9999999686842784E-4</v>
      </c>
      <c r="W73" s="77" cm="1">
        <f t="array" ref="W7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3" s="77">
        <v>-3.9999998989515007E-4</v>
      </c>
      <c r="Y73" s="77" cm="1">
        <f t="array" ref="Y7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3" s="107" t="s">
        <v>85</v>
      </c>
      <c r="AD73" s="111"/>
      <c r="AE73" s="1"/>
      <c r="AF73" s="1"/>
      <c r="AG73" s="1"/>
      <c r="AH73" s="1"/>
      <c r="AI73" s="1"/>
      <c r="AJ73" s="4"/>
      <c r="AK73" s="4"/>
      <c r="AL73" s="4"/>
      <c r="AM73" s="4"/>
      <c r="AN73" s="1"/>
      <c r="AO73" s="1"/>
      <c r="AP73" s="1"/>
      <c r="AQ73" s="1"/>
      <c r="AR73" s="1"/>
    </row>
    <row r="74" spans="7:44" ht="14.25" customHeight="1" x14ac:dyDescent="0.2">
      <c r="G74" s="74">
        <v>45750.28125</v>
      </c>
      <c r="H74" s="107" t="s">
        <v>177</v>
      </c>
      <c r="I74" s="107"/>
      <c r="J74" s="116">
        <v>51893.441299999999</v>
      </c>
      <c r="K74" s="116">
        <v>159192.04019999999</v>
      </c>
      <c r="L74" s="116">
        <v>18.7683</v>
      </c>
      <c r="M74" s="75">
        <v>51893.440999999999</v>
      </c>
      <c r="N74" s="75">
        <v>159192.04</v>
      </c>
      <c r="O74" s="75">
        <v>18.768999999999998</v>
      </c>
      <c r="P74" s="76">
        <v>-2.9999999969732016E-4</v>
      </c>
      <c r="Q74" s="109" cm="1">
        <f t="array" ref="Q7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4" s="76">
        <v>-1.999999803956598E-4</v>
      </c>
      <c r="S74" s="77" cm="1">
        <f t="array" ref="S7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4" s="76">
        <v>6.9999999999836859E-4</v>
      </c>
      <c r="U74" s="77" cm="1">
        <f t="array" ref="U7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4" s="77">
        <v>-2.9999999969732016E-4</v>
      </c>
      <c r="W74" s="77" cm="1">
        <f t="array" ref="W7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4" s="77">
        <v>-1.999999803956598E-4</v>
      </c>
      <c r="Y74" s="77" cm="1">
        <f t="array" ref="Y7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4" s="107" t="s">
        <v>85</v>
      </c>
      <c r="AD74" s="111"/>
      <c r="AE74" s="1"/>
      <c r="AF74" s="1"/>
      <c r="AG74" s="1"/>
      <c r="AH74" s="1"/>
      <c r="AI74" s="1"/>
      <c r="AJ74" s="4"/>
      <c r="AK74" s="4"/>
      <c r="AL74" s="4"/>
      <c r="AM74" s="4"/>
      <c r="AN74" s="1"/>
      <c r="AO74" s="1"/>
      <c r="AP74" s="1"/>
      <c r="AQ74" s="1"/>
      <c r="AR74" s="1"/>
    </row>
    <row r="75" spans="7:44" ht="14.25" customHeight="1" x14ac:dyDescent="0.2">
      <c r="G75" s="74">
        <v>45750.28125</v>
      </c>
      <c r="H75" s="107" t="s">
        <v>180</v>
      </c>
      <c r="I75" s="107"/>
      <c r="J75" s="116">
        <v>51896.633300000001</v>
      </c>
      <c r="K75" s="116">
        <v>159192.48449999999</v>
      </c>
      <c r="L75" s="116">
        <v>18.7776</v>
      </c>
      <c r="M75" s="75">
        <v>51896.633000000002</v>
      </c>
      <c r="N75" s="75">
        <v>159192.484</v>
      </c>
      <c r="O75" s="75">
        <v>18.777999999999999</v>
      </c>
      <c r="P75" s="76">
        <v>-2.9999999969732016E-4</v>
      </c>
      <c r="Q75" s="109" cm="1">
        <f t="array" ref="Q7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5" s="76">
        <v>-4.999999946448952E-4</v>
      </c>
      <c r="S75" s="77" cm="1">
        <f t="array" ref="S7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5" s="76">
        <v>3.9999999999906777E-4</v>
      </c>
      <c r="U75" s="77" cm="1">
        <f t="array" ref="U7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5" s="77">
        <v>-2.9999999969732016E-4</v>
      </c>
      <c r="W75" s="77" cm="1">
        <f t="array" ref="W7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5" s="77">
        <v>-4.999999946448952E-4</v>
      </c>
      <c r="Y75" s="77" cm="1">
        <f t="array" ref="Y7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5" s="107" t="s">
        <v>85</v>
      </c>
      <c r="AD75" s="111"/>
      <c r="AE75" s="1"/>
      <c r="AF75" s="1"/>
      <c r="AG75" s="1"/>
      <c r="AH75" s="1"/>
      <c r="AI75" s="1"/>
      <c r="AJ75" s="4"/>
      <c r="AK75" s="4"/>
      <c r="AL75" s="4"/>
      <c r="AM75" s="4"/>
      <c r="AN75" s="1"/>
      <c r="AO75" s="1"/>
      <c r="AP75" s="1"/>
      <c r="AQ75" s="1"/>
      <c r="AR75" s="1"/>
    </row>
    <row r="76" spans="7:44" ht="14.25" customHeight="1" x14ac:dyDescent="0.2">
      <c r="G76" s="74">
        <v>45750.28125</v>
      </c>
      <c r="H76" s="107" t="s">
        <v>179</v>
      </c>
      <c r="I76" s="107"/>
      <c r="J76" s="116">
        <v>51896.249799999998</v>
      </c>
      <c r="K76" s="116">
        <v>159191.22630000001</v>
      </c>
      <c r="L76" s="116">
        <v>18.7698</v>
      </c>
      <c r="M76" s="75">
        <v>51896.249000000003</v>
      </c>
      <c r="N76" s="75">
        <v>159191.226</v>
      </c>
      <c r="O76" s="75">
        <v>18.77</v>
      </c>
      <c r="P76" s="76">
        <v>-7.9999999434221536E-4</v>
      </c>
      <c r="Q76" s="109" cm="1">
        <f t="array" ref="Q7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6" s="76">
        <v>-3.0000001424923539E-4</v>
      </c>
      <c r="S76" s="77" cm="1">
        <f t="array" ref="S7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6" s="76">
        <v>1.9999999999953388E-4</v>
      </c>
      <c r="U76" s="77" cm="1">
        <f t="array" ref="U7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6" s="77">
        <v>-7.9999999434221536E-4</v>
      </c>
      <c r="W76" s="77" cm="1">
        <f t="array" ref="W7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6" s="77">
        <v>-3.0000001424923539E-4</v>
      </c>
      <c r="Y76" s="77" cm="1">
        <f t="array" ref="Y7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6" s="107" t="s">
        <v>85</v>
      </c>
      <c r="AD76" s="111"/>
      <c r="AE76" s="1"/>
      <c r="AF76" s="1"/>
      <c r="AG76" s="1"/>
      <c r="AH76" s="1"/>
      <c r="AI76" s="1"/>
      <c r="AJ76" s="4"/>
      <c r="AK76" s="4"/>
      <c r="AL76" s="4"/>
      <c r="AM76" s="4"/>
      <c r="AN76" s="1"/>
      <c r="AO76" s="1"/>
      <c r="AP76" s="1"/>
      <c r="AQ76" s="1"/>
      <c r="AR76" s="1"/>
    </row>
    <row r="77" spans="7:44" ht="14.25" customHeight="1" x14ac:dyDescent="0.2">
      <c r="G77" s="74">
        <v>45750.28125</v>
      </c>
      <c r="H77" s="107" t="s">
        <v>182</v>
      </c>
      <c r="I77" s="107"/>
      <c r="J77" s="116">
        <v>51899.398699999998</v>
      </c>
      <c r="K77" s="116">
        <v>159191.69760000001</v>
      </c>
      <c r="L77" s="116">
        <v>18.777999999999999</v>
      </c>
      <c r="M77" s="75">
        <v>51899.398000000001</v>
      </c>
      <c r="N77" s="75">
        <v>159191.698</v>
      </c>
      <c r="O77" s="75">
        <v>18.777999999999999</v>
      </c>
      <c r="P77" s="76">
        <v>-6.9999999686842784E-4</v>
      </c>
      <c r="Q77" s="109" cm="1">
        <f t="array" ref="Q7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7" s="76">
        <v>3.9999998989515007E-4</v>
      </c>
      <c r="S77" s="77" cm="1">
        <f t="array" ref="S7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7" s="76">
        <v>0</v>
      </c>
      <c r="U77" s="77" cm="1">
        <f t="array" ref="U7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7" s="77">
        <v>-6.9999999686842784E-4</v>
      </c>
      <c r="W77" s="77" cm="1">
        <f t="array" ref="W7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7" s="77">
        <v>3.9999998989515007E-4</v>
      </c>
      <c r="Y77" s="77" cm="1">
        <f t="array" ref="Y7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7" s="107" t="s">
        <v>85</v>
      </c>
      <c r="AD77" s="111"/>
      <c r="AE77" s="1"/>
      <c r="AF77" s="1"/>
      <c r="AG77" s="1"/>
      <c r="AH77" s="1"/>
      <c r="AI77" s="1"/>
      <c r="AJ77" s="4"/>
      <c r="AK77" s="4"/>
      <c r="AL77" s="4"/>
      <c r="AM77" s="4"/>
      <c r="AN77" s="1"/>
      <c r="AO77" s="1"/>
      <c r="AP77" s="1"/>
      <c r="AQ77" s="1"/>
      <c r="AR77" s="1"/>
    </row>
    <row r="78" spans="7:44" ht="14.25" customHeight="1" x14ac:dyDescent="0.2">
      <c r="G78" s="74">
        <v>45750.28125</v>
      </c>
      <c r="H78" s="107" t="s">
        <v>181</v>
      </c>
      <c r="I78" s="107"/>
      <c r="J78" s="116">
        <v>51899.041100000002</v>
      </c>
      <c r="K78" s="116">
        <v>159190.43340000001</v>
      </c>
      <c r="L78" s="116">
        <v>18.771100000000001</v>
      </c>
      <c r="M78" s="75">
        <v>51899.040000000001</v>
      </c>
      <c r="N78" s="75">
        <v>159190.43400000001</v>
      </c>
      <c r="O78" s="75">
        <v>18.771000000000001</v>
      </c>
      <c r="P78" s="76">
        <v>-1.1000000013154931E-3</v>
      </c>
      <c r="Q78" s="109" cm="1">
        <f t="array" ref="Q7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8" s="76">
        <v>5.9999999939464033E-4</v>
      </c>
      <c r="S78" s="77" cm="1">
        <f t="array" ref="S7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8" s="76">
        <v>-9.9999999999766942E-5</v>
      </c>
      <c r="U78" s="77" cm="1">
        <f t="array" ref="U7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8" s="77">
        <v>-1.1000000013154931E-3</v>
      </c>
      <c r="W78" s="77" cm="1">
        <f t="array" ref="W7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8" s="77">
        <v>5.9999999939464033E-4</v>
      </c>
      <c r="Y78" s="77" cm="1">
        <f t="array" ref="Y7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8" s="107" t="s">
        <v>85</v>
      </c>
      <c r="AD78" s="111"/>
      <c r="AE78" s="1"/>
      <c r="AF78" s="1"/>
      <c r="AG78" s="1"/>
      <c r="AH78" s="1"/>
      <c r="AI78" s="1"/>
      <c r="AJ78" s="4"/>
      <c r="AK78" s="4"/>
      <c r="AL78" s="4"/>
      <c r="AM78" s="4"/>
      <c r="AN78" s="1"/>
      <c r="AO78" s="1"/>
      <c r="AP78" s="1"/>
      <c r="AQ78" s="1"/>
      <c r="AR78" s="1"/>
    </row>
    <row r="79" spans="7:44" ht="14.25" customHeight="1" x14ac:dyDescent="0.2">
      <c r="G79" s="74">
        <v>45750.28125</v>
      </c>
      <c r="H79" s="107" t="s">
        <v>184</v>
      </c>
      <c r="I79" s="107"/>
      <c r="J79" s="116">
        <v>51902.292699999998</v>
      </c>
      <c r="K79" s="116">
        <v>159190.88459999999</v>
      </c>
      <c r="L79" s="116">
        <v>18.779</v>
      </c>
      <c r="M79" s="75">
        <v>51902.292000000001</v>
      </c>
      <c r="N79" s="75">
        <v>159190.88500000001</v>
      </c>
      <c r="O79" s="75">
        <v>18.779</v>
      </c>
      <c r="P79" s="76">
        <v>-6.9999999686842784E-4</v>
      </c>
      <c r="Q79" s="109" cm="1">
        <f t="array" ref="Q7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79" s="76">
        <v>4.0000001899898052E-4</v>
      </c>
      <c r="S79" s="77" cm="1">
        <f t="array" ref="S7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79" s="76">
        <v>0</v>
      </c>
      <c r="U79" s="77" cm="1">
        <f t="array" ref="U7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79" s="77">
        <v>-6.9999999686842784E-4</v>
      </c>
      <c r="W79" s="77" cm="1">
        <f t="array" ref="W7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79" s="77">
        <v>4.0000001899898052E-4</v>
      </c>
      <c r="Y79" s="77" cm="1">
        <f t="array" ref="Y7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7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7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7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79" s="107" t="s">
        <v>85</v>
      </c>
      <c r="AD79" s="111"/>
      <c r="AE79" s="1"/>
      <c r="AF79" s="1"/>
      <c r="AG79" s="1"/>
      <c r="AH79" s="1"/>
      <c r="AI79" s="1"/>
      <c r="AJ79" s="4"/>
      <c r="AK79" s="4"/>
      <c r="AL79" s="4"/>
      <c r="AM79" s="4"/>
      <c r="AN79" s="1"/>
      <c r="AO79" s="1"/>
      <c r="AP79" s="1"/>
      <c r="AQ79" s="1"/>
      <c r="AR79" s="1"/>
    </row>
    <row r="80" spans="7:44" ht="14.25" customHeight="1" x14ac:dyDescent="0.2">
      <c r="G80" s="74">
        <v>45750.28125</v>
      </c>
      <c r="H80" s="107" t="s">
        <v>183</v>
      </c>
      <c r="I80" s="107"/>
      <c r="J80" s="116">
        <v>51901.989200000004</v>
      </c>
      <c r="K80" s="116">
        <v>159189.60260000001</v>
      </c>
      <c r="L80" s="116">
        <v>18.770099999999999</v>
      </c>
      <c r="M80" s="75">
        <v>51901.989000000001</v>
      </c>
      <c r="N80" s="75">
        <v>159189.603</v>
      </c>
      <c r="O80" s="75">
        <v>18.77</v>
      </c>
      <c r="P80" s="76">
        <v>-2.0000000222353265E-4</v>
      </c>
      <c r="Q80" s="109" cm="1">
        <f t="array" ref="Q8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0" s="76">
        <v>3.9999998989515007E-4</v>
      </c>
      <c r="S80" s="77" cm="1">
        <f t="array" ref="S8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0" s="76">
        <v>-9.9999999999766942E-5</v>
      </c>
      <c r="U80" s="77" cm="1">
        <f t="array" ref="U8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0" s="77">
        <v>-2.0000000222353265E-4</v>
      </c>
      <c r="W80" s="77" cm="1">
        <f t="array" ref="W8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0" s="77">
        <v>3.9999998989515007E-4</v>
      </c>
      <c r="Y80" s="77" cm="1">
        <f t="array" ref="Y8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0" s="107" t="s">
        <v>85</v>
      </c>
      <c r="AD80" s="111"/>
      <c r="AE80" s="1"/>
      <c r="AF80" s="1"/>
      <c r="AG80" s="1"/>
      <c r="AH80" s="1"/>
      <c r="AI80" s="1"/>
      <c r="AJ80" s="4"/>
      <c r="AK80" s="4"/>
      <c r="AL80" s="4"/>
      <c r="AM80" s="4"/>
      <c r="AN80" s="1"/>
      <c r="AO80" s="1"/>
      <c r="AP80" s="1"/>
      <c r="AQ80" s="1"/>
      <c r="AR80" s="1"/>
    </row>
    <row r="81" spans="7:44" ht="14.25" customHeight="1" x14ac:dyDescent="0.2">
      <c r="G81" s="74">
        <v>45750.28125</v>
      </c>
      <c r="H81" s="107" t="s">
        <v>186</v>
      </c>
      <c r="I81" s="107"/>
      <c r="J81" s="116">
        <v>51905.196199999998</v>
      </c>
      <c r="K81" s="116">
        <v>159190.09460000001</v>
      </c>
      <c r="L81" s="116">
        <v>18.780899999999999</v>
      </c>
      <c r="M81" s="75">
        <v>51905.196000000004</v>
      </c>
      <c r="N81" s="75">
        <v>159190.095</v>
      </c>
      <c r="O81" s="75">
        <v>18.780999999999999</v>
      </c>
      <c r="P81" s="76">
        <v>-1.9999999494757503E-4</v>
      </c>
      <c r="Q81" s="109" cm="1">
        <f t="array" ref="Q8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1" s="76">
        <v>3.9999998989515007E-4</v>
      </c>
      <c r="S81" s="77" cm="1">
        <f t="array" ref="S8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1" s="76">
        <v>9.9999999999766942E-5</v>
      </c>
      <c r="U81" s="77" cm="1">
        <f t="array" ref="U8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1" s="77">
        <v>-1.9999999494757503E-4</v>
      </c>
      <c r="W81" s="77" cm="1">
        <f t="array" ref="W8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1" s="77">
        <v>3.9999998989515007E-4</v>
      </c>
      <c r="Y81" s="77" cm="1">
        <f t="array" ref="Y8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1" s="107" t="s">
        <v>85</v>
      </c>
      <c r="AD81" s="111"/>
      <c r="AE81" s="1"/>
      <c r="AF81" s="1"/>
      <c r="AG81" s="1"/>
      <c r="AH81" s="1"/>
      <c r="AI81" s="1"/>
      <c r="AJ81" s="4"/>
      <c r="AK81" s="4"/>
      <c r="AL81" s="4"/>
      <c r="AM81" s="4"/>
      <c r="AN81" s="1"/>
      <c r="AO81" s="1"/>
      <c r="AP81" s="1"/>
      <c r="AQ81" s="1"/>
      <c r="AR81" s="1"/>
    </row>
    <row r="82" spans="7:44" ht="14.25" customHeight="1" x14ac:dyDescent="0.2">
      <c r="G82" s="74">
        <v>45750.28125</v>
      </c>
      <c r="H82" s="107" t="s">
        <v>185</v>
      </c>
      <c r="I82" s="107"/>
      <c r="J82" s="116">
        <v>51904.885600000001</v>
      </c>
      <c r="K82" s="116">
        <v>159188.8046</v>
      </c>
      <c r="L82" s="116">
        <v>18.773099999999999</v>
      </c>
      <c r="M82" s="75">
        <v>51904.885000000002</v>
      </c>
      <c r="N82" s="75">
        <v>159188.80499999999</v>
      </c>
      <c r="O82" s="75">
        <v>18.773</v>
      </c>
      <c r="P82" s="76">
        <v>-5.9999999939464033E-4</v>
      </c>
      <c r="Q82" s="109" cm="1">
        <f t="array" ref="Q8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2" s="76">
        <v>3.9999998989515007E-4</v>
      </c>
      <c r="S82" s="77" cm="1">
        <f t="array" ref="S8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2" s="76">
        <v>-9.9999999999766942E-5</v>
      </c>
      <c r="U82" s="77" cm="1">
        <f t="array" ref="U8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2" s="77">
        <v>-5.9999999939464033E-4</v>
      </c>
      <c r="W82" s="77" cm="1">
        <f t="array" ref="W8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2" s="77">
        <v>3.9999998989515007E-4</v>
      </c>
      <c r="Y82" s="77" cm="1">
        <f t="array" ref="Y8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2" s="107" t="s">
        <v>85</v>
      </c>
      <c r="AD82" s="111"/>
      <c r="AE82" s="1"/>
      <c r="AF82" s="1"/>
      <c r="AG82" s="1"/>
      <c r="AH82" s="1"/>
      <c r="AI82" s="1"/>
      <c r="AJ82" s="4"/>
      <c r="AK82" s="4"/>
      <c r="AL82" s="4"/>
      <c r="AM82" s="4"/>
      <c r="AN82" s="1"/>
      <c r="AO82" s="1"/>
      <c r="AP82" s="1"/>
      <c r="AQ82" s="1"/>
      <c r="AR82" s="1"/>
    </row>
    <row r="83" spans="7:44" ht="14.25" customHeight="1" x14ac:dyDescent="0.2">
      <c r="G83" s="74">
        <v>45750.28125</v>
      </c>
      <c r="H83" s="107" t="s">
        <v>188</v>
      </c>
      <c r="I83" s="107"/>
      <c r="J83" s="116">
        <v>51907.9522</v>
      </c>
      <c r="K83" s="116">
        <v>159189.36230000001</v>
      </c>
      <c r="L83" s="116">
        <v>18.786000000000001</v>
      </c>
      <c r="M83" s="75">
        <v>51907.951999999997</v>
      </c>
      <c r="N83" s="75">
        <v>159189.36300000001</v>
      </c>
      <c r="O83" s="75">
        <v>18.786000000000001</v>
      </c>
      <c r="P83" s="76">
        <v>-2.0000000222353265E-4</v>
      </c>
      <c r="Q83" s="109" cm="1">
        <f t="array" ref="Q8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3" s="76">
        <v>7.0000000414438546E-4</v>
      </c>
      <c r="S83" s="77" cm="1">
        <f t="array" ref="S8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3" s="76">
        <v>0</v>
      </c>
      <c r="U83" s="77" cm="1">
        <f t="array" ref="U8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3" s="77">
        <v>-2.0000000222353265E-4</v>
      </c>
      <c r="W83" s="77" cm="1">
        <f t="array" ref="W8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3" s="77">
        <v>7.0000000414438546E-4</v>
      </c>
      <c r="Y83" s="77" cm="1">
        <f t="array" ref="Y8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3" s="107" t="s">
        <v>85</v>
      </c>
      <c r="AD83" s="111"/>
      <c r="AE83" s="1"/>
      <c r="AF83" s="1"/>
      <c r="AG83" s="1"/>
      <c r="AH83" s="1"/>
      <c r="AI83" s="1"/>
      <c r="AJ83" s="4"/>
      <c r="AK83" s="4"/>
      <c r="AL83" s="4"/>
      <c r="AM83" s="4"/>
      <c r="AN83" s="1"/>
      <c r="AO83" s="1"/>
      <c r="AP83" s="1"/>
      <c r="AQ83" s="1"/>
      <c r="AR83" s="1"/>
    </row>
    <row r="84" spans="7:44" ht="14.25" customHeight="1" x14ac:dyDescent="0.2">
      <c r="G84" s="74">
        <v>45750.28125</v>
      </c>
      <c r="H84" s="107" t="s">
        <v>187</v>
      </c>
      <c r="I84" s="107"/>
      <c r="J84" s="116">
        <v>51907.578699999998</v>
      </c>
      <c r="K84" s="116">
        <v>159188.09770000001</v>
      </c>
      <c r="L84" s="116">
        <v>18.776</v>
      </c>
      <c r="M84" s="75">
        <v>51907.578000000001</v>
      </c>
      <c r="N84" s="75">
        <v>159188.098</v>
      </c>
      <c r="O84" s="75">
        <v>18.776</v>
      </c>
      <c r="P84" s="76">
        <v>-6.9999999686842784E-4</v>
      </c>
      <c r="Q84" s="109" cm="1">
        <f t="array" ref="Q8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4" s="76">
        <v>2.9999998514540493E-4</v>
      </c>
      <c r="S84" s="77" cm="1">
        <f t="array" ref="S8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4" s="76">
        <v>0</v>
      </c>
      <c r="U84" s="77" cm="1">
        <f t="array" ref="U8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4" s="77">
        <v>-6.9999999686842784E-4</v>
      </c>
      <c r="W84" s="77" cm="1">
        <f t="array" ref="W8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4" s="77">
        <v>2.9999998514540493E-4</v>
      </c>
      <c r="Y84" s="77" cm="1">
        <f t="array" ref="Y8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4" s="107" t="s">
        <v>85</v>
      </c>
      <c r="AD84" s="111"/>
      <c r="AE84" s="1"/>
      <c r="AF84" s="1"/>
      <c r="AG84" s="1"/>
      <c r="AH84" s="1"/>
      <c r="AI84" s="1"/>
      <c r="AJ84" s="4"/>
      <c r="AK84" s="4"/>
      <c r="AL84" s="4"/>
      <c r="AM84" s="4"/>
      <c r="AN84" s="1"/>
      <c r="AO84" s="1"/>
      <c r="AP84" s="1"/>
      <c r="AQ84" s="1"/>
      <c r="AR84" s="1"/>
    </row>
    <row r="85" spans="7:44" ht="14.25" customHeight="1" x14ac:dyDescent="0.2">
      <c r="G85" s="74">
        <v>45750.28125</v>
      </c>
      <c r="H85" s="107" t="s">
        <v>190</v>
      </c>
      <c r="I85" s="107"/>
      <c r="J85" s="116">
        <v>51910.962800000001</v>
      </c>
      <c r="K85" s="116">
        <v>159188.60079999999</v>
      </c>
      <c r="L85" s="116">
        <v>18.794599999999999</v>
      </c>
      <c r="M85" s="75">
        <v>51910.962</v>
      </c>
      <c r="N85" s="75">
        <v>159188.601</v>
      </c>
      <c r="O85" s="75">
        <v>18.795000000000002</v>
      </c>
      <c r="P85" s="76">
        <v>-8.0000000161817297E-4</v>
      </c>
      <c r="Q85" s="109" cm="1">
        <f t="array" ref="Q8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5" s="76">
        <v>2.0000000949949026E-4</v>
      </c>
      <c r="S85" s="77" cm="1">
        <f t="array" ref="S8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5" s="76">
        <v>4.0000000000262048E-4</v>
      </c>
      <c r="U85" s="77" cm="1">
        <f t="array" ref="U8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5" s="77">
        <v>-8.0000000161817297E-4</v>
      </c>
      <c r="W85" s="77" cm="1">
        <f t="array" ref="W8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5" s="77">
        <v>2.0000000949949026E-4</v>
      </c>
      <c r="Y85" s="77" cm="1">
        <f t="array" ref="Y8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5" s="107" t="s">
        <v>85</v>
      </c>
      <c r="AD85" s="111"/>
      <c r="AE85" s="1"/>
      <c r="AF85" s="1"/>
      <c r="AG85" s="1"/>
      <c r="AH85" s="1"/>
      <c r="AI85" s="1"/>
      <c r="AJ85" s="4"/>
      <c r="AK85" s="4"/>
      <c r="AL85" s="4"/>
      <c r="AM85" s="4"/>
      <c r="AN85" s="1"/>
      <c r="AO85" s="1"/>
      <c r="AP85" s="1"/>
      <c r="AQ85" s="1"/>
      <c r="AR85" s="1"/>
    </row>
    <row r="86" spans="7:44" ht="14.25" customHeight="1" x14ac:dyDescent="0.2">
      <c r="G86" s="74">
        <v>45750.28125</v>
      </c>
      <c r="H86" s="107" t="s">
        <v>189</v>
      </c>
      <c r="I86" s="107"/>
      <c r="J86" s="116">
        <v>51910.640099999997</v>
      </c>
      <c r="K86" s="116">
        <v>159187.3223</v>
      </c>
      <c r="L86" s="116">
        <v>18.7836</v>
      </c>
      <c r="M86" s="75">
        <v>51910.639000000003</v>
      </c>
      <c r="N86" s="75">
        <v>159187.323</v>
      </c>
      <c r="O86" s="75">
        <v>18.783999999999999</v>
      </c>
      <c r="P86" s="76">
        <v>-1.0999999940395355E-3</v>
      </c>
      <c r="Q86" s="109" cm="1">
        <f t="array" ref="Q8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6" s="76">
        <v>7.0000000414438546E-4</v>
      </c>
      <c r="S86" s="77" cm="1">
        <f t="array" ref="S8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6" s="76">
        <v>3.9999999999906777E-4</v>
      </c>
      <c r="U86" s="77" cm="1">
        <f t="array" ref="U8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6" s="77">
        <v>-1.0999999940395355E-3</v>
      </c>
      <c r="W86" s="77" cm="1">
        <f t="array" ref="W8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6" s="77">
        <v>7.0000000414438546E-4</v>
      </c>
      <c r="Y86" s="77" cm="1">
        <f t="array" ref="Y8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6" s="107" t="s">
        <v>85</v>
      </c>
      <c r="AD86" s="111"/>
      <c r="AE86" s="1"/>
      <c r="AF86" s="1"/>
      <c r="AG86" s="1"/>
      <c r="AH86" s="1"/>
      <c r="AI86" s="1"/>
      <c r="AJ86" s="4"/>
      <c r="AK86" s="4"/>
      <c r="AL86" s="4"/>
      <c r="AM86" s="4"/>
      <c r="AN86" s="1"/>
      <c r="AO86" s="1"/>
      <c r="AP86" s="1"/>
      <c r="AQ86" s="1"/>
      <c r="AR86" s="1"/>
    </row>
    <row r="87" spans="7:44" ht="14.25" customHeight="1" x14ac:dyDescent="0.2">
      <c r="G87" s="74">
        <v>45750.28125</v>
      </c>
      <c r="H87" s="107" t="s">
        <v>192</v>
      </c>
      <c r="I87" s="107"/>
      <c r="J87" s="116">
        <v>51913.751100000001</v>
      </c>
      <c r="K87" s="116">
        <v>159187.9178</v>
      </c>
      <c r="L87" s="116">
        <v>18.809000000000001</v>
      </c>
      <c r="M87" s="75">
        <v>51913.75</v>
      </c>
      <c r="N87" s="75">
        <v>159187.91800000001</v>
      </c>
      <c r="O87" s="75">
        <v>18.809000000000001</v>
      </c>
      <c r="P87" s="76">
        <v>-1.1000000013154931E-3</v>
      </c>
      <c r="Q87" s="109" cm="1">
        <f t="array" ref="Q8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7" s="76">
        <v>2.0000000949949026E-4</v>
      </c>
      <c r="S87" s="77" cm="1">
        <f t="array" ref="S8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7" s="76">
        <v>0</v>
      </c>
      <c r="U87" s="77" cm="1">
        <f t="array" ref="U8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7" s="77">
        <v>-1.1000000013154931E-3</v>
      </c>
      <c r="W87" s="77" cm="1">
        <f t="array" ref="W8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7" s="77">
        <v>2.0000000949949026E-4</v>
      </c>
      <c r="Y87" s="77" cm="1">
        <f t="array" ref="Y8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7" s="107" t="s">
        <v>85</v>
      </c>
      <c r="AD87" s="111"/>
      <c r="AE87" s="1"/>
      <c r="AF87" s="1"/>
      <c r="AG87" s="1"/>
      <c r="AH87" s="1"/>
      <c r="AI87" s="1"/>
      <c r="AJ87" s="4"/>
      <c r="AK87" s="4"/>
      <c r="AL87" s="4"/>
      <c r="AM87" s="4"/>
      <c r="AN87" s="1"/>
      <c r="AO87" s="1"/>
      <c r="AP87" s="1"/>
      <c r="AQ87" s="1"/>
      <c r="AR87" s="1"/>
    </row>
    <row r="88" spans="7:44" ht="14.25" customHeight="1" x14ac:dyDescent="0.2">
      <c r="G88" s="74">
        <v>45750.28125</v>
      </c>
      <c r="H88" s="107" t="s">
        <v>191</v>
      </c>
      <c r="I88" s="107"/>
      <c r="J88" s="116">
        <v>51913.421499999997</v>
      </c>
      <c r="K88" s="116">
        <v>159186.63630000001</v>
      </c>
      <c r="L88" s="116">
        <v>18.794899999999998</v>
      </c>
      <c r="M88" s="75">
        <v>51913.421000000002</v>
      </c>
      <c r="N88" s="75">
        <v>159186.63699999999</v>
      </c>
      <c r="O88" s="75">
        <v>18.795000000000002</v>
      </c>
      <c r="P88" s="76">
        <v>-4.999999946448952E-4</v>
      </c>
      <c r="Q88" s="109" cm="1">
        <f t="array" ref="Q8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8" s="76">
        <v>6.99999975040555E-4</v>
      </c>
      <c r="S88" s="77" cm="1">
        <f t="array" ref="S8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8" s="76">
        <v>1.0000000000331966E-4</v>
      </c>
      <c r="U88" s="77" cm="1">
        <f t="array" ref="U8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8" s="77">
        <v>-4.999999946448952E-4</v>
      </c>
      <c r="W88" s="77" cm="1">
        <f t="array" ref="W8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8" s="77">
        <v>6.99999975040555E-4</v>
      </c>
      <c r="Y88" s="77" cm="1">
        <f t="array" ref="Y8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8" s="107" t="s">
        <v>85</v>
      </c>
      <c r="AD88" s="111"/>
      <c r="AE88" s="1"/>
      <c r="AF88" s="1"/>
      <c r="AG88" s="1"/>
      <c r="AH88" s="1"/>
      <c r="AI88" s="1"/>
      <c r="AJ88" s="4"/>
      <c r="AK88" s="4"/>
      <c r="AL88" s="4"/>
      <c r="AM88" s="4"/>
      <c r="AN88" s="1"/>
      <c r="AO88" s="1"/>
      <c r="AP88" s="1"/>
      <c r="AQ88" s="1"/>
      <c r="AR88" s="1"/>
    </row>
    <row r="89" spans="7:44" ht="14.25" customHeight="1" x14ac:dyDescent="0.2">
      <c r="G89" s="74">
        <v>45750.28125</v>
      </c>
      <c r="H89" s="107" t="s">
        <v>165</v>
      </c>
      <c r="I89" s="107"/>
      <c r="J89" s="116">
        <v>51884.538999999997</v>
      </c>
      <c r="K89" s="116">
        <v>159193.38269999999</v>
      </c>
      <c r="L89" s="116">
        <v>19.331700000000001</v>
      </c>
      <c r="M89" s="75">
        <v>51884.538999999997</v>
      </c>
      <c r="N89" s="75">
        <v>159193.38200000001</v>
      </c>
      <c r="O89" s="75">
        <v>19.332000000000001</v>
      </c>
      <c r="P89" s="76">
        <v>0</v>
      </c>
      <c r="Q89" s="109" cm="1">
        <f t="array" ref="Q8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89" s="76">
        <v>-6.99999975040555E-4</v>
      </c>
      <c r="S89" s="77" cm="1">
        <f t="array" ref="S8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89" s="76">
        <v>2.9999999999930083E-4</v>
      </c>
      <c r="U89" s="77" cm="1">
        <f t="array" ref="U8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89" s="77">
        <v>0</v>
      </c>
      <c r="W89" s="77" cm="1">
        <f t="array" ref="W8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89" s="77">
        <v>-6.99999975040555E-4</v>
      </c>
      <c r="Y89" s="77" cm="1">
        <f t="array" ref="Y8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8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8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8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89" s="107" t="s">
        <v>85</v>
      </c>
      <c r="AD89" s="111"/>
      <c r="AE89" s="1"/>
      <c r="AF89" s="1"/>
      <c r="AG89" s="1"/>
      <c r="AH89" s="1"/>
      <c r="AI89" s="1"/>
      <c r="AJ89" s="4"/>
      <c r="AK89" s="4"/>
      <c r="AL89" s="4"/>
      <c r="AM89" s="4"/>
      <c r="AN89" s="1"/>
      <c r="AO89" s="1"/>
      <c r="AP89" s="1"/>
      <c r="AQ89" s="1"/>
      <c r="AR89" s="1"/>
    </row>
    <row r="90" spans="7:44" ht="14.25" customHeight="1" x14ac:dyDescent="0.2">
      <c r="G90" s="74">
        <v>45750.28125</v>
      </c>
      <c r="H90" s="107" t="s">
        <v>166</v>
      </c>
      <c r="I90" s="107"/>
      <c r="J90" s="116">
        <v>51890.2863</v>
      </c>
      <c r="K90" s="116">
        <v>159191.73069999999</v>
      </c>
      <c r="L90" s="116">
        <v>19.321999999999999</v>
      </c>
      <c r="M90" s="75">
        <v>51890.286</v>
      </c>
      <c r="N90" s="75">
        <v>159191.73000000001</v>
      </c>
      <c r="O90" s="75">
        <v>19.321999999999999</v>
      </c>
      <c r="P90" s="76">
        <v>-2.9999999969732016E-4</v>
      </c>
      <c r="Q90" s="109" cm="1">
        <f t="array" ref="Q9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0" s="76">
        <v>-6.99999975040555E-4</v>
      </c>
      <c r="S90" s="77" cm="1">
        <f t="array" ref="S9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0" s="76">
        <v>0</v>
      </c>
      <c r="U90" s="77" cm="1">
        <f t="array" ref="U9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0" s="77">
        <v>-2.9999999969732016E-4</v>
      </c>
      <c r="W90" s="77" cm="1">
        <f t="array" ref="W9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0" s="77">
        <v>-6.99999975040555E-4</v>
      </c>
      <c r="Y90" s="77" cm="1">
        <f t="array" ref="Y9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0" s="107" t="s">
        <v>85</v>
      </c>
      <c r="AD90" s="111"/>
      <c r="AE90" s="1"/>
      <c r="AF90" s="1"/>
      <c r="AG90" s="1"/>
      <c r="AH90" s="1"/>
      <c r="AI90" s="1"/>
      <c r="AJ90" s="4"/>
      <c r="AK90" s="4"/>
      <c r="AL90" s="4"/>
      <c r="AM90" s="4"/>
      <c r="AN90" s="1"/>
      <c r="AO90" s="1"/>
      <c r="AP90" s="1"/>
      <c r="AQ90" s="1"/>
      <c r="AR90" s="1"/>
    </row>
    <row r="91" spans="7:44" ht="14.25" customHeight="1" x14ac:dyDescent="0.2">
      <c r="G91" s="74">
        <v>45750.28125</v>
      </c>
      <c r="H91" s="107" t="s">
        <v>167</v>
      </c>
      <c r="I91" s="107"/>
      <c r="J91" s="116">
        <v>51895.920700000002</v>
      </c>
      <c r="K91" s="116">
        <v>159190.1</v>
      </c>
      <c r="L91" s="116">
        <v>19.334</v>
      </c>
      <c r="M91" s="75">
        <v>51895.921000000002</v>
      </c>
      <c r="N91" s="75">
        <v>159190.1</v>
      </c>
      <c r="O91" s="75">
        <v>19.334</v>
      </c>
      <c r="P91" s="76">
        <v>2.9999999969732016E-4</v>
      </c>
      <c r="Q91" s="109" cm="1">
        <f t="array" ref="Q9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1" s="76">
        <v>0</v>
      </c>
      <c r="S91" s="77" cm="1">
        <f t="array" ref="S9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1" s="76">
        <v>0</v>
      </c>
      <c r="U91" s="77" cm="1">
        <f t="array" ref="U9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1" s="77">
        <v>2.9999999969732016E-4</v>
      </c>
      <c r="W91" s="77" cm="1">
        <f t="array" ref="W9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1" s="77">
        <v>0</v>
      </c>
      <c r="Y91" s="77" cm="1">
        <f t="array" ref="Y9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1" s="107" t="s">
        <v>85</v>
      </c>
      <c r="AD91" s="111"/>
      <c r="AE91" s="1"/>
      <c r="AF91" s="1"/>
      <c r="AG91" s="1"/>
      <c r="AH91" s="1"/>
      <c r="AI91" s="1"/>
      <c r="AJ91" s="4"/>
      <c r="AK91" s="4"/>
      <c r="AL91" s="4"/>
      <c r="AM91" s="4"/>
      <c r="AN91" s="1"/>
      <c r="AO91" s="1"/>
      <c r="AP91" s="1"/>
      <c r="AQ91" s="1"/>
      <c r="AR91" s="1"/>
    </row>
    <row r="92" spans="7:44" ht="14.25" customHeight="1" x14ac:dyDescent="0.2">
      <c r="G92" s="74">
        <v>45750.28125</v>
      </c>
      <c r="H92" s="107" t="s">
        <v>168</v>
      </c>
      <c r="I92" s="107"/>
      <c r="J92" s="116">
        <v>51899.7667</v>
      </c>
      <c r="K92" s="116">
        <v>159188.9933</v>
      </c>
      <c r="L92" s="116">
        <v>19.344999999999999</v>
      </c>
      <c r="M92" s="75">
        <v>51899.767</v>
      </c>
      <c r="N92" s="75">
        <v>159188.99299999999</v>
      </c>
      <c r="O92" s="75">
        <v>19.344999999999999</v>
      </c>
      <c r="P92" s="76">
        <v>2.9999999969732016E-4</v>
      </c>
      <c r="Q92" s="109" cm="1">
        <f t="array" ref="Q9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2" s="76">
        <v>-3.0000001424923539E-4</v>
      </c>
      <c r="S92" s="77" cm="1">
        <f t="array" ref="S9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2" s="76">
        <v>0</v>
      </c>
      <c r="U92" s="77" cm="1">
        <f t="array" ref="U9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2" s="77">
        <v>2.9999999969732016E-4</v>
      </c>
      <c r="W92" s="77" cm="1">
        <f t="array" ref="W9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2" s="77">
        <v>-3.0000001424923539E-4</v>
      </c>
      <c r="Y92" s="77" cm="1">
        <f t="array" ref="Y9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2" s="107" t="s">
        <v>85</v>
      </c>
      <c r="AD92" s="111"/>
      <c r="AE92" s="1"/>
      <c r="AF92" s="1"/>
      <c r="AG92" s="1"/>
      <c r="AH92" s="1"/>
      <c r="AI92" s="1"/>
      <c r="AJ92" s="4"/>
      <c r="AK92" s="4"/>
      <c r="AL92" s="4"/>
      <c r="AM92" s="4"/>
      <c r="AN92" s="1"/>
      <c r="AO92" s="1"/>
      <c r="AP92" s="1"/>
      <c r="AQ92" s="1"/>
      <c r="AR92" s="1"/>
    </row>
    <row r="93" spans="7:44" ht="14.25" customHeight="1" x14ac:dyDescent="0.2">
      <c r="G93" s="74">
        <v>45750.28125</v>
      </c>
      <c r="H93" s="107" t="s">
        <v>169</v>
      </c>
      <c r="I93" s="107"/>
      <c r="J93" s="116">
        <v>51903.6083</v>
      </c>
      <c r="K93" s="116">
        <v>159187.88200000001</v>
      </c>
      <c r="L93" s="116">
        <v>19.356999999999999</v>
      </c>
      <c r="M93" s="75">
        <v>51903.608999999997</v>
      </c>
      <c r="N93" s="75">
        <v>159187.88200000001</v>
      </c>
      <c r="O93" s="75">
        <v>19.356999999999999</v>
      </c>
      <c r="P93" s="76">
        <v>6.9999999686842784E-4</v>
      </c>
      <c r="Q93" s="109" cm="1">
        <f t="array" ref="Q9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3" s="76">
        <v>0</v>
      </c>
      <c r="S93" s="77" cm="1">
        <f t="array" ref="S9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3" s="76">
        <v>0</v>
      </c>
      <c r="U93" s="77" cm="1">
        <f t="array" ref="U9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3" s="77">
        <v>6.9999999686842784E-4</v>
      </c>
      <c r="W93" s="77" cm="1">
        <f t="array" ref="W9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3" s="77">
        <v>0</v>
      </c>
      <c r="Y93" s="77" cm="1">
        <f t="array" ref="Y9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3" s="107" t="s">
        <v>85</v>
      </c>
      <c r="AD93" s="111"/>
      <c r="AE93" s="1"/>
      <c r="AF93" s="1"/>
      <c r="AG93" s="1"/>
      <c r="AH93" s="1"/>
      <c r="AI93" s="1"/>
      <c r="AJ93" s="4"/>
      <c r="AK93" s="4"/>
      <c r="AL93" s="4"/>
      <c r="AM93" s="4"/>
      <c r="AN93" s="1"/>
      <c r="AO93" s="1"/>
      <c r="AP93" s="1"/>
      <c r="AQ93" s="1"/>
      <c r="AR93" s="1"/>
    </row>
    <row r="94" spans="7:44" ht="14.25" customHeight="1" x14ac:dyDescent="0.2">
      <c r="G94" s="74">
        <v>45750.28125</v>
      </c>
      <c r="H94" s="107" t="s">
        <v>170</v>
      </c>
      <c r="I94" s="107"/>
      <c r="J94" s="116">
        <v>51910.065000000002</v>
      </c>
      <c r="K94" s="116">
        <v>159186.02369999999</v>
      </c>
      <c r="L94" s="116">
        <v>19.356999999999999</v>
      </c>
      <c r="M94" s="75">
        <v>51910.065000000002</v>
      </c>
      <c r="N94" s="75">
        <v>159186.02299999999</v>
      </c>
      <c r="O94" s="75">
        <v>19.356999999999999</v>
      </c>
      <c r="P94" s="76">
        <v>0</v>
      </c>
      <c r="Q94" s="109" cm="1">
        <f t="array" ref="Q9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4" s="76">
        <v>-7.0000000414438546E-4</v>
      </c>
      <c r="S94" s="77" cm="1">
        <f t="array" ref="S9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4" s="76">
        <v>0</v>
      </c>
      <c r="U94" s="77" cm="1">
        <f t="array" ref="U9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4" s="77">
        <v>0</v>
      </c>
      <c r="W94" s="77" cm="1">
        <f t="array" ref="W9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4" s="77">
        <v>-7.0000000414438546E-4</v>
      </c>
      <c r="Y94" s="77" cm="1">
        <f t="array" ref="Y9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4" s="107" t="s">
        <v>85</v>
      </c>
      <c r="AD94" s="111"/>
      <c r="AE94" s="1"/>
      <c r="AF94" s="1"/>
      <c r="AG94" s="1"/>
      <c r="AH94" s="1"/>
      <c r="AI94" s="1"/>
      <c r="AJ94" s="4"/>
      <c r="AK94" s="4"/>
      <c r="AL94" s="4"/>
      <c r="AM94" s="4"/>
      <c r="AN94" s="1"/>
      <c r="AO94" s="1"/>
      <c r="AP94" s="1"/>
      <c r="AQ94" s="1"/>
      <c r="AR94" s="1"/>
    </row>
    <row r="95" spans="7:44" ht="14.25" customHeight="1" x14ac:dyDescent="0.2">
      <c r="G95" s="74">
        <v>45743.493055555555</v>
      </c>
      <c r="H95" s="107" t="s">
        <v>172</v>
      </c>
      <c r="I95" s="107"/>
      <c r="J95" s="116">
        <v>51885.34</v>
      </c>
      <c r="K95" s="116">
        <v>159195.739</v>
      </c>
      <c r="L95" s="116">
        <v>18.782</v>
      </c>
      <c r="M95" s="75">
        <v>51885.339</v>
      </c>
      <c r="N95" s="75">
        <v>159195.73800000001</v>
      </c>
      <c r="O95" s="75">
        <v>18.782</v>
      </c>
      <c r="P95" s="76">
        <v>-9.9999999656574801E-4</v>
      </c>
      <c r="Q95" s="109" cm="1">
        <f t="array" ref="Q9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5" s="76">
        <v>-9.9999998928979039E-4</v>
      </c>
      <c r="S95" s="77" cm="1">
        <f t="array" ref="S9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5" s="76">
        <v>0</v>
      </c>
      <c r="U95" s="77" cm="1">
        <f t="array" ref="U9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5" s="77">
        <v>-9.9999999656574801E-4</v>
      </c>
      <c r="W95" s="77" cm="1">
        <f t="array" ref="W9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5" s="77">
        <v>-9.9999998928979039E-4</v>
      </c>
      <c r="Y95" s="77" cm="1">
        <f t="array" ref="Y9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5" s="107" t="s">
        <v>85</v>
      </c>
      <c r="AD95" s="111"/>
      <c r="AE95" s="1"/>
      <c r="AF95" s="1"/>
      <c r="AG95" s="1"/>
      <c r="AH95" s="1"/>
      <c r="AI95" s="1"/>
      <c r="AJ95" s="4"/>
      <c r="AK95" s="4"/>
      <c r="AL95" s="4"/>
      <c r="AM95" s="4"/>
      <c r="AN95" s="1"/>
      <c r="AO95" s="1"/>
      <c r="AP95" s="1"/>
      <c r="AQ95" s="1"/>
      <c r="AR95" s="1"/>
    </row>
    <row r="96" spans="7:44" ht="14.25" customHeight="1" x14ac:dyDescent="0.2">
      <c r="G96" s="74">
        <v>45743.493055555555</v>
      </c>
      <c r="H96" s="107" t="s">
        <v>171</v>
      </c>
      <c r="I96" s="107"/>
      <c r="J96" s="116">
        <v>51884.958899999998</v>
      </c>
      <c r="K96" s="116">
        <v>159194.47070000001</v>
      </c>
      <c r="L96" s="116">
        <v>18.778099999999998</v>
      </c>
      <c r="M96" s="75">
        <v>51884.959000000003</v>
      </c>
      <c r="N96" s="75">
        <v>159194.47</v>
      </c>
      <c r="O96" s="75">
        <v>18.777999999999999</v>
      </c>
      <c r="P96" s="76">
        <v>1.0000000474974513E-4</v>
      </c>
      <c r="Q96" s="109" cm="1">
        <f t="array" ref="Q9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6" s="76">
        <v>-7.0000000414438546E-4</v>
      </c>
      <c r="S96" s="77" cm="1">
        <f t="array" ref="S9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6" s="76">
        <v>-9.9999999999766942E-5</v>
      </c>
      <c r="U96" s="77" cm="1">
        <f t="array" ref="U9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6" s="77">
        <v>1.0000000474974513E-4</v>
      </c>
      <c r="W96" s="77" cm="1">
        <f t="array" ref="W9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6" s="77">
        <v>-7.0000000414438546E-4</v>
      </c>
      <c r="Y96" s="77" cm="1">
        <f t="array" ref="Y9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6" s="107" t="s">
        <v>85</v>
      </c>
      <c r="AD96" s="111"/>
      <c r="AE96" s="1"/>
      <c r="AF96" s="1"/>
      <c r="AG96" s="1"/>
      <c r="AH96" s="1"/>
      <c r="AI96" s="1"/>
      <c r="AJ96" s="4"/>
      <c r="AK96" s="4"/>
      <c r="AL96" s="4"/>
      <c r="AM96" s="4"/>
      <c r="AN96" s="1"/>
      <c r="AO96" s="1"/>
      <c r="AP96" s="1"/>
      <c r="AQ96" s="1"/>
      <c r="AR96" s="1"/>
    </row>
    <row r="97" spans="7:44" ht="14.25" customHeight="1" x14ac:dyDescent="0.2">
      <c r="G97" s="74">
        <v>45743.493055555555</v>
      </c>
      <c r="H97" s="107" t="s">
        <v>174</v>
      </c>
      <c r="I97" s="107"/>
      <c r="J97" s="116">
        <v>51888.117700000003</v>
      </c>
      <c r="K97" s="116">
        <v>159194.94529999999</v>
      </c>
      <c r="L97" s="116">
        <v>18.7788</v>
      </c>
      <c r="M97" s="75">
        <v>51888.116999999998</v>
      </c>
      <c r="N97" s="75">
        <v>159194.94500000001</v>
      </c>
      <c r="O97" s="75">
        <v>18.779</v>
      </c>
      <c r="P97" s="76">
        <v>-7.0000000414438546E-4</v>
      </c>
      <c r="Q97" s="109" cm="1">
        <f t="array" ref="Q9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7" s="76">
        <v>-2.9999998514540493E-4</v>
      </c>
      <c r="S97" s="77" cm="1">
        <f t="array" ref="S9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7" s="76">
        <v>1.9999999999953388E-4</v>
      </c>
      <c r="U97" s="77" cm="1">
        <f t="array" ref="U9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7" s="77">
        <v>-7.0000000414438546E-4</v>
      </c>
      <c r="W97" s="77" cm="1">
        <f t="array" ref="W9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7" s="77">
        <v>-2.9999998514540493E-4</v>
      </c>
      <c r="Y97" s="77" cm="1">
        <f t="array" ref="Y9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7" s="107" t="s">
        <v>85</v>
      </c>
      <c r="AD97" s="111"/>
      <c r="AE97" s="1"/>
      <c r="AF97" s="1"/>
      <c r="AG97" s="1"/>
      <c r="AH97" s="1"/>
      <c r="AI97" s="1"/>
      <c r="AJ97" s="4"/>
      <c r="AK97" s="4"/>
      <c r="AL97" s="4"/>
      <c r="AM97" s="4"/>
      <c r="AN97" s="1"/>
      <c r="AO97" s="1"/>
      <c r="AP97" s="1"/>
      <c r="AQ97" s="1"/>
      <c r="AR97" s="1"/>
    </row>
    <row r="98" spans="7:44" ht="14.25" customHeight="1" x14ac:dyDescent="0.2">
      <c r="G98" s="74">
        <v>45743.493055555555</v>
      </c>
      <c r="H98" s="107" t="s">
        <v>173</v>
      </c>
      <c r="I98" s="107"/>
      <c r="J98" s="116">
        <v>51887.805099999998</v>
      </c>
      <c r="K98" s="116">
        <v>159193.65710000001</v>
      </c>
      <c r="L98" s="116">
        <v>18.778500000000001</v>
      </c>
      <c r="M98" s="75">
        <v>51887.803999999996</v>
      </c>
      <c r="N98" s="75">
        <v>159193.65700000001</v>
      </c>
      <c r="O98" s="75">
        <v>18.779</v>
      </c>
      <c r="P98" s="76">
        <v>-1.1000000013154931E-3</v>
      </c>
      <c r="Q98" s="109" cm="1">
        <f t="array" ref="Q9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8" s="76">
        <v>-1.0000000474974513E-4</v>
      </c>
      <c r="S98" s="77" cm="1">
        <f t="array" ref="S9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8" s="76">
        <v>4.9999999999883471E-4</v>
      </c>
      <c r="U98" s="77" cm="1">
        <f t="array" ref="U9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8" s="77">
        <v>-1.1000000013154931E-3</v>
      </c>
      <c r="W98" s="77" cm="1">
        <f t="array" ref="W9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8" s="77">
        <v>-1.0000000474974513E-4</v>
      </c>
      <c r="Y98" s="77" cm="1">
        <f t="array" ref="Y9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8" s="107" t="s">
        <v>85</v>
      </c>
      <c r="AD98" s="111"/>
      <c r="AE98" s="1"/>
      <c r="AF98" s="1"/>
      <c r="AG98" s="1"/>
      <c r="AH98" s="1"/>
      <c r="AI98" s="1"/>
      <c r="AJ98" s="4"/>
      <c r="AK98" s="4"/>
      <c r="AL98" s="4"/>
      <c r="AM98" s="4"/>
      <c r="AN98" s="1"/>
      <c r="AO98" s="1"/>
      <c r="AP98" s="1"/>
      <c r="AQ98" s="1"/>
      <c r="AR98" s="1"/>
    </row>
    <row r="99" spans="7:44" ht="14.25" customHeight="1" x14ac:dyDescent="0.2">
      <c r="G99" s="74">
        <v>45743.493055555555</v>
      </c>
      <c r="H99" s="107" t="s">
        <v>176</v>
      </c>
      <c r="I99" s="107"/>
      <c r="J99" s="116">
        <v>51890.969100000002</v>
      </c>
      <c r="K99" s="116">
        <v>159194.1177</v>
      </c>
      <c r="L99" s="116">
        <v>18.779</v>
      </c>
      <c r="M99" s="75">
        <v>51890.968000000001</v>
      </c>
      <c r="N99" s="75">
        <v>159194.117</v>
      </c>
      <c r="O99" s="75">
        <v>18.779</v>
      </c>
      <c r="P99" s="76">
        <v>-1.1000000013154931E-3</v>
      </c>
      <c r="Q99" s="109" cm="1">
        <f t="array" ref="Q9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99" s="76">
        <v>-7.0000000414438546E-4</v>
      </c>
      <c r="S99" s="77" cm="1">
        <f t="array" ref="S9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99" s="76">
        <v>0</v>
      </c>
      <c r="U99" s="77" cm="1">
        <f t="array" ref="U9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99" s="77">
        <v>-1.1000000013154931E-3</v>
      </c>
      <c r="W99" s="77" cm="1">
        <f t="array" ref="W9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99" s="77">
        <v>-7.0000000414438546E-4</v>
      </c>
      <c r="Y99" s="77" cm="1">
        <f t="array" ref="Y9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9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9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9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99" s="107" t="s">
        <v>85</v>
      </c>
      <c r="AD99" s="111"/>
      <c r="AE99" s="1"/>
      <c r="AF99" s="1"/>
      <c r="AG99" s="1"/>
      <c r="AH99" s="1"/>
      <c r="AI99" s="1"/>
      <c r="AJ99" s="4"/>
      <c r="AK99" s="4"/>
      <c r="AL99" s="4"/>
      <c r="AM99" s="4"/>
      <c r="AN99" s="1"/>
      <c r="AO99" s="1"/>
      <c r="AP99" s="1"/>
      <c r="AQ99" s="1"/>
      <c r="AR99" s="1"/>
    </row>
    <row r="100" spans="7:44" ht="14.25" customHeight="1" x14ac:dyDescent="0.2">
      <c r="G100" s="74">
        <v>45743.493055555555</v>
      </c>
      <c r="H100" s="107" t="s">
        <v>175</v>
      </c>
      <c r="I100" s="107"/>
      <c r="J100" s="116">
        <v>51890.606800000001</v>
      </c>
      <c r="K100" s="116">
        <v>159192.86069999999</v>
      </c>
      <c r="L100" s="116">
        <v>18.771999999999998</v>
      </c>
      <c r="M100" s="75">
        <v>51890.606</v>
      </c>
      <c r="N100" s="75">
        <v>159192.861</v>
      </c>
      <c r="O100" s="75">
        <v>18.771999999999998</v>
      </c>
      <c r="P100" s="76">
        <v>-8.0000000161817297E-4</v>
      </c>
      <c r="Q100" s="109" cm="1">
        <f t="array" ref="Q10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0" s="76">
        <v>3.0000001424923539E-4</v>
      </c>
      <c r="S100" s="77" cm="1">
        <f t="array" ref="S10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0" s="76">
        <v>0</v>
      </c>
      <c r="U100" s="77" cm="1">
        <f t="array" ref="U10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0" s="77">
        <v>-8.0000000161817297E-4</v>
      </c>
      <c r="W100" s="77" cm="1">
        <f t="array" ref="W10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0" s="77">
        <v>3.0000001424923539E-4</v>
      </c>
      <c r="Y100" s="77" cm="1">
        <f t="array" ref="Y10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0" s="107" t="s">
        <v>85</v>
      </c>
      <c r="AD100" s="111"/>
      <c r="AE100" s="1"/>
      <c r="AF100" s="1"/>
      <c r="AG100" s="1"/>
      <c r="AH100" s="1"/>
      <c r="AI100" s="1"/>
      <c r="AJ100" s="4"/>
      <c r="AK100" s="4"/>
      <c r="AL100" s="4"/>
      <c r="AM100" s="4"/>
      <c r="AN100" s="1"/>
      <c r="AO100" s="1"/>
      <c r="AP100" s="1"/>
      <c r="AQ100" s="1"/>
      <c r="AR100" s="1"/>
    </row>
    <row r="101" spans="7:44" ht="14.25" customHeight="1" x14ac:dyDescent="0.2">
      <c r="G101" s="74">
        <v>45743.493055555555</v>
      </c>
      <c r="H101" s="107" t="s">
        <v>178</v>
      </c>
      <c r="I101" s="107"/>
      <c r="J101" s="116">
        <v>51893.758699999998</v>
      </c>
      <c r="K101" s="116">
        <v>159193.3144</v>
      </c>
      <c r="L101" s="116">
        <v>18.774100000000001</v>
      </c>
      <c r="M101" s="75">
        <v>51893.758000000002</v>
      </c>
      <c r="N101" s="75">
        <v>159193.31400000001</v>
      </c>
      <c r="O101" s="75">
        <v>18.774000000000001</v>
      </c>
      <c r="P101" s="76">
        <v>-6.9999999686842784E-4</v>
      </c>
      <c r="Q101" s="109" cm="1">
        <f t="array" ref="Q10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1" s="76">
        <v>-3.9999998989515007E-4</v>
      </c>
      <c r="S101" s="77" cm="1">
        <f t="array" ref="S10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1" s="76">
        <v>-9.9999999999766942E-5</v>
      </c>
      <c r="U101" s="77" cm="1">
        <f t="array" ref="U10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1" s="77">
        <v>-6.9999999686842784E-4</v>
      </c>
      <c r="W101" s="77" cm="1">
        <f t="array" ref="W10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1" s="77">
        <v>-3.9999998989515007E-4</v>
      </c>
      <c r="Y101" s="77" cm="1">
        <f t="array" ref="Y10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1" s="107" t="s">
        <v>85</v>
      </c>
      <c r="AD101" s="111"/>
      <c r="AE101" s="1"/>
      <c r="AF101" s="1"/>
      <c r="AG101" s="1"/>
      <c r="AH101" s="1"/>
      <c r="AI101" s="1"/>
      <c r="AJ101" s="4"/>
      <c r="AK101" s="4"/>
      <c r="AL101" s="4"/>
      <c r="AM101" s="4"/>
      <c r="AN101" s="1"/>
      <c r="AO101" s="1"/>
      <c r="AP101" s="1"/>
      <c r="AQ101" s="1"/>
      <c r="AR101" s="1"/>
    </row>
    <row r="102" spans="7:44" ht="14.25" customHeight="1" x14ac:dyDescent="0.2">
      <c r="G102" s="74">
        <v>45743.493055555555</v>
      </c>
      <c r="H102" s="107" t="s">
        <v>177</v>
      </c>
      <c r="I102" s="107"/>
      <c r="J102" s="116">
        <v>51893.441299999999</v>
      </c>
      <c r="K102" s="116">
        <v>159192.04019999999</v>
      </c>
      <c r="L102" s="116">
        <v>18.7683</v>
      </c>
      <c r="M102" s="75">
        <v>51893.440999999999</v>
      </c>
      <c r="N102" s="75">
        <v>159192.04</v>
      </c>
      <c r="O102" s="75">
        <v>18.768999999999998</v>
      </c>
      <c r="P102" s="76">
        <v>-2.9999999969732016E-4</v>
      </c>
      <c r="Q102" s="109" cm="1">
        <f t="array" ref="Q10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2" s="76">
        <v>-1.999999803956598E-4</v>
      </c>
      <c r="S102" s="77" cm="1">
        <f t="array" ref="S10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2" s="76">
        <v>6.9999999999836859E-4</v>
      </c>
      <c r="U102" s="77" cm="1">
        <f t="array" ref="U10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2" s="77">
        <v>-2.9999999969732016E-4</v>
      </c>
      <c r="W102" s="77" cm="1">
        <f t="array" ref="W10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2" s="77">
        <v>-1.999999803956598E-4</v>
      </c>
      <c r="Y102" s="77" cm="1">
        <f t="array" ref="Y10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2" s="107" t="s">
        <v>85</v>
      </c>
      <c r="AD102" s="111"/>
      <c r="AE102" s="1"/>
      <c r="AF102" s="1"/>
      <c r="AG102" s="1"/>
      <c r="AH102" s="1"/>
      <c r="AI102" s="1"/>
      <c r="AJ102" s="4"/>
      <c r="AK102" s="4"/>
      <c r="AL102" s="4"/>
      <c r="AM102" s="4"/>
      <c r="AN102" s="1"/>
      <c r="AO102" s="1"/>
      <c r="AP102" s="1"/>
      <c r="AQ102" s="1"/>
      <c r="AR102" s="1"/>
    </row>
    <row r="103" spans="7:44" ht="14.25" customHeight="1" x14ac:dyDescent="0.2">
      <c r="G103" s="74">
        <v>45743.493055555555</v>
      </c>
      <c r="H103" s="107" t="s">
        <v>180</v>
      </c>
      <c r="I103" s="107"/>
      <c r="J103" s="116">
        <v>51896.633300000001</v>
      </c>
      <c r="K103" s="116">
        <v>159192.48449999999</v>
      </c>
      <c r="L103" s="116">
        <v>18.7776</v>
      </c>
      <c r="M103" s="75">
        <v>51896.633000000002</v>
      </c>
      <c r="N103" s="75">
        <v>159192.484</v>
      </c>
      <c r="O103" s="75">
        <v>18.777000000000001</v>
      </c>
      <c r="P103" s="76">
        <v>-2.9999999969732016E-4</v>
      </c>
      <c r="Q103" s="109" cm="1">
        <f t="array" ref="Q10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3" s="76">
        <v>-4.999999946448952E-4</v>
      </c>
      <c r="S103" s="77" cm="1">
        <f t="array" ref="S10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3" s="76">
        <v>-5.9999999999860165E-4</v>
      </c>
      <c r="U103" s="77" cm="1">
        <f t="array" ref="U10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3" s="77">
        <v>-2.9999999969732016E-4</v>
      </c>
      <c r="W103" s="77" cm="1">
        <f t="array" ref="W10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3" s="77">
        <v>-4.999999946448952E-4</v>
      </c>
      <c r="Y103" s="77" cm="1">
        <f t="array" ref="Y10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3" s="107" t="s">
        <v>85</v>
      </c>
      <c r="AD103" s="111"/>
      <c r="AE103" s="1"/>
      <c r="AF103" s="1"/>
      <c r="AG103" s="1"/>
      <c r="AH103" s="1"/>
      <c r="AI103" s="1"/>
      <c r="AJ103" s="4"/>
      <c r="AK103" s="4"/>
      <c r="AL103" s="4"/>
      <c r="AM103" s="4"/>
      <c r="AN103" s="1"/>
      <c r="AO103" s="1"/>
      <c r="AP103" s="1"/>
      <c r="AQ103" s="1"/>
      <c r="AR103" s="1"/>
    </row>
    <row r="104" spans="7:44" ht="14.25" customHeight="1" x14ac:dyDescent="0.2">
      <c r="G104" s="74">
        <v>45743.493055555555</v>
      </c>
      <c r="H104" s="107" t="s">
        <v>179</v>
      </c>
      <c r="I104" s="107"/>
      <c r="J104" s="116">
        <v>51896.249799999998</v>
      </c>
      <c r="K104" s="116">
        <v>159191.22630000001</v>
      </c>
      <c r="L104" s="116">
        <v>18.7698</v>
      </c>
      <c r="M104" s="75">
        <v>51896.249000000003</v>
      </c>
      <c r="N104" s="75">
        <v>159191.226</v>
      </c>
      <c r="O104" s="75">
        <v>18.77</v>
      </c>
      <c r="P104" s="76">
        <v>-7.9999999434221536E-4</v>
      </c>
      <c r="Q104" s="109" cm="1">
        <f t="array" ref="Q10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4" s="76">
        <v>-3.0000001424923539E-4</v>
      </c>
      <c r="S104" s="77" cm="1">
        <f t="array" ref="S10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4" s="76">
        <v>1.9999999999953388E-4</v>
      </c>
      <c r="U104" s="77" cm="1">
        <f t="array" ref="U10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4" s="77">
        <v>-7.9999999434221536E-4</v>
      </c>
      <c r="W104" s="77" cm="1">
        <f t="array" ref="W10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4" s="77">
        <v>-3.0000001424923539E-4</v>
      </c>
      <c r="Y104" s="77" cm="1">
        <f t="array" ref="Y10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4" s="107" t="s">
        <v>85</v>
      </c>
      <c r="AD104" s="111"/>
      <c r="AE104" s="1"/>
      <c r="AF104" s="1"/>
      <c r="AG104" s="1"/>
      <c r="AH104" s="1"/>
      <c r="AI104" s="1"/>
      <c r="AJ104" s="4"/>
      <c r="AK104" s="4"/>
      <c r="AL104" s="4"/>
      <c r="AM104" s="4"/>
      <c r="AN104" s="1"/>
      <c r="AO104" s="1"/>
      <c r="AP104" s="1"/>
      <c r="AQ104" s="1"/>
      <c r="AR104" s="1"/>
    </row>
    <row r="105" spans="7:44" ht="14.25" customHeight="1" x14ac:dyDescent="0.2">
      <c r="G105" s="74">
        <v>45743.493055555555</v>
      </c>
      <c r="H105" s="107" t="s">
        <v>182</v>
      </c>
      <c r="I105" s="107"/>
      <c r="J105" s="116">
        <v>51899.398699999998</v>
      </c>
      <c r="K105" s="116">
        <v>159191.69760000001</v>
      </c>
      <c r="L105" s="116">
        <v>18.777999999999999</v>
      </c>
      <c r="M105" s="75">
        <v>51899.398000000001</v>
      </c>
      <c r="N105" s="75">
        <v>159191.698</v>
      </c>
      <c r="O105" s="75">
        <v>18.777999999999999</v>
      </c>
      <c r="P105" s="76">
        <v>-6.9999999686842784E-4</v>
      </c>
      <c r="Q105" s="109" cm="1">
        <f t="array" ref="Q10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5" s="76">
        <v>3.9999998989515007E-4</v>
      </c>
      <c r="S105" s="77" cm="1">
        <f t="array" ref="S10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5" s="76">
        <v>0</v>
      </c>
      <c r="U105" s="77" cm="1">
        <f t="array" ref="U10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5" s="77">
        <v>-6.9999999686842784E-4</v>
      </c>
      <c r="W105" s="77" cm="1">
        <f t="array" ref="W10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5" s="77">
        <v>3.9999998989515007E-4</v>
      </c>
      <c r="Y105" s="77" cm="1">
        <f t="array" ref="Y10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5" s="107" t="s">
        <v>85</v>
      </c>
      <c r="AD105" s="111"/>
      <c r="AE105" s="1"/>
      <c r="AF105" s="1"/>
      <c r="AG105" s="1"/>
      <c r="AH105" s="1"/>
      <c r="AI105" s="1"/>
      <c r="AJ105" s="4"/>
      <c r="AK105" s="4"/>
      <c r="AL105" s="4"/>
      <c r="AM105" s="4"/>
      <c r="AN105" s="1"/>
      <c r="AO105" s="1"/>
      <c r="AP105" s="1"/>
      <c r="AQ105" s="1"/>
      <c r="AR105" s="1"/>
    </row>
    <row r="106" spans="7:44" ht="14.25" customHeight="1" x14ac:dyDescent="0.2">
      <c r="G106" s="74">
        <v>45743.493055555555</v>
      </c>
      <c r="H106" s="107" t="s">
        <v>181</v>
      </c>
      <c r="I106" s="107"/>
      <c r="J106" s="116">
        <v>51899.041100000002</v>
      </c>
      <c r="K106" s="116">
        <v>159190.43340000001</v>
      </c>
      <c r="L106" s="116">
        <v>18.771100000000001</v>
      </c>
      <c r="M106" s="75">
        <v>51899.040000000001</v>
      </c>
      <c r="N106" s="75">
        <v>159190.43400000001</v>
      </c>
      <c r="O106" s="75">
        <v>18.771000000000001</v>
      </c>
      <c r="P106" s="76">
        <v>-1.1000000013154931E-3</v>
      </c>
      <c r="Q106" s="109" cm="1">
        <f t="array" ref="Q10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6" s="76">
        <v>5.9999999939464033E-4</v>
      </c>
      <c r="S106" s="77" cm="1">
        <f t="array" ref="S10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6" s="76">
        <v>-9.9999999999766942E-5</v>
      </c>
      <c r="U106" s="77" cm="1">
        <f t="array" ref="U10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6" s="77">
        <v>-1.1000000013154931E-3</v>
      </c>
      <c r="W106" s="77" cm="1">
        <f t="array" ref="W10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6" s="77">
        <v>5.9999999939464033E-4</v>
      </c>
      <c r="Y106" s="77" cm="1">
        <f t="array" ref="Y10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6" s="107" t="s">
        <v>85</v>
      </c>
      <c r="AD106" s="111"/>
      <c r="AE106" s="1"/>
      <c r="AF106" s="1"/>
      <c r="AG106" s="1"/>
      <c r="AH106" s="1"/>
      <c r="AI106" s="1"/>
      <c r="AJ106" s="4"/>
      <c r="AK106" s="4"/>
      <c r="AL106" s="4"/>
      <c r="AM106" s="4"/>
      <c r="AN106" s="1"/>
      <c r="AO106" s="1"/>
      <c r="AP106" s="1"/>
      <c r="AQ106" s="1"/>
      <c r="AR106" s="1"/>
    </row>
    <row r="107" spans="7:44" ht="14.25" customHeight="1" x14ac:dyDescent="0.2">
      <c r="G107" s="74">
        <v>45743.493055555555</v>
      </c>
      <c r="H107" s="107" t="s">
        <v>184</v>
      </c>
      <c r="I107" s="107"/>
      <c r="J107" s="116">
        <v>51902.292699999998</v>
      </c>
      <c r="K107" s="116">
        <v>159190.88459999999</v>
      </c>
      <c r="L107" s="116">
        <v>18.779</v>
      </c>
      <c r="M107" s="75">
        <v>51902.292000000001</v>
      </c>
      <c r="N107" s="75">
        <v>159190.88500000001</v>
      </c>
      <c r="O107" s="75">
        <v>18.779</v>
      </c>
      <c r="P107" s="76">
        <v>-6.9999999686842784E-4</v>
      </c>
      <c r="Q107" s="109" cm="1">
        <f t="array" ref="Q10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7" s="76">
        <v>4.0000001899898052E-4</v>
      </c>
      <c r="S107" s="77" cm="1">
        <f t="array" ref="S10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7" s="76">
        <v>0</v>
      </c>
      <c r="U107" s="77" cm="1">
        <f t="array" ref="U10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7" s="77">
        <v>-6.9999999686842784E-4</v>
      </c>
      <c r="W107" s="77" cm="1">
        <f t="array" ref="W10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7" s="77">
        <v>4.0000001899898052E-4</v>
      </c>
      <c r="Y107" s="77" cm="1">
        <f t="array" ref="Y10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7" s="107" t="s">
        <v>85</v>
      </c>
      <c r="AD107" s="111"/>
      <c r="AE107" s="1"/>
      <c r="AF107" s="1"/>
      <c r="AG107" s="1"/>
      <c r="AH107" s="1"/>
      <c r="AI107" s="1"/>
      <c r="AJ107" s="4"/>
      <c r="AK107" s="4"/>
      <c r="AL107" s="4"/>
      <c r="AM107" s="4"/>
      <c r="AN107" s="1"/>
      <c r="AO107" s="1"/>
      <c r="AP107" s="1"/>
      <c r="AQ107" s="1"/>
      <c r="AR107" s="1"/>
    </row>
    <row r="108" spans="7:44" ht="14.25" customHeight="1" x14ac:dyDescent="0.2">
      <c r="G108" s="74">
        <v>45743.493055555555</v>
      </c>
      <c r="H108" s="107" t="s">
        <v>183</v>
      </c>
      <c r="I108" s="107"/>
      <c r="J108" s="116">
        <v>51901.989200000004</v>
      </c>
      <c r="K108" s="116">
        <v>159189.60260000001</v>
      </c>
      <c r="L108" s="116">
        <v>18.770099999999999</v>
      </c>
      <c r="M108" s="75">
        <v>51901.987999999998</v>
      </c>
      <c r="N108" s="75">
        <v>159189.603</v>
      </c>
      <c r="O108" s="75">
        <v>18.77</v>
      </c>
      <c r="P108" s="76">
        <v>-1.2000000060652383E-3</v>
      </c>
      <c r="Q108" s="109" cm="1">
        <f t="array" ref="Q10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8" s="76">
        <v>3.9999998989515007E-4</v>
      </c>
      <c r="S108" s="77" cm="1">
        <f t="array" ref="S10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8" s="76">
        <v>-9.9999999999766942E-5</v>
      </c>
      <c r="U108" s="77" cm="1">
        <f t="array" ref="U10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8" s="77">
        <v>-1.2000000060652383E-3</v>
      </c>
      <c r="W108" s="77" cm="1">
        <f t="array" ref="W10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8" s="77">
        <v>3.9999998989515007E-4</v>
      </c>
      <c r="Y108" s="77" cm="1">
        <f t="array" ref="Y10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8" s="107" t="s">
        <v>85</v>
      </c>
      <c r="AD108" s="111"/>
      <c r="AE108" s="1"/>
      <c r="AF108" s="1"/>
      <c r="AG108" s="1"/>
      <c r="AH108" s="1"/>
      <c r="AI108" s="1"/>
      <c r="AJ108" s="4"/>
      <c r="AK108" s="4"/>
      <c r="AL108" s="4"/>
      <c r="AM108" s="4"/>
      <c r="AN108" s="1"/>
      <c r="AO108" s="1"/>
      <c r="AP108" s="1"/>
      <c r="AQ108" s="1"/>
      <c r="AR108" s="1"/>
    </row>
    <row r="109" spans="7:44" ht="14.25" customHeight="1" x14ac:dyDescent="0.2">
      <c r="G109" s="74">
        <v>45743.493055555555</v>
      </c>
      <c r="H109" s="107" t="s">
        <v>186</v>
      </c>
      <c r="I109" s="107"/>
      <c r="J109" s="116">
        <v>51905.196199999998</v>
      </c>
      <c r="K109" s="116">
        <v>159190.09460000001</v>
      </c>
      <c r="L109" s="116">
        <v>18.780899999999999</v>
      </c>
      <c r="M109" s="75">
        <v>51905.196000000004</v>
      </c>
      <c r="N109" s="75">
        <v>159190.095</v>
      </c>
      <c r="O109" s="75">
        <v>18.780999999999999</v>
      </c>
      <c r="P109" s="76">
        <v>-1.9999999494757503E-4</v>
      </c>
      <c r="Q109" s="109" cm="1">
        <f t="array" ref="Q10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09" s="76">
        <v>3.9999998989515007E-4</v>
      </c>
      <c r="S109" s="77" cm="1">
        <f t="array" ref="S10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09" s="76">
        <v>9.9999999999766942E-5</v>
      </c>
      <c r="U109" s="77" cm="1">
        <f t="array" ref="U10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09" s="77">
        <v>-1.9999999494757503E-4</v>
      </c>
      <c r="W109" s="77" cm="1">
        <f t="array" ref="W10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09" s="77">
        <v>3.9999998989515007E-4</v>
      </c>
      <c r="Y109" s="77" cm="1">
        <f t="array" ref="Y10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0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0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0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09" s="107" t="s">
        <v>85</v>
      </c>
      <c r="AD109" s="111"/>
      <c r="AE109" s="1"/>
      <c r="AF109" s="1"/>
      <c r="AG109" s="1"/>
      <c r="AH109" s="1"/>
      <c r="AI109" s="1"/>
      <c r="AJ109" s="4"/>
      <c r="AK109" s="4"/>
      <c r="AL109" s="4"/>
      <c r="AM109" s="4"/>
      <c r="AN109" s="1"/>
      <c r="AO109" s="1"/>
      <c r="AP109" s="1"/>
      <c r="AQ109" s="1"/>
      <c r="AR109" s="1"/>
    </row>
    <row r="110" spans="7:44" ht="14.25" customHeight="1" x14ac:dyDescent="0.2">
      <c r="G110" s="74">
        <v>45743.493055555555</v>
      </c>
      <c r="H110" s="107" t="s">
        <v>185</v>
      </c>
      <c r="I110" s="107"/>
      <c r="J110" s="116">
        <v>51904.885600000001</v>
      </c>
      <c r="K110" s="116">
        <v>159188.8046</v>
      </c>
      <c r="L110" s="116">
        <v>18.773099999999999</v>
      </c>
      <c r="M110" s="75">
        <v>51904.885000000002</v>
      </c>
      <c r="N110" s="75">
        <v>159188.80499999999</v>
      </c>
      <c r="O110" s="75">
        <v>18.773</v>
      </c>
      <c r="P110" s="76">
        <v>-5.9999999939464033E-4</v>
      </c>
      <c r="Q110" s="109" cm="1">
        <f t="array" ref="Q11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0" s="76">
        <v>3.9999998989515007E-4</v>
      </c>
      <c r="S110" s="77" cm="1">
        <f t="array" ref="S11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0" s="76">
        <v>-9.9999999999766942E-5</v>
      </c>
      <c r="U110" s="77" cm="1">
        <f t="array" ref="U11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0" s="77">
        <v>-5.9999999939464033E-4</v>
      </c>
      <c r="W110" s="77" cm="1">
        <f t="array" ref="W11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0" s="77">
        <v>3.9999998989515007E-4</v>
      </c>
      <c r="Y110" s="77" cm="1">
        <f t="array" ref="Y11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0" s="107" t="s">
        <v>85</v>
      </c>
      <c r="AD110" s="111"/>
      <c r="AE110" s="1"/>
      <c r="AF110" s="1"/>
      <c r="AG110" s="1"/>
      <c r="AH110" s="1"/>
      <c r="AI110" s="1"/>
      <c r="AJ110" s="4"/>
      <c r="AK110" s="4"/>
      <c r="AL110" s="4"/>
      <c r="AM110" s="4"/>
      <c r="AN110" s="1"/>
      <c r="AO110" s="1"/>
      <c r="AP110" s="1"/>
      <c r="AQ110" s="1"/>
      <c r="AR110" s="1"/>
    </row>
    <row r="111" spans="7:44" ht="14.25" customHeight="1" x14ac:dyDescent="0.2">
      <c r="G111" s="74">
        <v>45743.493055555555</v>
      </c>
      <c r="H111" s="107" t="s">
        <v>188</v>
      </c>
      <c r="I111" s="107"/>
      <c r="J111" s="116">
        <v>51907.9522</v>
      </c>
      <c r="K111" s="116">
        <v>159189.36230000001</v>
      </c>
      <c r="L111" s="116">
        <v>18.786000000000001</v>
      </c>
      <c r="M111" s="75">
        <v>51907.951999999997</v>
      </c>
      <c r="N111" s="75">
        <v>159189.36300000001</v>
      </c>
      <c r="O111" s="75">
        <v>18.786000000000001</v>
      </c>
      <c r="P111" s="76">
        <v>-2.0000000222353265E-4</v>
      </c>
      <c r="Q111" s="109" cm="1">
        <f t="array" ref="Q11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1" s="76">
        <v>7.0000000414438546E-4</v>
      </c>
      <c r="S111" s="77" cm="1">
        <f t="array" ref="S11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1" s="76">
        <v>0</v>
      </c>
      <c r="U111" s="77" cm="1">
        <f t="array" ref="U11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1" s="77">
        <v>-2.0000000222353265E-4</v>
      </c>
      <c r="W111" s="77" cm="1">
        <f t="array" ref="W11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1" s="77">
        <v>7.0000000414438546E-4</v>
      </c>
      <c r="Y111" s="77" cm="1">
        <f t="array" ref="Y11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1" s="107" t="s">
        <v>85</v>
      </c>
      <c r="AD111" s="111"/>
      <c r="AE111" s="1"/>
      <c r="AF111" s="1"/>
      <c r="AG111" s="1"/>
      <c r="AH111" s="1"/>
      <c r="AI111" s="1"/>
      <c r="AJ111" s="4"/>
      <c r="AK111" s="4"/>
      <c r="AL111" s="4"/>
      <c r="AM111" s="4"/>
      <c r="AN111" s="1"/>
      <c r="AO111" s="1"/>
      <c r="AP111" s="1"/>
      <c r="AQ111" s="1"/>
      <c r="AR111" s="1"/>
    </row>
    <row r="112" spans="7:44" ht="14.25" customHeight="1" x14ac:dyDescent="0.2">
      <c r="G112" s="74">
        <v>45743.493055555555</v>
      </c>
      <c r="H112" s="107" t="s">
        <v>187</v>
      </c>
      <c r="I112" s="107"/>
      <c r="J112" s="116">
        <v>51907.578699999998</v>
      </c>
      <c r="K112" s="116">
        <v>159188.09770000001</v>
      </c>
      <c r="L112" s="116">
        <v>18.776</v>
      </c>
      <c r="M112" s="75">
        <v>51907.578000000001</v>
      </c>
      <c r="N112" s="75">
        <v>159188.09899999999</v>
      </c>
      <c r="O112" s="75">
        <v>18.776</v>
      </c>
      <c r="P112" s="76">
        <v>-6.9999999686842784E-4</v>
      </c>
      <c r="Q112" s="109" cm="1">
        <f t="array" ref="Q11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2" s="76">
        <v>1.2999999744351953E-3</v>
      </c>
      <c r="S112" s="77" cm="1">
        <f t="array" ref="S11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2" s="76">
        <v>0</v>
      </c>
      <c r="U112" s="77" cm="1">
        <f t="array" ref="U11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2" s="77">
        <v>-6.9999999686842784E-4</v>
      </c>
      <c r="W112" s="77" cm="1">
        <f t="array" ref="W11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2" s="77">
        <v>1.2999999744351953E-3</v>
      </c>
      <c r="Y112" s="77" cm="1">
        <f t="array" ref="Y11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2" s="107" t="s">
        <v>85</v>
      </c>
      <c r="AD112" s="111"/>
      <c r="AE112" s="1"/>
      <c r="AF112" s="1"/>
      <c r="AG112" s="1"/>
      <c r="AH112" s="1"/>
      <c r="AI112" s="1"/>
      <c r="AJ112" s="4"/>
      <c r="AK112" s="4"/>
      <c r="AL112" s="4"/>
      <c r="AM112" s="4"/>
      <c r="AN112" s="1"/>
      <c r="AO112" s="1"/>
      <c r="AP112" s="1"/>
      <c r="AQ112" s="1"/>
      <c r="AR112" s="1"/>
    </row>
    <row r="113" spans="7:44" ht="14.25" customHeight="1" x14ac:dyDescent="0.2">
      <c r="G113" s="74">
        <v>45743.493055555555</v>
      </c>
      <c r="H113" s="107" t="s">
        <v>190</v>
      </c>
      <c r="I113" s="107"/>
      <c r="J113" s="116">
        <v>51910.962800000001</v>
      </c>
      <c r="K113" s="116">
        <v>159188.60079999999</v>
      </c>
      <c r="L113" s="116">
        <v>18.794599999999999</v>
      </c>
      <c r="M113" s="75">
        <v>51910.962</v>
      </c>
      <c r="N113" s="75">
        <v>159188.601</v>
      </c>
      <c r="O113" s="75">
        <v>18.795000000000002</v>
      </c>
      <c r="P113" s="76">
        <v>-8.0000000161817297E-4</v>
      </c>
      <c r="Q113" s="109" cm="1">
        <f t="array" ref="Q11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3" s="76">
        <v>2.0000000949949026E-4</v>
      </c>
      <c r="S113" s="77" cm="1">
        <f t="array" ref="S11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3" s="76">
        <v>4.0000000000262048E-4</v>
      </c>
      <c r="U113" s="77" cm="1">
        <f t="array" ref="U11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3" s="77">
        <v>-8.0000000161817297E-4</v>
      </c>
      <c r="W113" s="77" cm="1">
        <f t="array" ref="W11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3" s="77">
        <v>2.0000000949949026E-4</v>
      </c>
      <c r="Y113" s="77" cm="1">
        <f t="array" ref="Y11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3" s="107" t="s">
        <v>85</v>
      </c>
      <c r="AD113" s="111"/>
      <c r="AE113" s="1"/>
      <c r="AF113" s="1"/>
      <c r="AG113" s="1"/>
      <c r="AH113" s="1"/>
      <c r="AI113" s="1"/>
      <c r="AJ113" s="4"/>
      <c r="AK113" s="4"/>
      <c r="AL113" s="4"/>
      <c r="AM113" s="4"/>
      <c r="AN113" s="1"/>
      <c r="AO113" s="1"/>
      <c r="AP113" s="1"/>
      <c r="AQ113" s="1"/>
      <c r="AR113" s="1"/>
    </row>
    <row r="114" spans="7:44" ht="14.25" customHeight="1" x14ac:dyDescent="0.2">
      <c r="G114" s="74">
        <v>45743.493055555555</v>
      </c>
      <c r="H114" s="107" t="s">
        <v>189</v>
      </c>
      <c r="I114" s="107"/>
      <c r="J114" s="116">
        <v>51910.640099999997</v>
      </c>
      <c r="K114" s="116">
        <v>159187.3223</v>
      </c>
      <c r="L114" s="116">
        <v>18.7836</v>
      </c>
      <c r="M114" s="75">
        <v>51910.639000000003</v>
      </c>
      <c r="N114" s="75">
        <v>159187.323</v>
      </c>
      <c r="O114" s="75">
        <v>18.783000000000001</v>
      </c>
      <c r="P114" s="76">
        <v>-1.0999999940395355E-3</v>
      </c>
      <c r="Q114" s="109" cm="1">
        <f t="array" ref="Q11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4" s="76">
        <v>7.0000000414438546E-4</v>
      </c>
      <c r="S114" s="77" cm="1">
        <f t="array" ref="S11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4" s="76">
        <v>-5.9999999999860165E-4</v>
      </c>
      <c r="U114" s="77" cm="1">
        <f t="array" ref="U11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4" s="77">
        <v>-1.0999999940395355E-3</v>
      </c>
      <c r="W114" s="77" cm="1">
        <f t="array" ref="W11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4" s="77">
        <v>7.0000000414438546E-4</v>
      </c>
      <c r="Y114" s="77" cm="1">
        <f t="array" ref="Y11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4" s="107" t="s">
        <v>85</v>
      </c>
      <c r="AD114" s="111"/>
      <c r="AE114" s="1"/>
      <c r="AF114" s="1"/>
      <c r="AG114" s="1"/>
      <c r="AH114" s="1"/>
      <c r="AI114" s="1"/>
      <c r="AJ114" s="4"/>
      <c r="AK114" s="4"/>
      <c r="AL114" s="4"/>
      <c r="AM114" s="4"/>
      <c r="AN114" s="1"/>
      <c r="AO114" s="1"/>
      <c r="AP114" s="1"/>
      <c r="AQ114" s="1"/>
      <c r="AR114" s="1"/>
    </row>
    <row r="115" spans="7:44" ht="14.25" customHeight="1" x14ac:dyDescent="0.2">
      <c r="G115" s="74">
        <v>45743.493055555555</v>
      </c>
      <c r="H115" s="107" t="s">
        <v>192</v>
      </c>
      <c r="I115" s="107"/>
      <c r="J115" s="116">
        <v>51913.751100000001</v>
      </c>
      <c r="K115" s="116">
        <v>159187.9178</v>
      </c>
      <c r="L115" s="116">
        <v>18.809000000000001</v>
      </c>
      <c r="M115" s="75">
        <v>51913.75</v>
      </c>
      <c r="N115" s="75">
        <v>159187.91800000001</v>
      </c>
      <c r="O115" s="75">
        <v>18.809000000000001</v>
      </c>
      <c r="P115" s="76">
        <v>-1.1000000013154931E-3</v>
      </c>
      <c r="Q115" s="109" cm="1">
        <f t="array" ref="Q11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5" s="76">
        <v>2.0000000949949026E-4</v>
      </c>
      <c r="S115" s="77" cm="1">
        <f t="array" ref="S11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5" s="76">
        <v>0</v>
      </c>
      <c r="U115" s="77" cm="1">
        <f t="array" ref="U11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5" s="77">
        <v>-1.1000000013154931E-3</v>
      </c>
      <c r="W115" s="77" cm="1">
        <f t="array" ref="W11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5" s="77">
        <v>2.0000000949949026E-4</v>
      </c>
      <c r="Y115" s="77" cm="1">
        <f t="array" ref="Y11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5" s="107" t="s">
        <v>85</v>
      </c>
      <c r="AD115" s="111"/>
      <c r="AE115" s="1"/>
      <c r="AF115" s="1"/>
      <c r="AG115" s="1"/>
      <c r="AH115" s="1"/>
      <c r="AI115" s="1"/>
      <c r="AJ115" s="4"/>
      <c r="AK115" s="4"/>
      <c r="AL115" s="4"/>
      <c r="AM115" s="4"/>
      <c r="AN115" s="1"/>
      <c r="AO115" s="1"/>
      <c r="AP115" s="1"/>
      <c r="AQ115" s="1"/>
      <c r="AR115" s="1"/>
    </row>
    <row r="116" spans="7:44" ht="14.25" customHeight="1" x14ac:dyDescent="0.2">
      <c r="G116" s="74">
        <v>45743.493055555555</v>
      </c>
      <c r="H116" s="107" t="s">
        <v>191</v>
      </c>
      <c r="I116" s="107"/>
      <c r="J116" s="116">
        <v>51913.421499999997</v>
      </c>
      <c r="K116" s="116">
        <v>159186.63630000001</v>
      </c>
      <c r="L116" s="116">
        <v>18.794899999999998</v>
      </c>
      <c r="M116" s="75">
        <v>51913.42</v>
      </c>
      <c r="N116" s="75">
        <v>159186.63699999999</v>
      </c>
      <c r="O116" s="75">
        <v>18.795000000000002</v>
      </c>
      <c r="P116" s="76">
        <v>-1.4999999984866008E-3</v>
      </c>
      <c r="Q116" s="109" cm="1">
        <f t="array" ref="Q11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6" s="76">
        <v>6.99999975040555E-4</v>
      </c>
      <c r="S116" s="77" cm="1">
        <f t="array" ref="S11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6" s="76">
        <v>1.0000000000331966E-4</v>
      </c>
      <c r="U116" s="77" cm="1">
        <f t="array" ref="U11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6" s="77">
        <v>-1.4999999984866008E-3</v>
      </c>
      <c r="W116" s="77" cm="1">
        <f t="array" ref="W11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6" s="77">
        <v>6.99999975040555E-4</v>
      </c>
      <c r="Y116" s="77" cm="1">
        <f t="array" ref="Y11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6" s="107" t="s">
        <v>85</v>
      </c>
      <c r="AD116" s="111"/>
      <c r="AE116" s="1"/>
      <c r="AF116" s="1"/>
      <c r="AG116" s="1"/>
      <c r="AH116" s="1"/>
      <c r="AI116" s="1"/>
      <c r="AJ116" s="4"/>
      <c r="AK116" s="4"/>
      <c r="AL116" s="4"/>
      <c r="AM116" s="4"/>
      <c r="AN116" s="1"/>
      <c r="AO116" s="1"/>
      <c r="AP116" s="1"/>
      <c r="AQ116" s="1"/>
      <c r="AR116" s="1"/>
    </row>
    <row r="117" spans="7:44" ht="14.25" customHeight="1" x14ac:dyDescent="0.2">
      <c r="G117" s="74">
        <v>45743.493055555555</v>
      </c>
      <c r="H117" s="107" t="s">
        <v>165</v>
      </c>
      <c r="I117" s="107"/>
      <c r="J117" s="116">
        <v>51884.538999999997</v>
      </c>
      <c r="K117" s="116">
        <v>159193.38269999999</v>
      </c>
      <c r="L117" s="116">
        <v>19.331700000000001</v>
      </c>
      <c r="M117" s="75">
        <v>51884.538999999997</v>
      </c>
      <c r="N117" s="75">
        <v>159193.38200000001</v>
      </c>
      <c r="O117" s="75">
        <v>19.331</v>
      </c>
      <c r="P117" s="76">
        <v>0</v>
      </c>
      <c r="Q117" s="109" cm="1">
        <f t="array" ref="Q11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7" s="76">
        <v>-6.99999975040555E-4</v>
      </c>
      <c r="S117" s="77" cm="1">
        <f t="array" ref="S11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7" s="76">
        <v>-7.0000000000192131E-4</v>
      </c>
      <c r="U117" s="77" cm="1">
        <f t="array" ref="U11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7" s="77">
        <v>0</v>
      </c>
      <c r="W117" s="77" cm="1">
        <f t="array" ref="W11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7" s="77">
        <v>-6.99999975040555E-4</v>
      </c>
      <c r="Y117" s="77" cm="1">
        <f t="array" ref="Y11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7" s="107" t="s">
        <v>85</v>
      </c>
      <c r="AD117" s="111"/>
      <c r="AE117" s="1"/>
      <c r="AF117" s="1"/>
      <c r="AG117" s="1"/>
      <c r="AH117" s="1"/>
      <c r="AI117" s="1"/>
      <c r="AJ117" s="4"/>
      <c r="AK117" s="4"/>
      <c r="AL117" s="4"/>
      <c r="AM117" s="4"/>
      <c r="AN117" s="1"/>
      <c r="AO117" s="1"/>
      <c r="AP117" s="1"/>
      <c r="AQ117" s="1"/>
      <c r="AR117" s="1"/>
    </row>
    <row r="118" spans="7:44" ht="14.25" customHeight="1" x14ac:dyDescent="0.2">
      <c r="G118" s="74">
        <v>45743.493055555555</v>
      </c>
      <c r="H118" s="107" t="s">
        <v>166</v>
      </c>
      <c r="I118" s="107"/>
      <c r="J118" s="116">
        <v>51890.2863</v>
      </c>
      <c r="K118" s="116">
        <v>159191.73069999999</v>
      </c>
      <c r="L118" s="116">
        <v>19.321999999999999</v>
      </c>
      <c r="M118" s="75">
        <v>51890.286</v>
      </c>
      <c r="N118" s="75">
        <v>159191.73000000001</v>
      </c>
      <c r="O118" s="75">
        <v>19.321999999999999</v>
      </c>
      <c r="P118" s="76">
        <v>-2.9999999969732016E-4</v>
      </c>
      <c r="Q118" s="109" cm="1">
        <f t="array" ref="Q11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8" s="76">
        <v>-6.99999975040555E-4</v>
      </c>
      <c r="S118" s="77" cm="1">
        <f t="array" ref="S11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8" s="76">
        <v>0</v>
      </c>
      <c r="U118" s="77" cm="1">
        <f t="array" ref="U11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8" s="77">
        <v>-2.9999999969732016E-4</v>
      </c>
      <c r="W118" s="77" cm="1">
        <f t="array" ref="W11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8" s="77">
        <v>-6.99999975040555E-4</v>
      </c>
      <c r="Y118" s="77" cm="1">
        <f t="array" ref="Y11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8" s="107" t="s">
        <v>85</v>
      </c>
      <c r="AD118" s="111"/>
      <c r="AE118" s="1"/>
      <c r="AF118" s="1"/>
      <c r="AG118" s="1"/>
      <c r="AH118" s="1"/>
      <c r="AI118" s="1"/>
      <c r="AJ118" s="4"/>
      <c r="AK118" s="4"/>
      <c r="AL118" s="4"/>
      <c r="AM118" s="4"/>
      <c r="AN118" s="1"/>
      <c r="AO118" s="1"/>
      <c r="AP118" s="1"/>
      <c r="AQ118" s="1"/>
      <c r="AR118" s="1"/>
    </row>
    <row r="119" spans="7:44" ht="14.25" customHeight="1" x14ac:dyDescent="0.2">
      <c r="G119" s="74">
        <v>45743.493055555555</v>
      </c>
      <c r="H119" s="107" t="s">
        <v>167</v>
      </c>
      <c r="I119" s="107"/>
      <c r="J119" s="116">
        <v>51895.920700000002</v>
      </c>
      <c r="K119" s="116">
        <v>159190.1</v>
      </c>
      <c r="L119" s="116">
        <v>19.334</v>
      </c>
      <c r="M119" s="75">
        <v>51895.921000000002</v>
      </c>
      <c r="N119" s="75">
        <v>159190.1</v>
      </c>
      <c r="O119" s="75">
        <v>19.334</v>
      </c>
      <c r="P119" s="76">
        <v>2.9999999969732016E-4</v>
      </c>
      <c r="Q119" s="109" cm="1">
        <f t="array" ref="Q11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19" s="76">
        <v>0</v>
      </c>
      <c r="S119" s="77" cm="1">
        <f t="array" ref="S11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19" s="76">
        <v>0</v>
      </c>
      <c r="U119" s="77" cm="1">
        <f t="array" ref="U11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19" s="77">
        <v>2.9999999969732016E-4</v>
      </c>
      <c r="W119" s="77" cm="1">
        <f t="array" ref="W11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19" s="77">
        <v>0</v>
      </c>
      <c r="Y119" s="77" cm="1">
        <f t="array" ref="Y11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1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1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1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19" s="107" t="s">
        <v>85</v>
      </c>
      <c r="AD119" s="111"/>
      <c r="AE119" s="1"/>
      <c r="AF119" s="1"/>
      <c r="AG119" s="1"/>
      <c r="AH119" s="1"/>
      <c r="AI119" s="1"/>
      <c r="AJ119" s="4"/>
      <c r="AK119" s="4"/>
      <c r="AL119" s="4"/>
      <c r="AM119" s="4"/>
      <c r="AN119" s="1"/>
      <c r="AO119" s="1"/>
      <c r="AP119" s="1"/>
      <c r="AQ119" s="1"/>
      <c r="AR119" s="1"/>
    </row>
    <row r="120" spans="7:44" ht="14.25" customHeight="1" x14ac:dyDescent="0.2">
      <c r="G120" s="74">
        <v>45743.493055555555</v>
      </c>
      <c r="H120" s="107" t="s">
        <v>168</v>
      </c>
      <c r="I120" s="107"/>
      <c r="J120" s="116">
        <v>51899.7667</v>
      </c>
      <c r="K120" s="116">
        <v>159188.9933</v>
      </c>
      <c r="L120" s="116">
        <v>19.344999999999999</v>
      </c>
      <c r="M120" s="75">
        <v>51899.767</v>
      </c>
      <c r="N120" s="75">
        <v>159188.99299999999</v>
      </c>
      <c r="O120" s="75">
        <v>19.344999999999999</v>
      </c>
      <c r="P120" s="76">
        <v>2.9999999969732016E-4</v>
      </c>
      <c r="Q120" s="109" cm="1">
        <f t="array" ref="Q12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0" s="76">
        <v>-3.0000001424923539E-4</v>
      </c>
      <c r="S120" s="77" cm="1">
        <f t="array" ref="S12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0" s="76">
        <v>0</v>
      </c>
      <c r="U120" s="77" cm="1">
        <f t="array" ref="U12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0" s="77">
        <v>2.9999999969732016E-4</v>
      </c>
      <c r="W120" s="77" cm="1">
        <f t="array" ref="W12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0" s="77">
        <v>-3.0000001424923539E-4</v>
      </c>
      <c r="Y120" s="77" cm="1">
        <f t="array" ref="Y12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0" s="107" t="s">
        <v>85</v>
      </c>
      <c r="AD120" s="111"/>
      <c r="AE120" s="1"/>
      <c r="AF120" s="1"/>
      <c r="AG120" s="1"/>
      <c r="AH120" s="1"/>
      <c r="AI120" s="1"/>
      <c r="AJ120" s="4"/>
      <c r="AK120" s="4"/>
      <c r="AL120" s="4"/>
      <c r="AM120" s="4"/>
      <c r="AN120" s="1"/>
      <c r="AO120" s="1"/>
      <c r="AP120" s="1"/>
      <c r="AQ120" s="1"/>
      <c r="AR120" s="1"/>
    </row>
    <row r="121" spans="7:44" ht="14.25" customHeight="1" x14ac:dyDescent="0.2">
      <c r="G121" s="74">
        <v>45743.493055555555</v>
      </c>
      <c r="H121" s="107" t="s">
        <v>169</v>
      </c>
      <c r="I121" s="107"/>
      <c r="J121" s="116">
        <v>51903.6083</v>
      </c>
      <c r="K121" s="116">
        <v>159187.88200000001</v>
      </c>
      <c r="L121" s="116">
        <v>19.356999999999999</v>
      </c>
      <c r="M121" s="75">
        <v>51903.608</v>
      </c>
      <c r="N121" s="75">
        <v>159187.88200000001</v>
      </c>
      <c r="O121" s="75">
        <v>19.356999999999999</v>
      </c>
      <c r="P121" s="76">
        <v>-2.9999999969732016E-4</v>
      </c>
      <c r="Q121" s="109" cm="1">
        <f t="array" ref="Q12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1" s="76">
        <v>0</v>
      </c>
      <c r="S121" s="77" cm="1">
        <f t="array" ref="S12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1" s="76">
        <v>0</v>
      </c>
      <c r="U121" s="77" cm="1">
        <f t="array" ref="U12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1" s="77">
        <v>-2.9999999969732016E-4</v>
      </c>
      <c r="W121" s="77" cm="1">
        <f t="array" ref="W12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1" s="77">
        <v>0</v>
      </c>
      <c r="Y121" s="77" cm="1">
        <f t="array" ref="Y12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1" s="107" t="s">
        <v>85</v>
      </c>
      <c r="AD121" s="111"/>
      <c r="AE121" s="1"/>
      <c r="AF121" s="1"/>
      <c r="AG121" s="1"/>
      <c r="AH121" s="1"/>
      <c r="AI121" s="1"/>
      <c r="AJ121" s="4"/>
      <c r="AK121" s="4"/>
      <c r="AL121" s="4"/>
      <c r="AM121" s="4"/>
      <c r="AN121" s="1"/>
      <c r="AO121" s="1"/>
      <c r="AP121" s="1"/>
      <c r="AQ121" s="1"/>
      <c r="AR121" s="1"/>
    </row>
    <row r="122" spans="7:44" ht="14.25" customHeight="1" x14ac:dyDescent="0.2">
      <c r="G122" s="74">
        <v>45743.493055555555</v>
      </c>
      <c r="H122" s="107" t="s">
        <v>170</v>
      </c>
      <c r="I122" s="107"/>
      <c r="J122" s="116">
        <v>51910.065000000002</v>
      </c>
      <c r="K122" s="116">
        <v>159186.02369999999</v>
      </c>
      <c r="L122" s="116">
        <v>19.356999999999999</v>
      </c>
      <c r="M122" s="75">
        <v>51910.065000000002</v>
      </c>
      <c r="N122" s="75">
        <v>159186.024</v>
      </c>
      <c r="O122" s="75">
        <v>19.356999999999999</v>
      </c>
      <c r="P122" s="76">
        <v>0</v>
      </c>
      <c r="Q122" s="109" cm="1">
        <f t="array" ref="Q12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2" s="76">
        <v>3.0000001424923539E-4</v>
      </c>
      <c r="S122" s="77" cm="1">
        <f t="array" ref="S12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2" s="76">
        <v>0</v>
      </c>
      <c r="U122" s="77" cm="1">
        <f t="array" ref="U12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2" s="77">
        <v>0</v>
      </c>
      <c r="W122" s="77" cm="1">
        <f t="array" ref="W12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2" s="77">
        <v>3.0000001424923539E-4</v>
      </c>
      <c r="Y122" s="77" cm="1">
        <f t="array" ref="Y12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2" s="107" t="s">
        <v>85</v>
      </c>
      <c r="AD122" s="111"/>
      <c r="AE122" s="1"/>
      <c r="AF122" s="1"/>
      <c r="AG122" s="1"/>
      <c r="AH122" s="1"/>
      <c r="AI122" s="1"/>
      <c r="AJ122" s="4"/>
      <c r="AK122" s="4"/>
      <c r="AL122" s="4"/>
      <c r="AM122" s="4"/>
      <c r="AN122" s="1"/>
      <c r="AO122" s="1"/>
      <c r="AP122" s="1"/>
      <c r="AQ122" s="1"/>
      <c r="AR122" s="1"/>
    </row>
    <row r="123" spans="7:44" ht="14.25" customHeight="1" x14ac:dyDescent="0.2">
      <c r="G123" s="74">
        <v>45733.840277777781</v>
      </c>
      <c r="H123" s="107" t="s">
        <v>171</v>
      </c>
      <c r="I123" s="107"/>
      <c r="J123" s="116">
        <v>51884.958899999998</v>
      </c>
      <c r="K123" s="116">
        <v>159194.47070000001</v>
      </c>
      <c r="L123" s="116">
        <v>18.778099999999998</v>
      </c>
      <c r="M123" s="75">
        <v>51884.958700000003</v>
      </c>
      <c r="N123" s="75">
        <v>159194.47</v>
      </c>
      <c r="O123" s="75">
        <v>18.778300000000002</v>
      </c>
      <c r="P123" s="76">
        <v>-1.9999999494757503E-4</v>
      </c>
      <c r="Q123" s="109" cm="1">
        <f t="array" ref="Q12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3" s="76">
        <v>-7.0000000414438546E-4</v>
      </c>
      <c r="S123" s="77" cm="1">
        <f t="array" ref="S12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3" s="76">
        <v>2.000000000030866E-4</v>
      </c>
      <c r="U123" s="77" cm="1">
        <f t="array" ref="U12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3" s="77">
        <v>-1.9999999494757503E-4</v>
      </c>
      <c r="W123" s="77" cm="1">
        <f t="array" ref="W12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3" s="77">
        <v>-7.0000000414438546E-4</v>
      </c>
      <c r="Y123" s="77" cm="1">
        <f t="array" ref="Y12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3" s="107" t="s">
        <v>85</v>
      </c>
      <c r="AD123" s="111"/>
      <c r="AE123" s="1"/>
      <c r="AF123" s="1"/>
      <c r="AG123" s="1"/>
      <c r="AH123" s="1"/>
      <c r="AI123" s="1"/>
      <c r="AJ123" s="4"/>
      <c r="AK123" s="4"/>
      <c r="AL123" s="4"/>
      <c r="AM123" s="4"/>
      <c r="AN123" s="1"/>
      <c r="AO123" s="1"/>
      <c r="AP123" s="1"/>
      <c r="AQ123" s="1"/>
      <c r="AR123" s="1"/>
    </row>
    <row r="124" spans="7:44" ht="14.25" customHeight="1" x14ac:dyDescent="0.2">
      <c r="G124" s="74">
        <v>45733.840277777781</v>
      </c>
      <c r="H124" s="107" t="s">
        <v>174</v>
      </c>
      <c r="I124" s="107"/>
      <c r="J124" s="116">
        <v>51888.117700000003</v>
      </c>
      <c r="K124" s="116">
        <v>159194.94529999999</v>
      </c>
      <c r="L124" s="116">
        <v>18.7788</v>
      </c>
      <c r="M124" s="75">
        <v>51888.117200000001</v>
      </c>
      <c r="N124" s="75">
        <v>159194.9448</v>
      </c>
      <c r="O124" s="75">
        <v>18.778400000000001</v>
      </c>
      <c r="P124" s="76">
        <v>-5.0000000192085281E-4</v>
      </c>
      <c r="Q124" s="109" cm="1">
        <f t="array" ref="Q12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4" s="76">
        <v>-4.999999946448952E-4</v>
      </c>
      <c r="S124" s="77" cm="1">
        <f t="array" ref="S12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4" s="76">
        <v>-3.9999999999906777E-4</v>
      </c>
      <c r="U124" s="77" cm="1">
        <f t="array" ref="U12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4" s="77">
        <v>-5.0000000192085281E-4</v>
      </c>
      <c r="W124" s="77" cm="1">
        <f t="array" ref="W12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4" s="77">
        <v>-4.999999946448952E-4</v>
      </c>
      <c r="Y124" s="77" cm="1">
        <f t="array" ref="Y12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4" s="107" t="s">
        <v>85</v>
      </c>
      <c r="AD124" s="111"/>
      <c r="AE124" s="1"/>
      <c r="AF124" s="1"/>
      <c r="AG124" s="1"/>
      <c r="AH124" s="1"/>
      <c r="AI124" s="1"/>
      <c r="AJ124" s="4"/>
      <c r="AK124" s="4"/>
      <c r="AL124" s="4"/>
      <c r="AM124" s="4"/>
      <c r="AN124" s="1"/>
      <c r="AO124" s="1"/>
      <c r="AP124" s="1"/>
      <c r="AQ124" s="1"/>
      <c r="AR124" s="1"/>
    </row>
    <row r="125" spans="7:44" ht="14.25" customHeight="1" x14ac:dyDescent="0.2">
      <c r="G125" s="74">
        <v>45733.840277777781</v>
      </c>
      <c r="H125" s="107" t="s">
        <v>173</v>
      </c>
      <c r="I125" s="107"/>
      <c r="J125" s="116">
        <v>51887.805099999998</v>
      </c>
      <c r="K125" s="116">
        <v>159193.65710000001</v>
      </c>
      <c r="L125" s="116">
        <v>18.778500000000001</v>
      </c>
      <c r="M125" s="75">
        <v>51887.804300000003</v>
      </c>
      <c r="N125" s="75">
        <v>159193.65640000001</v>
      </c>
      <c r="O125" s="75">
        <v>18.778500000000001</v>
      </c>
      <c r="P125" s="76">
        <v>-7.9999999434221536E-4</v>
      </c>
      <c r="Q125" s="109" cm="1">
        <f t="array" ref="Q12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5" s="76">
        <v>-7.0000000414438546E-4</v>
      </c>
      <c r="S125" s="77" cm="1">
        <f t="array" ref="S12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5" s="76">
        <v>0</v>
      </c>
      <c r="U125" s="77" cm="1">
        <f t="array" ref="U12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5" s="77">
        <v>-7.9999999434221536E-4</v>
      </c>
      <c r="W125" s="77" cm="1">
        <f t="array" ref="W12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5" s="77">
        <v>-7.0000000414438546E-4</v>
      </c>
      <c r="Y125" s="77" cm="1">
        <f t="array" ref="Y12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5" s="107" t="s">
        <v>85</v>
      </c>
      <c r="AD125" s="111"/>
      <c r="AE125" s="1"/>
      <c r="AF125" s="1"/>
      <c r="AG125" s="1"/>
      <c r="AH125" s="1"/>
      <c r="AI125" s="1"/>
      <c r="AJ125" s="4"/>
      <c r="AK125" s="4"/>
      <c r="AL125" s="4"/>
      <c r="AM125" s="4"/>
      <c r="AN125" s="1"/>
      <c r="AO125" s="1"/>
      <c r="AP125" s="1"/>
      <c r="AQ125" s="1"/>
      <c r="AR125" s="1"/>
    </row>
    <row r="126" spans="7:44" ht="14.25" customHeight="1" x14ac:dyDescent="0.2">
      <c r="G126" s="74">
        <v>45733.840277777781</v>
      </c>
      <c r="H126" s="107" t="s">
        <v>176</v>
      </c>
      <c r="I126" s="107"/>
      <c r="J126" s="116">
        <v>51890.969100000002</v>
      </c>
      <c r="K126" s="116">
        <v>159194.1177</v>
      </c>
      <c r="L126" s="116">
        <v>18.779</v>
      </c>
      <c r="M126" s="75">
        <v>51890.968200000003</v>
      </c>
      <c r="N126" s="75">
        <v>159194.11720000001</v>
      </c>
      <c r="O126" s="75">
        <v>18.779</v>
      </c>
      <c r="P126" s="76">
        <v>-8.9999999909196049E-4</v>
      </c>
      <c r="Q126" s="109" cm="1">
        <f t="array" ref="Q12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6" s="76">
        <v>-4.999999946448952E-4</v>
      </c>
      <c r="S126" s="77" cm="1">
        <f t="array" ref="S12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6" s="76">
        <v>0</v>
      </c>
      <c r="U126" s="77" cm="1">
        <f t="array" ref="U12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6" s="77">
        <v>-8.9999999909196049E-4</v>
      </c>
      <c r="W126" s="77" cm="1">
        <f t="array" ref="W12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6" s="77">
        <v>-4.999999946448952E-4</v>
      </c>
      <c r="Y126" s="77" cm="1">
        <f t="array" ref="Y12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6" s="107" t="s">
        <v>85</v>
      </c>
      <c r="AD126" s="111"/>
      <c r="AE126" s="1"/>
      <c r="AF126" s="1"/>
      <c r="AG126" s="1"/>
      <c r="AH126" s="1"/>
      <c r="AI126" s="1"/>
      <c r="AJ126" s="4"/>
      <c r="AK126" s="4"/>
      <c r="AL126" s="4"/>
      <c r="AM126" s="4"/>
      <c r="AN126" s="1"/>
      <c r="AO126" s="1"/>
      <c r="AP126" s="1"/>
      <c r="AQ126" s="1"/>
      <c r="AR126" s="1"/>
    </row>
    <row r="127" spans="7:44" ht="14.25" customHeight="1" x14ac:dyDescent="0.2">
      <c r="G127" s="74">
        <v>45733.840277777781</v>
      </c>
      <c r="H127" s="107" t="s">
        <v>175</v>
      </c>
      <c r="I127" s="107"/>
      <c r="J127" s="116">
        <v>51890.606800000001</v>
      </c>
      <c r="K127" s="116">
        <v>159192.86069999999</v>
      </c>
      <c r="L127" s="116">
        <v>18.771999999999998</v>
      </c>
      <c r="M127" s="75">
        <v>51890.606399999997</v>
      </c>
      <c r="N127" s="75">
        <v>159192.8602</v>
      </c>
      <c r="O127" s="75">
        <v>18.771999999999998</v>
      </c>
      <c r="P127" s="76">
        <v>-4.0000000444706529E-4</v>
      </c>
      <c r="Q127" s="109" cm="1">
        <f t="array" ref="Q12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7" s="76">
        <v>-4.999999946448952E-4</v>
      </c>
      <c r="S127" s="77" cm="1">
        <f t="array" ref="S12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7" s="76">
        <v>0</v>
      </c>
      <c r="U127" s="77" cm="1">
        <f t="array" ref="U12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7" s="77">
        <v>-4.0000000444706529E-4</v>
      </c>
      <c r="W127" s="77" cm="1">
        <f t="array" ref="W12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7" s="77">
        <v>-4.999999946448952E-4</v>
      </c>
      <c r="Y127" s="77" cm="1">
        <f t="array" ref="Y12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7" s="107" t="s">
        <v>85</v>
      </c>
      <c r="AD127" s="111"/>
      <c r="AE127" s="1"/>
      <c r="AF127" s="1"/>
      <c r="AG127" s="1"/>
      <c r="AH127" s="1"/>
      <c r="AI127" s="1"/>
      <c r="AJ127" s="4"/>
      <c r="AK127" s="4"/>
      <c r="AL127" s="4"/>
      <c r="AM127" s="4"/>
      <c r="AN127" s="1"/>
      <c r="AO127" s="1"/>
      <c r="AP127" s="1"/>
      <c r="AQ127" s="1"/>
      <c r="AR127" s="1"/>
    </row>
    <row r="128" spans="7:44" ht="14.25" customHeight="1" x14ac:dyDescent="0.2">
      <c r="G128" s="74">
        <v>45733.840277777781</v>
      </c>
      <c r="H128" s="107" t="s">
        <v>178</v>
      </c>
      <c r="I128" s="107"/>
      <c r="J128" s="116">
        <v>51893.758699999998</v>
      </c>
      <c r="K128" s="116">
        <v>159193.3144</v>
      </c>
      <c r="L128" s="116">
        <v>18.774100000000001</v>
      </c>
      <c r="M128" s="75">
        <v>51893.758199999997</v>
      </c>
      <c r="N128" s="75">
        <v>159193.31419999999</v>
      </c>
      <c r="O128" s="75">
        <v>18.7744</v>
      </c>
      <c r="P128" s="76">
        <v>-5.0000000192085281E-4</v>
      </c>
      <c r="Q128" s="109" cm="1">
        <f t="array" ref="Q12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8" s="76">
        <v>-2.0000000949949026E-4</v>
      </c>
      <c r="S128" s="77" cm="1">
        <f t="array" ref="S12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8" s="76">
        <v>2.9999999999930083E-4</v>
      </c>
      <c r="U128" s="77" cm="1">
        <f t="array" ref="U12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8" s="77">
        <v>-5.0000000192085281E-4</v>
      </c>
      <c r="W128" s="77" cm="1">
        <f t="array" ref="W12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8" s="77">
        <v>-2.0000000949949026E-4</v>
      </c>
      <c r="Y128" s="77" cm="1">
        <f t="array" ref="Y12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8" s="107" t="s">
        <v>85</v>
      </c>
      <c r="AD128" s="111"/>
      <c r="AE128" s="1"/>
      <c r="AF128" s="1"/>
      <c r="AG128" s="1"/>
      <c r="AH128" s="1"/>
      <c r="AI128" s="1"/>
      <c r="AJ128" s="4"/>
      <c r="AK128" s="4"/>
      <c r="AL128" s="4"/>
      <c r="AM128" s="4"/>
      <c r="AN128" s="1"/>
      <c r="AO128" s="1"/>
      <c r="AP128" s="1"/>
      <c r="AQ128" s="1"/>
      <c r="AR128" s="1"/>
    </row>
    <row r="129" spans="7:44" ht="14.25" customHeight="1" x14ac:dyDescent="0.2">
      <c r="G129" s="74">
        <v>45733.840277777781</v>
      </c>
      <c r="H129" s="107" t="s">
        <v>177</v>
      </c>
      <c r="I129" s="107"/>
      <c r="J129" s="116">
        <v>51893.441299999999</v>
      </c>
      <c r="K129" s="116">
        <v>159192.04019999999</v>
      </c>
      <c r="L129" s="116">
        <v>18.7683</v>
      </c>
      <c r="M129" s="75">
        <v>51893.440900000001</v>
      </c>
      <c r="N129" s="75">
        <v>159192.03969999999</v>
      </c>
      <c r="O129" s="75">
        <v>18.768999999999998</v>
      </c>
      <c r="P129" s="76">
        <v>-3.9999999717110768E-4</v>
      </c>
      <c r="Q129" s="109" cm="1">
        <f t="array" ref="Q12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29" s="76">
        <v>-4.999999946448952E-4</v>
      </c>
      <c r="S129" s="77" cm="1">
        <f t="array" ref="S12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29" s="76">
        <v>6.9999999999836859E-4</v>
      </c>
      <c r="U129" s="77" cm="1">
        <f t="array" ref="U12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29" s="77">
        <v>-3.9999999717110768E-4</v>
      </c>
      <c r="W129" s="77" cm="1">
        <f t="array" ref="W12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29" s="77">
        <v>-4.999999946448952E-4</v>
      </c>
      <c r="Y129" s="77" cm="1">
        <f t="array" ref="Y12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2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2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2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29" s="107" t="s">
        <v>85</v>
      </c>
      <c r="AD129" s="111"/>
      <c r="AE129" s="1"/>
      <c r="AF129" s="1"/>
      <c r="AG129" s="1"/>
      <c r="AH129" s="1"/>
      <c r="AI129" s="1"/>
      <c r="AJ129" s="4"/>
      <c r="AK129" s="4"/>
      <c r="AL129" s="4"/>
      <c r="AM129" s="4"/>
      <c r="AN129" s="1"/>
      <c r="AO129" s="1"/>
      <c r="AP129" s="1"/>
      <c r="AQ129" s="1"/>
      <c r="AR129" s="1"/>
    </row>
    <row r="130" spans="7:44" ht="14.25" customHeight="1" x14ac:dyDescent="0.2">
      <c r="G130" s="74">
        <v>45733.840277777781</v>
      </c>
      <c r="H130" s="107" t="s">
        <v>180</v>
      </c>
      <c r="I130" s="107"/>
      <c r="J130" s="116">
        <v>51896.633300000001</v>
      </c>
      <c r="K130" s="116">
        <v>159192.48449999999</v>
      </c>
      <c r="L130" s="116">
        <v>18.7776</v>
      </c>
      <c r="M130" s="75">
        <v>51896.632899999997</v>
      </c>
      <c r="N130" s="75">
        <v>159192.48439999999</v>
      </c>
      <c r="O130" s="75">
        <v>18.777899999999999</v>
      </c>
      <c r="P130" s="76">
        <v>-4.0000000444706529E-4</v>
      </c>
      <c r="Q130" s="109" cm="1">
        <f t="array" ref="Q13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0" s="76">
        <v>-1.0000000474974513E-4</v>
      </c>
      <c r="S130" s="77" cm="1">
        <f t="array" ref="S13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0" s="76">
        <v>2.9999999999930083E-4</v>
      </c>
      <c r="U130" s="77" cm="1">
        <f t="array" ref="U13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0" s="77">
        <v>-4.0000000444706529E-4</v>
      </c>
      <c r="W130" s="77" cm="1">
        <f t="array" ref="W13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0" s="77">
        <v>-1.0000000474974513E-4</v>
      </c>
      <c r="Y130" s="77" cm="1">
        <f t="array" ref="Y13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0" s="107" t="s">
        <v>85</v>
      </c>
      <c r="AD130" s="111"/>
      <c r="AE130" s="1"/>
      <c r="AF130" s="1"/>
      <c r="AG130" s="1"/>
      <c r="AH130" s="1"/>
      <c r="AI130" s="1"/>
      <c r="AJ130" s="4"/>
      <c r="AK130" s="4"/>
      <c r="AL130" s="4"/>
      <c r="AM130" s="4"/>
      <c r="AN130" s="1"/>
      <c r="AO130" s="1"/>
      <c r="AP130" s="1"/>
      <c r="AQ130" s="1"/>
      <c r="AR130" s="1"/>
    </row>
    <row r="131" spans="7:44" ht="14.25" customHeight="1" x14ac:dyDescent="0.2">
      <c r="G131" s="74">
        <v>45733.840277777781</v>
      </c>
      <c r="H131" s="107" t="s">
        <v>179</v>
      </c>
      <c r="I131" s="107"/>
      <c r="J131" s="116">
        <v>51896.249799999998</v>
      </c>
      <c r="K131" s="116">
        <v>159191.22630000001</v>
      </c>
      <c r="L131" s="116">
        <v>18.7698</v>
      </c>
      <c r="M131" s="75">
        <v>51896.249300000003</v>
      </c>
      <c r="N131" s="75">
        <v>159191.22500000001</v>
      </c>
      <c r="O131" s="75">
        <v>18.770399999999999</v>
      </c>
      <c r="P131" s="76">
        <v>-4.999999946448952E-4</v>
      </c>
      <c r="Q131" s="109" cm="1">
        <f t="array" ref="Q13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1" s="76">
        <v>-1.3000000035390258E-3</v>
      </c>
      <c r="S131" s="77" cm="1">
        <f t="array" ref="S13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1" s="76">
        <v>5.9999999999860165E-4</v>
      </c>
      <c r="U131" s="77" cm="1">
        <f t="array" ref="U13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1" s="77">
        <v>-4.999999946448952E-4</v>
      </c>
      <c r="W131" s="77" cm="1">
        <f t="array" ref="W13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1" s="77">
        <v>-1.3000000035390258E-3</v>
      </c>
      <c r="Y131" s="77" cm="1">
        <f t="array" ref="Y13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1" s="107" t="s">
        <v>85</v>
      </c>
      <c r="AD131" s="111"/>
      <c r="AE131" s="1"/>
      <c r="AF131" s="1"/>
      <c r="AG131" s="1"/>
      <c r="AH131" s="1"/>
      <c r="AI131" s="1"/>
      <c r="AJ131" s="4"/>
      <c r="AK131" s="4"/>
      <c r="AL131" s="4"/>
      <c r="AM131" s="4"/>
      <c r="AN131" s="1"/>
      <c r="AO131" s="1"/>
      <c r="AP131" s="1"/>
      <c r="AQ131" s="1"/>
      <c r="AR131" s="1"/>
    </row>
    <row r="132" spans="7:44" ht="14.25" customHeight="1" x14ac:dyDescent="0.2">
      <c r="G132" s="74">
        <v>45733.840277777781</v>
      </c>
      <c r="H132" s="107" t="s">
        <v>182</v>
      </c>
      <c r="I132" s="107"/>
      <c r="J132" s="116">
        <v>51899.398699999998</v>
      </c>
      <c r="K132" s="116">
        <v>159191.69760000001</v>
      </c>
      <c r="L132" s="116">
        <v>18.777999999999999</v>
      </c>
      <c r="M132" s="75">
        <v>51899.398200000003</v>
      </c>
      <c r="N132" s="75">
        <v>159191.69769999999</v>
      </c>
      <c r="O132" s="75">
        <v>18.778099999999998</v>
      </c>
      <c r="P132" s="76">
        <v>-4.999999946448952E-4</v>
      </c>
      <c r="Q132" s="109" cm="1">
        <f t="array" ref="Q13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2" s="76">
        <v>9.9999975645914674E-5</v>
      </c>
      <c r="S132" s="77" cm="1">
        <f t="array" ref="S13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2" s="76">
        <v>9.9999999999766942E-5</v>
      </c>
      <c r="U132" s="77" cm="1">
        <f t="array" ref="U13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2" s="77">
        <v>-4.999999946448952E-4</v>
      </c>
      <c r="W132" s="77" cm="1">
        <f t="array" ref="W13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2" s="77">
        <v>9.9999975645914674E-5</v>
      </c>
      <c r="Y132" s="77" cm="1">
        <f t="array" ref="Y13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2" s="107" t="s">
        <v>85</v>
      </c>
      <c r="AD132" s="111"/>
      <c r="AE132" s="1"/>
      <c r="AF132" s="1"/>
      <c r="AG132" s="1"/>
      <c r="AH132" s="1"/>
      <c r="AI132" s="1"/>
      <c r="AJ132" s="4"/>
      <c r="AK132" s="4"/>
      <c r="AL132" s="4"/>
      <c r="AM132" s="4"/>
      <c r="AN132" s="1"/>
      <c r="AO132" s="1"/>
      <c r="AP132" s="1"/>
      <c r="AQ132" s="1"/>
      <c r="AR132" s="1"/>
    </row>
    <row r="133" spans="7:44" ht="14.25" customHeight="1" x14ac:dyDescent="0.2">
      <c r="G133" s="74">
        <v>45733.840277777781</v>
      </c>
      <c r="H133" s="107" t="s">
        <v>181</v>
      </c>
      <c r="I133" s="107"/>
      <c r="J133" s="116">
        <v>51899.041100000002</v>
      </c>
      <c r="K133" s="116">
        <v>159190.43340000001</v>
      </c>
      <c r="L133" s="116">
        <v>18.771100000000001</v>
      </c>
      <c r="M133" s="75">
        <v>51899.040300000001</v>
      </c>
      <c r="N133" s="75">
        <v>159190.4332</v>
      </c>
      <c r="O133" s="75">
        <v>18.7712</v>
      </c>
      <c r="P133" s="76">
        <v>-8.0000000161817297E-4</v>
      </c>
      <c r="Q133" s="109" cm="1">
        <f t="array" ref="Q13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3" s="76">
        <v>-2.0000000949949026E-4</v>
      </c>
      <c r="S133" s="77" cm="1">
        <f t="array" ref="S13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3" s="76">
        <v>9.9999999999766942E-5</v>
      </c>
      <c r="U133" s="77" cm="1">
        <f t="array" ref="U13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3" s="77">
        <v>-8.0000000161817297E-4</v>
      </c>
      <c r="W133" s="77" cm="1">
        <f t="array" ref="W13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3" s="77">
        <v>-2.0000000949949026E-4</v>
      </c>
      <c r="Y133" s="77" cm="1">
        <f t="array" ref="Y13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3" s="107" t="s">
        <v>85</v>
      </c>
      <c r="AD133" s="111"/>
      <c r="AE133" s="1"/>
      <c r="AF133" s="1"/>
      <c r="AG133" s="1"/>
      <c r="AH133" s="1"/>
      <c r="AI133" s="1"/>
      <c r="AJ133" s="4"/>
      <c r="AK133" s="4"/>
      <c r="AL133" s="4"/>
      <c r="AM133" s="4"/>
      <c r="AN133" s="1"/>
      <c r="AO133" s="1"/>
      <c r="AP133" s="1"/>
      <c r="AQ133" s="1"/>
      <c r="AR133" s="1"/>
    </row>
    <row r="134" spans="7:44" ht="14.25" customHeight="1" x14ac:dyDescent="0.2">
      <c r="G134" s="74">
        <v>45733.840277777781</v>
      </c>
      <c r="H134" s="107" t="s">
        <v>184</v>
      </c>
      <c r="I134" s="107"/>
      <c r="J134" s="116">
        <v>51902.292699999998</v>
      </c>
      <c r="K134" s="116">
        <v>159190.88459999999</v>
      </c>
      <c r="L134" s="116">
        <v>18.779</v>
      </c>
      <c r="M134" s="75">
        <v>51902.292099999999</v>
      </c>
      <c r="N134" s="75">
        <v>159190.8849</v>
      </c>
      <c r="O134" s="75">
        <v>18.7789</v>
      </c>
      <c r="P134" s="76">
        <v>-5.9999999939464033E-4</v>
      </c>
      <c r="Q134" s="109" cm="1">
        <f t="array" ref="Q13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4" s="76">
        <v>3.0000001424923539E-4</v>
      </c>
      <c r="S134" s="77" cm="1">
        <f t="array" ref="S13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4" s="76">
        <v>-9.9999999999766942E-5</v>
      </c>
      <c r="U134" s="77" cm="1">
        <f t="array" ref="U13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4" s="77">
        <v>-5.9999999939464033E-4</v>
      </c>
      <c r="W134" s="77" cm="1">
        <f t="array" ref="W13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4" s="77">
        <v>3.0000001424923539E-4</v>
      </c>
      <c r="Y134" s="77" cm="1">
        <f t="array" ref="Y13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4" s="107" t="s">
        <v>85</v>
      </c>
      <c r="AD134" s="111"/>
      <c r="AE134" s="1"/>
      <c r="AF134" s="1"/>
      <c r="AG134" s="1"/>
      <c r="AH134" s="1"/>
      <c r="AI134" s="1"/>
      <c r="AJ134" s="4"/>
      <c r="AK134" s="4"/>
      <c r="AL134" s="4"/>
      <c r="AM134" s="4"/>
      <c r="AN134" s="1"/>
      <c r="AO134" s="1"/>
      <c r="AP134" s="1"/>
      <c r="AQ134" s="1"/>
      <c r="AR134" s="1"/>
    </row>
    <row r="135" spans="7:44" ht="14.25" customHeight="1" x14ac:dyDescent="0.2">
      <c r="G135" s="74">
        <v>45733.840277777781</v>
      </c>
      <c r="H135" s="107" t="s">
        <v>183</v>
      </c>
      <c r="I135" s="107"/>
      <c r="J135" s="116">
        <v>51901.989200000004</v>
      </c>
      <c r="K135" s="116">
        <v>159189.60260000001</v>
      </c>
      <c r="L135" s="116">
        <v>18.770099999999999</v>
      </c>
      <c r="M135" s="75">
        <v>51901.988599999997</v>
      </c>
      <c r="N135" s="75">
        <v>159189.60279999999</v>
      </c>
      <c r="O135" s="75">
        <v>18.770199999999999</v>
      </c>
      <c r="P135" s="76">
        <v>-6.0000000667059794E-4</v>
      </c>
      <c r="Q135" s="109" cm="1">
        <f t="array" ref="Q13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5" s="76">
        <v>1.999999803956598E-4</v>
      </c>
      <c r="S135" s="77" cm="1">
        <f t="array" ref="S13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5" s="76">
        <v>9.9999999999766942E-5</v>
      </c>
      <c r="U135" s="77" cm="1">
        <f t="array" ref="U13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5" s="77">
        <v>-6.0000000667059794E-4</v>
      </c>
      <c r="W135" s="77" cm="1">
        <f t="array" ref="W13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5" s="77">
        <v>1.999999803956598E-4</v>
      </c>
      <c r="Y135" s="77" cm="1">
        <f t="array" ref="Y13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5" s="107" t="s">
        <v>85</v>
      </c>
      <c r="AD135" s="111"/>
      <c r="AE135" s="1"/>
      <c r="AF135" s="1"/>
      <c r="AG135" s="1"/>
      <c r="AH135" s="1"/>
      <c r="AI135" s="1"/>
      <c r="AJ135" s="4"/>
      <c r="AK135" s="4"/>
      <c r="AL135" s="4"/>
      <c r="AM135" s="4"/>
      <c r="AN135" s="1"/>
      <c r="AO135" s="1"/>
      <c r="AP135" s="1"/>
      <c r="AQ135" s="1"/>
      <c r="AR135" s="1"/>
    </row>
    <row r="136" spans="7:44" ht="14.25" customHeight="1" x14ac:dyDescent="0.2">
      <c r="G136" s="74">
        <v>45733.840277777781</v>
      </c>
      <c r="H136" s="107" t="s">
        <v>186</v>
      </c>
      <c r="I136" s="107"/>
      <c r="J136" s="116">
        <v>51905.196199999998</v>
      </c>
      <c r="K136" s="116">
        <v>159190.09460000001</v>
      </c>
      <c r="L136" s="116">
        <v>18.780899999999999</v>
      </c>
      <c r="M136" s="75">
        <v>51905.195599999999</v>
      </c>
      <c r="N136" s="75">
        <v>159190.0949</v>
      </c>
      <c r="O136" s="75">
        <v>18.7807</v>
      </c>
      <c r="P136" s="76">
        <v>-5.9999999939464033E-4</v>
      </c>
      <c r="Q136" s="109" cm="1">
        <f t="array" ref="Q13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6" s="76">
        <v>2.9999998514540493E-4</v>
      </c>
      <c r="S136" s="77" cm="1">
        <f t="array" ref="S13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6" s="76">
        <v>-1.9999999999953388E-4</v>
      </c>
      <c r="U136" s="77" cm="1">
        <f t="array" ref="U13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6" s="77">
        <v>-5.9999999939464033E-4</v>
      </c>
      <c r="W136" s="77" cm="1">
        <f t="array" ref="W13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6" s="77">
        <v>2.9999998514540493E-4</v>
      </c>
      <c r="Y136" s="77" cm="1">
        <f t="array" ref="Y13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6" s="107" t="s">
        <v>85</v>
      </c>
      <c r="AD136" s="111"/>
      <c r="AE136" s="1"/>
      <c r="AF136" s="1"/>
      <c r="AG136" s="1"/>
      <c r="AH136" s="1"/>
      <c r="AI136" s="1"/>
      <c r="AJ136" s="4"/>
      <c r="AK136" s="4"/>
      <c r="AL136" s="4"/>
      <c r="AM136" s="4"/>
      <c r="AN136" s="1"/>
      <c r="AO136" s="1"/>
      <c r="AP136" s="1"/>
      <c r="AQ136" s="1"/>
      <c r="AR136" s="1"/>
    </row>
    <row r="137" spans="7:44" ht="14.25" customHeight="1" x14ac:dyDescent="0.2">
      <c r="G137" s="74">
        <v>45733.840277777781</v>
      </c>
      <c r="H137" s="107" t="s">
        <v>185</v>
      </c>
      <c r="I137" s="107"/>
      <c r="J137" s="116">
        <v>51904.885600000001</v>
      </c>
      <c r="K137" s="116">
        <v>159188.8046</v>
      </c>
      <c r="L137" s="116">
        <v>18.773099999999999</v>
      </c>
      <c r="M137" s="75">
        <v>51904.884899999997</v>
      </c>
      <c r="N137" s="75">
        <v>159188.80480000001</v>
      </c>
      <c r="O137" s="75">
        <v>18.773299999999999</v>
      </c>
      <c r="P137" s="76">
        <v>-7.0000000414438546E-4</v>
      </c>
      <c r="Q137" s="109" cm="1">
        <f t="array" ref="Q13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7" s="76">
        <v>2.0000000949949026E-4</v>
      </c>
      <c r="S137" s="77" cm="1">
        <f t="array" ref="S13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7" s="76">
        <v>1.9999999999953388E-4</v>
      </c>
      <c r="U137" s="77" cm="1">
        <f t="array" ref="U13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7" s="77">
        <v>-7.0000000414438546E-4</v>
      </c>
      <c r="W137" s="77" cm="1">
        <f t="array" ref="W13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7" s="77">
        <v>2.0000000949949026E-4</v>
      </c>
      <c r="Y137" s="77" cm="1">
        <f t="array" ref="Y13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7" s="107" t="s">
        <v>85</v>
      </c>
      <c r="AD137" s="111"/>
      <c r="AE137" s="1"/>
      <c r="AF137" s="1"/>
      <c r="AG137" s="1"/>
      <c r="AH137" s="1"/>
      <c r="AI137" s="1"/>
      <c r="AJ137" s="4"/>
      <c r="AK137" s="4"/>
      <c r="AL137" s="4"/>
      <c r="AM137" s="4"/>
      <c r="AN137" s="1"/>
      <c r="AO137" s="1"/>
      <c r="AP137" s="1"/>
      <c r="AQ137" s="1"/>
      <c r="AR137" s="1"/>
    </row>
    <row r="138" spans="7:44" ht="14.25" customHeight="1" x14ac:dyDescent="0.2">
      <c r="G138" s="74">
        <v>45733.840277777781</v>
      </c>
      <c r="H138" s="107" t="s">
        <v>188</v>
      </c>
      <c r="I138" s="107"/>
      <c r="J138" s="116">
        <v>51907.9522</v>
      </c>
      <c r="K138" s="116">
        <v>159189.36230000001</v>
      </c>
      <c r="L138" s="116">
        <v>18.786000000000001</v>
      </c>
      <c r="M138" s="75">
        <v>51907.9516</v>
      </c>
      <c r="N138" s="75">
        <v>159189.3628</v>
      </c>
      <c r="O138" s="75">
        <v>18.786000000000001</v>
      </c>
      <c r="P138" s="76">
        <v>-5.9999999939464033E-4</v>
      </c>
      <c r="Q138" s="109" cm="1">
        <f t="array" ref="Q13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8" s="76">
        <v>4.999999946448952E-4</v>
      </c>
      <c r="S138" s="77" cm="1">
        <f t="array" ref="S13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8" s="76">
        <v>0</v>
      </c>
      <c r="U138" s="77" cm="1">
        <f t="array" ref="U13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8" s="77">
        <v>-5.9999999939464033E-4</v>
      </c>
      <c r="W138" s="77" cm="1">
        <f t="array" ref="W13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8" s="77">
        <v>4.999999946448952E-4</v>
      </c>
      <c r="Y138" s="77" cm="1">
        <f t="array" ref="Y13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8" s="107" t="s">
        <v>85</v>
      </c>
      <c r="AD138" s="111"/>
      <c r="AE138" s="1"/>
      <c r="AF138" s="1"/>
      <c r="AG138" s="1"/>
      <c r="AH138" s="1"/>
      <c r="AI138" s="1"/>
      <c r="AJ138" s="4"/>
      <c r="AK138" s="4"/>
      <c r="AL138" s="4"/>
      <c r="AM138" s="4"/>
      <c r="AN138" s="1"/>
      <c r="AO138" s="1"/>
      <c r="AP138" s="1"/>
      <c r="AQ138" s="1"/>
      <c r="AR138" s="1"/>
    </row>
    <row r="139" spans="7:44" ht="14.25" customHeight="1" x14ac:dyDescent="0.2">
      <c r="G139" s="74">
        <v>45733.840277777781</v>
      </c>
      <c r="H139" s="107" t="s">
        <v>187</v>
      </c>
      <c r="I139" s="107"/>
      <c r="J139" s="116">
        <v>51907.578699999998</v>
      </c>
      <c r="K139" s="116">
        <v>159188.09770000001</v>
      </c>
      <c r="L139" s="116">
        <v>18.776</v>
      </c>
      <c r="M139" s="75">
        <v>51907.578099999999</v>
      </c>
      <c r="N139" s="75">
        <v>159188.09820000001</v>
      </c>
      <c r="O139" s="75">
        <v>18.7761</v>
      </c>
      <c r="P139" s="76">
        <v>-5.9999999939464033E-4</v>
      </c>
      <c r="Q139" s="109" cm="1">
        <f t="array" ref="Q13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39" s="76">
        <v>4.999999946448952E-4</v>
      </c>
      <c r="S139" s="77" cm="1">
        <f t="array" ref="S13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39" s="76">
        <v>9.9999999999766942E-5</v>
      </c>
      <c r="U139" s="77" cm="1">
        <f t="array" ref="U13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39" s="77">
        <v>-5.9999999939464033E-4</v>
      </c>
      <c r="W139" s="77" cm="1">
        <f t="array" ref="W13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39" s="77">
        <v>4.999999946448952E-4</v>
      </c>
      <c r="Y139" s="77" cm="1">
        <f t="array" ref="Y13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3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3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3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39" s="107" t="s">
        <v>85</v>
      </c>
      <c r="AD139" s="111"/>
      <c r="AE139" s="1"/>
      <c r="AF139" s="1"/>
      <c r="AG139" s="1"/>
      <c r="AH139" s="1"/>
      <c r="AI139" s="1"/>
      <c r="AJ139" s="4"/>
      <c r="AK139" s="4"/>
      <c r="AL139" s="4"/>
      <c r="AM139" s="4"/>
      <c r="AN139" s="1"/>
      <c r="AO139" s="1"/>
      <c r="AP139" s="1"/>
      <c r="AQ139" s="1"/>
      <c r="AR139" s="1"/>
    </row>
    <row r="140" spans="7:44" ht="14.25" customHeight="1" x14ac:dyDescent="0.2">
      <c r="G140" s="74">
        <v>45733.840277777781</v>
      </c>
      <c r="H140" s="107" t="s">
        <v>190</v>
      </c>
      <c r="I140" s="107"/>
      <c r="J140" s="116">
        <v>51910.962800000001</v>
      </c>
      <c r="K140" s="116">
        <v>159188.60079999999</v>
      </c>
      <c r="L140" s="116">
        <v>18.794599999999999</v>
      </c>
      <c r="M140" s="75">
        <v>51910.962299999999</v>
      </c>
      <c r="N140" s="75">
        <v>159188.60130000001</v>
      </c>
      <c r="O140" s="75">
        <v>18.794699999999999</v>
      </c>
      <c r="P140" s="76">
        <v>-5.0000000192085281E-4</v>
      </c>
      <c r="Q140" s="109" cm="1">
        <f t="array" ref="Q14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0" s="76">
        <v>5.0000002374872565E-4</v>
      </c>
      <c r="S140" s="77" cm="1">
        <f t="array" ref="S14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0" s="76">
        <v>9.9999999999766942E-5</v>
      </c>
      <c r="U140" s="77" cm="1">
        <f t="array" ref="U14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0" s="77">
        <v>-5.0000000192085281E-4</v>
      </c>
      <c r="W140" s="77" cm="1">
        <f t="array" ref="W14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0" s="77">
        <v>5.0000002374872565E-4</v>
      </c>
      <c r="Y140" s="77" cm="1">
        <f t="array" ref="Y14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0" s="107" t="s">
        <v>85</v>
      </c>
      <c r="AD140" s="111"/>
      <c r="AE140" s="1"/>
      <c r="AF140" s="1"/>
      <c r="AG140" s="1"/>
      <c r="AH140" s="1"/>
      <c r="AI140" s="1"/>
      <c r="AJ140" s="4"/>
      <c r="AK140" s="4"/>
      <c r="AL140" s="4"/>
      <c r="AM140" s="4"/>
      <c r="AN140" s="1"/>
      <c r="AO140" s="1"/>
      <c r="AP140" s="1"/>
      <c r="AQ140" s="1"/>
      <c r="AR140" s="1"/>
    </row>
    <row r="141" spans="7:44" ht="14.25" customHeight="1" x14ac:dyDescent="0.2">
      <c r="G141" s="74">
        <v>45733.840277777781</v>
      </c>
      <c r="H141" s="107" t="s">
        <v>189</v>
      </c>
      <c r="I141" s="107"/>
      <c r="J141" s="116">
        <v>51910.640099999997</v>
      </c>
      <c r="K141" s="116">
        <v>159187.3223</v>
      </c>
      <c r="L141" s="116">
        <v>18.7836</v>
      </c>
      <c r="M141" s="75">
        <v>51910.6394</v>
      </c>
      <c r="N141" s="75">
        <v>159187.32279999999</v>
      </c>
      <c r="O141" s="75">
        <v>18.783799999999999</v>
      </c>
      <c r="P141" s="76">
        <v>-6.9999999686842784E-4</v>
      </c>
      <c r="Q141" s="109" cm="1">
        <f t="array" ref="Q14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1" s="76">
        <v>4.999999946448952E-4</v>
      </c>
      <c r="S141" s="77" cm="1">
        <f t="array" ref="S14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1" s="76">
        <v>1.9999999999953388E-4</v>
      </c>
      <c r="U141" s="77" cm="1">
        <f t="array" ref="U14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1" s="77">
        <v>-6.9999999686842784E-4</v>
      </c>
      <c r="W141" s="77" cm="1">
        <f t="array" ref="W14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1" s="77">
        <v>4.999999946448952E-4</v>
      </c>
      <c r="Y141" s="77" cm="1">
        <f t="array" ref="Y14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1" s="107" t="s">
        <v>85</v>
      </c>
      <c r="AD141" s="111"/>
      <c r="AE141" s="1"/>
      <c r="AF141" s="1"/>
      <c r="AG141" s="1"/>
      <c r="AH141" s="1"/>
      <c r="AI141" s="1"/>
      <c r="AJ141" s="4"/>
      <c r="AK141" s="4"/>
      <c r="AL141" s="4"/>
      <c r="AM141" s="4"/>
      <c r="AN141" s="1"/>
      <c r="AO141" s="1"/>
      <c r="AP141" s="1"/>
      <c r="AQ141" s="1"/>
      <c r="AR141" s="1"/>
    </row>
    <row r="142" spans="7:44" ht="14.25" customHeight="1" x14ac:dyDescent="0.2">
      <c r="G142" s="74">
        <v>45733.840277777781</v>
      </c>
      <c r="H142" s="107" t="s">
        <v>192</v>
      </c>
      <c r="I142" s="107"/>
      <c r="J142" s="116">
        <v>51913.751100000001</v>
      </c>
      <c r="K142" s="116">
        <v>159187.9178</v>
      </c>
      <c r="L142" s="116">
        <v>18.809000000000001</v>
      </c>
      <c r="M142" s="75">
        <v>51913.7503</v>
      </c>
      <c r="N142" s="75">
        <v>159187.9184</v>
      </c>
      <c r="O142" s="75">
        <v>18.809000000000001</v>
      </c>
      <c r="P142" s="76">
        <v>-8.0000000161817297E-4</v>
      </c>
      <c r="Q142" s="109" cm="1">
        <f t="array" ref="Q14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2" s="76">
        <v>5.9999999939464033E-4</v>
      </c>
      <c r="S142" s="77" cm="1">
        <f t="array" ref="S14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2" s="76">
        <v>0</v>
      </c>
      <c r="U142" s="77" cm="1">
        <f t="array" ref="U14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2" s="77">
        <v>-8.0000000161817297E-4</v>
      </c>
      <c r="W142" s="77" cm="1">
        <f t="array" ref="W14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2" s="77">
        <v>5.9999999939464033E-4</v>
      </c>
      <c r="Y142" s="77" cm="1">
        <f t="array" ref="Y14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2" s="107" t="s">
        <v>85</v>
      </c>
      <c r="AD142" s="111"/>
      <c r="AE142" s="1"/>
      <c r="AF142" s="1"/>
      <c r="AG142" s="1"/>
      <c r="AH142" s="1"/>
      <c r="AI142" s="1"/>
      <c r="AJ142" s="4"/>
      <c r="AK142" s="4"/>
      <c r="AL142" s="4"/>
      <c r="AM142" s="4"/>
      <c r="AN142" s="1"/>
      <c r="AO142" s="1"/>
      <c r="AP142" s="1"/>
      <c r="AQ142" s="1"/>
      <c r="AR142" s="1"/>
    </row>
    <row r="143" spans="7:44" ht="14.25" customHeight="1" x14ac:dyDescent="0.2">
      <c r="G143" s="74">
        <v>45733.840277777781</v>
      </c>
      <c r="H143" s="107" t="s">
        <v>191</v>
      </c>
      <c r="I143" s="107"/>
      <c r="J143" s="116">
        <v>51913.421499999997</v>
      </c>
      <c r="K143" s="116">
        <v>159186.63630000001</v>
      </c>
      <c r="L143" s="116">
        <v>18.794899999999998</v>
      </c>
      <c r="M143" s="75">
        <v>51913.4205</v>
      </c>
      <c r="N143" s="75">
        <v>159186.63680000001</v>
      </c>
      <c r="O143" s="75">
        <v>18.794799999999999</v>
      </c>
      <c r="P143" s="76">
        <v>-9.9999999656574801E-4</v>
      </c>
      <c r="Q143" s="109" cm="1">
        <f t="array" ref="Q14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3" s="76">
        <v>4.999999946448952E-4</v>
      </c>
      <c r="S143" s="77" cm="1">
        <f t="array" ref="S14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3" s="76">
        <v>-9.9999999999766942E-5</v>
      </c>
      <c r="U143" s="77" cm="1">
        <f t="array" ref="U14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3" s="77">
        <v>-9.9999999656574801E-4</v>
      </c>
      <c r="W143" s="77" cm="1">
        <f t="array" ref="W14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3" s="77">
        <v>4.999999946448952E-4</v>
      </c>
      <c r="Y143" s="77" cm="1">
        <f t="array" ref="Y14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3" s="107" t="s">
        <v>85</v>
      </c>
      <c r="AD143" s="111"/>
      <c r="AE143" s="1"/>
      <c r="AF143" s="1"/>
      <c r="AG143" s="1"/>
      <c r="AH143" s="1"/>
      <c r="AI143" s="1"/>
      <c r="AJ143" s="4"/>
      <c r="AK143" s="4"/>
      <c r="AL143" s="4"/>
      <c r="AM143" s="4"/>
      <c r="AN143" s="1"/>
      <c r="AO143" s="1"/>
      <c r="AP143" s="1"/>
      <c r="AQ143" s="1"/>
      <c r="AR143" s="1"/>
    </row>
    <row r="144" spans="7:44" ht="14.25" customHeight="1" x14ac:dyDescent="0.2">
      <c r="G144" s="74">
        <v>45721.395833333336</v>
      </c>
      <c r="H144" s="107" t="s">
        <v>172</v>
      </c>
      <c r="I144" s="107"/>
      <c r="J144" s="116">
        <v>51885.34</v>
      </c>
      <c r="K144" s="116">
        <v>159195.739</v>
      </c>
      <c r="L144" s="116">
        <v>18.782</v>
      </c>
      <c r="M144" s="75">
        <v>51885.339</v>
      </c>
      <c r="N144" s="75">
        <v>159195.74</v>
      </c>
      <c r="O144" s="75">
        <v>18.782</v>
      </c>
      <c r="P144" s="76">
        <v>-9.9999999656574801E-4</v>
      </c>
      <c r="Q144" s="109" cm="1">
        <f t="array" ref="Q14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4" s="76">
        <v>9.9999998928979039E-4</v>
      </c>
      <c r="S144" s="77" cm="1">
        <f t="array" ref="S14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4" s="76">
        <v>0</v>
      </c>
      <c r="U144" s="77" cm="1">
        <f t="array" ref="U14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4" s="77">
        <v>-9.9999999656574801E-4</v>
      </c>
      <c r="W144" s="77" cm="1">
        <f t="array" ref="W14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4" s="77">
        <v>9.9999998928979039E-4</v>
      </c>
      <c r="Y144" s="77" cm="1">
        <f t="array" ref="Y14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4" s="107" t="s">
        <v>86</v>
      </c>
      <c r="AD144" s="111"/>
      <c r="AE144" s="1"/>
      <c r="AF144" s="1"/>
      <c r="AG144" s="1"/>
      <c r="AH144" s="1"/>
      <c r="AI144" s="1"/>
      <c r="AJ144" s="4"/>
      <c r="AK144" s="4"/>
      <c r="AL144" s="4"/>
      <c r="AM144" s="4"/>
      <c r="AN144" s="1"/>
      <c r="AO144" s="1"/>
      <c r="AP144" s="1"/>
      <c r="AQ144" s="1"/>
      <c r="AR144" s="1"/>
    </row>
    <row r="145" spans="7:44" ht="14.25" customHeight="1" x14ac:dyDescent="0.2">
      <c r="G145" s="74">
        <v>45721.395833333336</v>
      </c>
      <c r="H145" s="107" t="s">
        <v>171</v>
      </c>
      <c r="I145" s="107"/>
      <c r="J145" s="116">
        <v>51884.958899999998</v>
      </c>
      <c r="K145" s="116">
        <v>159194.47070000001</v>
      </c>
      <c r="L145" s="116">
        <v>18.778099999999998</v>
      </c>
      <c r="M145" s="75">
        <v>51884.957999999999</v>
      </c>
      <c r="N145" s="75">
        <v>159194.47200000001</v>
      </c>
      <c r="O145" s="75">
        <v>18.777999999999999</v>
      </c>
      <c r="P145" s="76">
        <v>-8.9999999909196049E-4</v>
      </c>
      <c r="Q145" s="109" cm="1">
        <f t="array" ref="Q14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5" s="76">
        <v>1.3000000035390258E-3</v>
      </c>
      <c r="S145" s="77" cm="1">
        <f t="array" ref="S14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5" s="76">
        <v>-9.9999999999766942E-5</v>
      </c>
      <c r="U145" s="77" cm="1">
        <f t="array" ref="U14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5" s="77">
        <v>-8.9999999909196049E-4</v>
      </c>
      <c r="W145" s="77" cm="1">
        <f t="array" ref="W14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5" s="77">
        <v>1.3000000035390258E-3</v>
      </c>
      <c r="Y145" s="77" cm="1">
        <f t="array" ref="Y14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5" s="107" t="s">
        <v>86</v>
      </c>
      <c r="AD145" s="111"/>
      <c r="AE145" s="1"/>
      <c r="AF145" s="1"/>
      <c r="AG145" s="1"/>
      <c r="AH145" s="1"/>
      <c r="AI145" s="1"/>
      <c r="AJ145" s="4"/>
      <c r="AK145" s="4"/>
      <c r="AL145" s="4"/>
      <c r="AM145" s="4"/>
      <c r="AN145" s="1"/>
      <c r="AO145" s="1"/>
      <c r="AP145" s="1"/>
      <c r="AQ145" s="1"/>
      <c r="AR145" s="1"/>
    </row>
    <row r="146" spans="7:44" ht="14.25" customHeight="1" x14ac:dyDescent="0.2">
      <c r="G146" s="74">
        <v>45721.395833333336</v>
      </c>
      <c r="H146" s="107" t="s">
        <v>174</v>
      </c>
      <c r="I146" s="107"/>
      <c r="J146" s="116">
        <v>51888.117700000003</v>
      </c>
      <c r="K146" s="116">
        <v>159194.94529999999</v>
      </c>
      <c r="L146" s="116">
        <v>18.7788</v>
      </c>
      <c r="M146" s="75">
        <v>51888.116999999998</v>
      </c>
      <c r="N146" s="75">
        <v>159194.946</v>
      </c>
      <c r="O146" s="75">
        <v>18.779</v>
      </c>
      <c r="P146" s="76">
        <v>-7.0000000414438546E-4</v>
      </c>
      <c r="Q146" s="109" cm="1">
        <f t="array" ref="Q14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6" s="76">
        <v>7.0000000414438546E-4</v>
      </c>
      <c r="S146" s="77" cm="1">
        <f t="array" ref="S14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6" s="76">
        <v>1.9999999999953388E-4</v>
      </c>
      <c r="U146" s="77" cm="1">
        <f t="array" ref="U14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6" s="77">
        <v>-7.0000000414438546E-4</v>
      </c>
      <c r="W146" s="77" cm="1">
        <f t="array" ref="W14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6" s="77">
        <v>7.0000000414438546E-4</v>
      </c>
      <c r="Y146" s="77" cm="1">
        <f t="array" ref="Y14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6" s="107" t="s">
        <v>86</v>
      </c>
      <c r="AD146" s="111"/>
      <c r="AE146" s="1"/>
      <c r="AF146" s="1"/>
      <c r="AG146" s="1"/>
      <c r="AH146" s="1"/>
      <c r="AI146" s="1"/>
      <c r="AJ146" s="4"/>
      <c r="AK146" s="4"/>
      <c r="AL146" s="4"/>
      <c r="AM146" s="4"/>
      <c r="AN146" s="1"/>
      <c r="AO146" s="1"/>
      <c r="AP146" s="1"/>
      <c r="AQ146" s="1"/>
      <c r="AR146" s="1"/>
    </row>
    <row r="147" spans="7:44" ht="14.25" customHeight="1" x14ac:dyDescent="0.2">
      <c r="G147" s="74">
        <v>45721.395833333336</v>
      </c>
      <c r="H147" s="107" t="s">
        <v>173</v>
      </c>
      <c r="I147" s="107"/>
      <c r="J147" s="116">
        <v>51887.805099999998</v>
      </c>
      <c r="K147" s="116">
        <v>159193.65710000001</v>
      </c>
      <c r="L147" s="116">
        <v>18.778500000000001</v>
      </c>
      <c r="M147" s="75">
        <v>51887.803999999996</v>
      </c>
      <c r="N147" s="75">
        <v>159193.658</v>
      </c>
      <c r="O147" s="75">
        <v>18.777999999999999</v>
      </c>
      <c r="P147" s="76">
        <v>-1.1000000013154931E-3</v>
      </c>
      <c r="Q147" s="109" cm="1">
        <f t="array" ref="Q14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7" s="76">
        <v>8.9999998454004526E-4</v>
      </c>
      <c r="S147" s="77" cm="1">
        <f t="array" ref="S14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7" s="76">
        <v>-5.0000000000238742E-4</v>
      </c>
      <c r="U147" s="77" cm="1">
        <f t="array" ref="U14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7" s="77">
        <v>-1.1000000013154931E-3</v>
      </c>
      <c r="W147" s="77" cm="1">
        <f t="array" ref="W14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7" s="77">
        <v>8.9999998454004526E-4</v>
      </c>
      <c r="Y147" s="77" cm="1">
        <f t="array" ref="Y14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7" s="107" t="s">
        <v>86</v>
      </c>
      <c r="AD147" s="111"/>
      <c r="AE147" s="1"/>
      <c r="AF147" s="1"/>
      <c r="AG147" s="1"/>
      <c r="AH147" s="1"/>
      <c r="AI147" s="1"/>
      <c r="AJ147" s="4"/>
      <c r="AK147" s="4"/>
      <c r="AL147" s="4"/>
      <c r="AM147" s="4"/>
      <c r="AN147" s="1"/>
      <c r="AO147" s="1"/>
      <c r="AP147" s="1"/>
      <c r="AQ147" s="1"/>
      <c r="AR147" s="1"/>
    </row>
    <row r="148" spans="7:44" ht="14.25" customHeight="1" x14ac:dyDescent="0.2">
      <c r="G148" s="74">
        <v>45721.395833333336</v>
      </c>
      <c r="H148" s="107" t="s">
        <v>176</v>
      </c>
      <c r="I148" s="107"/>
      <c r="J148" s="116">
        <v>51890.969100000002</v>
      </c>
      <c r="K148" s="116">
        <v>159194.1177</v>
      </c>
      <c r="L148" s="116">
        <v>18.779</v>
      </c>
      <c r="M148" s="75">
        <v>51890.968000000001</v>
      </c>
      <c r="N148" s="75">
        <v>159194.11799999999</v>
      </c>
      <c r="O148" s="75">
        <v>18.779</v>
      </c>
      <c r="P148" s="76">
        <v>-1.1000000013154931E-3</v>
      </c>
      <c r="Q148" s="109" cm="1">
        <f t="array" ref="Q14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8" s="76">
        <v>2.9999998514540493E-4</v>
      </c>
      <c r="S148" s="77" cm="1">
        <f t="array" ref="S14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8" s="76">
        <v>0</v>
      </c>
      <c r="U148" s="77" cm="1">
        <f t="array" ref="U14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8" s="77">
        <v>-1.1000000013154931E-3</v>
      </c>
      <c r="W148" s="77" cm="1">
        <f t="array" ref="W14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8" s="77">
        <v>2.9999998514540493E-4</v>
      </c>
      <c r="Y148" s="77" cm="1">
        <f t="array" ref="Y14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8" s="107" t="s">
        <v>86</v>
      </c>
      <c r="AD148" s="111"/>
      <c r="AE148" s="1"/>
      <c r="AF148" s="1"/>
      <c r="AG148" s="1"/>
      <c r="AH148" s="1"/>
      <c r="AI148" s="1"/>
      <c r="AJ148" s="4"/>
      <c r="AK148" s="4"/>
      <c r="AL148" s="4"/>
      <c r="AM148" s="4"/>
      <c r="AN148" s="1"/>
      <c r="AO148" s="1"/>
      <c r="AP148" s="1"/>
      <c r="AQ148" s="1"/>
      <c r="AR148" s="1"/>
    </row>
    <row r="149" spans="7:44" ht="14.25" customHeight="1" x14ac:dyDescent="0.2">
      <c r="G149" s="74">
        <v>45721.395833333336</v>
      </c>
      <c r="H149" s="107" t="s">
        <v>175</v>
      </c>
      <c r="I149" s="107"/>
      <c r="J149" s="116">
        <v>51890.606800000001</v>
      </c>
      <c r="K149" s="116">
        <v>159192.86069999999</v>
      </c>
      <c r="L149" s="116">
        <v>18.771999999999998</v>
      </c>
      <c r="M149" s="75">
        <v>51890.606</v>
      </c>
      <c r="N149" s="75">
        <v>159192.86199999999</v>
      </c>
      <c r="O149" s="75">
        <v>18.771999999999998</v>
      </c>
      <c r="P149" s="76">
        <v>-8.0000000161817297E-4</v>
      </c>
      <c r="Q149" s="109" cm="1">
        <f t="array" ref="Q14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49" s="76">
        <v>1.3000000035390258E-3</v>
      </c>
      <c r="S149" s="77" cm="1">
        <f t="array" ref="S14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49" s="76">
        <v>0</v>
      </c>
      <c r="U149" s="77" cm="1">
        <f t="array" ref="U14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49" s="77">
        <v>-8.0000000161817297E-4</v>
      </c>
      <c r="W149" s="77" cm="1">
        <f t="array" ref="W14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49" s="77">
        <v>1.3000000035390258E-3</v>
      </c>
      <c r="Y149" s="77" cm="1">
        <f t="array" ref="Y14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4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4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4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49" s="107" t="s">
        <v>86</v>
      </c>
      <c r="AD149" s="111"/>
      <c r="AE149" s="1"/>
      <c r="AF149" s="1"/>
      <c r="AG149" s="1"/>
      <c r="AH149" s="1"/>
      <c r="AI149" s="1"/>
      <c r="AJ149" s="4"/>
      <c r="AK149" s="4"/>
      <c r="AL149" s="4"/>
      <c r="AM149" s="4"/>
      <c r="AN149" s="1"/>
      <c r="AO149" s="1"/>
      <c r="AP149" s="1"/>
      <c r="AQ149" s="1"/>
      <c r="AR149" s="1"/>
    </row>
    <row r="150" spans="7:44" ht="14.25" customHeight="1" x14ac:dyDescent="0.2">
      <c r="G150" s="74">
        <v>45721.395833333336</v>
      </c>
      <c r="H150" s="107" t="s">
        <v>178</v>
      </c>
      <c r="I150" s="107"/>
      <c r="J150" s="116">
        <v>51893.758699999998</v>
      </c>
      <c r="K150" s="116">
        <v>159193.3144</v>
      </c>
      <c r="L150" s="116">
        <v>18.774100000000001</v>
      </c>
      <c r="M150" s="75">
        <v>51893.758000000002</v>
      </c>
      <c r="N150" s="75">
        <v>159193.315</v>
      </c>
      <c r="O150" s="75">
        <v>18.774000000000001</v>
      </c>
      <c r="P150" s="76">
        <v>-6.9999999686842784E-4</v>
      </c>
      <c r="Q150" s="109" cm="1">
        <f t="array" ref="Q15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0" s="76">
        <v>5.9999999939464033E-4</v>
      </c>
      <c r="S150" s="77" cm="1">
        <f t="array" ref="S15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0" s="76">
        <v>-9.9999999999766942E-5</v>
      </c>
      <c r="U150" s="77" cm="1">
        <f t="array" ref="U15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0" s="77">
        <v>-6.9999999686842784E-4</v>
      </c>
      <c r="W150" s="77" cm="1">
        <f t="array" ref="W15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0" s="77">
        <v>5.9999999939464033E-4</v>
      </c>
      <c r="Y150" s="77" cm="1">
        <f t="array" ref="Y15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0" s="107" t="s">
        <v>86</v>
      </c>
      <c r="AD150" s="111"/>
      <c r="AE150" s="1"/>
      <c r="AF150" s="1"/>
      <c r="AG150" s="1"/>
      <c r="AH150" s="1"/>
      <c r="AI150" s="1"/>
      <c r="AJ150" s="4"/>
      <c r="AK150" s="4"/>
      <c r="AL150" s="4"/>
      <c r="AM150" s="4"/>
      <c r="AN150" s="1"/>
      <c r="AO150" s="1"/>
      <c r="AP150" s="1"/>
      <c r="AQ150" s="1"/>
      <c r="AR150" s="1"/>
    </row>
    <row r="151" spans="7:44" ht="14.25" customHeight="1" x14ac:dyDescent="0.2">
      <c r="G151" s="74">
        <v>45721.395833333336</v>
      </c>
      <c r="H151" s="107" t="s">
        <v>177</v>
      </c>
      <c r="I151" s="107"/>
      <c r="J151" s="116">
        <v>51893.441299999999</v>
      </c>
      <c r="K151" s="116">
        <v>159192.04019999999</v>
      </c>
      <c r="L151" s="116">
        <v>18.7683</v>
      </c>
      <c r="M151" s="75">
        <v>51893.440000000002</v>
      </c>
      <c r="N151" s="75">
        <v>159192.041</v>
      </c>
      <c r="O151" s="75">
        <v>18.768000000000001</v>
      </c>
      <c r="P151" s="76">
        <v>-1.2999999962630682E-3</v>
      </c>
      <c r="Q151" s="109" cm="1">
        <f t="array" ref="Q15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1" s="76">
        <v>8.0000000889413059E-4</v>
      </c>
      <c r="S151" s="77" cm="1">
        <f t="array" ref="S15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1" s="76">
        <v>-2.9999999999930083E-4</v>
      </c>
      <c r="U151" s="77" cm="1">
        <f t="array" ref="U15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1" s="77">
        <v>-1.2999999962630682E-3</v>
      </c>
      <c r="W151" s="77" cm="1">
        <f t="array" ref="W15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1" s="77">
        <v>8.0000000889413059E-4</v>
      </c>
      <c r="Y151" s="77" cm="1">
        <f t="array" ref="Y15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1" s="107" t="s">
        <v>86</v>
      </c>
      <c r="AD151" s="111"/>
      <c r="AE151" s="1"/>
      <c r="AF151" s="1"/>
      <c r="AG151" s="1"/>
      <c r="AH151" s="1"/>
      <c r="AI151" s="1"/>
      <c r="AJ151" s="4"/>
      <c r="AK151" s="4"/>
      <c r="AL151" s="4"/>
      <c r="AM151" s="4"/>
      <c r="AN151" s="1"/>
      <c r="AO151" s="1"/>
      <c r="AP151" s="1"/>
      <c r="AQ151" s="1"/>
      <c r="AR151" s="1"/>
    </row>
    <row r="152" spans="7:44" ht="14.25" customHeight="1" x14ac:dyDescent="0.2">
      <c r="G152" s="74">
        <v>45721.395833333336</v>
      </c>
      <c r="H152" s="107" t="s">
        <v>180</v>
      </c>
      <c r="I152" s="107"/>
      <c r="J152" s="116">
        <v>51896.633300000001</v>
      </c>
      <c r="K152" s="116">
        <v>159192.48449999999</v>
      </c>
      <c r="L152" s="116">
        <v>18.7776</v>
      </c>
      <c r="M152" s="75">
        <v>51896.631999999998</v>
      </c>
      <c r="N152" s="75">
        <v>159192.48499999999</v>
      </c>
      <c r="O152" s="75">
        <v>18.777000000000001</v>
      </c>
      <c r="P152" s="76">
        <v>-1.3000000035390258E-3</v>
      </c>
      <c r="Q152" s="109" cm="1">
        <f t="array" ref="Q15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2" s="76">
        <v>4.999999946448952E-4</v>
      </c>
      <c r="S152" s="77" cm="1">
        <f t="array" ref="S15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2" s="76">
        <v>-5.9999999999860165E-4</v>
      </c>
      <c r="U152" s="77" cm="1">
        <f t="array" ref="U15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2" s="77">
        <v>-1.3000000035390258E-3</v>
      </c>
      <c r="W152" s="77" cm="1">
        <f t="array" ref="W15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2" s="77">
        <v>4.999999946448952E-4</v>
      </c>
      <c r="Y152" s="77" cm="1">
        <f t="array" ref="Y15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2" s="107" t="s">
        <v>86</v>
      </c>
      <c r="AD152" s="111"/>
      <c r="AE152" s="1"/>
      <c r="AF152" s="1"/>
      <c r="AG152" s="1"/>
      <c r="AH152" s="1"/>
      <c r="AI152" s="1"/>
      <c r="AJ152" s="1"/>
      <c r="AK152" s="1"/>
      <c r="AL152" s="1"/>
      <c r="AM152" s="1"/>
      <c r="AN152" s="1"/>
      <c r="AO152" s="1"/>
      <c r="AP152" s="1"/>
      <c r="AQ152" s="1"/>
      <c r="AR152" s="1"/>
    </row>
    <row r="153" spans="7:44" ht="14.25" customHeight="1" x14ac:dyDescent="0.2">
      <c r="G153" s="74">
        <v>45721.395833333336</v>
      </c>
      <c r="H153" s="107" t="s">
        <v>179</v>
      </c>
      <c r="I153" s="107"/>
      <c r="J153" s="116">
        <v>51896.249799999998</v>
      </c>
      <c r="K153" s="116">
        <v>159191.22630000001</v>
      </c>
      <c r="L153" s="116">
        <v>18.7698</v>
      </c>
      <c r="M153" s="75">
        <v>51896.249000000003</v>
      </c>
      <c r="N153" s="75">
        <v>159191.22700000001</v>
      </c>
      <c r="O153" s="75">
        <v>18.77</v>
      </c>
      <c r="P153" s="76">
        <v>-7.9999999434221536E-4</v>
      </c>
      <c r="Q153" s="109" cm="1">
        <f t="array" ref="Q15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3" s="76">
        <v>7.0000000414438546E-4</v>
      </c>
      <c r="S153" s="77" cm="1">
        <f t="array" ref="S15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3" s="76">
        <v>1.9999999999953388E-4</v>
      </c>
      <c r="U153" s="77" cm="1">
        <f t="array" ref="U15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3" s="77">
        <v>-7.9999999434221536E-4</v>
      </c>
      <c r="W153" s="77" cm="1">
        <f t="array" ref="W15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3" s="77">
        <v>7.0000000414438546E-4</v>
      </c>
      <c r="Y153" s="77" cm="1">
        <f t="array" ref="Y15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3" s="107" t="s">
        <v>86</v>
      </c>
      <c r="AD153" s="111"/>
      <c r="AE153" s="1"/>
      <c r="AF153" s="1"/>
      <c r="AG153" s="1"/>
      <c r="AH153" s="1"/>
      <c r="AI153" s="1"/>
      <c r="AJ153" s="1"/>
      <c r="AK153" s="1"/>
      <c r="AL153" s="1"/>
      <c r="AM153" s="1"/>
      <c r="AN153" s="1"/>
      <c r="AO153" s="1"/>
      <c r="AP153" s="1"/>
      <c r="AQ153" s="1"/>
      <c r="AR153" s="1"/>
    </row>
    <row r="154" spans="7:44" ht="14.25" customHeight="1" x14ac:dyDescent="0.2">
      <c r="G154" s="74">
        <v>45721.395833333336</v>
      </c>
      <c r="H154" s="107" t="s">
        <v>182</v>
      </c>
      <c r="I154" s="107"/>
      <c r="J154" s="116">
        <v>51899.398699999998</v>
      </c>
      <c r="K154" s="116">
        <v>159191.69760000001</v>
      </c>
      <c r="L154" s="116">
        <v>18.777999999999999</v>
      </c>
      <c r="M154" s="75">
        <v>51899.398000000001</v>
      </c>
      <c r="N154" s="75">
        <v>159191.698</v>
      </c>
      <c r="O154" s="75">
        <v>18.777999999999999</v>
      </c>
      <c r="P154" s="76">
        <v>-6.9999999686842784E-4</v>
      </c>
      <c r="Q154" s="109" cm="1">
        <f t="array" ref="Q15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4" s="76">
        <v>3.9999998989515007E-4</v>
      </c>
      <c r="S154" s="77" cm="1">
        <f t="array" ref="S15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4" s="76">
        <v>0</v>
      </c>
      <c r="U154" s="77" cm="1">
        <f t="array" ref="U15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4" s="77">
        <v>-6.9999999686842784E-4</v>
      </c>
      <c r="W154" s="77" cm="1">
        <f t="array" ref="W15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4" s="77">
        <v>3.9999998989515007E-4</v>
      </c>
      <c r="Y154" s="77" cm="1">
        <f t="array" ref="Y15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4" s="107" t="s">
        <v>86</v>
      </c>
      <c r="AD154" s="111"/>
      <c r="AE154" s="1"/>
      <c r="AF154" s="1"/>
      <c r="AG154" s="1"/>
      <c r="AH154" s="1"/>
      <c r="AI154" s="1"/>
      <c r="AJ154" s="1"/>
      <c r="AK154" s="1"/>
      <c r="AL154" s="1"/>
      <c r="AM154" s="1"/>
      <c r="AN154" s="1"/>
      <c r="AO154" s="1"/>
      <c r="AP154" s="1"/>
      <c r="AQ154" s="1"/>
      <c r="AR154" s="1"/>
    </row>
    <row r="155" spans="7:44" ht="14.25" customHeight="1" x14ac:dyDescent="0.2">
      <c r="G155" s="74">
        <v>45721.395833333336</v>
      </c>
      <c r="H155" s="107" t="s">
        <v>181</v>
      </c>
      <c r="I155" s="107"/>
      <c r="J155" s="116">
        <v>51899.041100000002</v>
      </c>
      <c r="K155" s="116">
        <v>159190.43340000001</v>
      </c>
      <c r="L155" s="116">
        <v>18.771100000000001</v>
      </c>
      <c r="M155" s="75">
        <v>51899.040000000001</v>
      </c>
      <c r="N155" s="75">
        <v>159190.435</v>
      </c>
      <c r="O155" s="75">
        <v>18.771000000000001</v>
      </c>
      <c r="P155" s="76">
        <v>-1.1000000013154931E-3</v>
      </c>
      <c r="Q155" s="109" cm="1">
        <f t="array" ref="Q15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5" s="76">
        <v>1.5999999886844307E-3</v>
      </c>
      <c r="S155" s="77" cm="1">
        <f t="array" ref="S15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5" s="76">
        <v>-9.9999999999766942E-5</v>
      </c>
      <c r="U155" s="77" cm="1">
        <f t="array" ref="U15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5" s="77">
        <v>-1.1000000013154931E-3</v>
      </c>
      <c r="W155" s="77" cm="1">
        <f t="array" ref="W15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5" s="77">
        <v>1.5999999886844307E-3</v>
      </c>
      <c r="Y155" s="77" cm="1">
        <f t="array" ref="Y15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5" s="107" t="s">
        <v>86</v>
      </c>
      <c r="AD155" s="111"/>
      <c r="AE155" s="1"/>
      <c r="AF155" s="1"/>
      <c r="AG155" s="1"/>
      <c r="AH155" s="1"/>
      <c r="AI155" s="1"/>
      <c r="AJ155" s="1"/>
      <c r="AK155" s="1"/>
      <c r="AL155" s="1"/>
      <c r="AM155" s="1"/>
      <c r="AN155" s="1"/>
      <c r="AO155" s="1"/>
      <c r="AP155" s="1"/>
      <c r="AQ155" s="1"/>
      <c r="AR155" s="1"/>
    </row>
    <row r="156" spans="7:44" ht="14.25" customHeight="1" x14ac:dyDescent="0.2">
      <c r="G156" s="74">
        <v>45721.395833333336</v>
      </c>
      <c r="H156" s="107" t="s">
        <v>184</v>
      </c>
      <c r="I156" s="107"/>
      <c r="J156" s="116">
        <v>51902.292699999998</v>
      </c>
      <c r="K156" s="116">
        <v>159190.88459999999</v>
      </c>
      <c r="L156" s="116">
        <v>18.779</v>
      </c>
      <c r="M156" s="75">
        <v>51902.292000000001</v>
      </c>
      <c r="N156" s="75">
        <v>159190.88500000001</v>
      </c>
      <c r="O156" s="75">
        <v>18.779</v>
      </c>
      <c r="P156" s="76">
        <v>-6.9999999686842784E-4</v>
      </c>
      <c r="Q156" s="109" cm="1">
        <f t="array" ref="Q15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6" s="76">
        <v>4.0000001899898052E-4</v>
      </c>
      <c r="S156" s="77" cm="1">
        <f t="array" ref="S15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6" s="76">
        <v>0</v>
      </c>
      <c r="U156" s="77" cm="1">
        <f t="array" ref="U15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6" s="77">
        <v>-6.9999999686842784E-4</v>
      </c>
      <c r="W156" s="77" cm="1">
        <f t="array" ref="W15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6" s="77">
        <v>4.0000001899898052E-4</v>
      </c>
      <c r="Y156" s="77" cm="1">
        <f t="array" ref="Y15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6" s="107" t="s">
        <v>86</v>
      </c>
      <c r="AD156" s="111"/>
      <c r="AE156" s="1"/>
      <c r="AF156" s="1"/>
      <c r="AG156" s="1"/>
      <c r="AH156" s="1"/>
      <c r="AI156" s="1"/>
      <c r="AJ156" s="1"/>
      <c r="AK156" s="1"/>
      <c r="AL156" s="1"/>
      <c r="AM156" s="1"/>
      <c r="AN156" s="1"/>
      <c r="AO156" s="1"/>
      <c r="AP156" s="1"/>
      <c r="AQ156" s="1"/>
      <c r="AR156" s="1"/>
    </row>
    <row r="157" spans="7:44" ht="14.25" customHeight="1" x14ac:dyDescent="0.2">
      <c r="G157" s="74">
        <v>45721.395833333336</v>
      </c>
      <c r="H157" s="107" t="s">
        <v>183</v>
      </c>
      <c r="I157" s="107"/>
      <c r="J157" s="116">
        <v>51901.989200000004</v>
      </c>
      <c r="K157" s="116">
        <v>159189.60260000001</v>
      </c>
      <c r="L157" s="116">
        <v>18.770099999999999</v>
      </c>
      <c r="M157" s="75">
        <v>51901.987999999998</v>
      </c>
      <c r="N157" s="75">
        <v>159189.60399999999</v>
      </c>
      <c r="O157" s="75">
        <v>18.77</v>
      </c>
      <c r="P157" s="76">
        <v>-1.2000000060652383E-3</v>
      </c>
      <c r="Q157" s="109" cm="1">
        <f t="array" ref="Q15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7" s="76">
        <v>1.3999999791849405E-3</v>
      </c>
      <c r="S157" s="77" cm="1">
        <f t="array" ref="S15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7" s="76">
        <v>-9.9999999999766942E-5</v>
      </c>
      <c r="U157" s="77" cm="1">
        <f t="array" ref="U15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7" s="77">
        <v>-1.2000000060652383E-3</v>
      </c>
      <c r="W157" s="77" cm="1">
        <f t="array" ref="W15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7" s="77">
        <v>1.3999999791849405E-3</v>
      </c>
      <c r="Y157" s="77" cm="1">
        <f t="array" ref="Y15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7" s="107" t="s">
        <v>86</v>
      </c>
      <c r="AD157" s="111"/>
      <c r="AE157" s="1"/>
      <c r="AF157" s="1"/>
      <c r="AG157" s="1"/>
      <c r="AH157" s="1"/>
      <c r="AI157" s="1"/>
      <c r="AJ157" s="1"/>
      <c r="AK157" s="1"/>
      <c r="AL157" s="1"/>
      <c r="AM157" s="1"/>
      <c r="AN157" s="1"/>
      <c r="AO157" s="1"/>
      <c r="AP157" s="1"/>
      <c r="AQ157" s="1"/>
      <c r="AR157" s="1"/>
    </row>
    <row r="158" spans="7:44" ht="14.25" customHeight="1" x14ac:dyDescent="0.2">
      <c r="G158" s="74">
        <v>45721.395833333336</v>
      </c>
      <c r="H158" s="107" t="s">
        <v>186</v>
      </c>
      <c r="I158" s="107"/>
      <c r="J158" s="116">
        <v>51905.196199999998</v>
      </c>
      <c r="K158" s="116">
        <v>159190.09460000001</v>
      </c>
      <c r="L158" s="116">
        <v>18.780899999999999</v>
      </c>
      <c r="M158" s="75">
        <v>51905.195</v>
      </c>
      <c r="N158" s="75">
        <v>159190.095</v>
      </c>
      <c r="O158" s="75">
        <v>18.780999999999999</v>
      </c>
      <c r="P158" s="76">
        <v>-1.1999999987892807E-3</v>
      </c>
      <c r="Q158" s="109" cm="1">
        <f t="array" ref="Q15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8" s="76">
        <v>3.9999998989515007E-4</v>
      </c>
      <c r="S158" s="77" cm="1">
        <f t="array" ref="S15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8" s="76">
        <v>9.9999999999766942E-5</v>
      </c>
      <c r="U158" s="77" cm="1">
        <f t="array" ref="U15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8" s="77">
        <v>-1.1999999987892807E-3</v>
      </c>
      <c r="W158" s="77" cm="1">
        <f t="array" ref="W15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8" s="77">
        <v>3.9999998989515007E-4</v>
      </c>
      <c r="Y158" s="77" cm="1">
        <f t="array" ref="Y15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8" s="107" t="s">
        <v>86</v>
      </c>
      <c r="AD158" s="111"/>
      <c r="AE158" s="1"/>
      <c r="AF158" s="1"/>
      <c r="AG158" s="1"/>
      <c r="AH158" s="1"/>
      <c r="AI158" s="1"/>
      <c r="AJ158" s="1"/>
      <c r="AK158" s="1"/>
      <c r="AL158" s="1"/>
      <c r="AM158" s="1"/>
      <c r="AN158" s="1"/>
      <c r="AO158" s="1"/>
      <c r="AP158" s="1"/>
      <c r="AQ158" s="1"/>
      <c r="AR158" s="1"/>
    </row>
    <row r="159" spans="7:44" ht="14.25" customHeight="1" x14ac:dyDescent="0.2">
      <c r="G159" s="74">
        <v>45721.395833333336</v>
      </c>
      <c r="H159" s="107" t="s">
        <v>185</v>
      </c>
      <c r="I159" s="107"/>
      <c r="J159" s="116">
        <v>51904.885600000001</v>
      </c>
      <c r="K159" s="116">
        <v>159188.8046</v>
      </c>
      <c r="L159" s="116">
        <v>18.773099999999999</v>
      </c>
      <c r="M159" s="75">
        <v>51904.883999999998</v>
      </c>
      <c r="N159" s="75">
        <v>159188.80600000001</v>
      </c>
      <c r="O159" s="75">
        <v>18.773</v>
      </c>
      <c r="P159" s="76">
        <v>-1.6000000032363459E-3</v>
      </c>
      <c r="Q159" s="109" cm="1">
        <f t="array" ref="Q15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59" s="76">
        <v>1.4000000082887709E-3</v>
      </c>
      <c r="S159" s="77" cm="1">
        <f t="array" ref="S15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59" s="76">
        <v>-9.9999999999766942E-5</v>
      </c>
      <c r="U159" s="77" cm="1">
        <f t="array" ref="U15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59" s="77">
        <v>-1.6000000032363459E-3</v>
      </c>
      <c r="W159" s="77" cm="1">
        <f t="array" ref="W15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59" s="77">
        <v>1.4000000082887709E-3</v>
      </c>
      <c r="Y159" s="77" cm="1">
        <f t="array" ref="Y15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5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5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5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59" s="107" t="s">
        <v>86</v>
      </c>
      <c r="AD159" s="111"/>
      <c r="AE159" s="1"/>
      <c r="AF159" s="1"/>
      <c r="AG159" s="1"/>
      <c r="AH159" s="1"/>
      <c r="AI159" s="1"/>
      <c r="AJ159" s="1"/>
      <c r="AK159" s="1"/>
      <c r="AL159" s="1"/>
      <c r="AM159" s="1"/>
      <c r="AN159" s="1"/>
      <c r="AO159" s="1"/>
      <c r="AP159" s="1"/>
      <c r="AQ159" s="1"/>
      <c r="AR159" s="1"/>
    </row>
    <row r="160" spans="7:44" ht="14.25" customHeight="1" x14ac:dyDescent="0.2">
      <c r="G160" s="74">
        <v>45721.395833333336</v>
      </c>
      <c r="H160" s="107" t="s">
        <v>188</v>
      </c>
      <c r="I160" s="107"/>
      <c r="J160" s="116">
        <v>51907.9522</v>
      </c>
      <c r="K160" s="116">
        <v>159189.36230000001</v>
      </c>
      <c r="L160" s="116">
        <v>18.786000000000001</v>
      </c>
      <c r="M160" s="75">
        <v>51907.951000000001</v>
      </c>
      <c r="N160" s="75">
        <v>159189.36300000001</v>
      </c>
      <c r="O160" s="75">
        <v>18.786000000000001</v>
      </c>
      <c r="P160" s="76">
        <v>-1.1999999987892807E-3</v>
      </c>
      <c r="Q160" s="109" cm="1">
        <f t="array" ref="Q16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0" s="76">
        <v>7.0000000414438546E-4</v>
      </c>
      <c r="S160" s="77" cm="1">
        <f t="array" ref="S16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0" s="76">
        <v>0</v>
      </c>
      <c r="U160" s="77" cm="1">
        <f t="array" ref="U16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0" s="77">
        <v>-1.1999999987892807E-3</v>
      </c>
      <c r="W160" s="77" cm="1">
        <f t="array" ref="W16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0" s="77">
        <v>7.0000000414438546E-4</v>
      </c>
      <c r="Y160" s="77" cm="1">
        <f t="array" ref="Y16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0" s="107" t="s">
        <v>86</v>
      </c>
      <c r="AD160" s="111"/>
      <c r="AE160" s="1"/>
      <c r="AF160" s="1"/>
      <c r="AG160" s="1"/>
      <c r="AH160" s="1"/>
      <c r="AI160" s="1"/>
      <c r="AJ160" s="1"/>
      <c r="AK160" s="1"/>
      <c r="AL160" s="1"/>
      <c r="AM160" s="1"/>
      <c r="AN160" s="1"/>
      <c r="AO160" s="1"/>
      <c r="AP160" s="1"/>
      <c r="AQ160" s="1"/>
      <c r="AR160" s="1"/>
    </row>
    <row r="161" spans="7:44" ht="14.25" customHeight="1" x14ac:dyDescent="0.2">
      <c r="G161" s="74">
        <v>45721.395833333336</v>
      </c>
      <c r="H161" s="107" t="s">
        <v>187</v>
      </c>
      <c r="I161" s="107"/>
      <c r="J161" s="116">
        <v>51907.578699999998</v>
      </c>
      <c r="K161" s="116">
        <v>159188.09770000001</v>
      </c>
      <c r="L161" s="116">
        <v>18.776</v>
      </c>
      <c r="M161" s="75">
        <v>51907.576999999997</v>
      </c>
      <c r="N161" s="75">
        <v>159188.09899999999</v>
      </c>
      <c r="O161" s="75">
        <v>18.776</v>
      </c>
      <c r="P161" s="76">
        <v>-1.7000000007101335E-3</v>
      </c>
      <c r="Q161" s="109" cm="1">
        <f t="array" ref="Q16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1" s="76">
        <v>1.2999999744351953E-3</v>
      </c>
      <c r="S161" s="77" cm="1">
        <f t="array" ref="S16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1" s="76">
        <v>0</v>
      </c>
      <c r="U161" s="77" cm="1">
        <f t="array" ref="U16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1" s="77">
        <v>-1.7000000007101335E-3</v>
      </c>
      <c r="W161" s="77" cm="1">
        <f t="array" ref="W16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1" s="77">
        <v>1.2999999744351953E-3</v>
      </c>
      <c r="Y161" s="77" cm="1">
        <f t="array" ref="Y16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1" s="107" t="s">
        <v>86</v>
      </c>
      <c r="AD161" s="111"/>
      <c r="AE161" s="1"/>
      <c r="AF161" s="1"/>
      <c r="AG161" s="1"/>
      <c r="AH161" s="1"/>
      <c r="AI161" s="1"/>
      <c r="AJ161" s="1"/>
      <c r="AK161" s="1"/>
      <c r="AL161" s="1"/>
      <c r="AM161" s="1"/>
      <c r="AN161" s="1"/>
      <c r="AO161" s="1"/>
      <c r="AP161" s="1"/>
      <c r="AQ161" s="1"/>
      <c r="AR161" s="1"/>
    </row>
    <row r="162" spans="7:44" ht="14.25" customHeight="1" x14ac:dyDescent="0.2">
      <c r="G162" s="74">
        <v>45721.395833333336</v>
      </c>
      <c r="H162" s="107" t="s">
        <v>190</v>
      </c>
      <c r="I162" s="107"/>
      <c r="J162" s="116">
        <v>51910.962800000001</v>
      </c>
      <c r="K162" s="116">
        <v>159188.60079999999</v>
      </c>
      <c r="L162" s="116">
        <v>18.794599999999999</v>
      </c>
      <c r="M162" s="75">
        <v>51910.961000000003</v>
      </c>
      <c r="N162" s="75">
        <v>159188.601</v>
      </c>
      <c r="O162" s="75">
        <v>18.794</v>
      </c>
      <c r="P162" s="76">
        <v>-1.799999998183921E-3</v>
      </c>
      <c r="Q162" s="109" cm="1">
        <f t="array" ref="Q16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2" s="76">
        <v>2.0000000949949026E-4</v>
      </c>
      <c r="S162" s="77" cm="1">
        <f t="array" ref="S16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2" s="76">
        <v>-5.9999999999860165E-4</v>
      </c>
      <c r="U162" s="77" cm="1">
        <f t="array" ref="U16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2" s="77">
        <v>-1.799999998183921E-3</v>
      </c>
      <c r="W162" s="77" cm="1">
        <f t="array" ref="W16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2" s="77">
        <v>2.0000000949949026E-4</v>
      </c>
      <c r="Y162" s="77" cm="1">
        <f t="array" ref="Y16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2" s="107" t="s">
        <v>86</v>
      </c>
      <c r="AD162" s="111"/>
      <c r="AE162" s="1"/>
      <c r="AF162" s="1"/>
      <c r="AG162" s="1"/>
      <c r="AH162" s="1"/>
      <c r="AI162" s="1"/>
      <c r="AJ162" s="1"/>
      <c r="AK162" s="1"/>
      <c r="AL162" s="1"/>
      <c r="AM162" s="1"/>
      <c r="AN162" s="1"/>
      <c r="AO162" s="1"/>
      <c r="AP162" s="1"/>
      <c r="AQ162" s="1"/>
      <c r="AR162" s="1"/>
    </row>
    <row r="163" spans="7:44" ht="14.25" customHeight="1" x14ac:dyDescent="0.2">
      <c r="G163" s="74">
        <v>45721.395833333336</v>
      </c>
      <c r="H163" s="107" t="s">
        <v>189</v>
      </c>
      <c r="I163" s="107"/>
      <c r="J163" s="116">
        <v>51910.640099999997</v>
      </c>
      <c r="K163" s="116">
        <v>159187.3223</v>
      </c>
      <c r="L163" s="116">
        <v>18.7836</v>
      </c>
      <c r="M163" s="75">
        <v>51910.637999999999</v>
      </c>
      <c r="N163" s="75">
        <v>159187.323</v>
      </c>
      <c r="O163" s="75">
        <v>18.783000000000001</v>
      </c>
      <c r="P163" s="76">
        <v>-2.0999999978812411E-3</v>
      </c>
      <c r="Q163" s="109" cm="1">
        <f t="array" ref="Q16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3" s="76">
        <v>7.0000000414438546E-4</v>
      </c>
      <c r="S163" s="77" cm="1">
        <f t="array" ref="S16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3" s="76">
        <v>-5.9999999999860165E-4</v>
      </c>
      <c r="U163" s="77" cm="1">
        <f t="array" ref="U16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3" s="77">
        <v>-2.0999999978812411E-3</v>
      </c>
      <c r="W163" s="77" cm="1">
        <f t="array" ref="W16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3" s="77">
        <v>7.0000000414438546E-4</v>
      </c>
      <c r="Y163" s="77" cm="1">
        <f t="array" ref="Y16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3" s="107" t="s">
        <v>86</v>
      </c>
      <c r="AD163" s="111"/>
      <c r="AE163" s="1"/>
      <c r="AF163" s="1"/>
      <c r="AG163" s="1"/>
      <c r="AH163" s="1"/>
      <c r="AI163" s="1"/>
      <c r="AJ163" s="1"/>
      <c r="AK163" s="1"/>
      <c r="AL163" s="1"/>
      <c r="AM163" s="1"/>
      <c r="AN163" s="1"/>
      <c r="AO163" s="1"/>
      <c r="AP163" s="1"/>
      <c r="AQ163" s="1"/>
      <c r="AR163" s="1"/>
    </row>
    <row r="164" spans="7:44" ht="14.25" customHeight="1" x14ac:dyDescent="0.2">
      <c r="G164" s="74">
        <v>45721.395833333336</v>
      </c>
      <c r="H164" s="107" t="s">
        <v>192</v>
      </c>
      <c r="I164" s="107"/>
      <c r="J164" s="116">
        <v>51913.751100000001</v>
      </c>
      <c r="K164" s="116">
        <v>159187.9178</v>
      </c>
      <c r="L164" s="116">
        <v>18.809000000000001</v>
      </c>
      <c r="M164" s="75">
        <v>51913.75</v>
      </c>
      <c r="N164" s="75">
        <v>159187.91800000001</v>
      </c>
      <c r="O164" s="75">
        <v>18.809000000000001</v>
      </c>
      <c r="P164" s="76">
        <v>-1.1000000013154931E-3</v>
      </c>
      <c r="Q164" s="109" cm="1">
        <f t="array" ref="Q16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4" s="76">
        <v>2.0000000949949026E-4</v>
      </c>
      <c r="S164" s="77" cm="1">
        <f t="array" ref="S16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4" s="76">
        <v>0</v>
      </c>
      <c r="U164" s="77" cm="1">
        <f t="array" ref="U16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4" s="77">
        <v>-1.1000000013154931E-3</v>
      </c>
      <c r="W164" s="77" cm="1">
        <f t="array" ref="W16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4" s="77">
        <v>2.0000000949949026E-4</v>
      </c>
      <c r="Y164" s="77" cm="1">
        <f t="array" ref="Y16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4" s="107" t="s">
        <v>86</v>
      </c>
      <c r="AD164" s="111"/>
      <c r="AE164" s="1"/>
      <c r="AF164" s="1"/>
      <c r="AG164" s="1"/>
      <c r="AH164" s="1"/>
      <c r="AI164" s="1"/>
      <c r="AJ164" s="1"/>
      <c r="AK164" s="1"/>
      <c r="AL164" s="1"/>
      <c r="AM164" s="1"/>
      <c r="AN164" s="1"/>
      <c r="AO164" s="1"/>
      <c r="AP164" s="1"/>
      <c r="AQ164" s="1"/>
      <c r="AR164" s="1"/>
    </row>
    <row r="165" spans="7:44" ht="14.25" customHeight="1" x14ac:dyDescent="0.2">
      <c r="G165" s="74">
        <v>45721.395833333336</v>
      </c>
      <c r="H165" s="107" t="s">
        <v>191</v>
      </c>
      <c r="I165" s="107"/>
      <c r="J165" s="116">
        <v>51913.421499999997</v>
      </c>
      <c r="K165" s="116">
        <v>159186.63630000001</v>
      </c>
      <c r="L165" s="116">
        <v>18.794899999999998</v>
      </c>
      <c r="M165" s="75">
        <v>51913.42</v>
      </c>
      <c r="N165" s="75">
        <v>159186.63699999999</v>
      </c>
      <c r="O165" s="75">
        <v>18.795000000000002</v>
      </c>
      <c r="P165" s="76">
        <v>-1.4999999984866008E-3</v>
      </c>
      <c r="Q165" s="109" cm="1">
        <f t="array" ref="Q16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5" s="76">
        <v>6.99999975040555E-4</v>
      </c>
      <c r="S165" s="77" cm="1">
        <f t="array" ref="S16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5" s="76">
        <v>1.0000000000331966E-4</v>
      </c>
      <c r="U165" s="77" cm="1">
        <f t="array" ref="U16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5" s="77">
        <v>-1.4999999984866008E-3</v>
      </c>
      <c r="W165" s="77" cm="1">
        <f t="array" ref="W16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5" s="77">
        <v>6.99999975040555E-4</v>
      </c>
      <c r="Y165" s="77" cm="1">
        <f t="array" ref="Y16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5" s="107" t="s">
        <v>86</v>
      </c>
      <c r="AD165" s="111"/>
      <c r="AE165" s="1"/>
      <c r="AF165" s="1"/>
      <c r="AG165" s="1"/>
      <c r="AH165" s="1"/>
      <c r="AI165" s="1"/>
      <c r="AJ165" s="1"/>
      <c r="AK165" s="1"/>
      <c r="AL165" s="1"/>
      <c r="AM165" s="1"/>
      <c r="AN165" s="1"/>
      <c r="AO165" s="1"/>
      <c r="AP165" s="1"/>
      <c r="AQ165" s="1"/>
      <c r="AR165" s="1"/>
    </row>
    <row r="166" spans="7:44" ht="14.25" customHeight="1" x14ac:dyDescent="0.2">
      <c r="G166" s="74">
        <v>45721.395833333336</v>
      </c>
      <c r="H166" s="107" t="s">
        <v>165</v>
      </c>
      <c r="I166" s="107"/>
      <c r="J166" s="116">
        <v>51884.538999999997</v>
      </c>
      <c r="K166" s="116">
        <v>159193.38269999999</v>
      </c>
      <c r="L166" s="116">
        <v>19.331700000000001</v>
      </c>
      <c r="M166" s="75">
        <v>51884.538999999997</v>
      </c>
      <c r="N166" s="75">
        <v>159193.38399999999</v>
      </c>
      <c r="O166" s="75">
        <v>19.332000000000001</v>
      </c>
      <c r="P166" s="76">
        <v>0</v>
      </c>
      <c r="Q166" s="109" cm="1">
        <f t="array" ref="Q16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6" s="76">
        <v>1.3000000035390258E-3</v>
      </c>
      <c r="S166" s="77" cm="1">
        <f t="array" ref="S16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6" s="76">
        <v>2.9999999999930083E-4</v>
      </c>
      <c r="U166" s="77" cm="1">
        <f t="array" ref="U16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6" s="77">
        <v>0</v>
      </c>
      <c r="W166" s="77" cm="1">
        <f t="array" ref="W16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6" s="77">
        <v>1.3000000035390258E-3</v>
      </c>
      <c r="Y166" s="77" cm="1">
        <f t="array" ref="Y16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6" s="107" t="s">
        <v>86</v>
      </c>
      <c r="AD166" s="111"/>
      <c r="AE166" s="1"/>
      <c r="AF166" s="1"/>
      <c r="AG166" s="1"/>
      <c r="AH166" s="1"/>
      <c r="AI166" s="1"/>
      <c r="AJ166" s="1"/>
      <c r="AK166" s="1"/>
      <c r="AL166" s="1"/>
      <c r="AM166" s="1"/>
      <c r="AN166" s="1"/>
      <c r="AO166" s="1"/>
      <c r="AP166" s="1"/>
      <c r="AQ166" s="1"/>
      <c r="AR166" s="1"/>
    </row>
    <row r="167" spans="7:44" ht="14.25" customHeight="1" x14ac:dyDescent="0.2">
      <c r="G167" s="74">
        <v>45721.395833333336</v>
      </c>
      <c r="H167" s="107" t="s">
        <v>166</v>
      </c>
      <c r="I167" s="107"/>
      <c r="J167" s="116">
        <v>51890.2863</v>
      </c>
      <c r="K167" s="116">
        <v>159191.73069999999</v>
      </c>
      <c r="L167" s="116">
        <v>19.321999999999999</v>
      </c>
      <c r="M167" s="75">
        <v>51890.286999999997</v>
      </c>
      <c r="N167" s="75">
        <v>159191.73199999999</v>
      </c>
      <c r="O167" s="75">
        <v>19.321999999999999</v>
      </c>
      <c r="P167" s="76">
        <v>6.9999999686842784E-4</v>
      </c>
      <c r="Q167" s="109" cm="1">
        <f t="array" ref="Q16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7" s="76">
        <v>1.3000000035390258E-3</v>
      </c>
      <c r="S167" s="77" cm="1">
        <f t="array" ref="S16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7" s="76">
        <v>0</v>
      </c>
      <c r="U167" s="77" cm="1">
        <f t="array" ref="U16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7" s="77">
        <v>6.9999999686842784E-4</v>
      </c>
      <c r="W167" s="77" cm="1">
        <f t="array" ref="W16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7" s="77">
        <v>1.3000000035390258E-3</v>
      </c>
      <c r="Y167" s="77" cm="1">
        <f t="array" ref="Y16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7" s="107" t="s">
        <v>86</v>
      </c>
      <c r="AD167" s="111"/>
      <c r="AE167" s="1"/>
      <c r="AF167" s="1"/>
      <c r="AG167" s="1"/>
      <c r="AH167" s="1"/>
      <c r="AI167" s="1"/>
      <c r="AJ167" s="1"/>
      <c r="AK167" s="1"/>
      <c r="AL167" s="1"/>
      <c r="AM167" s="1"/>
      <c r="AN167" s="1"/>
      <c r="AO167" s="1"/>
      <c r="AP167" s="1"/>
      <c r="AQ167" s="1"/>
      <c r="AR167" s="1"/>
    </row>
    <row r="168" spans="7:44" ht="14.25" customHeight="1" x14ac:dyDescent="0.2">
      <c r="G168" s="74">
        <v>45721.395833333336</v>
      </c>
      <c r="H168" s="107" t="s">
        <v>167</v>
      </c>
      <c r="I168" s="107"/>
      <c r="J168" s="116">
        <v>51895.920700000002</v>
      </c>
      <c r="K168" s="116">
        <v>159190.1</v>
      </c>
      <c r="L168" s="116">
        <v>19.334</v>
      </c>
      <c r="M168" s="75">
        <v>51895.92</v>
      </c>
      <c r="N168" s="75">
        <v>159190.1</v>
      </c>
      <c r="O168" s="75">
        <v>19.334</v>
      </c>
      <c r="P168" s="76">
        <v>-7.0000000414438546E-4</v>
      </c>
      <c r="Q168" s="109" cm="1">
        <f t="array" ref="Q16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8" s="76">
        <v>0</v>
      </c>
      <c r="S168" s="77" cm="1">
        <f t="array" ref="S16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8" s="76">
        <v>0</v>
      </c>
      <c r="U168" s="77" cm="1">
        <f t="array" ref="U16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8" s="77">
        <v>-7.0000000414438546E-4</v>
      </c>
      <c r="W168" s="77" cm="1">
        <f t="array" ref="W16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8" s="77">
        <v>0</v>
      </c>
      <c r="Y168" s="77" cm="1">
        <f t="array" ref="Y16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8" s="107" t="s">
        <v>86</v>
      </c>
      <c r="AD168" s="111"/>
      <c r="AE168" s="1"/>
      <c r="AF168" s="1"/>
      <c r="AG168" s="1"/>
      <c r="AH168" s="1"/>
      <c r="AI168" s="1"/>
      <c r="AJ168" s="1"/>
      <c r="AK168" s="1"/>
      <c r="AL168" s="1"/>
      <c r="AM168" s="1"/>
      <c r="AN168" s="1"/>
      <c r="AO168" s="1"/>
      <c r="AP168" s="1"/>
      <c r="AQ168" s="1"/>
      <c r="AR168" s="1"/>
    </row>
    <row r="169" spans="7:44" ht="14.25" customHeight="1" x14ac:dyDescent="0.2">
      <c r="G169" s="74">
        <v>45721.395833333336</v>
      </c>
      <c r="H169" s="107" t="s">
        <v>168</v>
      </c>
      <c r="I169" s="107"/>
      <c r="J169" s="116">
        <v>51899.7667</v>
      </c>
      <c r="K169" s="116">
        <v>159188.9933</v>
      </c>
      <c r="L169" s="116">
        <v>19.344999999999999</v>
      </c>
      <c r="M169" s="75">
        <v>51899.766000000003</v>
      </c>
      <c r="N169" s="75">
        <v>159188.99400000001</v>
      </c>
      <c r="O169" s="75">
        <v>19.344999999999999</v>
      </c>
      <c r="P169" s="76">
        <v>-6.9999999686842784E-4</v>
      </c>
      <c r="Q169" s="109" cm="1">
        <f t="array" ref="Q16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69" s="76">
        <v>7.0000000414438546E-4</v>
      </c>
      <c r="S169" s="77" cm="1">
        <f t="array" ref="S16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69" s="76">
        <v>0</v>
      </c>
      <c r="U169" s="77" cm="1">
        <f t="array" ref="U16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69" s="77">
        <v>-6.9999999686842784E-4</v>
      </c>
      <c r="W169" s="77" cm="1">
        <f t="array" ref="W16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69" s="77">
        <v>7.0000000414438546E-4</v>
      </c>
      <c r="Y169" s="77" cm="1">
        <f t="array" ref="Y16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6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6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6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69" s="107" t="s">
        <v>86</v>
      </c>
      <c r="AD169" s="111"/>
      <c r="AE169" s="1"/>
      <c r="AF169" s="1"/>
      <c r="AG169" s="1"/>
      <c r="AH169" s="1"/>
      <c r="AI169" s="1"/>
      <c r="AJ169" s="1"/>
      <c r="AK169" s="1"/>
      <c r="AL169" s="1"/>
      <c r="AM169" s="1"/>
      <c r="AN169" s="1"/>
      <c r="AO169" s="1"/>
      <c r="AP169" s="1"/>
      <c r="AQ169" s="1"/>
      <c r="AR169" s="1"/>
    </row>
    <row r="170" spans="7:44" ht="14.25" customHeight="1" x14ac:dyDescent="0.2">
      <c r="G170" s="74">
        <v>45721.395833333336</v>
      </c>
      <c r="H170" s="107" t="s">
        <v>169</v>
      </c>
      <c r="I170" s="107"/>
      <c r="J170" s="116">
        <v>51903.6083</v>
      </c>
      <c r="K170" s="116">
        <v>159187.88200000001</v>
      </c>
      <c r="L170" s="116">
        <v>19.356999999999999</v>
      </c>
      <c r="M170" s="75">
        <v>51903.608</v>
      </c>
      <c r="N170" s="75">
        <v>159187.88200000001</v>
      </c>
      <c r="O170" s="75">
        <v>19.356999999999999</v>
      </c>
      <c r="P170" s="76">
        <v>-2.9999999969732016E-4</v>
      </c>
      <c r="Q170" s="109" cm="1">
        <f t="array" ref="Q17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0" s="76">
        <v>0</v>
      </c>
      <c r="S170" s="77" cm="1">
        <f t="array" ref="S17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0" s="76">
        <v>0</v>
      </c>
      <c r="U170" s="77" cm="1">
        <f t="array" ref="U17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0" s="77">
        <v>-2.9999999969732016E-4</v>
      </c>
      <c r="W170" s="77" cm="1">
        <f t="array" ref="W17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0" s="77">
        <v>0</v>
      </c>
      <c r="Y170" s="77" cm="1">
        <f t="array" ref="Y17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0" s="107" t="s">
        <v>86</v>
      </c>
      <c r="AD170" s="111"/>
      <c r="AE170" s="1"/>
      <c r="AF170" s="1"/>
      <c r="AG170" s="1"/>
      <c r="AH170" s="1"/>
      <c r="AI170" s="1"/>
      <c r="AJ170" s="1"/>
      <c r="AK170" s="1"/>
      <c r="AL170" s="1"/>
      <c r="AM170" s="1"/>
      <c r="AN170" s="1"/>
      <c r="AO170" s="1"/>
      <c r="AP170" s="1"/>
      <c r="AQ170" s="1"/>
      <c r="AR170" s="1"/>
    </row>
    <row r="171" spans="7:44" ht="14.25" customHeight="1" x14ac:dyDescent="0.2">
      <c r="G171" s="74">
        <v>45721.395833333336</v>
      </c>
      <c r="H171" s="107" t="s">
        <v>170</v>
      </c>
      <c r="I171" s="107"/>
      <c r="J171" s="116">
        <v>51910.065000000002</v>
      </c>
      <c r="K171" s="116">
        <v>159186.02369999999</v>
      </c>
      <c r="L171" s="116">
        <v>19.356999999999999</v>
      </c>
      <c r="M171" s="75">
        <v>51910.065000000002</v>
      </c>
      <c r="N171" s="75">
        <v>159186.024</v>
      </c>
      <c r="O171" s="75">
        <v>19.356999999999999</v>
      </c>
      <c r="P171" s="76">
        <v>0</v>
      </c>
      <c r="Q171" s="109" cm="1">
        <f t="array" ref="Q17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1" s="76">
        <v>3.0000001424923539E-4</v>
      </c>
      <c r="S171" s="77" cm="1">
        <f t="array" ref="S17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1" s="76">
        <v>0</v>
      </c>
      <c r="U171" s="77" cm="1">
        <f t="array" ref="U17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1" s="77">
        <v>0</v>
      </c>
      <c r="W171" s="77" cm="1">
        <f t="array" ref="W17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1" s="77">
        <v>3.0000001424923539E-4</v>
      </c>
      <c r="Y171" s="77" cm="1">
        <f t="array" ref="Y17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1" s="107" t="s">
        <v>86</v>
      </c>
      <c r="AD171" s="111"/>
      <c r="AE171" s="1"/>
      <c r="AF171" s="1"/>
      <c r="AG171" s="1"/>
      <c r="AH171" s="1"/>
      <c r="AI171" s="1"/>
      <c r="AJ171" s="1"/>
      <c r="AK171" s="1"/>
      <c r="AL171" s="1"/>
      <c r="AM171" s="1"/>
      <c r="AN171" s="1"/>
      <c r="AO171" s="1"/>
      <c r="AP171" s="1"/>
      <c r="AQ171" s="1"/>
      <c r="AR171" s="1"/>
    </row>
    <row r="172" spans="7:44" ht="14.25" customHeight="1" x14ac:dyDescent="0.2">
      <c r="G172" s="74">
        <v>45710.451388888891</v>
      </c>
      <c r="H172" s="107" t="s">
        <v>172</v>
      </c>
      <c r="I172" s="107"/>
      <c r="J172" s="116">
        <v>51885.34</v>
      </c>
      <c r="K172" s="116">
        <v>159195.739</v>
      </c>
      <c r="L172" s="116">
        <v>18.782</v>
      </c>
      <c r="M172" s="75">
        <v>51885.341</v>
      </c>
      <c r="N172" s="75">
        <v>159195.73800000001</v>
      </c>
      <c r="O172" s="75">
        <v>18.782</v>
      </c>
      <c r="P172" s="76">
        <v>1.0000000038417056E-3</v>
      </c>
      <c r="Q172" s="109" cm="1">
        <f t="array" ref="Q17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2" s="76">
        <v>-9.9999998928979039E-4</v>
      </c>
      <c r="S172" s="77" cm="1">
        <f t="array" ref="S17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2" s="76">
        <v>0</v>
      </c>
      <c r="U172" s="77" cm="1">
        <f t="array" ref="U17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2" s="77">
        <v>1.0000000038417056E-3</v>
      </c>
      <c r="W172" s="77" cm="1">
        <f t="array" ref="W17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2" s="77">
        <v>-9.9999998928979039E-4</v>
      </c>
      <c r="Y172" s="77" cm="1">
        <f t="array" ref="Y17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2" s="107" t="s">
        <v>86</v>
      </c>
      <c r="AD172" s="111"/>
      <c r="AE172" s="1"/>
      <c r="AF172" s="1"/>
      <c r="AG172" s="1"/>
      <c r="AH172" s="1"/>
      <c r="AI172" s="1"/>
      <c r="AJ172" s="1"/>
      <c r="AK172" s="1"/>
      <c r="AL172" s="1"/>
      <c r="AM172" s="1"/>
      <c r="AN172" s="1"/>
      <c r="AO172" s="1"/>
      <c r="AP172" s="1"/>
      <c r="AQ172" s="1"/>
      <c r="AR172" s="1"/>
    </row>
    <row r="173" spans="7:44" ht="14.25" customHeight="1" x14ac:dyDescent="0.2">
      <c r="G173" s="74">
        <v>45710.451388888891</v>
      </c>
      <c r="H173" s="107" t="s">
        <v>171</v>
      </c>
      <c r="I173" s="107"/>
      <c r="J173" s="116">
        <v>51884.958899999998</v>
      </c>
      <c r="K173" s="116">
        <v>159194.47070000001</v>
      </c>
      <c r="L173" s="116">
        <v>18.778099999999998</v>
      </c>
      <c r="M173" s="75">
        <v>51884.959999999999</v>
      </c>
      <c r="N173" s="75">
        <v>159194.47</v>
      </c>
      <c r="O173" s="75">
        <v>18.777999999999999</v>
      </c>
      <c r="P173" s="76">
        <v>1.1000000013154931E-3</v>
      </c>
      <c r="Q173" s="109" cm="1">
        <f t="array" ref="Q17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3" s="76">
        <v>-7.0000000414438546E-4</v>
      </c>
      <c r="S173" s="77" cm="1">
        <f t="array" ref="S17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3" s="76">
        <v>-9.9999999999766942E-5</v>
      </c>
      <c r="U173" s="77" cm="1">
        <f t="array" ref="U17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3" s="77">
        <v>1.1000000013154931E-3</v>
      </c>
      <c r="W173" s="77" cm="1">
        <f t="array" ref="W17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3" s="77">
        <v>-7.0000000414438546E-4</v>
      </c>
      <c r="Y173" s="77" cm="1">
        <f t="array" ref="Y17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3" s="107" t="s">
        <v>86</v>
      </c>
      <c r="AD173" s="111"/>
      <c r="AE173" s="1"/>
      <c r="AF173" s="1"/>
      <c r="AG173" s="1"/>
      <c r="AH173" s="1"/>
      <c r="AI173" s="1"/>
      <c r="AJ173" s="1"/>
      <c r="AK173" s="1"/>
      <c r="AL173" s="1"/>
      <c r="AM173" s="1"/>
      <c r="AN173" s="1"/>
      <c r="AO173" s="1"/>
      <c r="AP173" s="1"/>
      <c r="AQ173" s="1"/>
      <c r="AR173" s="1"/>
    </row>
    <row r="174" spans="7:44" ht="14.25" customHeight="1" x14ac:dyDescent="0.2">
      <c r="G174" s="74">
        <v>45710.451388888891</v>
      </c>
      <c r="H174" s="107" t="s">
        <v>174</v>
      </c>
      <c r="I174" s="107"/>
      <c r="J174" s="116">
        <v>51888.117700000003</v>
      </c>
      <c r="K174" s="116">
        <v>159194.94529999999</v>
      </c>
      <c r="L174" s="116">
        <v>18.7788</v>
      </c>
      <c r="M174" s="75">
        <v>51888.118999999999</v>
      </c>
      <c r="N174" s="75">
        <v>159194.94500000001</v>
      </c>
      <c r="O174" s="75">
        <v>18.779</v>
      </c>
      <c r="P174" s="76">
        <v>1.2999999962630682E-3</v>
      </c>
      <c r="Q174" s="109" cm="1">
        <f t="array" ref="Q17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4" s="76">
        <v>-2.9999998514540493E-4</v>
      </c>
      <c r="S174" s="77" cm="1">
        <f t="array" ref="S17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4" s="76">
        <v>1.9999999999953388E-4</v>
      </c>
      <c r="U174" s="77" cm="1">
        <f t="array" ref="U17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4" s="77">
        <v>1.2999999962630682E-3</v>
      </c>
      <c r="W174" s="77" cm="1">
        <f t="array" ref="W17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4" s="77">
        <v>-2.9999998514540493E-4</v>
      </c>
      <c r="Y174" s="77" cm="1">
        <f t="array" ref="Y17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4" s="107" t="s">
        <v>86</v>
      </c>
      <c r="AD174" s="111"/>
      <c r="AE174" s="1"/>
      <c r="AF174" s="1"/>
      <c r="AG174" s="1"/>
      <c r="AH174" s="1"/>
      <c r="AI174" s="1"/>
      <c r="AJ174" s="1"/>
      <c r="AK174" s="1"/>
      <c r="AL174" s="1"/>
      <c r="AM174" s="1"/>
      <c r="AN174" s="1"/>
      <c r="AO174" s="1"/>
      <c r="AP174" s="1"/>
      <c r="AQ174" s="1"/>
      <c r="AR174" s="1"/>
    </row>
    <row r="175" spans="7:44" ht="14.25" customHeight="1" x14ac:dyDescent="0.2">
      <c r="G175" s="74">
        <v>45710.451388888891</v>
      </c>
      <c r="H175" s="107" t="s">
        <v>173</v>
      </c>
      <c r="I175" s="107"/>
      <c r="J175" s="116">
        <v>51887.805099999998</v>
      </c>
      <c r="K175" s="116">
        <v>159193.65710000001</v>
      </c>
      <c r="L175" s="116">
        <v>18.778500000000001</v>
      </c>
      <c r="M175" s="75">
        <v>51887.807000000001</v>
      </c>
      <c r="N175" s="75">
        <v>159193.65700000001</v>
      </c>
      <c r="O175" s="75">
        <v>18.779</v>
      </c>
      <c r="P175" s="76">
        <v>1.9000000029336661E-3</v>
      </c>
      <c r="Q175" s="109" cm="1">
        <f t="array" ref="Q17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5" s="76">
        <v>-1.0000000474974513E-4</v>
      </c>
      <c r="S175" s="77" cm="1">
        <f t="array" ref="S17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5" s="76">
        <v>4.9999999999883471E-4</v>
      </c>
      <c r="U175" s="77" cm="1">
        <f t="array" ref="U17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5" s="77">
        <v>1.9000000029336661E-3</v>
      </c>
      <c r="W175" s="77" cm="1">
        <f t="array" ref="W17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5" s="77">
        <v>-1.0000000474974513E-4</v>
      </c>
      <c r="Y175" s="77" cm="1">
        <f t="array" ref="Y17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5" s="107" t="s">
        <v>86</v>
      </c>
      <c r="AD175" s="111"/>
      <c r="AE175" s="1"/>
      <c r="AF175" s="1"/>
      <c r="AG175" s="1"/>
      <c r="AH175" s="1"/>
      <c r="AI175" s="1"/>
      <c r="AJ175" s="1"/>
      <c r="AK175" s="1"/>
      <c r="AL175" s="1"/>
      <c r="AM175" s="1"/>
      <c r="AN175" s="1"/>
      <c r="AO175" s="1"/>
      <c r="AP175" s="1"/>
      <c r="AQ175" s="1"/>
      <c r="AR175" s="1"/>
    </row>
    <row r="176" spans="7:44" ht="14.25" customHeight="1" x14ac:dyDescent="0.2">
      <c r="G176" s="74">
        <v>45710.451388888891</v>
      </c>
      <c r="H176" s="107" t="s">
        <v>176</v>
      </c>
      <c r="I176" s="107"/>
      <c r="J176" s="116">
        <v>51890.969100000002</v>
      </c>
      <c r="K176" s="116">
        <v>159194.1177</v>
      </c>
      <c r="L176" s="116">
        <v>18.779</v>
      </c>
      <c r="M176" s="75">
        <v>51890.970999999998</v>
      </c>
      <c r="N176" s="75">
        <v>159194.11799999999</v>
      </c>
      <c r="O176" s="75">
        <v>18.779</v>
      </c>
      <c r="P176" s="76">
        <v>1.8999999956577085E-3</v>
      </c>
      <c r="Q176" s="109" cm="1">
        <f t="array" ref="Q17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6" s="76">
        <v>2.9999998514540493E-4</v>
      </c>
      <c r="S176" s="77" cm="1">
        <f t="array" ref="S17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6" s="76">
        <v>0</v>
      </c>
      <c r="U176" s="77" cm="1">
        <f t="array" ref="U17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6" s="77">
        <v>1.8999999956577085E-3</v>
      </c>
      <c r="W176" s="77" cm="1">
        <f t="array" ref="W17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6" s="77">
        <v>2.9999998514540493E-4</v>
      </c>
      <c r="Y176" s="77" cm="1">
        <f t="array" ref="Y17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6" s="107" t="s">
        <v>86</v>
      </c>
      <c r="AD176" s="111"/>
      <c r="AE176" s="1"/>
      <c r="AF176" s="1"/>
      <c r="AG176" s="1"/>
      <c r="AH176" s="1"/>
      <c r="AI176" s="1"/>
      <c r="AJ176" s="1"/>
      <c r="AK176" s="1"/>
      <c r="AL176" s="1"/>
      <c r="AM176" s="1"/>
      <c r="AN176" s="1"/>
      <c r="AO176" s="1"/>
      <c r="AP176" s="1"/>
      <c r="AQ176" s="1"/>
      <c r="AR176" s="1"/>
    </row>
    <row r="177" spans="7:44" ht="14.25" customHeight="1" x14ac:dyDescent="0.2">
      <c r="G177" s="74">
        <v>45710.451388888891</v>
      </c>
      <c r="H177" s="107" t="s">
        <v>175</v>
      </c>
      <c r="I177" s="107"/>
      <c r="J177" s="116">
        <v>51890.606800000001</v>
      </c>
      <c r="K177" s="116">
        <v>159192.86069999999</v>
      </c>
      <c r="L177" s="116">
        <v>18.771999999999998</v>
      </c>
      <c r="M177" s="75">
        <v>51890.608</v>
      </c>
      <c r="N177" s="75">
        <v>159192.85999999999</v>
      </c>
      <c r="O177" s="75">
        <v>18.771999999999998</v>
      </c>
      <c r="P177" s="76">
        <v>1.1999999987892807E-3</v>
      </c>
      <c r="Q177" s="109" cm="1">
        <f t="array" ref="Q17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7" s="76">
        <v>-7.0000000414438546E-4</v>
      </c>
      <c r="S177" s="77" cm="1">
        <f t="array" ref="S17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7" s="76">
        <v>0</v>
      </c>
      <c r="U177" s="77" cm="1">
        <f t="array" ref="U17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7" s="77">
        <v>1.1999999987892807E-3</v>
      </c>
      <c r="W177" s="77" cm="1">
        <f t="array" ref="W17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7" s="77">
        <v>-7.0000000414438546E-4</v>
      </c>
      <c r="Y177" s="77" cm="1">
        <f t="array" ref="Y17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7" s="107" t="s">
        <v>86</v>
      </c>
      <c r="AD177" s="111"/>
      <c r="AE177" s="1"/>
      <c r="AF177" s="1"/>
      <c r="AG177" s="1"/>
      <c r="AH177" s="1"/>
      <c r="AI177" s="1"/>
      <c r="AJ177" s="1"/>
      <c r="AK177" s="1"/>
      <c r="AL177" s="1"/>
      <c r="AM177" s="1"/>
      <c r="AN177" s="1"/>
      <c r="AO177" s="1"/>
      <c r="AP177" s="1"/>
      <c r="AQ177" s="1"/>
      <c r="AR177" s="1"/>
    </row>
    <row r="178" spans="7:44" ht="14.25" customHeight="1" x14ac:dyDescent="0.2">
      <c r="G178" s="74">
        <v>45710.451388888891</v>
      </c>
      <c r="H178" s="107" t="s">
        <v>178</v>
      </c>
      <c r="I178" s="107"/>
      <c r="J178" s="116">
        <v>51893.758699999998</v>
      </c>
      <c r="K178" s="116">
        <v>159193.3144</v>
      </c>
      <c r="L178" s="116">
        <v>18.774100000000001</v>
      </c>
      <c r="M178" s="75">
        <v>51893.760000000002</v>
      </c>
      <c r="N178" s="75">
        <v>159193.31400000001</v>
      </c>
      <c r="O178" s="75">
        <v>18.774000000000001</v>
      </c>
      <c r="P178" s="76">
        <v>1.3000000035390258E-3</v>
      </c>
      <c r="Q178" s="109" cm="1">
        <f t="array" ref="Q17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8" s="76">
        <v>-3.9999998989515007E-4</v>
      </c>
      <c r="S178" s="77" cm="1">
        <f t="array" ref="S17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8" s="76">
        <v>-9.9999999999766942E-5</v>
      </c>
      <c r="U178" s="77" cm="1">
        <f t="array" ref="U17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8" s="77">
        <v>1.3000000035390258E-3</v>
      </c>
      <c r="W178" s="77" cm="1">
        <f t="array" ref="W17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8" s="77">
        <v>-3.9999998989515007E-4</v>
      </c>
      <c r="Y178" s="77" cm="1">
        <f t="array" ref="Y17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8" s="107" t="s">
        <v>86</v>
      </c>
      <c r="AD178" s="111"/>
      <c r="AE178" s="1"/>
      <c r="AF178" s="1"/>
      <c r="AG178" s="1"/>
      <c r="AH178" s="1"/>
      <c r="AI178" s="1"/>
      <c r="AJ178" s="1"/>
      <c r="AK178" s="1"/>
      <c r="AL178" s="1"/>
      <c r="AM178" s="1"/>
      <c r="AN178" s="1"/>
      <c r="AO178" s="1"/>
      <c r="AP178" s="1"/>
      <c r="AQ178" s="1"/>
      <c r="AR178" s="1"/>
    </row>
    <row r="179" spans="7:44" ht="14.25" customHeight="1" x14ac:dyDescent="0.2">
      <c r="G179" s="74">
        <v>45710.451388888891</v>
      </c>
      <c r="H179" s="107" t="s">
        <v>177</v>
      </c>
      <c r="I179" s="107"/>
      <c r="J179" s="116">
        <v>51893.441299999999</v>
      </c>
      <c r="K179" s="116">
        <v>159192.04019999999</v>
      </c>
      <c r="L179" s="116">
        <v>18.7683</v>
      </c>
      <c r="M179" s="75">
        <v>51893.442999999999</v>
      </c>
      <c r="N179" s="75">
        <v>159192.04</v>
      </c>
      <c r="O179" s="75">
        <v>18.768000000000001</v>
      </c>
      <c r="P179" s="76">
        <v>1.7000000007101335E-3</v>
      </c>
      <c r="Q179" s="109" cm="1">
        <f t="array" ref="Q17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79" s="76">
        <v>-1.999999803956598E-4</v>
      </c>
      <c r="S179" s="77" cm="1">
        <f t="array" ref="S17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79" s="76">
        <v>-2.9999999999930083E-4</v>
      </c>
      <c r="U179" s="77" cm="1">
        <f t="array" ref="U17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79" s="77">
        <v>1.7000000007101335E-3</v>
      </c>
      <c r="W179" s="77" cm="1">
        <f t="array" ref="W17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79" s="77">
        <v>-1.999999803956598E-4</v>
      </c>
      <c r="Y179" s="77" cm="1">
        <f t="array" ref="Y17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7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7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7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79" s="107" t="s">
        <v>86</v>
      </c>
      <c r="AD179" s="111"/>
      <c r="AE179" s="1"/>
      <c r="AF179" s="1"/>
      <c r="AG179" s="1"/>
      <c r="AH179" s="1"/>
      <c r="AI179" s="1"/>
      <c r="AJ179" s="1"/>
      <c r="AK179" s="1"/>
      <c r="AL179" s="1"/>
      <c r="AM179" s="1"/>
      <c r="AN179" s="1"/>
      <c r="AO179" s="1"/>
      <c r="AP179" s="1"/>
      <c r="AQ179" s="1"/>
      <c r="AR179" s="1"/>
    </row>
    <row r="180" spans="7:44" ht="14.25" customHeight="1" x14ac:dyDescent="0.2">
      <c r="G180" s="74">
        <v>45710.451388888891</v>
      </c>
      <c r="H180" s="107" t="s">
        <v>180</v>
      </c>
      <c r="I180" s="107"/>
      <c r="J180" s="116">
        <v>51896.633300000001</v>
      </c>
      <c r="K180" s="116">
        <v>159192.48449999999</v>
      </c>
      <c r="L180" s="116">
        <v>18.7776</v>
      </c>
      <c r="M180" s="75">
        <v>51896.635000000002</v>
      </c>
      <c r="N180" s="75">
        <v>159192.484</v>
      </c>
      <c r="O180" s="75">
        <v>18.777999999999999</v>
      </c>
      <c r="P180" s="76">
        <v>1.7000000007101335E-3</v>
      </c>
      <c r="Q180" s="109" cm="1">
        <f t="array" ref="Q18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0" s="76">
        <v>-4.999999946448952E-4</v>
      </c>
      <c r="S180" s="77" cm="1">
        <f t="array" ref="S18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0" s="76">
        <v>3.9999999999906777E-4</v>
      </c>
      <c r="U180" s="77" cm="1">
        <f t="array" ref="U18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0" s="77">
        <v>1.7000000007101335E-3</v>
      </c>
      <c r="W180" s="77" cm="1">
        <f t="array" ref="W18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0" s="77">
        <v>-4.999999946448952E-4</v>
      </c>
      <c r="Y180" s="77" cm="1">
        <f t="array" ref="Y18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0" s="107" t="s">
        <v>86</v>
      </c>
      <c r="AD180" s="111"/>
      <c r="AE180" s="1"/>
      <c r="AF180" s="1"/>
      <c r="AG180" s="1"/>
      <c r="AH180" s="1"/>
      <c r="AI180" s="1"/>
      <c r="AJ180" s="1"/>
      <c r="AK180" s="1"/>
      <c r="AL180" s="1"/>
      <c r="AM180" s="1"/>
      <c r="AN180" s="1"/>
      <c r="AO180" s="1"/>
      <c r="AP180" s="1"/>
      <c r="AQ180" s="1"/>
      <c r="AR180" s="1"/>
    </row>
    <row r="181" spans="7:44" ht="14.25" customHeight="1" x14ac:dyDescent="0.2">
      <c r="G181" s="74">
        <v>45710.451388888891</v>
      </c>
      <c r="H181" s="107" t="s">
        <v>179</v>
      </c>
      <c r="I181" s="107"/>
      <c r="J181" s="116">
        <v>51896.249799999998</v>
      </c>
      <c r="K181" s="116">
        <v>159191.22630000001</v>
      </c>
      <c r="L181" s="116">
        <v>18.7698</v>
      </c>
      <c r="M181" s="75">
        <v>51896.250999999997</v>
      </c>
      <c r="N181" s="75">
        <v>159191.22700000001</v>
      </c>
      <c r="O181" s="75">
        <v>18.768999999999998</v>
      </c>
      <c r="P181" s="76">
        <v>1.1999999987892807E-3</v>
      </c>
      <c r="Q181" s="109" cm="1">
        <f t="array" ref="Q18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1" s="76">
        <v>7.0000000414438546E-4</v>
      </c>
      <c r="S181" s="77" cm="1">
        <f t="array" ref="S18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1" s="76">
        <v>-8.0000000000168825E-4</v>
      </c>
      <c r="U181" s="77" cm="1">
        <f t="array" ref="U18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1" s="77">
        <v>1.1999999987892807E-3</v>
      </c>
      <c r="W181" s="77" cm="1">
        <f t="array" ref="W18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1" s="77">
        <v>7.0000000414438546E-4</v>
      </c>
      <c r="Y181" s="77" cm="1">
        <f t="array" ref="Y18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1" s="107" t="s">
        <v>86</v>
      </c>
      <c r="AD181" s="111"/>
      <c r="AE181" s="1"/>
      <c r="AF181" s="1"/>
      <c r="AG181" s="1"/>
      <c r="AH181" s="1"/>
      <c r="AI181" s="1"/>
      <c r="AJ181" s="1"/>
      <c r="AK181" s="1"/>
      <c r="AL181" s="1"/>
      <c r="AM181" s="1"/>
      <c r="AN181" s="1"/>
      <c r="AO181" s="1"/>
      <c r="AP181" s="1"/>
      <c r="AQ181" s="1"/>
      <c r="AR181" s="1"/>
    </row>
    <row r="182" spans="7:44" ht="14.25" customHeight="1" x14ac:dyDescent="0.2">
      <c r="G182" s="74">
        <v>45710.451388888891</v>
      </c>
      <c r="H182" s="107" t="s">
        <v>182</v>
      </c>
      <c r="I182" s="107"/>
      <c r="J182" s="116">
        <v>51899.398699999998</v>
      </c>
      <c r="K182" s="116">
        <v>159191.69760000001</v>
      </c>
      <c r="L182" s="116">
        <v>18.777999999999999</v>
      </c>
      <c r="M182" s="75">
        <v>51899.4</v>
      </c>
      <c r="N182" s="75">
        <v>159191.69699999999</v>
      </c>
      <c r="O182" s="75">
        <v>18.777999999999999</v>
      </c>
      <c r="P182" s="76">
        <v>1.3000000035390258E-3</v>
      </c>
      <c r="Q182" s="109" cm="1">
        <f t="array" ref="Q18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2" s="76">
        <v>-6.0000002849847078E-4</v>
      </c>
      <c r="S182" s="77" cm="1">
        <f t="array" ref="S18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2" s="76">
        <v>0</v>
      </c>
      <c r="U182" s="77" cm="1">
        <f t="array" ref="U18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2" s="77">
        <v>1.3000000035390258E-3</v>
      </c>
      <c r="W182" s="77" cm="1">
        <f t="array" ref="W18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2" s="77">
        <v>-6.0000002849847078E-4</v>
      </c>
      <c r="Y182" s="77" cm="1">
        <f t="array" ref="Y18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2" s="107" t="s">
        <v>86</v>
      </c>
      <c r="AD182" s="111"/>
      <c r="AE182" s="1"/>
      <c r="AF182" s="1"/>
      <c r="AG182" s="1"/>
      <c r="AH182" s="1"/>
      <c r="AI182" s="1"/>
      <c r="AJ182" s="1"/>
      <c r="AK182" s="1"/>
      <c r="AL182" s="1"/>
      <c r="AM182" s="1"/>
      <c r="AN182" s="1"/>
      <c r="AO182" s="1"/>
      <c r="AP182" s="1"/>
      <c r="AQ182" s="1"/>
      <c r="AR182" s="1"/>
    </row>
    <row r="183" spans="7:44" ht="14.25" customHeight="1" x14ac:dyDescent="0.2">
      <c r="G183" s="74">
        <v>45710.451388888891</v>
      </c>
      <c r="H183" s="107" t="s">
        <v>181</v>
      </c>
      <c r="I183" s="107"/>
      <c r="J183" s="116">
        <v>51899.041100000002</v>
      </c>
      <c r="K183" s="116">
        <v>159190.43340000001</v>
      </c>
      <c r="L183" s="116">
        <v>18.771100000000001</v>
      </c>
      <c r="M183" s="75">
        <v>51899.042999999998</v>
      </c>
      <c r="N183" s="75">
        <v>159190.432</v>
      </c>
      <c r="O183" s="75">
        <v>18.771000000000001</v>
      </c>
      <c r="P183" s="76">
        <v>1.8999999956577085E-3</v>
      </c>
      <c r="Q183" s="109" cm="1">
        <f t="array" ref="Q18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3" s="76">
        <v>-1.4000000082887709E-3</v>
      </c>
      <c r="S183" s="77" cm="1">
        <f t="array" ref="S18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3" s="76">
        <v>-9.9999999999766942E-5</v>
      </c>
      <c r="U183" s="77" cm="1">
        <f t="array" ref="U18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3" s="77">
        <v>1.8999999956577085E-3</v>
      </c>
      <c r="W183" s="77" cm="1">
        <f t="array" ref="W18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3" s="77">
        <v>-1.4000000082887709E-3</v>
      </c>
      <c r="Y183" s="77" cm="1">
        <f t="array" ref="Y18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3" s="107" t="s">
        <v>86</v>
      </c>
      <c r="AD183" s="111"/>
      <c r="AE183" s="1"/>
      <c r="AF183" s="1"/>
      <c r="AG183" s="1"/>
      <c r="AH183" s="1"/>
      <c r="AI183" s="1"/>
      <c r="AJ183" s="1"/>
      <c r="AK183" s="1"/>
      <c r="AL183" s="1"/>
      <c r="AM183" s="1"/>
      <c r="AN183" s="1"/>
      <c r="AO183" s="1"/>
      <c r="AP183" s="1"/>
      <c r="AQ183" s="1"/>
      <c r="AR183" s="1"/>
    </row>
    <row r="184" spans="7:44" ht="14.25" customHeight="1" x14ac:dyDescent="0.2">
      <c r="G184" s="74">
        <v>45710.451388888891</v>
      </c>
      <c r="H184" s="107" t="s">
        <v>184</v>
      </c>
      <c r="I184" s="107"/>
      <c r="J184" s="116">
        <v>51902.292699999998</v>
      </c>
      <c r="K184" s="116">
        <v>159190.88459999999</v>
      </c>
      <c r="L184" s="116">
        <v>18.779</v>
      </c>
      <c r="M184" s="75">
        <v>51902.294000000002</v>
      </c>
      <c r="N184" s="75">
        <v>159190.88399999999</v>
      </c>
      <c r="O184" s="75">
        <v>18.779</v>
      </c>
      <c r="P184" s="76">
        <v>1.3000000035390258E-3</v>
      </c>
      <c r="Q184" s="109" cm="1">
        <f t="array" ref="Q184">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4" s="76">
        <v>-5.9999999939464033E-4</v>
      </c>
      <c r="S184" s="77" cm="1">
        <f t="array" ref="S184">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4" s="76">
        <v>0</v>
      </c>
      <c r="U184" s="77" cm="1">
        <f t="array" ref="U184">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4" s="77">
        <v>1.3000000035390258E-3</v>
      </c>
      <c r="W184" s="77" cm="1">
        <f t="array" ref="W184">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4" s="77">
        <v>-5.9999999939464033E-4</v>
      </c>
      <c r="Y184" s="77" cm="1">
        <f t="array" ref="Y184">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4"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4"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4"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4" s="107" t="s">
        <v>86</v>
      </c>
      <c r="AD184" s="111"/>
      <c r="AE184" s="1"/>
      <c r="AF184" s="1"/>
      <c r="AG184" s="1"/>
      <c r="AH184" s="1"/>
      <c r="AI184" s="1"/>
      <c r="AJ184" s="1"/>
      <c r="AK184" s="1"/>
      <c r="AL184" s="1"/>
      <c r="AM184" s="1"/>
      <c r="AN184" s="1"/>
      <c r="AO184" s="1"/>
      <c r="AP184" s="1"/>
      <c r="AQ184" s="1"/>
      <c r="AR184" s="1"/>
    </row>
    <row r="185" spans="7:44" ht="14.25" customHeight="1" x14ac:dyDescent="0.2">
      <c r="G185" s="74">
        <v>45710.451388888891</v>
      </c>
      <c r="H185" s="107" t="s">
        <v>183</v>
      </c>
      <c r="I185" s="107"/>
      <c r="J185" s="116">
        <v>51901.989200000004</v>
      </c>
      <c r="K185" s="116">
        <v>159189.60260000001</v>
      </c>
      <c r="L185" s="116">
        <v>18.770099999999999</v>
      </c>
      <c r="M185" s="75">
        <v>51901.991000000002</v>
      </c>
      <c r="N185" s="75">
        <v>159189.601</v>
      </c>
      <c r="O185" s="75">
        <v>18.77</v>
      </c>
      <c r="P185" s="76">
        <v>1.799999998183921E-3</v>
      </c>
      <c r="Q185" s="109" cm="1">
        <f t="array" ref="Q185">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5" s="76">
        <v>-1.6000000177882612E-3</v>
      </c>
      <c r="S185" s="77" cm="1">
        <f t="array" ref="S185">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5" s="76">
        <v>-9.9999999999766942E-5</v>
      </c>
      <c r="U185" s="77" cm="1">
        <f t="array" ref="U185">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5" s="77">
        <v>1.799999998183921E-3</v>
      </c>
      <c r="W185" s="77" cm="1">
        <f t="array" ref="W185">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5" s="77">
        <v>-1.6000000177882612E-3</v>
      </c>
      <c r="Y185" s="77" cm="1">
        <f t="array" ref="Y185">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5"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5"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5"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5" s="107" t="s">
        <v>86</v>
      </c>
      <c r="AD185" s="111"/>
      <c r="AE185" s="1"/>
      <c r="AF185" s="1"/>
      <c r="AG185" s="1"/>
      <c r="AH185" s="1"/>
      <c r="AI185" s="1"/>
      <c r="AJ185" s="1"/>
      <c r="AK185" s="1"/>
      <c r="AL185" s="1"/>
      <c r="AM185" s="1"/>
      <c r="AN185" s="1"/>
      <c r="AO185" s="1"/>
      <c r="AP185" s="1"/>
      <c r="AQ185" s="1"/>
      <c r="AR185" s="1"/>
    </row>
    <row r="186" spans="7:44" ht="14.25" customHeight="1" x14ac:dyDescent="0.2">
      <c r="G186" s="74">
        <v>45710.451388888891</v>
      </c>
      <c r="H186" s="107" t="s">
        <v>186</v>
      </c>
      <c r="I186" s="107"/>
      <c r="J186" s="116">
        <v>51905.196199999998</v>
      </c>
      <c r="K186" s="116">
        <v>159190.09460000001</v>
      </c>
      <c r="L186" s="116">
        <v>18.780899999999999</v>
      </c>
      <c r="M186" s="75">
        <v>51905.197999999997</v>
      </c>
      <c r="N186" s="75">
        <v>159190.09400000001</v>
      </c>
      <c r="O186" s="75">
        <v>18.780999999999999</v>
      </c>
      <c r="P186" s="76">
        <v>1.799999998183921E-3</v>
      </c>
      <c r="Q186" s="109" cm="1">
        <f t="array" ref="Q186">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6" s="76">
        <v>-5.9999999939464033E-4</v>
      </c>
      <c r="S186" s="77" cm="1">
        <f t="array" ref="S186">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6" s="76">
        <v>9.9999999999766942E-5</v>
      </c>
      <c r="U186" s="77" cm="1">
        <f t="array" ref="U186">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6" s="77">
        <v>1.799999998183921E-3</v>
      </c>
      <c r="W186" s="77" cm="1">
        <f t="array" ref="W186">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6" s="77">
        <v>-5.9999999939464033E-4</v>
      </c>
      <c r="Y186" s="77" cm="1">
        <f t="array" ref="Y186">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6"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6"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6"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6" s="107" t="s">
        <v>86</v>
      </c>
      <c r="AD186" s="111"/>
      <c r="AE186" s="1"/>
      <c r="AF186" s="1"/>
      <c r="AG186" s="1"/>
      <c r="AH186" s="1"/>
      <c r="AI186" s="1"/>
      <c r="AJ186" s="1"/>
      <c r="AK186" s="1"/>
      <c r="AL186" s="1"/>
      <c r="AM186" s="1"/>
      <c r="AN186" s="1"/>
      <c r="AO186" s="1"/>
      <c r="AP186" s="1"/>
      <c r="AQ186" s="1"/>
      <c r="AR186" s="1"/>
    </row>
    <row r="187" spans="7:44" ht="14.25" customHeight="1" x14ac:dyDescent="0.2">
      <c r="G187" s="74">
        <v>45710.451388888891</v>
      </c>
      <c r="H187" s="107" t="s">
        <v>185</v>
      </c>
      <c r="I187" s="107"/>
      <c r="J187" s="116">
        <v>51904.885600000001</v>
      </c>
      <c r="K187" s="116">
        <v>159188.8046</v>
      </c>
      <c r="L187" s="116">
        <v>18.773099999999999</v>
      </c>
      <c r="M187" s="75">
        <v>51904.887999999999</v>
      </c>
      <c r="N187" s="75">
        <v>159188.80300000001</v>
      </c>
      <c r="O187" s="75">
        <v>18.773</v>
      </c>
      <c r="P187" s="76">
        <v>2.3999999975785613E-3</v>
      </c>
      <c r="Q187" s="109" cm="1">
        <f t="array" ref="Q187">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7" s="76">
        <v>-1.5999999886844307E-3</v>
      </c>
      <c r="S187" s="77" cm="1">
        <f t="array" ref="S187">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7" s="76">
        <v>-9.9999999999766942E-5</v>
      </c>
      <c r="U187" s="77" cm="1">
        <f t="array" ref="U187">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7" s="77">
        <v>2.3999999975785613E-3</v>
      </c>
      <c r="W187" s="77" cm="1">
        <f t="array" ref="W187">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7" s="77">
        <v>-1.5999999886844307E-3</v>
      </c>
      <c r="Y187" s="77" cm="1">
        <f t="array" ref="Y187">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7"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7"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7"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7" s="107" t="s">
        <v>86</v>
      </c>
      <c r="AD187" s="111"/>
      <c r="AE187" s="1"/>
      <c r="AF187" s="1"/>
      <c r="AG187" s="1"/>
      <c r="AH187" s="1"/>
      <c r="AI187" s="1"/>
      <c r="AJ187" s="1"/>
      <c r="AK187" s="1"/>
      <c r="AL187" s="1"/>
      <c r="AM187" s="1"/>
      <c r="AN187" s="1"/>
      <c r="AO187" s="1"/>
      <c r="AP187" s="1"/>
      <c r="AQ187" s="1"/>
      <c r="AR187" s="1"/>
    </row>
    <row r="188" spans="7:44" ht="14.25" customHeight="1" x14ac:dyDescent="0.2">
      <c r="G188" s="74">
        <v>45710.451388888891</v>
      </c>
      <c r="H188" s="107" t="s">
        <v>188</v>
      </c>
      <c r="I188" s="107"/>
      <c r="J188" s="116">
        <v>51907.9522</v>
      </c>
      <c r="K188" s="116">
        <v>159189.36230000001</v>
      </c>
      <c r="L188" s="116">
        <v>18.786000000000001</v>
      </c>
      <c r="M188" s="75">
        <v>51907.953999999998</v>
      </c>
      <c r="N188" s="75">
        <v>159189.361</v>
      </c>
      <c r="O188" s="75">
        <v>18.786000000000001</v>
      </c>
      <c r="P188" s="76">
        <v>1.799999998183921E-3</v>
      </c>
      <c r="Q188" s="109" cm="1">
        <f t="array" ref="Q188">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8" s="76">
        <v>-1.3000000035390258E-3</v>
      </c>
      <c r="S188" s="77" cm="1">
        <f t="array" ref="S188">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8" s="76">
        <v>0</v>
      </c>
      <c r="U188" s="77" cm="1">
        <f t="array" ref="U188">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8" s="77">
        <v>1.799999998183921E-3</v>
      </c>
      <c r="W188" s="77" cm="1">
        <f t="array" ref="W188">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8" s="77">
        <v>-1.3000000035390258E-3</v>
      </c>
      <c r="Y188" s="77" cm="1">
        <f t="array" ref="Y188">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8"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8"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8"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8" s="107" t="s">
        <v>86</v>
      </c>
      <c r="AD188" s="111"/>
      <c r="AE188" s="1"/>
      <c r="AF188" s="1"/>
      <c r="AG188" s="1"/>
      <c r="AH188" s="1"/>
      <c r="AI188" s="1"/>
      <c r="AJ188" s="1"/>
      <c r="AK188" s="1"/>
      <c r="AL188" s="1"/>
      <c r="AM188" s="1"/>
      <c r="AN188" s="1"/>
      <c r="AO188" s="1"/>
      <c r="AP188" s="1"/>
      <c r="AQ188" s="1"/>
      <c r="AR188" s="1"/>
    </row>
    <row r="189" spans="7:44" ht="14.25" customHeight="1" x14ac:dyDescent="0.2">
      <c r="G189" s="74">
        <v>45710.451388888891</v>
      </c>
      <c r="H189" s="107" t="s">
        <v>187</v>
      </c>
      <c r="I189" s="107"/>
      <c r="J189" s="116">
        <v>51907.578699999998</v>
      </c>
      <c r="K189" s="116">
        <v>159188.09770000001</v>
      </c>
      <c r="L189" s="116">
        <v>18.776</v>
      </c>
      <c r="M189" s="75">
        <v>51907.580999999998</v>
      </c>
      <c r="N189" s="75">
        <v>159188.09599999999</v>
      </c>
      <c r="O189" s="75">
        <v>18.776</v>
      </c>
      <c r="P189" s="76">
        <v>2.3000000001047738E-3</v>
      </c>
      <c r="Q189" s="109" cm="1">
        <f t="array" ref="Q189">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89" s="76">
        <v>-1.7000000225380063E-3</v>
      </c>
      <c r="S189" s="77" cm="1">
        <f t="array" ref="S189">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89" s="76">
        <v>0</v>
      </c>
      <c r="U189" s="77" cm="1">
        <f t="array" ref="U189">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89" s="77">
        <v>2.3000000001047738E-3</v>
      </c>
      <c r="W189" s="77" cm="1">
        <f t="array" ref="W189">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89" s="77">
        <v>-1.7000000225380063E-3</v>
      </c>
      <c r="Y189" s="77" cm="1">
        <f t="array" ref="Y189">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89"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89"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89"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89" s="107" t="s">
        <v>86</v>
      </c>
      <c r="AD189" s="111"/>
      <c r="AE189" s="1"/>
      <c r="AF189" s="1"/>
      <c r="AG189" s="1"/>
      <c r="AH189" s="1"/>
      <c r="AI189" s="1"/>
      <c r="AJ189" s="1"/>
      <c r="AK189" s="1"/>
      <c r="AL189" s="1"/>
      <c r="AM189" s="1"/>
      <c r="AN189" s="1"/>
      <c r="AO189" s="1"/>
      <c r="AP189" s="1"/>
      <c r="AQ189" s="1"/>
      <c r="AR189" s="1"/>
    </row>
    <row r="190" spans="7:44" ht="14.25" customHeight="1" x14ac:dyDescent="0.2">
      <c r="G190" s="74">
        <v>45710.451388888891</v>
      </c>
      <c r="H190" s="107" t="s">
        <v>190</v>
      </c>
      <c r="I190" s="107"/>
      <c r="J190" s="116">
        <v>51910.962800000001</v>
      </c>
      <c r="K190" s="116">
        <v>159188.60079999999</v>
      </c>
      <c r="L190" s="116">
        <v>18.794599999999999</v>
      </c>
      <c r="M190" s="75">
        <v>51910.964999999997</v>
      </c>
      <c r="N190" s="75">
        <v>159188.6</v>
      </c>
      <c r="O190" s="75">
        <v>18.795000000000002</v>
      </c>
      <c r="P190" s="76">
        <v>2.1999999953550287E-3</v>
      </c>
      <c r="Q190" s="109" cm="1">
        <f t="array" ref="Q190">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90" s="76">
        <v>-7.9999997979030013E-4</v>
      </c>
      <c r="S190" s="77" cm="1">
        <f t="array" ref="S190">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90" s="76">
        <v>4.0000000000262048E-4</v>
      </c>
      <c r="U190" s="77" cm="1">
        <f t="array" ref="U190">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90" s="77">
        <v>2.1999999953550287E-3</v>
      </c>
      <c r="W190" s="77" cm="1">
        <f t="array" ref="W190">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90" s="77">
        <v>-7.9999997979030013E-4</v>
      </c>
      <c r="Y190" s="77" cm="1">
        <f t="array" ref="Y190">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90"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90"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90"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90" s="107" t="s">
        <v>86</v>
      </c>
      <c r="AD190" s="111"/>
      <c r="AE190" s="1"/>
      <c r="AF190" s="1"/>
      <c r="AG190" s="1"/>
      <c r="AH190" s="1"/>
      <c r="AI190" s="1"/>
      <c r="AJ190" s="1"/>
      <c r="AK190" s="1"/>
      <c r="AL190" s="1"/>
      <c r="AM190" s="1"/>
      <c r="AN190" s="1"/>
      <c r="AO190" s="1"/>
      <c r="AP190" s="1"/>
      <c r="AQ190" s="1"/>
      <c r="AR190" s="1"/>
    </row>
    <row r="191" spans="7:44" ht="14.25" customHeight="1" x14ac:dyDescent="0.2">
      <c r="G191" s="74">
        <v>45710.451388888891</v>
      </c>
      <c r="H191" s="107" t="s">
        <v>189</v>
      </c>
      <c r="I191" s="107"/>
      <c r="J191" s="116">
        <v>51910.640099999997</v>
      </c>
      <c r="K191" s="116">
        <v>159187.3223</v>
      </c>
      <c r="L191" s="116">
        <v>18.7836</v>
      </c>
      <c r="M191" s="75">
        <v>51910.642999999996</v>
      </c>
      <c r="N191" s="75">
        <v>159187.321</v>
      </c>
      <c r="O191" s="75">
        <v>18.783999999999999</v>
      </c>
      <c r="P191" s="76">
        <v>2.8999999994994141E-3</v>
      </c>
      <c r="Q191" s="109" cm="1">
        <f t="array" ref="Q191">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91" s="76">
        <v>-1.3000000035390258E-3</v>
      </c>
      <c r="S191" s="77" cm="1">
        <f t="array" ref="S191">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91" s="76">
        <v>3.9999999999906777E-4</v>
      </c>
      <c r="U191" s="77" cm="1">
        <f t="array" ref="U191">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91" s="77">
        <v>2.8999999994994141E-3</v>
      </c>
      <c r="W191" s="77" cm="1">
        <f t="array" ref="W191">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91" s="77">
        <v>-1.3000000035390258E-3</v>
      </c>
      <c r="Y191" s="77" cm="1">
        <f t="array" ref="Y191">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91"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91"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91"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91" s="107" t="s">
        <v>86</v>
      </c>
      <c r="AD191" s="111"/>
      <c r="AE191" s="1"/>
      <c r="AF191" s="1"/>
      <c r="AG191" s="1"/>
      <c r="AH191" s="1"/>
      <c r="AI191" s="1"/>
      <c r="AJ191" s="1"/>
      <c r="AK191" s="1"/>
      <c r="AL191" s="1"/>
      <c r="AM191" s="1"/>
      <c r="AN191" s="1"/>
      <c r="AO191" s="1"/>
      <c r="AP191" s="1"/>
      <c r="AQ191" s="1"/>
      <c r="AR191" s="1"/>
    </row>
    <row r="192" spans="7:44" ht="14.25" customHeight="1" x14ac:dyDescent="0.2">
      <c r="G192" s="74">
        <v>45710.451388888891</v>
      </c>
      <c r="H192" s="107" t="s">
        <v>192</v>
      </c>
      <c r="I192" s="107"/>
      <c r="J192" s="116">
        <v>51913.751100000001</v>
      </c>
      <c r="K192" s="116">
        <v>159187.9178</v>
      </c>
      <c r="L192" s="116">
        <v>18.809000000000001</v>
      </c>
      <c r="M192" s="75">
        <v>51913.752999999997</v>
      </c>
      <c r="N192" s="75">
        <v>159187.91699999999</v>
      </c>
      <c r="O192" s="75">
        <v>18.809000000000001</v>
      </c>
      <c r="P192" s="76">
        <v>1.8999999956577085E-3</v>
      </c>
      <c r="Q192" s="109" cm="1">
        <f t="array" ref="Q192">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92" s="76">
        <v>-8.0000000889413059E-4</v>
      </c>
      <c r="S192" s="77" cm="1">
        <f t="array" ref="S192">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92" s="76">
        <v>0</v>
      </c>
      <c r="U192" s="77" cm="1">
        <f t="array" ref="U192">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92" s="77">
        <v>1.8999999956577085E-3</v>
      </c>
      <c r="W192" s="77" cm="1">
        <f t="array" ref="W192">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92" s="77">
        <v>-8.0000000889413059E-4</v>
      </c>
      <c r="Y192" s="77" cm="1">
        <f t="array" ref="Y192">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92"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92"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92"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92" s="107" t="s">
        <v>86</v>
      </c>
      <c r="AD192" s="111"/>
      <c r="AE192" s="1"/>
      <c r="AF192" s="1"/>
      <c r="AG192" s="1"/>
      <c r="AH192" s="1"/>
      <c r="AI192" s="1"/>
      <c r="AJ192" s="1"/>
      <c r="AK192" s="1"/>
      <c r="AL192" s="1"/>
      <c r="AM192" s="1"/>
      <c r="AN192" s="1"/>
      <c r="AO192" s="1"/>
      <c r="AP192" s="1"/>
      <c r="AQ192" s="1"/>
      <c r="AR192" s="1"/>
    </row>
    <row r="193" spans="7:44" ht="14.25" customHeight="1" x14ac:dyDescent="0.2">
      <c r="G193" s="74">
        <v>45710.451388888891</v>
      </c>
      <c r="H193" s="107" t="s">
        <v>191</v>
      </c>
      <c r="I193" s="107"/>
      <c r="J193" s="116">
        <v>51913.421499999997</v>
      </c>
      <c r="K193" s="116">
        <v>159186.63630000001</v>
      </c>
      <c r="L193" s="116">
        <v>18.794899999999998</v>
      </c>
      <c r="M193" s="75">
        <v>51913.423999999999</v>
      </c>
      <c r="N193" s="75">
        <v>159186.63500000001</v>
      </c>
      <c r="O193" s="75">
        <v>18.795000000000002</v>
      </c>
      <c r="P193" s="76">
        <v>2.5000000023283064E-3</v>
      </c>
      <c r="Q193" s="109" cm="1">
        <f t="array" ref="Q193">_xlfn.IFS(ReportSummary___XYZ___TL[[#This Row],[Diff to BL. East.]]="-",0,
AND(ReportSummary___XYZ___TL[[#This Row],[Diff to BL. East.]]&gt;=$R$4,ReportSummary___XYZ___TL[[#This Row],[Diff to BL. East.]]&lt;$V$4),0,
OR(AND(ReportSummary___XYZ___TL[[#This Row],[Diff to BL. East.]]&lt;$R$4,ReportSummary___XYZ___TL[[#This Row],[Diff to BL. East.]]&gt;=$R$5),AND(ReportSummary___XYZ___TL[[#This Row],[Diff to BL. East.]]&gt;$V$4,ReportSummary___XYZ___TL[[#This Row],[Diff to BL. East.]]&lt;=$V$5)),1,
OR(AND(ReportSummary___XYZ___TL[[#This Row],[Diff to BL. East.]]&lt;$R$5,ReportSummary___XYZ___TL[[#This Row],[Diff to BL. East.]]&gt;=$R$6),AND(ReportSummary___XYZ___TL[[#This Row],[Diff to BL. East.]]&gt;$V$5,ReportSummary___XYZ___TL[[#This Row],[Diff to BL. East.]]&lt;=$V$6)),2,
OR(AND(ReportSummary___XYZ___TL[[#This Row],[Diff to BL. East.]]&lt;$R$6,ReportSummary___XYZ___TL[[#This Row],[Diff to BL. East.]]&gt;=$R$7),AND(ReportSummary___XYZ___TL[[#This Row],[Diff to BL. East.]]&gt;$V$6,ReportSummary___XYZ___TL[[#This Row],[Diff to BL. East.]]&lt;=$V$7)),3,
OR(ReportSummary___XYZ___TL[[#This Row],[Diff to BL. East.]]&lt;$R$7,ReportSummary___XYZ___TL[[#This Row],[Diff to BL. East.]]&gt;$V$7),4)</f>
        <v>0</v>
      </c>
      <c r="R193" s="76">
        <v>-1.3000000035390258E-3</v>
      </c>
      <c r="S193" s="77" cm="1">
        <f t="array" ref="S193">_xlfn.IFS(ReportSummary___XYZ___TL[[#This Row],[Diff to BL. North.]]="-",0,
AND(ReportSummary___XYZ___TL[[#This Row],[Diff to BL. North.]]&gt;=$R$4,ReportSummary___XYZ___TL[[#This Row],[Diff to BL. North.]]&lt;$V$4),0,
OR(AND(ReportSummary___XYZ___TL[[#This Row],[Diff to BL. North.]]&lt;$R$4,ReportSummary___XYZ___TL[[#This Row],[Diff to BL. North.]]&gt;=$R$5),AND(ReportSummary___XYZ___TL[[#This Row],[Diff to BL. North.]]&gt;$V$4,ReportSummary___XYZ___TL[[#This Row],[Diff to BL. North.]]&lt;=$V$5)),1,
OR(AND(ReportSummary___XYZ___TL[[#This Row],[Diff to BL. North.]]&lt;$R$5,ReportSummary___XYZ___TL[[#This Row],[Diff to BL. North.]]&gt;=$R$6),AND(ReportSummary___XYZ___TL[[#This Row],[Diff to BL. North.]]&gt;$V$5,ReportSummary___XYZ___TL[[#This Row],[Diff to BL. North.]]&lt;=$V$6)),2,
OR(AND(ReportSummary___XYZ___TL[[#This Row],[Diff to BL. North.]]&lt;$R$6,ReportSummary___XYZ___TL[[#This Row],[Diff to BL. North.]]&gt;=$R$7),AND(ReportSummary___XYZ___TL[[#This Row],[Diff to BL. North.]]&gt;$V$6,ReportSummary___XYZ___TL[[#This Row],[Diff to BL. North.]]&lt;=$V$7)),3,
OR(ReportSummary___XYZ___TL[[#This Row],[Diff to BL. North.]]&lt;$R$7,ReportSummary___XYZ___TL[[#This Row],[Diff to BL. North.]]&gt;$V$7),4)</f>
        <v>0</v>
      </c>
      <c r="T193" s="76">
        <v>1.0000000000331966E-4</v>
      </c>
      <c r="U193" s="77" cm="1">
        <f t="array" ref="U193">_xlfn.IFS(ReportSummary___XYZ___TL[[#This Row],[Diff to BL. Level]]="-",0,
AND(ReportSummary___XYZ___TL[[#This Row],[Diff to BL. Level]]&gt;=$R$4,ReportSummary___XYZ___TL[[#This Row],[Diff to BL. Level]]&lt;$V$4),0,
OR(AND(ReportSummary___XYZ___TL[[#This Row],[Diff to BL. Level]]&lt;$R$4,ReportSummary___XYZ___TL[[#This Row],[Diff to BL. Level]]&gt;=$R$5),AND(ReportSummary___XYZ___TL[[#This Row],[Diff to BL. Level]]&gt;$V$4,ReportSummary___XYZ___TL[[#This Row],[Diff to BL. Level]]&lt;=$V$5)),1,
OR(AND(ReportSummary___XYZ___TL[[#This Row],[Diff to BL. Level]]&lt;$R$5,ReportSummary___XYZ___TL[[#This Row],[Diff to BL. Level]]&gt;=$R$6),AND(ReportSummary___XYZ___TL[[#This Row],[Diff to BL. Level]]&gt;$V$5,ReportSummary___XYZ___TL[[#This Row],[Diff to BL. Level]]&lt;=$V$6)),2,
OR(AND(ReportSummary___XYZ___TL[[#This Row],[Diff to BL. Level]]&lt;$R$6,ReportSummary___XYZ___TL[[#This Row],[Diff to BL. Level]]&gt;=$R$7),AND(ReportSummary___XYZ___TL[[#This Row],[Diff to BL. Level]]&gt;$V$6,ReportSummary___XYZ___TL[[#This Row],[Diff to BL. Level]]&lt;=$V$7)),3,
OR(ReportSummary___XYZ___TL[[#This Row],[Diff to BL. Level]]&lt;$R$7,ReportSummary___XYZ___TL[[#This Row],[Diff to BL. Level]]&gt;$V$7),4)</f>
        <v>0</v>
      </c>
      <c r="V193" s="77">
        <v>2.5000000023283064E-3</v>
      </c>
      <c r="W193" s="77" cm="1">
        <f t="array" ref="W193">_xlfn.IFS(ReportSummary___XYZ___TL[[#This Row],[Diff to BL. Trans.]]="-",0,
AND(ReportSummary___XYZ___TL[[#This Row],[Diff to BL. Trans.]]&gt;=$R$4,ReportSummary___XYZ___TL[[#This Row],[Diff to BL. Trans.]]&lt;$V$4),0,
OR(AND(ReportSummary___XYZ___TL[[#This Row],[Diff to BL. Trans.]]&lt;$R$4,ReportSummary___XYZ___TL[[#This Row],[Diff to BL. Trans.]]&gt;=$R$5),AND(ReportSummary___XYZ___TL[[#This Row],[Diff to BL. Trans.]]&gt;$V$4,ReportSummary___XYZ___TL[[#This Row],[Diff to BL. Trans.]]&lt;=$V$5)),1,
OR(AND(ReportSummary___XYZ___TL[[#This Row],[Diff to BL. Trans.]]&lt;$R$5,ReportSummary___XYZ___TL[[#This Row],[Diff to BL. Trans.]]&gt;=$R$6),AND(ReportSummary___XYZ___TL[[#This Row],[Diff to BL. Trans.]]&gt;$V$5,ReportSummary___XYZ___TL[[#This Row],[Diff to BL. Trans.]]&lt;=$V$6)),2,
OR(AND(ReportSummary___XYZ___TL[[#This Row],[Diff to BL. Trans.]]&lt;$R$6,ReportSummary___XYZ___TL[[#This Row],[Diff to BL. Trans.]]&gt;=$R$7),AND(ReportSummary___XYZ___TL[[#This Row],[Diff to BL. Trans.]]&gt;$V$6,ReportSummary___XYZ___TL[[#This Row],[Diff to BL. Trans.]]&lt;=$V$7)),3,
OR(ReportSummary___XYZ___TL[[#This Row],[Diff to BL. Trans.]]&lt;$R$7,ReportSummary___XYZ___TL[[#This Row],[Diff to BL. Trans.]]&gt;$V$7),4)</f>
        <v>0</v>
      </c>
      <c r="X193" s="77">
        <v>-1.3000000035390258E-3</v>
      </c>
      <c r="Y193" s="77" cm="1">
        <f t="array" ref="Y193">_xlfn.IFS(ReportSummary___XYZ___TL[[#This Row],[Diff to BL. Long.]]="-",0,
AND(ReportSummary___XYZ___TL[[#This Row],[Diff to BL. Long.]]&gt;=$R$4,ReportSummary___XYZ___TL[[#This Row],[Diff to BL. Long.]]&lt;$V$4),0,
OR(AND(ReportSummary___XYZ___TL[[#This Row],[Diff to BL. Long.]]&lt;$R$4,ReportSummary___XYZ___TL[[#This Row],[Diff to BL. Long.]]&gt;=$R$5),AND(ReportSummary___XYZ___TL[[#This Row],[Diff to BL. Long.]]&gt;$V$4,ReportSummary___XYZ___TL[[#This Row],[Diff to BL. Long.]]&lt;=$V$5)),1,
OR(AND(ReportSummary___XYZ___TL[[#This Row],[Diff to BL. Long.]]&lt;$R$5,ReportSummary___XYZ___TL[[#This Row],[Diff to BL. Long.]]&gt;=$R$6),AND(ReportSummary___XYZ___TL[[#This Row],[Diff to BL. Long.]]&gt;$V$5,ReportSummary___XYZ___TL[[#This Row],[Diff to BL. Long.]]&lt;=$V$6)),2,
OR(AND(ReportSummary___XYZ___TL[[#This Row],[Diff to BL. Long.]]&lt;$R$6,ReportSummary___XYZ___TL[[#This Row],[Diff to BL. Long.]]&gt;=$R$7),AND(ReportSummary___XYZ___TL[[#This Row],[Diff to BL. Long.]]&gt;$V$6,ReportSummary___XYZ___TL[[#This Row],[Diff to BL. Long.]]&lt;=$V$7)),3,
OR(ReportSummary___XYZ___TL[[#This Row],[Diff to BL. Long.]]&lt;$R$7,ReportSummary___XYZ___TL[[#This Row],[Diff to BL. Long.]]&gt;$V$7),4)</f>
        <v>0</v>
      </c>
      <c r="Z193" s="77" t="str">
        <f>_xlfn.LET(
_xlpm.CurrentReading,ReportSummary___XYZ___TL[[#This Row],[Obs. Easting]],
_xlpm.LastReading,_xlfn.XLOOKUP(ReportSummary___XYZ___TL[[#This Row],[ID]]&amp;"-"&amp;LastSurvey,Readings[Key],Readings[Obs. X],"-"),
IFERROR(IF(OR(_xlpm.LastReading=0, ISBLANK(_xlpm.LastReading), ISBLANK(_xlpm.CurrentReading)),"-", _xlpm.CurrentReading-_xlpm.LastReading),"-"))</f>
        <v>-</v>
      </c>
      <c r="AA193" s="77" t="str">
        <f>_xlfn.LET(
_xlpm.CurrentReading,ReportSummary___XYZ___TL[[#This Row],[Obs. Northing]],
_xlpm.LastReading,_xlfn.XLOOKUP(ReportSummary___XYZ___TL[[#This Row],[ID]]&amp;"-"&amp;LastSurvey,Readings[Key],Readings[Obs. Y],"-"),
IFERROR(IF(OR(_xlpm.LastReading=0, ISBLANK(_xlpm.LastReading), ISBLANK(_xlpm.CurrentReading)),"-", _xlpm.CurrentReading-_xlpm.LastReading),"-"))</f>
        <v>-</v>
      </c>
      <c r="AB193" s="77" t="str">
        <f>_xlfn.LET(
_xlpm.CurrentReading,ReportSummary___XYZ___TL[[#This Row],[Obs. Height]],
_xlpm.LastReading,_xlfn.XLOOKUP(ReportSummary___XYZ___TL[[#This Row],[ID]]&amp;"-"&amp;LastSurvey,Readings[Key],Readings[Obs. Z],"-"),
IFERROR(IF(OR(_xlpm.LastReading=0, ISBLANK(_xlpm.LastReading), ISBLANK(_xlpm.CurrentReading)),"-", _xlpm.CurrentReading-_xlpm.LastReading),"-"))</f>
        <v>-</v>
      </c>
      <c r="AC193" s="107" t="s">
        <v>86</v>
      </c>
      <c r="AD193" s="111"/>
      <c r="AE193" s="1"/>
      <c r="AF193" s="1"/>
      <c r="AG193" s="1"/>
      <c r="AH193" s="1"/>
      <c r="AI193" s="1"/>
      <c r="AJ193" s="1"/>
      <c r="AK193" s="1"/>
      <c r="AL193" s="1"/>
      <c r="AM193" s="1"/>
      <c r="AN193" s="1"/>
      <c r="AO193" s="1"/>
      <c r="AP193" s="1"/>
      <c r="AQ193" s="1"/>
      <c r="AR193" s="1"/>
    </row>
    <row r="194" spans="7:44" ht="14.25" customHeight="1" x14ac:dyDescent="0.2">
      <c r="AE194" s="1"/>
      <c r="AF194" s="1"/>
      <c r="AG194" s="1"/>
      <c r="AH194" s="1"/>
      <c r="AI194" s="1"/>
      <c r="AJ194" s="1"/>
      <c r="AK194" s="1"/>
      <c r="AL194" s="1"/>
      <c r="AM194" s="1"/>
      <c r="AN194" s="1"/>
      <c r="AO194" s="1"/>
      <c r="AP194" s="1"/>
      <c r="AQ194" s="1"/>
      <c r="AR194" s="1"/>
    </row>
    <row r="195" spans="7:44" ht="14.25" customHeight="1" x14ac:dyDescent="0.2">
      <c r="AE195" s="1"/>
      <c r="AF195" s="1"/>
      <c r="AG195" s="1"/>
      <c r="AH195" s="1"/>
      <c r="AI195" s="1"/>
      <c r="AJ195" s="1"/>
      <c r="AK195" s="1"/>
      <c r="AL195" s="1"/>
      <c r="AM195" s="1"/>
      <c r="AN195" s="1"/>
      <c r="AO195" s="1"/>
      <c r="AP195" s="1"/>
      <c r="AQ195" s="1"/>
      <c r="AR195" s="1"/>
    </row>
    <row r="196" spans="7:44" ht="14.25" customHeight="1" x14ac:dyDescent="0.2">
      <c r="AE196" s="1"/>
      <c r="AF196" s="1"/>
      <c r="AG196" s="1"/>
      <c r="AH196" s="1"/>
      <c r="AI196" s="1"/>
      <c r="AJ196" s="1"/>
      <c r="AK196" s="1"/>
      <c r="AL196" s="1"/>
      <c r="AM196" s="1"/>
      <c r="AN196" s="1"/>
      <c r="AO196" s="1"/>
      <c r="AP196" s="1"/>
      <c r="AQ196" s="1"/>
      <c r="AR196" s="1"/>
    </row>
    <row r="197" spans="7:44" ht="14.25" customHeight="1" x14ac:dyDescent="0.2">
      <c r="AE197" s="1"/>
      <c r="AF197" s="1"/>
      <c r="AG197" s="1"/>
      <c r="AH197" s="1"/>
      <c r="AI197" s="1"/>
      <c r="AJ197" s="1"/>
      <c r="AK197" s="1"/>
      <c r="AL197" s="1"/>
      <c r="AM197" s="1"/>
      <c r="AN197" s="1"/>
      <c r="AO197" s="1"/>
      <c r="AP197" s="1"/>
      <c r="AQ197" s="1"/>
      <c r="AR197" s="1"/>
    </row>
    <row r="198" spans="7:44" ht="14.25" customHeight="1" x14ac:dyDescent="0.2">
      <c r="AE198" s="1"/>
      <c r="AF198" s="1"/>
      <c r="AG198" s="1"/>
      <c r="AH198" s="1"/>
      <c r="AI198" s="1"/>
      <c r="AJ198" s="1"/>
      <c r="AK198" s="1"/>
      <c r="AL198" s="1"/>
      <c r="AM198" s="1"/>
      <c r="AN198" s="1"/>
      <c r="AO198" s="1"/>
      <c r="AP198" s="1"/>
      <c r="AQ198" s="1"/>
      <c r="AR198" s="1"/>
    </row>
    <row r="199" spans="7:44" ht="14.25" customHeight="1" x14ac:dyDescent="0.2">
      <c r="AE199" s="1"/>
      <c r="AF199" s="1"/>
      <c r="AG199" s="1"/>
      <c r="AH199" s="1"/>
      <c r="AI199" s="1"/>
      <c r="AJ199" s="1"/>
      <c r="AK199" s="1"/>
      <c r="AL199" s="1"/>
      <c r="AM199" s="1"/>
      <c r="AN199" s="1"/>
      <c r="AO199" s="1"/>
      <c r="AP199" s="1"/>
      <c r="AQ199" s="1"/>
      <c r="AR199" s="1"/>
    </row>
    <row r="200" spans="7:44" ht="14.25" customHeight="1" x14ac:dyDescent="0.2">
      <c r="AE200" s="1"/>
      <c r="AF200" s="1"/>
      <c r="AG200" s="1"/>
      <c r="AH200" s="1"/>
      <c r="AI200" s="1"/>
      <c r="AJ200" s="1"/>
      <c r="AK200" s="1"/>
      <c r="AL200" s="1"/>
      <c r="AM200" s="1"/>
      <c r="AN200" s="1"/>
      <c r="AO200" s="1"/>
      <c r="AP200" s="1"/>
      <c r="AQ200" s="1"/>
      <c r="AR200" s="1"/>
    </row>
    <row r="201" spans="7:44" ht="14.25" customHeight="1" x14ac:dyDescent="0.2">
      <c r="AE201" s="1"/>
      <c r="AF201" s="1"/>
      <c r="AG201" s="1"/>
      <c r="AH201" s="1"/>
      <c r="AI201" s="1"/>
      <c r="AJ201" s="1"/>
      <c r="AK201" s="1"/>
      <c r="AL201" s="1"/>
      <c r="AM201" s="1"/>
      <c r="AN201" s="1"/>
      <c r="AO201" s="1"/>
      <c r="AP201" s="1"/>
      <c r="AQ201" s="1"/>
      <c r="AR201" s="1"/>
    </row>
    <row r="202" spans="7:44" ht="14.25" customHeight="1" x14ac:dyDescent="0.2">
      <c r="AE202" s="1"/>
      <c r="AF202" s="1"/>
      <c r="AG202" s="1"/>
      <c r="AH202" s="1"/>
      <c r="AI202" s="1"/>
      <c r="AJ202" s="1"/>
      <c r="AK202" s="1"/>
      <c r="AL202" s="1"/>
      <c r="AM202" s="1"/>
      <c r="AN202" s="1"/>
      <c r="AO202" s="1"/>
      <c r="AP202" s="1"/>
      <c r="AQ202" s="1"/>
      <c r="AR202" s="1"/>
    </row>
    <row r="203" spans="7:44" ht="14.25" customHeight="1" x14ac:dyDescent="0.2">
      <c r="AE203" s="1"/>
      <c r="AF203" s="1"/>
      <c r="AG203" s="1"/>
      <c r="AH203" s="1"/>
      <c r="AI203" s="1"/>
      <c r="AJ203" s="1"/>
      <c r="AK203" s="1"/>
      <c r="AL203" s="1"/>
      <c r="AM203" s="1"/>
      <c r="AN203" s="1"/>
      <c r="AO203" s="1"/>
      <c r="AP203" s="1"/>
      <c r="AQ203" s="1"/>
      <c r="AR203" s="1"/>
    </row>
    <row r="204" spans="7:44" ht="14.25" customHeight="1" x14ac:dyDescent="0.2">
      <c r="AE204" s="1"/>
      <c r="AF204" s="1"/>
      <c r="AG204" s="1"/>
      <c r="AH204" s="1"/>
      <c r="AI204" s="1"/>
      <c r="AJ204" s="1"/>
      <c r="AK204" s="1"/>
      <c r="AL204" s="1"/>
      <c r="AM204" s="1"/>
      <c r="AN204" s="1"/>
      <c r="AO204" s="1"/>
      <c r="AP204" s="1"/>
      <c r="AQ204" s="1"/>
      <c r="AR204" s="1"/>
    </row>
    <row r="205" spans="7:44" ht="14.25" customHeight="1" x14ac:dyDescent="0.2">
      <c r="AE205" s="1"/>
      <c r="AF205" s="1"/>
      <c r="AG205" s="1"/>
      <c r="AH205" s="1"/>
      <c r="AI205" s="1"/>
      <c r="AJ205" s="1"/>
      <c r="AK205" s="1"/>
      <c r="AL205" s="1"/>
      <c r="AM205" s="1"/>
      <c r="AN205" s="1"/>
      <c r="AO205" s="1"/>
      <c r="AP205" s="1"/>
      <c r="AQ205" s="1"/>
      <c r="AR205" s="1"/>
    </row>
    <row r="206" spans="7:44" ht="14.25" customHeight="1" x14ac:dyDescent="0.2">
      <c r="AE206" s="1"/>
      <c r="AF206" s="1"/>
      <c r="AG206" s="1"/>
      <c r="AH206" s="1"/>
      <c r="AI206" s="1"/>
      <c r="AJ206" s="1"/>
      <c r="AK206" s="1"/>
      <c r="AL206" s="1"/>
      <c r="AM206" s="1"/>
      <c r="AN206" s="1"/>
      <c r="AO206" s="1"/>
      <c r="AP206" s="1"/>
      <c r="AQ206" s="1"/>
      <c r="AR206" s="1"/>
    </row>
    <row r="207" spans="7:44" ht="14.25" customHeight="1" x14ac:dyDescent="0.2">
      <c r="AE207" s="1"/>
      <c r="AF207" s="1"/>
      <c r="AG207" s="1"/>
      <c r="AH207" s="1"/>
      <c r="AI207" s="1"/>
      <c r="AJ207" s="1"/>
      <c r="AK207" s="1"/>
      <c r="AL207" s="1"/>
      <c r="AM207" s="1"/>
      <c r="AN207" s="1"/>
      <c r="AO207" s="1"/>
      <c r="AP207" s="1"/>
      <c r="AQ207" s="1"/>
      <c r="AR207" s="1"/>
    </row>
    <row r="208" spans="7:44" ht="14.25" customHeight="1" x14ac:dyDescent="0.2">
      <c r="AE208" s="1"/>
      <c r="AF208" s="1"/>
      <c r="AG208" s="1"/>
      <c r="AH208" s="1"/>
      <c r="AI208" s="1"/>
      <c r="AJ208" s="1"/>
      <c r="AK208" s="1"/>
      <c r="AL208" s="1"/>
      <c r="AM208" s="1"/>
      <c r="AN208" s="1"/>
      <c r="AO208" s="1"/>
      <c r="AP208" s="1"/>
      <c r="AQ208" s="1"/>
      <c r="AR208" s="1"/>
    </row>
    <row r="209" spans="31:44" ht="14.25" customHeight="1" x14ac:dyDescent="0.2">
      <c r="AE209" s="1"/>
      <c r="AF209" s="1"/>
      <c r="AG209" s="1"/>
      <c r="AH209" s="1"/>
      <c r="AI209" s="1"/>
      <c r="AJ209" s="1"/>
      <c r="AK209" s="1"/>
      <c r="AL209" s="1"/>
      <c r="AM209" s="1"/>
      <c r="AN209" s="1"/>
      <c r="AO209" s="1"/>
      <c r="AP209" s="1"/>
      <c r="AQ209" s="1"/>
      <c r="AR209" s="1"/>
    </row>
    <row r="210" spans="31:44" ht="14.25" customHeight="1" x14ac:dyDescent="0.2">
      <c r="AE210" s="1"/>
      <c r="AF210" s="1"/>
      <c r="AG210" s="1"/>
      <c r="AH210" s="1"/>
      <c r="AI210" s="1"/>
      <c r="AJ210" s="1"/>
      <c r="AK210" s="1"/>
      <c r="AL210" s="1"/>
      <c r="AM210" s="1"/>
      <c r="AN210" s="1"/>
      <c r="AO210" s="1"/>
      <c r="AP210" s="1"/>
      <c r="AQ210" s="1"/>
      <c r="AR210" s="1"/>
    </row>
    <row r="211" spans="31:44" ht="14.25" customHeight="1" x14ac:dyDescent="0.2">
      <c r="AM211" s="1"/>
      <c r="AN211" s="1"/>
      <c r="AO211" s="1"/>
      <c r="AP211" s="1"/>
      <c r="AQ211" s="1"/>
      <c r="AR211" s="1"/>
    </row>
    <row r="212" spans="31:44" ht="14.25" customHeight="1" x14ac:dyDescent="0.2">
      <c r="AM212" s="1"/>
      <c r="AN212" s="1"/>
      <c r="AO212" s="1"/>
      <c r="AP212" s="1"/>
      <c r="AQ212" s="1"/>
      <c r="AR212" s="1"/>
    </row>
    <row r="213" spans="31:44" ht="14.25" customHeight="1" x14ac:dyDescent="0.2">
      <c r="AM213" s="1"/>
      <c r="AN213" s="1"/>
      <c r="AO213" s="1"/>
      <c r="AP213" s="1"/>
      <c r="AQ213" s="1"/>
      <c r="AR213" s="1"/>
    </row>
    <row r="214" spans="31:44" ht="14.25" customHeight="1" x14ac:dyDescent="0.2">
      <c r="AM214" s="1"/>
      <c r="AN214" s="1"/>
      <c r="AO214" s="1"/>
      <c r="AP214" s="1"/>
      <c r="AQ214" s="1"/>
      <c r="AR214" s="1"/>
    </row>
    <row r="215" spans="31:44" ht="14.25" customHeight="1" x14ac:dyDescent="0.2">
      <c r="AM215" s="1"/>
      <c r="AN215" s="1"/>
      <c r="AO215" s="1"/>
      <c r="AP215" s="1"/>
      <c r="AQ215" s="1"/>
      <c r="AR215" s="1"/>
    </row>
    <row r="216" spans="31:44" ht="14.25" customHeight="1" x14ac:dyDescent="0.2">
      <c r="AM216" s="1"/>
      <c r="AN216" s="1"/>
      <c r="AO216" s="1"/>
      <c r="AP216" s="1"/>
      <c r="AQ216" s="1"/>
      <c r="AR216" s="1"/>
    </row>
    <row r="217" spans="31:44" ht="14.25" customHeight="1" x14ac:dyDescent="0.2">
      <c r="AM217" s="1"/>
      <c r="AN217" s="1"/>
      <c r="AO217" s="1"/>
      <c r="AP217" s="1"/>
      <c r="AQ217" s="1"/>
      <c r="AR217" s="1"/>
    </row>
    <row r="218" spans="31:44" ht="14.25" customHeight="1" x14ac:dyDescent="0.2">
      <c r="AM218" s="1"/>
      <c r="AN218" s="1"/>
      <c r="AO218" s="1"/>
      <c r="AP218" s="1"/>
      <c r="AQ218" s="1"/>
      <c r="AR218" s="1"/>
    </row>
    <row r="219" spans="31:44" ht="14.25" customHeight="1" x14ac:dyDescent="0.2">
      <c r="AM219" s="1"/>
      <c r="AN219" s="1"/>
      <c r="AO219" s="1"/>
      <c r="AP219" s="1"/>
      <c r="AQ219" s="1"/>
      <c r="AR219" s="1"/>
    </row>
    <row r="220" spans="31:44" ht="14.25" customHeight="1" x14ac:dyDescent="0.2">
      <c r="AM220" s="1"/>
      <c r="AN220" s="1"/>
      <c r="AO220" s="1"/>
      <c r="AP220" s="1"/>
      <c r="AQ220" s="1"/>
      <c r="AR220" s="1"/>
    </row>
    <row r="221" spans="31:44" ht="14.25" customHeight="1" x14ac:dyDescent="0.2">
      <c r="AM221" s="1"/>
      <c r="AN221" s="1"/>
      <c r="AO221" s="1"/>
      <c r="AP221" s="1"/>
      <c r="AQ221" s="1"/>
      <c r="AR221" s="1"/>
    </row>
    <row r="222" spans="31:44" ht="14.25" customHeight="1" x14ac:dyDescent="0.2">
      <c r="AM222" s="1"/>
      <c r="AN222" s="1"/>
      <c r="AO222" s="1"/>
      <c r="AP222" s="1"/>
      <c r="AQ222" s="1"/>
      <c r="AR222" s="1"/>
    </row>
    <row r="223" spans="31:44" ht="14.25" customHeight="1" x14ac:dyDescent="0.2">
      <c r="AM223" s="1"/>
      <c r="AN223" s="1"/>
      <c r="AO223" s="1"/>
      <c r="AP223" s="1"/>
      <c r="AQ223" s="1"/>
      <c r="AR223" s="1"/>
    </row>
    <row r="224" spans="31:44" ht="14.25" customHeight="1" x14ac:dyDescent="0.2">
      <c r="AM224" s="1"/>
      <c r="AN224" s="1"/>
      <c r="AO224" s="1"/>
      <c r="AP224" s="1"/>
      <c r="AQ224" s="1"/>
      <c r="AR224" s="1"/>
    </row>
    <row r="225" spans="39:44" ht="14.25" customHeight="1" x14ac:dyDescent="0.2">
      <c r="AM225" s="1"/>
      <c r="AN225" s="1"/>
      <c r="AO225" s="1"/>
      <c r="AP225" s="1"/>
      <c r="AQ225" s="1"/>
      <c r="AR225" s="1"/>
    </row>
    <row r="226" spans="39:44" ht="14.25" customHeight="1" x14ac:dyDescent="0.2">
      <c r="AM226" s="1"/>
      <c r="AN226" s="1"/>
      <c r="AO226" s="1"/>
      <c r="AP226" s="1"/>
      <c r="AQ226" s="1"/>
      <c r="AR226" s="1"/>
    </row>
    <row r="227" spans="39:44" ht="14.25" customHeight="1" x14ac:dyDescent="0.2">
      <c r="AM227" s="1"/>
      <c r="AN227" s="1"/>
      <c r="AO227" s="1"/>
      <c r="AP227" s="1"/>
      <c r="AQ227" s="1"/>
      <c r="AR227" s="1"/>
    </row>
    <row r="228" spans="39:44" ht="14.25" customHeight="1" x14ac:dyDescent="0.2">
      <c r="AM228" s="1"/>
      <c r="AN228" s="1"/>
      <c r="AO228" s="1"/>
      <c r="AP228" s="1"/>
      <c r="AQ228" s="1"/>
      <c r="AR228" s="1"/>
    </row>
    <row r="229" spans="39:44" ht="14.25" customHeight="1" x14ac:dyDescent="0.2">
      <c r="AM229" s="1"/>
      <c r="AN229" s="1"/>
      <c r="AO229" s="1"/>
      <c r="AP229" s="1"/>
      <c r="AQ229" s="1"/>
      <c r="AR229" s="1"/>
    </row>
    <row r="230" spans="39:44" ht="14.25" customHeight="1" x14ac:dyDescent="0.2">
      <c r="AM230" s="1"/>
      <c r="AN230" s="1"/>
      <c r="AO230" s="1"/>
      <c r="AP230" s="1"/>
      <c r="AQ230" s="1"/>
      <c r="AR230" s="1"/>
    </row>
    <row r="231" spans="39:44" ht="14.25" customHeight="1" x14ac:dyDescent="0.2">
      <c r="AM231" s="1"/>
      <c r="AN231" s="1"/>
      <c r="AO231" s="1"/>
      <c r="AP231" s="1"/>
      <c r="AQ231" s="1"/>
      <c r="AR231" s="1"/>
    </row>
    <row r="232" spans="39:44" ht="14.25" customHeight="1" x14ac:dyDescent="0.2">
      <c r="AM232" s="1"/>
      <c r="AN232" s="1"/>
      <c r="AO232" s="1"/>
      <c r="AP232" s="1"/>
      <c r="AQ232" s="1"/>
      <c r="AR232" s="1"/>
    </row>
    <row r="233" spans="39:44" ht="14.25" customHeight="1" x14ac:dyDescent="0.2">
      <c r="AM233" s="1"/>
      <c r="AN233" s="1"/>
      <c r="AO233" s="1"/>
      <c r="AP233" s="1"/>
      <c r="AQ233" s="1"/>
      <c r="AR233" s="1"/>
    </row>
    <row r="234" spans="39:44" ht="14.25" customHeight="1" x14ac:dyDescent="0.2">
      <c r="AM234" s="1"/>
      <c r="AN234" s="1"/>
      <c r="AO234" s="1"/>
      <c r="AP234" s="1"/>
      <c r="AQ234" s="1"/>
      <c r="AR234" s="1"/>
    </row>
    <row r="235" spans="39:44" ht="14.25" customHeight="1" x14ac:dyDescent="0.2">
      <c r="AM235" s="1"/>
      <c r="AN235" s="1"/>
      <c r="AO235" s="1"/>
      <c r="AP235" s="1"/>
      <c r="AQ235" s="1"/>
      <c r="AR235" s="1"/>
    </row>
    <row r="236" spans="39:44" ht="14.25" customHeight="1" x14ac:dyDescent="0.2">
      <c r="AM236" s="1"/>
      <c r="AN236" s="1"/>
      <c r="AO236" s="1"/>
      <c r="AP236" s="1"/>
      <c r="AQ236" s="1"/>
      <c r="AR236" s="1"/>
    </row>
    <row r="237" spans="39:44" ht="14.25" customHeight="1" x14ac:dyDescent="0.2">
      <c r="AM237" s="1"/>
      <c r="AN237" s="1"/>
      <c r="AO237" s="1"/>
      <c r="AP237" s="1"/>
      <c r="AQ237" s="1"/>
      <c r="AR237" s="1"/>
    </row>
    <row r="238" spans="39:44" ht="14.25" customHeight="1" x14ac:dyDescent="0.2">
      <c r="AM238" s="1"/>
      <c r="AN238" s="1"/>
      <c r="AO238" s="1"/>
      <c r="AP238" s="1"/>
      <c r="AQ238" s="1"/>
      <c r="AR238" s="1"/>
    </row>
    <row r="239" spans="39:44" ht="14.25" customHeight="1" x14ac:dyDescent="0.2">
      <c r="AM239" s="1"/>
      <c r="AN239" s="1"/>
      <c r="AO239" s="1"/>
      <c r="AP239" s="1"/>
      <c r="AQ239" s="1"/>
      <c r="AR239" s="1"/>
    </row>
    <row r="240" spans="39:44" ht="14.25" customHeight="1" x14ac:dyDescent="0.2">
      <c r="AM240" s="1"/>
      <c r="AN240" s="1"/>
      <c r="AO240" s="1"/>
      <c r="AP240" s="1"/>
      <c r="AQ240" s="1"/>
      <c r="AR240" s="1"/>
    </row>
    <row r="241" spans="39:44" ht="14.25" customHeight="1" x14ac:dyDescent="0.2">
      <c r="AM241" s="1"/>
      <c r="AN241" s="1"/>
      <c r="AO241" s="1"/>
      <c r="AP241" s="1"/>
      <c r="AQ241" s="1"/>
      <c r="AR241" s="1"/>
    </row>
    <row r="242" spans="39:44" ht="14.25" customHeight="1" x14ac:dyDescent="0.2">
      <c r="AM242" s="1"/>
      <c r="AN242" s="1"/>
      <c r="AO242" s="1"/>
      <c r="AP242" s="1"/>
      <c r="AQ242" s="1"/>
      <c r="AR242" s="1"/>
    </row>
    <row r="243" spans="39:44" ht="14.25" customHeight="1" x14ac:dyDescent="0.2">
      <c r="AM243" s="1"/>
      <c r="AN243" s="1"/>
      <c r="AO243" s="1"/>
      <c r="AP243" s="1"/>
      <c r="AQ243" s="1"/>
      <c r="AR243" s="1"/>
    </row>
    <row r="244" spans="39:44" ht="14.25" customHeight="1" x14ac:dyDescent="0.2">
      <c r="AM244" s="1"/>
      <c r="AN244" s="1"/>
      <c r="AO244" s="1"/>
      <c r="AP244" s="1"/>
      <c r="AQ244" s="1"/>
      <c r="AR244" s="1"/>
    </row>
    <row r="245" spans="39:44" ht="14.25" customHeight="1" x14ac:dyDescent="0.2">
      <c r="AM245" s="1"/>
      <c r="AN245" s="1"/>
      <c r="AO245" s="1"/>
      <c r="AP245" s="1"/>
      <c r="AQ245" s="1"/>
      <c r="AR245" s="1"/>
    </row>
    <row r="246" spans="39:44" ht="14.25" customHeight="1" x14ac:dyDescent="0.2">
      <c r="AM246" s="1"/>
      <c r="AN246" s="1"/>
      <c r="AO246" s="1"/>
      <c r="AP246" s="1"/>
      <c r="AQ246" s="1"/>
      <c r="AR246" s="1"/>
    </row>
    <row r="247" spans="39:44" ht="14.25" customHeight="1" x14ac:dyDescent="0.2">
      <c r="AM247" s="1"/>
      <c r="AN247" s="1"/>
      <c r="AO247" s="1"/>
      <c r="AP247" s="1"/>
      <c r="AQ247" s="1"/>
      <c r="AR247" s="1"/>
    </row>
    <row r="248" spans="39:44" ht="14.25" customHeight="1" x14ac:dyDescent="0.2">
      <c r="AM248" s="1"/>
      <c r="AN248" s="1"/>
      <c r="AO248" s="1"/>
      <c r="AP248" s="1"/>
      <c r="AQ248" s="1"/>
      <c r="AR248" s="1"/>
    </row>
    <row r="249" spans="39:44" ht="14.25" customHeight="1" x14ac:dyDescent="0.2">
      <c r="AM249" s="1"/>
      <c r="AN249" s="1"/>
      <c r="AO249" s="1"/>
      <c r="AP249" s="1"/>
      <c r="AQ249" s="1"/>
      <c r="AR249" s="1"/>
    </row>
    <row r="250" spans="39:44" ht="14.25" customHeight="1" x14ac:dyDescent="0.2">
      <c r="AM250" s="1"/>
      <c r="AN250" s="1"/>
      <c r="AO250" s="1"/>
      <c r="AP250" s="1"/>
      <c r="AQ250" s="1"/>
      <c r="AR250" s="1"/>
    </row>
    <row r="251" spans="39:44" ht="14.25" customHeight="1" x14ac:dyDescent="0.2">
      <c r="AM251" s="1"/>
      <c r="AN251" s="1"/>
      <c r="AO251" s="1"/>
      <c r="AP251" s="1"/>
      <c r="AQ251" s="1"/>
      <c r="AR251" s="1"/>
    </row>
    <row r="252" spans="39:44" ht="14.25" customHeight="1" x14ac:dyDescent="0.2">
      <c r="AM252" s="1"/>
      <c r="AN252" s="1"/>
      <c r="AO252" s="1"/>
      <c r="AP252" s="1"/>
      <c r="AQ252" s="1"/>
      <c r="AR252" s="1"/>
    </row>
    <row r="253" spans="39:44" ht="14.25" customHeight="1" x14ac:dyDescent="0.2">
      <c r="AM253" s="1"/>
      <c r="AN253" s="1"/>
      <c r="AO253" s="1"/>
      <c r="AP253" s="1"/>
      <c r="AQ253" s="1"/>
      <c r="AR253" s="1"/>
    </row>
    <row r="254" spans="39:44" ht="14.25" customHeight="1" x14ac:dyDescent="0.2">
      <c r="AM254" s="1"/>
      <c r="AN254" s="1"/>
      <c r="AO254" s="1"/>
      <c r="AP254" s="1"/>
      <c r="AQ254" s="1"/>
      <c r="AR254" s="1"/>
    </row>
    <row r="255" spans="39:44" ht="14.25" customHeight="1" x14ac:dyDescent="0.2">
      <c r="AM255" s="1"/>
      <c r="AN255" s="1"/>
      <c r="AO255" s="1"/>
      <c r="AP255" s="1"/>
      <c r="AQ255" s="1"/>
      <c r="AR255" s="1"/>
    </row>
    <row r="256" spans="39:44" ht="14.25" customHeight="1" x14ac:dyDescent="0.2">
      <c r="AM256" s="1"/>
      <c r="AN256" s="1"/>
      <c r="AO256" s="1"/>
      <c r="AP256" s="1"/>
      <c r="AQ256" s="1"/>
      <c r="AR256" s="1"/>
    </row>
    <row r="257" spans="39:44" ht="14.25" customHeight="1" x14ac:dyDescent="0.2">
      <c r="AM257" s="1"/>
      <c r="AN257" s="1"/>
      <c r="AO257" s="1"/>
      <c r="AP257" s="1"/>
      <c r="AQ257" s="1"/>
      <c r="AR257" s="1"/>
    </row>
    <row r="258" spans="39:44" ht="14.25" customHeight="1" x14ac:dyDescent="0.2">
      <c r="AM258" s="1"/>
      <c r="AN258" s="1"/>
      <c r="AO258" s="1"/>
      <c r="AP258" s="1"/>
      <c r="AQ258" s="1"/>
      <c r="AR258" s="1"/>
    </row>
    <row r="259" spans="39:44" ht="14.25" customHeight="1" x14ac:dyDescent="0.2">
      <c r="AM259" s="1"/>
      <c r="AN259" s="1"/>
      <c r="AO259" s="1"/>
      <c r="AP259" s="1"/>
      <c r="AQ259" s="1"/>
      <c r="AR259" s="1"/>
    </row>
    <row r="260" spans="39:44" ht="14.25" customHeight="1" x14ac:dyDescent="0.2">
      <c r="AO260" s="1"/>
      <c r="AP260" s="1"/>
      <c r="AQ260" s="1"/>
      <c r="AR260" s="1"/>
    </row>
    <row r="261" spans="39:44" ht="14.25" customHeight="1" x14ac:dyDescent="0.2">
      <c r="AO261" s="1"/>
      <c r="AP261" s="1"/>
      <c r="AQ261" s="1"/>
      <c r="AR261" s="1"/>
    </row>
    <row r="262" spans="39:44" ht="14.25" customHeight="1" x14ac:dyDescent="0.2">
      <c r="AO262" s="1"/>
      <c r="AP262" s="1"/>
      <c r="AQ262" s="1"/>
      <c r="AR262" s="1"/>
    </row>
    <row r="263" spans="39:44" ht="14.25" customHeight="1" x14ac:dyDescent="0.2">
      <c r="AO263" s="1"/>
      <c r="AP263" s="1"/>
      <c r="AQ263" s="1"/>
      <c r="AR263" s="1"/>
    </row>
    <row r="264" spans="39:44" ht="14.25" customHeight="1" x14ac:dyDescent="0.2">
      <c r="AO264" s="1"/>
      <c r="AP264" s="1"/>
      <c r="AQ264" s="1"/>
      <c r="AR264" s="1"/>
    </row>
    <row r="265" spans="39:44" ht="14.25" customHeight="1" x14ac:dyDescent="0.2">
      <c r="AO265" s="1"/>
      <c r="AP265" s="1"/>
      <c r="AQ265" s="1"/>
      <c r="AR265" s="1"/>
    </row>
    <row r="266" spans="39:44" ht="14.25" customHeight="1" x14ac:dyDescent="0.2">
      <c r="AO266" s="1"/>
      <c r="AP266" s="1"/>
      <c r="AQ266" s="1"/>
      <c r="AR266" s="1"/>
    </row>
    <row r="267" spans="39:44" ht="14.25" customHeight="1" x14ac:dyDescent="0.2">
      <c r="AO267" s="1"/>
      <c r="AP267" s="1"/>
      <c r="AQ267" s="1"/>
      <c r="AR267" s="1"/>
    </row>
    <row r="268" spans="39:44" ht="14.25" customHeight="1" x14ac:dyDescent="0.2">
      <c r="AO268" s="1"/>
      <c r="AP268" s="1"/>
      <c r="AQ268" s="1"/>
      <c r="AR268" s="1"/>
    </row>
    <row r="269" spans="39:44" ht="14.25" customHeight="1" x14ac:dyDescent="0.2">
      <c r="AO269" s="1"/>
      <c r="AP269" s="1"/>
      <c r="AQ269" s="1"/>
      <c r="AR269" s="1"/>
    </row>
    <row r="270" spans="39:44" ht="14.25" customHeight="1" x14ac:dyDescent="0.2">
      <c r="AO270" s="1"/>
      <c r="AP270" s="1"/>
      <c r="AQ270" s="1"/>
      <c r="AR270" s="1"/>
    </row>
    <row r="271" spans="39:44" ht="14.25" customHeight="1" x14ac:dyDescent="0.2">
      <c r="AO271" s="1"/>
      <c r="AP271" s="1"/>
      <c r="AQ271" s="1"/>
      <c r="AR271" s="1"/>
    </row>
    <row r="272" spans="39:44" ht="14.25" customHeight="1" x14ac:dyDescent="0.2">
      <c r="AO272" s="1"/>
      <c r="AP272" s="1"/>
      <c r="AQ272" s="1"/>
      <c r="AR272" s="1"/>
    </row>
    <row r="273" spans="41:44" ht="14.25" customHeight="1" x14ac:dyDescent="0.2">
      <c r="AO273" s="1"/>
      <c r="AP273" s="1"/>
      <c r="AQ273" s="1"/>
      <c r="AR273" s="1"/>
    </row>
    <row r="274" spans="41:44" ht="14.25" customHeight="1" x14ac:dyDescent="0.2">
      <c r="AO274" s="1"/>
      <c r="AP274" s="1"/>
      <c r="AQ274" s="1"/>
      <c r="AR274" s="1"/>
    </row>
    <row r="275" spans="41:44" ht="14.25" customHeight="1" x14ac:dyDescent="0.2">
      <c r="AO275" s="1"/>
      <c r="AP275" s="1"/>
      <c r="AQ275" s="1"/>
      <c r="AR275" s="1"/>
    </row>
    <row r="276" spans="41:44" ht="14.25" customHeight="1" x14ac:dyDescent="0.2">
      <c r="AO276" s="1"/>
      <c r="AP276" s="1"/>
      <c r="AQ276" s="1"/>
      <c r="AR276" s="1"/>
    </row>
    <row r="277" spans="41:44" ht="14.25" customHeight="1" x14ac:dyDescent="0.2">
      <c r="AO277" s="1"/>
      <c r="AP277" s="1"/>
      <c r="AQ277" s="1"/>
      <c r="AR277" s="1"/>
    </row>
    <row r="278" spans="41:44" ht="14.25" customHeight="1" x14ac:dyDescent="0.2">
      <c r="AO278" s="1"/>
      <c r="AP278" s="1"/>
      <c r="AQ278" s="1"/>
      <c r="AR278" s="1"/>
    </row>
    <row r="279" spans="41:44" ht="14.25" customHeight="1" x14ac:dyDescent="0.2">
      <c r="AO279" s="1"/>
      <c r="AP279" s="1"/>
      <c r="AQ279" s="1"/>
      <c r="AR279" s="1"/>
    </row>
    <row r="280" spans="41:44" ht="14.25" customHeight="1" x14ac:dyDescent="0.2">
      <c r="AO280" s="1"/>
      <c r="AP280" s="1"/>
      <c r="AQ280" s="1"/>
      <c r="AR280" s="1"/>
    </row>
    <row r="281" spans="41:44" ht="14.25" customHeight="1" x14ac:dyDescent="0.2">
      <c r="AO281" s="1"/>
      <c r="AP281" s="1"/>
      <c r="AQ281" s="1"/>
      <c r="AR281" s="1"/>
    </row>
    <row r="282" spans="41:44" ht="14.25" customHeight="1" x14ac:dyDescent="0.2">
      <c r="AO282" s="1"/>
      <c r="AP282" s="1"/>
      <c r="AQ282" s="1"/>
      <c r="AR282" s="1"/>
    </row>
    <row r="283" spans="41:44" ht="14.25" customHeight="1" x14ac:dyDescent="0.2">
      <c r="AO283" s="1"/>
      <c r="AP283" s="1"/>
      <c r="AQ283" s="1"/>
      <c r="AR283" s="1"/>
    </row>
    <row r="284" spans="41:44" ht="14.25" customHeight="1" x14ac:dyDescent="0.2">
      <c r="AO284" s="1"/>
      <c r="AP284" s="1"/>
      <c r="AQ284" s="1"/>
      <c r="AR284" s="1"/>
    </row>
    <row r="285" spans="41:44" ht="14.25" customHeight="1" x14ac:dyDescent="0.2">
      <c r="AO285" s="1"/>
      <c r="AP285" s="1"/>
      <c r="AQ285" s="1"/>
      <c r="AR285" s="1"/>
    </row>
    <row r="286" spans="41:44" ht="14.25" customHeight="1" x14ac:dyDescent="0.2">
      <c r="AO286" s="1"/>
      <c r="AP286" s="1"/>
      <c r="AQ286" s="1"/>
      <c r="AR286" s="1"/>
    </row>
    <row r="287" spans="41:44" ht="14.25" customHeight="1" x14ac:dyDescent="0.2">
      <c r="AO287" s="1"/>
      <c r="AP287" s="1"/>
      <c r="AQ287" s="1"/>
      <c r="AR287" s="1"/>
    </row>
    <row r="288" spans="41:44" ht="14.25" customHeight="1" x14ac:dyDescent="0.2">
      <c r="AO288" s="1"/>
      <c r="AP288" s="1"/>
      <c r="AQ288" s="1"/>
      <c r="AR288" s="1"/>
    </row>
    <row r="289" spans="41:44" ht="14.25" customHeight="1" x14ac:dyDescent="0.2">
      <c r="AO289" s="1"/>
      <c r="AP289" s="1"/>
      <c r="AQ289" s="1"/>
      <c r="AR289" s="1"/>
    </row>
    <row r="290" spans="41:44" ht="14.25" customHeight="1" x14ac:dyDescent="0.2">
      <c r="AO290" s="1"/>
      <c r="AP290" s="1"/>
      <c r="AQ290" s="1"/>
      <c r="AR290" s="1"/>
    </row>
    <row r="291" spans="41:44" ht="14.25" customHeight="1" x14ac:dyDescent="0.2">
      <c r="AO291" s="1"/>
      <c r="AP291" s="1"/>
      <c r="AQ291" s="1"/>
      <c r="AR291" s="1"/>
    </row>
    <row r="292" spans="41:44" ht="14.25" customHeight="1" x14ac:dyDescent="0.2">
      <c r="AO292" s="1"/>
      <c r="AP292" s="1"/>
      <c r="AQ292" s="1"/>
      <c r="AR292" s="1"/>
    </row>
    <row r="293" spans="41:44" ht="14.25" customHeight="1" x14ac:dyDescent="0.2">
      <c r="AO293" s="1"/>
      <c r="AP293" s="1"/>
      <c r="AQ293" s="1"/>
      <c r="AR293" s="1"/>
    </row>
    <row r="294" spans="41:44" ht="14.25" customHeight="1" x14ac:dyDescent="0.2">
      <c r="AO294" s="1"/>
      <c r="AP294" s="1"/>
      <c r="AQ294" s="1"/>
      <c r="AR294" s="1"/>
    </row>
    <row r="295" spans="41:44" ht="14.25" customHeight="1" x14ac:dyDescent="0.2">
      <c r="AO295" s="1"/>
      <c r="AP295" s="1"/>
      <c r="AQ295" s="1"/>
      <c r="AR295" s="1"/>
    </row>
    <row r="296" spans="41:44" ht="14.25" customHeight="1" x14ac:dyDescent="0.2">
      <c r="AO296" s="1"/>
      <c r="AP296" s="1"/>
      <c r="AQ296" s="1"/>
      <c r="AR296" s="1"/>
    </row>
    <row r="297" spans="41:44" ht="14.25" customHeight="1" x14ac:dyDescent="0.2">
      <c r="AO297" s="1"/>
      <c r="AP297" s="1"/>
      <c r="AQ297" s="1"/>
      <c r="AR297" s="1"/>
    </row>
    <row r="298" spans="41:44" ht="14.25" customHeight="1" x14ac:dyDescent="0.2">
      <c r="AO298" s="1"/>
      <c r="AP298" s="1"/>
      <c r="AQ298" s="1"/>
      <c r="AR298" s="1"/>
    </row>
    <row r="299" spans="41:44" ht="14.25" customHeight="1" x14ac:dyDescent="0.2">
      <c r="AO299" s="1"/>
      <c r="AP299" s="1"/>
      <c r="AQ299" s="1"/>
      <c r="AR299" s="1"/>
    </row>
    <row r="300" spans="41:44" ht="14.25" customHeight="1" x14ac:dyDescent="0.2">
      <c r="AO300" s="1"/>
      <c r="AP300" s="1"/>
      <c r="AQ300" s="1"/>
      <c r="AR300" s="1"/>
    </row>
    <row r="301" spans="41:44" ht="14.25" customHeight="1" x14ac:dyDescent="0.2">
      <c r="AO301" s="1"/>
      <c r="AP301" s="1"/>
      <c r="AQ301" s="1"/>
      <c r="AR301" s="1"/>
    </row>
    <row r="302" spans="41:44" ht="14.25" customHeight="1" x14ac:dyDescent="0.2">
      <c r="AO302" s="1"/>
      <c r="AP302" s="1"/>
      <c r="AQ302" s="1"/>
      <c r="AR302" s="1"/>
    </row>
    <row r="303" spans="41:44" ht="14.25" customHeight="1" x14ac:dyDescent="0.2">
      <c r="AO303" s="1"/>
      <c r="AP303" s="1"/>
      <c r="AQ303" s="1"/>
      <c r="AR303" s="1"/>
    </row>
    <row r="304" spans="41:44" ht="14.25" customHeight="1" x14ac:dyDescent="0.2">
      <c r="AO304" s="1"/>
      <c r="AP304" s="1"/>
      <c r="AQ304" s="1"/>
      <c r="AR304" s="1"/>
    </row>
    <row r="305" spans="41:44" ht="14.25" customHeight="1" x14ac:dyDescent="0.2">
      <c r="AO305" s="1"/>
      <c r="AP305" s="1"/>
      <c r="AQ305" s="1"/>
      <c r="AR305" s="1"/>
    </row>
    <row r="306" spans="41:44" ht="14.25" customHeight="1" x14ac:dyDescent="0.2">
      <c r="AO306" s="1"/>
      <c r="AP306" s="1"/>
      <c r="AQ306" s="1"/>
      <c r="AR306" s="1"/>
    </row>
    <row r="307" spans="41:44" ht="14.25" customHeight="1" x14ac:dyDescent="0.2">
      <c r="AO307" s="1"/>
      <c r="AP307" s="1"/>
      <c r="AQ307" s="1"/>
      <c r="AR307" s="1"/>
    </row>
    <row r="308" spans="41:44" ht="14.25" customHeight="1" x14ac:dyDescent="0.2">
      <c r="AO308" s="1"/>
      <c r="AP308" s="1"/>
      <c r="AQ308" s="1"/>
      <c r="AR308" s="1"/>
    </row>
    <row r="309" spans="41:44" ht="14.25" customHeight="1" x14ac:dyDescent="0.2">
      <c r="AO309" s="1"/>
      <c r="AP309" s="1"/>
      <c r="AQ309" s="1"/>
      <c r="AR309" s="1"/>
    </row>
    <row r="310" spans="41:44" ht="14.25" customHeight="1" x14ac:dyDescent="0.2">
      <c r="AO310" s="1"/>
      <c r="AP310" s="1"/>
      <c r="AQ310" s="1"/>
      <c r="AR310" s="1"/>
    </row>
    <row r="311" spans="41:44" ht="14.25" customHeight="1" x14ac:dyDescent="0.2">
      <c r="AO311" s="1"/>
      <c r="AP311" s="1"/>
      <c r="AQ311" s="1"/>
      <c r="AR311" s="1"/>
    </row>
    <row r="312" spans="41:44" ht="14.25" customHeight="1" x14ac:dyDescent="0.2">
      <c r="AO312" s="1"/>
      <c r="AP312" s="1"/>
      <c r="AQ312" s="1"/>
      <c r="AR312" s="1"/>
    </row>
    <row r="313" spans="41:44" ht="14.25" customHeight="1" x14ac:dyDescent="0.2">
      <c r="AO313" s="1"/>
      <c r="AP313" s="1"/>
      <c r="AQ313" s="1"/>
      <c r="AR313" s="1"/>
    </row>
    <row r="314" spans="41:44" ht="14.25" customHeight="1" x14ac:dyDescent="0.2">
      <c r="AO314" s="1"/>
      <c r="AP314" s="1"/>
      <c r="AQ314" s="1"/>
      <c r="AR314" s="1"/>
    </row>
    <row r="315" spans="41:44" ht="14.25" customHeight="1" x14ac:dyDescent="0.2">
      <c r="AO315" s="1"/>
      <c r="AP315" s="1"/>
      <c r="AQ315" s="1"/>
      <c r="AR315" s="1"/>
    </row>
    <row r="316" spans="41:44" ht="14.25" customHeight="1" x14ac:dyDescent="0.2">
      <c r="AO316" s="1"/>
      <c r="AP316" s="1"/>
      <c r="AQ316" s="1"/>
      <c r="AR316" s="1"/>
    </row>
    <row r="317" spans="41:44" ht="14.25" customHeight="1" x14ac:dyDescent="0.2">
      <c r="AO317" s="1"/>
      <c r="AP317" s="1"/>
      <c r="AQ317" s="1"/>
      <c r="AR317" s="1"/>
    </row>
    <row r="318" spans="41:44" ht="14.25" customHeight="1" x14ac:dyDescent="0.2">
      <c r="AO318" s="1"/>
      <c r="AP318" s="1"/>
      <c r="AQ318" s="1"/>
      <c r="AR318" s="1"/>
    </row>
    <row r="319" spans="41:44" ht="14.25" customHeight="1" x14ac:dyDescent="0.2">
      <c r="AO319" s="1"/>
      <c r="AP319" s="1"/>
      <c r="AQ319" s="1"/>
      <c r="AR319" s="1"/>
    </row>
    <row r="320" spans="41:44" ht="14.25" customHeight="1" x14ac:dyDescent="0.2">
      <c r="AO320" s="1"/>
      <c r="AP320" s="1"/>
      <c r="AQ320" s="1"/>
      <c r="AR320" s="1"/>
    </row>
    <row r="321" spans="41:44" ht="14.25" customHeight="1" x14ac:dyDescent="0.2">
      <c r="AO321" s="1"/>
      <c r="AP321" s="1"/>
      <c r="AQ321" s="1"/>
      <c r="AR321" s="1"/>
    </row>
    <row r="322" spans="41:44" ht="14.25" customHeight="1" x14ac:dyDescent="0.2">
      <c r="AO322" s="1"/>
      <c r="AP322" s="1"/>
      <c r="AQ322" s="1"/>
      <c r="AR322" s="1"/>
    </row>
    <row r="323" spans="41:44" ht="14.25" customHeight="1" x14ac:dyDescent="0.2">
      <c r="AO323" s="1"/>
      <c r="AP323" s="1"/>
      <c r="AQ323" s="1"/>
      <c r="AR323" s="1"/>
    </row>
    <row r="324" spans="41:44" ht="14.25" customHeight="1" x14ac:dyDescent="0.2">
      <c r="AO324" s="1"/>
      <c r="AP324" s="1"/>
      <c r="AQ324" s="1"/>
      <c r="AR324" s="1"/>
    </row>
    <row r="325" spans="41:44" ht="14.25" customHeight="1" x14ac:dyDescent="0.2">
      <c r="AO325" s="1"/>
      <c r="AP325" s="1"/>
      <c r="AQ325" s="1"/>
      <c r="AR325" s="1"/>
    </row>
    <row r="326" spans="41:44" ht="14.25" customHeight="1" x14ac:dyDescent="0.2">
      <c r="AO326" s="1"/>
      <c r="AP326" s="1"/>
      <c r="AQ326" s="1"/>
      <c r="AR326" s="1"/>
    </row>
    <row r="327" spans="41:44" ht="14.25" customHeight="1" x14ac:dyDescent="0.2">
      <c r="AO327" s="1"/>
      <c r="AP327" s="1"/>
      <c r="AQ327" s="1"/>
      <c r="AR327" s="1"/>
    </row>
    <row r="328" spans="41:44" ht="14.25" customHeight="1" x14ac:dyDescent="0.2">
      <c r="AO328" s="1"/>
      <c r="AP328" s="1"/>
      <c r="AQ328" s="1"/>
      <c r="AR328" s="1"/>
    </row>
    <row r="329" spans="41:44" ht="14.25" customHeight="1" x14ac:dyDescent="0.2">
      <c r="AO329" s="1"/>
      <c r="AP329" s="1"/>
      <c r="AQ329" s="1"/>
      <c r="AR329" s="1"/>
    </row>
    <row r="330" spans="41:44" ht="14.25" customHeight="1" x14ac:dyDescent="0.2">
      <c r="AO330" s="1"/>
      <c r="AP330" s="1"/>
      <c r="AQ330" s="1"/>
      <c r="AR330" s="1"/>
    </row>
    <row r="331" spans="41:44" ht="14.25" customHeight="1" x14ac:dyDescent="0.2">
      <c r="AO331" s="1"/>
      <c r="AP331" s="1"/>
      <c r="AQ331" s="1"/>
      <c r="AR331" s="1"/>
    </row>
    <row r="332" spans="41:44" ht="14.25" customHeight="1" x14ac:dyDescent="0.2">
      <c r="AO332" s="1"/>
      <c r="AP332" s="1"/>
      <c r="AQ332" s="1"/>
      <c r="AR332" s="1"/>
    </row>
    <row r="333" spans="41:44" ht="14.25" customHeight="1" x14ac:dyDescent="0.2">
      <c r="AO333" s="1"/>
      <c r="AP333" s="1"/>
      <c r="AQ333" s="1"/>
      <c r="AR333" s="1"/>
    </row>
    <row r="334" spans="41:44" ht="14.25" customHeight="1" x14ac:dyDescent="0.2">
      <c r="AO334" s="1"/>
      <c r="AP334" s="1"/>
      <c r="AQ334" s="1"/>
      <c r="AR334" s="1"/>
    </row>
    <row r="335" spans="41:44" ht="14.25" customHeight="1" x14ac:dyDescent="0.2">
      <c r="AO335" s="1"/>
      <c r="AP335" s="1"/>
      <c r="AQ335" s="1"/>
      <c r="AR335" s="1"/>
    </row>
    <row r="336" spans="41:44" ht="14.25" customHeight="1" x14ac:dyDescent="0.2">
      <c r="AO336" s="1"/>
      <c r="AP336" s="1"/>
      <c r="AQ336" s="1"/>
      <c r="AR336" s="1"/>
    </row>
    <row r="337" spans="41:44" ht="14.25" customHeight="1" x14ac:dyDescent="0.2">
      <c r="AO337" s="1"/>
      <c r="AP337" s="1"/>
      <c r="AQ337" s="1"/>
      <c r="AR337" s="1"/>
    </row>
    <row r="338" spans="41:44" ht="14.25" customHeight="1" x14ac:dyDescent="0.2">
      <c r="AO338" s="1"/>
      <c r="AP338" s="1"/>
      <c r="AQ338" s="1"/>
      <c r="AR338" s="1"/>
    </row>
    <row r="339" spans="41:44" ht="14.25" customHeight="1" x14ac:dyDescent="0.2">
      <c r="AO339" s="1"/>
      <c r="AP339" s="1"/>
      <c r="AQ339" s="1"/>
      <c r="AR339" s="1"/>
    </row>
    <row r="340" spans="41:44" ht="14.25" customHeight="1" x14ac:dyDescent="0.2">
      <c r="AO340" s="1"/>
      <c r="AP340" s="1"/>
      <c r="AQ340" s="1"/>
      <c r="AR340" s="1"/>
    </row>
    <row r="341" spans="41:44" ht="14.25" customHeight="1" x14ac:dyDescent="0.2">
      <c r="AO341" s="1"/>
      <c r="AP341" s="1"/>
      <c r="AQ341" s="1"/>
      <c r="AR341" s="1"/>
    </row>
    <row r="342" spans="41:44" ht="14.25" customHeight="1" x14ac:dyDescent="0.2">
      <c r="AO342" s="1"/>
      <c r="AP342" s="1"/>
      <c r="AQ342" s="1"/>
      <c r="AR342" s="1"/>
    </row>
    <row r="343" spans="41:44" ht="14.25" customHeight="1" x14ac:dyDescent="0.2">
      <c r="AO343" s="1"/>
      <c r="AP343" s="1"/>
      <c r="AQ343" s="1"/>
      <c r="AR343" s="1"/>
    </row>
    <row r="344" spans="41:44" ht="14.25" customHeight="1" x14ac:dyDescent="0.2">
      <c r="AO344" s="1"/>
      <c r="AP344" s="1"/>
      <c r="AQ344" s="1"/>
      <c r="AR344" s="1"/>
    </row>
    <row r="345" spans="41:44" ht="14.25" customHeight="1" x14ac:dyDescent="0.2">
      <c r="AO345" s="1"/>
      <c r="AP345" s="1"/>
      <c r="AQ345" s="1"/>
      <c r="AR345" s="1"/>
    </row>
    <row r="346" spans="41:44" ht="14.25" customHeight="1" x14ac:dyDescent="0.2">
      <c r="AO346" s="1"/>
      <c r="AP346" s="1"/>
      <c r="AQ346" s="1"/>
      <c r="AR346" s="1"/>
    </row>
    <row r="347" spans="41:44" ht="14.25" customHeight="1" x14ac:dyDescent="0.2">
      <c r="AO347" s="1"/>
      <c r="AP347" s="1"/>
      <c r="AQ347" s="1"/>
      <c r="AR347" s="1"/>
    </row>
    <row r="348" spans="41:44" ht="14.25" customHeight="1" x14ac:dyDescent="0.2">
      <c r="AO348" s="1"/>
      <c r="AP348" s="1"/>
      <c r="AQ348" s="1"/>
      <c r="AR348" s="1"/>
    </row>
    <row r="349" spans="41:44" ht="14.25" customHeight="1" x14ac:dyDescent="0.2">
      <c r="AO349" s="1"/>
      <c r="AP349" s="1"/>
      <c r="AQ349" s="1"/>
      <c r="AR349" s="1"/>
    </row>
    <row r="350" spans="41:44" ht="14.25" customHeight="1" x14ac:dyDescent="0.2">
      <c r="AO350" s="1"/>
      <c r="AP350" s="1"/>
      <c r="AQ350" s="1"/>
      <c r="AR350" s="1"/>
    </row>
    <row r="351" spans="41:44" ht="14.25" customHeight="1" x14ac:dyDescent="0.2">
      <c r="AO351" s="1"/>
      <c r="AP351" s="1"/>
      <c r="AQ351" s="1"/>
      <c r="AR351" s="1"/>
    </row>
    <row r="352" spans="41:44" ht="14.25" customHeight="1" x14ac:dyDescent="0.2">
      <c r="AO352" s="1"/>
      <c r="AP352" s="1"/>
      <c r="AQ352" s="1"/>
      <c r="AR352" s="1"/>
    </row>
    <row r="353" spans="41:44" ht="14.25" customHeight="1" x14ac:dyDescent="0.2">
      <c r="AO353" s="1"/>
      <c r="AP353" s="1"/>
      <c r="AQ353" s="1"/>
      <c r="AR353" s="1"/>
    </row>
    <row r="354" spans="41:44" ht="14.25" customHeight="1" x14ac:dyDescent="0.2">
      <c r="AO354" s="1"/>
      <c r="AP354" s="1"/>
      <c r="AQ354" s="1"/>
      <c r="AR354" s="1"/>
    </row>
    <row r="355" spans="41:44" ht="14.25" customHeight="1" x14ac:dyDescent="0.2">
      <c r="AO355" s="1"/>
      <c r="AP355" s="1"/>
      <c r="AQ355" s="1"/>
      <c r="AR355" s="1"/>
    </row>
    <row r="356" spans="41:44" ht="14.25" customHeight="1" x14ac:dyDescent="0.2">
      <c r="AO356" s="1"/>
      <c r="AP356" s="1"/>
      <c r="AQ356" s="1"/>
      <c r="AR356" s="1"/>
    </row>
    <row r="357" spans="41:44" ht="14.25" customHeight="1" x14ac:dyDescent="0.2">
      <c r="AO357" s="1"/>
      <c r="AP357" s="1"/>
      <c r="AQ357" s="1"/>
      <c r="AR357" s="1"/>
    </row>
    <row r="358" spans="41:44" ht="14.25" customHeight="1" x14ac:dyDescent="0.2">
      <c r="AO358" s="1"/>
      <c r="AP358" s="1"/>
      <c r="AQ358" s="1"/>
      <c r="AR358" s="1"/>
    </row>
    <row r="359" spans="41:44" ht="14.25" customHeight="1" x14ac:dyDescent="0.2">
      <c r="AO359" s="1"/>
      <c r="AP359" s="1"/>
      <c r="AQ359" s="1"/>
      <c r="AR359" s="1"/>
    </row>
    <row r="360" spans="41:44" ht="14.25" customHeight="1" x14ac:dyDescent="0.2">
      <c r="AO360" s="1"/>
      <c r="AP360" s="1"/>
      <c r="AQ360" s="1"/>
      <c r="AR360" s="1"/>
    </row>
    <row r="361" spans="41:44" ht="14.25" customHeight="1" x14ac:dyDescent="0.2">
      <c r="AO361" s="1"/>
      <c r="AP361" s="1"/>
      <c r="AQ361" s="1"/>
      <c r="AR361" s="1"/>
    </row>
    <row r="362" spans="41:44" ht="14.25" customHeight="1" x14ac:dyDescent="0.2">
      <c r="AO362" s="1"/>
      <c r="AP362" s="1"/>
      <c r="AQ362" s="1"/>
      <c r="AR362" s="1"/>
    </row>
    <row r="363" spans="41:44" ht="14.25" customHeight="1" x14ac:dyDescent="0.2">
      <c r="AO363" s="1"/>
      <c r="AP363" s="1"/>
      <c r="AQ363" s="1"/>
      <c r="AR363" s="1"/>
    </row>
    <row r="364" spans="41:44" ht="14.25" customHeight="1" x14ac:dyDescent="0.2">
      <c r="AO364" s="1"/>
      <c r="AP364" s="1"/>
      <c r="AQ364" s="1"/>
      <c r="AR364" s="1"/>
    </row>
    <row r="365" spans="41:44" ht="14.25" customHeight="1" x14ac:dyDescent="0.2">
      <c r="AO365" s="1"/>
      <c r="AP365" s="1"/>
      <c r="AQ365" s="1"/>
      <c r="AR365" s="1"/>
    </row>
    <row r="366" spans="41:44" ht="14.25" customHeight="1" x14ac:dyDescent="0.2">
      <c r="AO366" s="1"/>
      <c r="AP366" s="1"/>
      <c r="AQ366" s="1"/>
      <c r="AR366" s="1"/>
    </row>
    <row r="367" spans="41:44" ht="14.25" customHeight="1" x14ac:dyDescent="0.2">
      <c r="AO367" s="1"/>
      <c r="AP367" s="1"/>
      <c r="AQ367" s="1"/>
      <c r="AR367" s="1"/>
    </row>
    <row r="368" spans="41:44" ht="14.25" customHeight="1" x14ac:dyDescent="0.2">
      <c r="AO368" s="1"/>
      <c r="AP368" s="1"/>
      <c r="AQ368" s="1"/>
      <c r="AR368" s="1"/>
    </row>
    <row r="369" spans="41:44" ht="14.25" customHeight="1" x14ac:dyDescent="0.2">
      <c r="AO369" s="1"/>
      <c r="AP369" s="1"/>
      <c r="AQ369" s="1"/>
      <c r="AR369" s="1"/>
    </row>
    <row r="370" spans="41:44" ht="14.25" customHeight="1" x14ac:dyDescent="0.2">
      <c r="AO370" s="1"/>
      <c r="AP370" s="1"/>
      <c r="AQ370" s="1"/>
      <c r="AR370" s="1"/>
    </row>
    <row r="371" spans="41:44" ht="14.25" customHeight="1" x14ac:dyDescent="0.2">
      <c r="AO371" s="1"/>
      <c r="AP371" s="1"/>
      <c r="AQ371" s="1"/>
      <c r="AR371" s="1"/>
    </row>
    <row r="372" spans="41:44" ht="14.25" customHeight="1" x14ac:dyDescent="0.2">
      <c r="AO372" s="1"/>
      <c r="AP372" s="1"/>
      <c r="AQ372" s="1"/>
      <c r="AR372" s="1"/>
    </row>
    <row r="373" spans="41:44" ht="14.25" customHeight="1" x14ac:dyDescent="0.2">
      <c r="AO373" s="1"/>
      <c r="AP373" s="1"/>
      <c r="AQ373" s="1"/>
      <c r="AR373" s="1"/>
    </row>
    <row r="374" spans="41:44" ht="14.25" customHeight="1" x14ac:dyDescent="0.2">
      <c r="AO374" s="1"/>
      <c r="AP374" s="1"/>
      <c r="AQ374" s="1"/>
      <c r="AR374" s="1"/>
    </row>
    <row r="375" spans="41:44" ht="14.25" customHeight="1" x14ac:dyDescent="0.2">
      <c r="AO375" s="1"/>
      <c r="AP375" s="1"/>
      <c r="AQ375" s="1"/>
      <c r="AR375" s="1"/>
    </row>
    <row r="376" spans="41:44" ht="14.25" customHeight="1" x14ac:dyDescent="0.2">
      <c r="AO376" s="1"/>
      <c r="AP376" s="1"/>
      <c r="AQ376" s="1"/>
      <c r="AR376" s="1"/>
    </row>
    <row r="377" spans="41:44" ht="14.25" customHeight="1" x14ac:dyDescent="0.2">
      <c r="AO377" s="1"/>
      <c r="AP377" s="1"/>
      <c r="AQ377" s="1"/>
      <c r="AR377" s="1"/>
    </row>
    <row r="378" spans="41:44" ht="14.25" customHeight="1" x14ac:dyDescent="0.2">
      <c r="AO378" s="1"/>
      <c r="AP378" s="1"/>
      <c r="AQ378" s="1"/>
      <c r="AR378" s="1"/>
    </row>
    <row r="379" spans="41:44" ht="14.25" customHeight="1" x14ac:dyDescent="0.2">
      <c r="AO379" s="1"/>
      <c r="AP379" s="1"/>
      <c r="AQ379" s="1"/>
      <c r="AR379" s="1"/>
    </row>
    <row r="380" spans="41:44" ht="14.25" customHeight="1" x14ac:dyDescent="0.2">
      <c r="AO380" s="1"/>
      <c r="AP380" s="1"/>
      <c r="AQ380" s="1"/>
      <c r="AR380" s="1"/>
    </row>
    <row r="381" spans="41:44" ht="14.25" customHeight="1" x14ac:dyDescent="0.2">
      <c r="AO381" s="1"/>
      <c r="AP381" s="1"/>
      <c r="AQ381" s="1"/>
      <c r="AR381" s="1"/>
    </row>
    <row r="382" spans="41:44" ht="14.25" customHeight="1" x14ac:dyDescent="0.2">
      <c r="AO382" s="1"/>
      <c r="AP382" s="1"/>
      <c r="AQ382" s="1"/>
      <c r="AR382" s="1"/>
    </row>
    <row r="383" spans="41:44" ht="14.25" customHeight="1" x14ac:dyDescent="0.2">
      <c r="AO383" s="1"/>
      <c r="AP383" s="1"/>
      <c r="AQ383" s="1"/>
      <c r="AR383" s="1"/>
    </row>
    <row r="384" spans="41:44" ht="14.25" customHeight="1" x14ac:dyDescent="0.2">
      <c r="AO384" s="1"/>
      <c r="AP384" s="1"/>
      <c r="AQ384" s="1"/>
      <c r="AR384" s="1"/>
    </row>
    <row r="385" spans="41:44" ht="14.25" customHeight="1" x14ac:dyDescent="0.2">
      <c r="AO385" s="1"/>
      <c r="AP385" s="1"/>
      <c r="AQ385" s="1"/>
      <c r="AR385" s="1"/>
    </row>
    <row r="386" spans="41:44" ht="14.25" customHeight="1" x14ac:dyDescent="0.2">
      <c r="AO386" s="1"/>
      <c r="AP386" s="1"/>
      <c r="AQ386" s="1"/>
      <c r="AR386" s="1"/>
    </row>
    <row r="387" spans="41:44" ht="14.25" customHeight="1" x14ac:dyDescent="0.2">
      <c r="AO387" s="1"/>
      <c r="AP387" s="1"/>
      <c r="AQ387" s="1"/>
      <c r="AR387" s="1"/>
    </row>
    <row r="388" spans="41:44" ht="14.25" customHeight="1" x14ac:dyDescent="0.2">
      <c r="AO388" s="1"/>
      <c r="AP388" s="1"/>
      <c r="AQ388" s="1"/>
      <c r="AR388" s="1"/>
    </row>
    <row r="389" spans="41:44" ht="14.25" customHeight="1" x14ac:dyDescent="0.2">
      <c r="AO389" s="1"/>
      <c r="AP389" s="1"/>
      <c r="AQ389" s="1"/>
      <c r="AR389" s="1"/>
    </row>
    <row r="390" spans="41:44" ht="14.25" customHeight="1" x14ac:dyDescent="0.2">
      <c r="AO390" s="1"/>
      <c r="AP390" s="1"/>
      <c r="AQ390" s="1"/>
      <c r="AR390" s="1"/>
    </row>
    <row r="391" spans="41:44" ht="14.25" customHeight="1" x14ac:dyDescent="0.2">
      <c r="AO391" s="1"/>
      <c r="AP391" s="1"/>
      <c r="AQ391" s="1"/>
      <c r="AR391" s="1"/>
    </row>
    <row r="392" spans="41:44" ht="14.25" customHeight="1" x14ac:dyDescent="0.2">
      <c r="AO392" s="1"/>
      <c r="AP392" s="1"/>
      <c r="AQ392" s="1"/>
      <c r="AR392" s="1"/>
    </row>
    <row r="393" spans="41:44" ht="14.25" customHeight="1" x14ac:dyDescent="0.2">
      <c r="AO393" s="1"/>
      <c r="AP393" s="1"/>
      <c r="AQ393" s="1"/>
      <c r="AR393" s="1"/>
    </row>
    <row r="394" spans="41:44" ht="14.25" customHeight="1" x14ac:dyDescent="0.2">
      <c r="AO394" s="1"/>
      <c r="AP394" s="1"/>
      <c r="AQ394" s="1"/>
      <c r="AR394" s="1"/>
    </row>
    <row r="395" spans="41:44" ht="14.25" customHeight="1" x14ac:dyDescent="0.2">
      <c r="AO395" s="1"/>
      <c r="AP395" s="1"/>
      <c r="AQ395" s="1"/>
      <c r="AR395" s="1"/>
    </row>
    <row r="396" spans="41:44" ht="14.25" customHeight="1" x14ac:dyDescent="0.2">
      <c r="AO396" s="1"/>
      <c r="AP396" s="1"/>
      <c r="AQ396" s="1"/>
      <c r="AR396" s="1"/>
    </row>
    <row r="397" spans="41:44" ht="14.25" customHeight="1" x14ac:dyDescent="0.2">
      <c r="AO397" s="1"/>
      <c r="AP397" s="1"/>
      <c r="AQ397" s="1"/>
      <c r="AR397" s="1"/>
    </row>
    <row r="398" spans="41:44" ht="14.25" customHeight="1" x14ac:dyDescent="0.2">
      <c r="AO398" s="1"/>
      <c r="AP398" s="1"/>
      <c r="AQ398" s="1"/>
      <c r="AR398" s="1"/>
    </row>
    <row r="399" spans="41:44" ht="14.25" customHeight="1" x14ac:dyDescent="0.2">
      <c r="AO399" s="1"/>
      <c r="AP399" s="1"/>
      <c r="AQ399" s="1"/>
      <c r="AR399" s="1"/>
    </row>
    <row r="400" spans="41:44" ht="14.25" customHeight="1" x14ac:dyDescent="0.2">
      <c r="AO400" s="1"/>
      <c r="AP400" s="1"/>
      <c r="AQ400" s="1"/>
      <c r="AR400" s="1"/>
    </row>
    <row r="401" spans="41:44" ht="14.25" customHeight="1" x14ac:dyDescent="0.2">
      <c r="AO401" s="1"/>
      <c r="AP401" s="1"/>
      <c r="AQ401" s="1"/>
      <c r="AR401" s="1"/>
    </row>
    <row r="402" spans="41:44" ht="14.25" customHeight="1" x14ac:dyDescent="0.2">
      <c r="AO402" s="1"/>
      <c r="AP402" s="1"/>
      <c r="AQ402" s="1"/>
      <c r="AR402" s="1"/>
    </row>
    <row r="403" spans="41:44" ht="14.25" customHeight="1" x14ac:dyDescent="0.2">
      <c r="AO403" s="1"/>
      <c r="AP403" s="1"/>
      <c r="AQ403" s="1"/>
      <c r="AR403" s="1"/>
    </row>
    <row r="404" spans="41:44" ht="14.25" customHeight="1" x14ac:dyDescent="0.2">
      <c r="AO404" s="1"/>
      <c r="AP404" s="1"/>
      <c r="AQ404" s="1"/>
      <c r="AR404" s="1"/>
    </row>
    <row r="405" spans="41:44" ht="14.25" customHeight="1" x14ac:dyDescent="0.2">
      <c r="AO405" s="1"/>
      <c r="AP405" s="1"/>
      <c r="AQ405" s="1"/>
      <c r="AR405" s="1"/>
    </row>
    <row r="406" spans="41:44" ht="14.25" customHeight="1" x14ac:dyDescent="0.2">
      <c r="AO406" s="1"/>
      <c r="AP406" s="1"/>
      <c r="AQ406" s="1"/>
      <c r="AR406" s="1"/>
    </row>
    <row r="407" spans="41:44" ht="14.25" customHeight="1" x14ac:dyDescent="0.2">
      <c r="AO407" s="1"/>
      <c r="AP407" s="1"/>
      <c r="AQ407" s="1"/>
      <c r="AR407" s="1"/>
    </row>
    <row r="408" spans="41:44" ht="14.25" customHeight="1" x14ac:dyDescent="0.2">
      <c r="AO408" s="1"/>
      <c r="AP408" s="1"/>
      <c r="AQ408" s="1"/>
      <c r="AR408" s="1"/>
    </row>
    <row r="409" spans="41:44" ht="14.25" customHeight="1" x14ac:dyDescent="0.2">
      <c r="AO409" s="1"/>
      <c r="AP409" s="1"/>
      <c r="AQ409" s="1"/>
      <c r="AR409" s="1"/>
    </row>
    <row r="410" spans="41:44" ht="14.25" customHeight="1" x14ac:dyDescent="0.2">
      <c r="AO410" s="1"/>
      <c r="AP410" s="1"/>
      <c r="AQ410" s="1"/>
      <c r="AR410" s="1"/>
    </row>
  </sheetData>
  <mergeCells count="44">
    <mergeCell ref="B2:E3"/>
    <mergeCell ref="G2:O2"/>
    <mergeCell ref="Z2:AB2"/>
    <mergeCell ref="G3:I3"/>
    <mergeCell ref="J3:O3"/>
    <mergeCell ref="P3:Q3"/>
    <mergeCell ref="Z3:AB3"/>
    <mergeCell ref="V3:Y3"/>
    <mergeCell ref="R3:U3"/>
    <mergeCell ref="P2:Y2"/>
    <mergeCell ref="B4:E4"/>
    <mergeCell ref="G4:I4"/>
    <mergeCell ref="J4:O4"/>
    <mergeCell ref="AA4:AB4"/>
    <mergeCell ref="R4:U4"/>
    <mergeCell ref="V4:Y4"/>
    <mergeCell ref="B5:E5"/>
    <mergeCell ref="G5:I5"/>
    <mergeCell ref="J5:O5"/>
    <mergeCell ref="AA5:AB5"/>
    <mergeCell ref="R5:U5"/>
    <mergeCell ref="V5:Y5"/>
    <mergeCell ref="AA6:AB6"/>
    <mergeCell ref="B7:E7"/>
    <mergeCell ref="G7:I7"/>
    <mergeCell ref="J7:M7"/>
    <mergeCell ref="N7:O7"/>
    <mergeCell ref="AA7:AB7"/>
    <mergeCell ref="B6:E6"/>
    <mergeCell ref="G6:I6"/>
    <mergeCell ref="J6:M6"/>
    <mergeCell ref="N6:O6"/>
    <mergeCell ref="R6:U6"/>
    <mergeCell ref="R7:U7"/>
    <mergeCell ref="V6:Y6"/>
    <mergeCell ref="V7:Y7"/>
    <mergeCell ref="AC9:AD9"/>
    <mergeCell ref="B10:E10"/>
    <mergeCell ref="B8:E8"/>
    <mergeCell ref="G9:I9"/>
    <mergeCell ref="J9:L9"/>
    <mergeCell ref="M9:O9"/>
    <mergeCell ref="Z9:AB9"/>
    <mergeCell ref="P9:Y9"/>
  </mergeCells>
  <phoneticPr fontId="4" type="noConversion"/>
  <conditionalFormatting sqref="G11:AD193">
    <cfRule type="expression" dxfId="12" priority="2">
      <formula>$G11&lt;&gt;$J$6</formula>
    </cfRule>
  </conditionalFormatting>
  <conditionalFormatting sqref="P11:Q193">
    <cfRule type="expression" dxfId="11" priority="6">
      <formula>$Q11&gt;0</formula>
    </cfRule>
  </conditionalFormatting>
  <conditionalFormatting sqref="R11:S193">
    <cfRule type="expression" dxfId="10" priority="7">
      <formula>$S11&gt;0</formula>
    </cfRule>
  </conditionalFormatting>
  <conditionalFormatting sqref="T11:Y193">
    <cfRule type="expression" dxfId="9" priority="10">
      <formula>$U11&gt;0</formula>
    </cfRule>
  </conditionalFormatting>
  <conditionalFormatting sqref="Z4:Z7 Z11:AB193">
    <cfRule type="dataBar" priority="1">
      <dataBar>
        <cfvo type="num" val="$Z$4"/>
        <cfvo type="num" val="$Z$7"/>
        <color theme="2"/>
      </dataBar>
      <extLst>
        <ext xmlns:x14="http://schemas.microsoft.com/office/spreadsheetml/2009/9/main" uri="{B025F937-C7B1-47D3-B67F-A62EFF666E3E}">
          <x14:id>{AB81B194-9C99-41C7-8AC9-77126A6509B9}</x14:id>
        </ext>
      </extLst>
    </cfRule>
  </conditionalFormatting>
  <dataValidations count="1">
    <dataValidation type="list" allowBlank="1" showInputMessage="1" showErrorMessage="1" sqref="J6" xr:uid="{2F6460F8-AD45-4576-AC4B-550A0712A74D}">
      <formula1>INDIRECT("Lookup_SurveyEpoch[Epoch]")</formula1>
    </dataValidation>
  </dataValidations>
  <printOptions horizontalCentered="1"/>
  <pageMargins left="0.51181102362204722" right="0.51181102362204722" top="0.74803149606299213" bottom="0.74803149606299213" header="0.31496062992125984" footer="0.31496062992125984"/>
  <pageSetup paperSize="139" scale="40" fitToHeight="0" orientation="landscape" horizontalDpi="1200" verticalDpi="1200" r:id="rId1"/>
  <headerFooter scaleWithDoc="0">
    <oddHeader>&amp;L&amp;"-,Regular"Monitoring Table Report&amp;R&amp;"-,Regular"&amp;D</oddHeader>
    <oddFooter>&amp;C&amp;"-,Regular"&amp;F</oddFooter>
  </headerFooter>
  <rowBreaks count="1" manualBreakCount="1">
    <brk id="193" min="6" max="21" man="1"/>
  </rowBreak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9" id="{EC173581-6FD8-483A-8342-75978E242EEA}">
            <x14:iconSet iconSet="5Arrows"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B4:B8</xm:sqref>
        </x14:conditionalFormatting>
        <x14:conditionalFormatting xmlns:xm="http://schemas.microsoft.com/office/excel/2006/main">
          <x14:cfRule type="iconSet" priority="8" id="{E834CB34-38BF-43D0-8185-E0F41F1C14D7}">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Q4:Q7</xm:sqref>
        </x14:conditionalFormatting>
        <x14:conditionalFormatting xmlns:xm="http://schemas.microsoft.com/office/excel/2006/main">
          <x14:cfRule type="iconSet" priority="458" id="{A4598411-5D8D-4BD8-9865-0CD553C61381}">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S11:S193 Q11:Q193 U11:U193 W11:W193 Y11:Y193</xm:sqref>
        </x14:conditionalFormatting>
        <x14:conditionalFormatting xmlns:xm="http://schemas.microsoft.com/office/excel/2006/main">
          <x14:cfRule type="dataBar" id="{AB81B194-9C99-41C7-8AC9-77126A6509B9}">
            <x14:dataBar minLength="0" maxLength="100" gradient="0">
              <x14:cfvo type="num">
                <xm:f>$Z$4</xm:f>
              </x14:cfvo>
              <x14:cfvo type="num">
                <xm:f>$Z$7</xm:f>
              </x14:cfvo>
              <x14:negativeFillColor theme="2"/>
              <x14:axisColor theme="2"/>
            </x14:dataBar>
          </x14:cfRule>
          <xm:sqref>Z4:Z7 Z11:AB193</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163A9-EDCF-4012-BE2C-AB8EA059C3AC}">
  <sheetPr codeName="Sheet7">
    <tabColor theme="1" tint="0.249977111117893"/>
    <pageSetUpPr fitToPage="1"/>
  </sheetPr>
  <dimension ref="B2:BG568"/>
  <sheetViews>
    <sheetView showGridLines="0" zoomScale="85" zoomScaleNormal="85" workbookViewId="0">
      <pane xSplit="6" ySplit="10" topLeftCell="M11" activePane="bottomRight" state="frozen"/>
      <selection pane="topRight" activeCell="G1" sqref="G1"/>
      <selection pane="bottomLeft" activeCell="A12" sqref="A12"/>
      <selection pane="bottomRight" activeCell="G10" sqref="G10:AE193"/>
    </sheetView>
  </sheetViews>
  <sheetFormatPr defaultColWidth="9.140625" defaultRowHeight="14.25" customHeight="1" x14ac:dyDescent="0.2"/>
  <cols>
    <col min="1" max="1" width="2.85546875" style="1" customWidth="1"/>
    <col min="2" max="2" width="12" style="1" customWidth="1"/>
    <col min="3" max="3" width="14.28515625" style="1" customWidth="1"/>
    <col min="4" max="5" width="10.85546875" style="1" customWidth="1"/>
    <col min="6" max="6" width="2.85546875" style="1" customWidth="1"/>
    <col min="7" max="7" width="19.140625" style="1" customWidth="1"/>
    <col min="8" max="8" width="19.42578125" style="1" customWidth="1"/>
    <col min="9" max="9" width="11.85546875" style="1" bestFit="1" customWidth="1"/>
    <col min="10" max="11" width="13.85546875" style="3" customWidth="1"/>
    <col min="12" max="12" width="13.85546875" style="10" customWidth="1"/>
    <col min="13" max="13" width="13.85546875" style="7" customWidth="1"/>
    <col min="14" max="14" width="15" style="7" customWidth="1"/>
    <col min="15" max="15" width="13.85546875" style="7" customWidth="1"/>
    <col min="16" max="16" width="15" style="7" customWidth="1"/>
    <col min="17" max="17" width="10.85546875" style="7" customWidth="1"/>
    <col min="18" max="18" width="9.5703125" style="10" customWidth="1"/>
    <col min="19" max="19" width="10.85546875" style="10" customWidth="1"/>
    <col min="20" max="20" width="9.5703125" style="10" customWidth="1"/>
    <col min="21" max="21" width="10.85546875" style="10" customWidth="1"/>
    <col min="22" max="22" width="9.5703125" style="10" customWidth="1"/>
    <col min="23" max="23" width="10.85546875" style="10" customWidth="1"/>
    <col min="24" max="24" width="9.5703125" style="10" customWidth="1"/>
    <col min="25" max="25" width="10.85546875" style="10" customWidth="1"/>
    <col min="26" max="26" width="9.5703125" style="10" customWidth="1"/>
    <col min="27" max="29" width="14" style="10" customWidth="1"/>
    <col min="30" max="30" width="10.85546875" style="10" customWidth="1"/>
    <col min="31" max="31" width="35.140625" style="10" customWidth="1"/>
    <col min="32" max="32" width="39" style="10" customWidth="1"/>
    <col min="33" max="34" width="35.42578125" style="10" customWidth="1"/>
    <col min="35" max="35" width="5.7109375" style="10" customWidth="1"/>
    <col min="36" max="36" width="7.85546875" style="10" customWidth="1"/>
    <col min="37" max="39" width="11.5703125" style="10" customWidth="1"/>
    <col min="40" max="40" width="20.7109375" style="10" customWidth="1"/>
    <col min="41" max="42" width="33.140625" style="10" customWidth="1"/>
    <col min="43" max="43" width="12.28515625" style="7" customWidth="1"/>
    <col min="44" max="44" width="18.140625" style="7" bestFit="1" customWidth="1"/>
    <col min="45" max="45" width="32.28515625" style="10" customWidth="1"/>
    <col min="46" max="46" width="19.42578125" style="7" customWidth="1"/>
    <col min="47" max="47" width="39" style="1" bestFit="1" customWidth="1"/>
    <col min="48" max="48" width="16.28515625" style="1" customWidth="1"/>
    <col min="49" max="49" width="13.85546875" style="1" bestFit="1" customWidth="1"/>
    <col min="50" max="50" width="8.7109375" style="1" bestFit="1" customWidth="1"/>
    <col min="51" max="51" width="11.42578125" style="1" bestFit="1" customWidth="1"/>
    <col min="52" max="54" width="12.42578125" style="1" customWidth="1"/>
    <col min="55" max="55" width="2.7109375" style="1" customWidth="1"/>
    <col min="56" max="57" width="9.140625" style="1"/>
    <col min="58" max="58" width="10.28515625" style="1" bestFit="1" customWidth="1"/>
    <col min="59" max="59" width="9.7109375" style="1" bestFit="1" customWidth="1"/>
    <col min="60" max="61" width="9.140625" style="1"/>
    <col min="62" max="62" width="14.42578125" style="1" bestFit="1" customWidth="1"/>
    <col min="63" max="63" width="6.28515625" style="1" bestFit="1" customWidth="1"/>
    <col min="64" max="64" width="11.42578125" style="1" bestFit="1" customWidth="1"/>
    <col min="65" max="65" width="12.5703125" style="1" bestFit="1" customWidth="1"/>
    <col min="66" max="66" width="11" style="1" bestFit="1" customWidth="1"/>
    <col min="67" max="67" width="6.42578125" style="1" bestFit="1" customWidth="1"/>
    <col min="68" max="16384" width="9.140625" style="1"/>
  </cols>
  <sheetData>
    <row r="2" spans="2:59" ht="15" customHeight="1" x14ac:dyDescent="0.2">
      <c r="B2" s="281" t="s">
        <v>62</v>
      </c>
      <c r="C2" s="282"/>
      <c r="D2" s="282"/>
      <c r="E2" s="283"/>
      <c r="G2" s="257" t="s">
        <v>61</v>
      </c>
      <c r="H2" s="257"/>
      <c r="I2" s="257"/>
      <c r="J2" s="257"/>
      <c r="K2" s="257"/>
      <c r="L2" s="257"/>
      <c r="M2" s="257"/>
      <c r="N2" s="257"/>
      <c r="O2" s="257"/>
      <c r="P2" s="257"/>
      <c r="Q2" s="295" t="s">
        <v>60</v>
      </c>
      <c r="R2" s="296"/>
      <c r="S2" s="296"/>
      <c r="T2" s="296"/>
      <c r="U2" s="296"/>
      <c r="V2" s="296"/>
      <c r="W2" s="296"/>
      <c r="X2" s="296"/>
      <c r="Y2" s="296"/>
      <c r="Z2" s="297"/>
      <c r="AA2" s="257" t="s">
        <v>77</v>
      </c>
      <c r="AB2" s="257"/>
      <c r="AC2" s="257"/>
      <c r="AD2" s="135"/>
      <c r="AE2" s="136"/>
    </row>
    <row r="3" spans="2:59" ht="14.25" customHeight="1" x14ac:dyDescent="0.2">
      <c r="B3" s="284"/>
      <c r="C3" s="285"/>
      <c r="D3" s="285"/>
      <c r="E3" s="286"/>
      <c r="G3" s="293" t="s">
        <v>55</v>
      </c>
      <c r="H3" s="293"/>
      <c r="I3" s="258" t="s">
        <v>103</v>
      </c>
      <c r="J3" s="258"/>
      <c r="K3" s="258"/>
      <c r="L3" s="258"/>
      <c r="M3" s="266" t="s">
        <v>146</v>
      </c>
      <c r="N3" s="266"/>
      <c r="O3" s="266"/>
      <c r="P3" s="266"/>
      <c r="Q3" s="266" t="s">
        <v>56</v>
      </c>
      <c r="R3" s="266"/>
      <c r="S3" s="266" t="s">
        <v>57</v>
      </c>
      <c r="T3" s="266"/>
      <c r="U3" s="266"/>
      <c r="V3" s="266"/>
      <c r="W3" s="266" t="s">
        <v>58</v>
      </c>
      <c r="X3" s="266"/>
      <c r="Y3" s="266"/>
      <c r="Z3" s="266"/>
      <c r="AA3" s="266" t="s">
        <v>59</v>
      </c>
      <c r="AB3" s="266"/>
      <c r="AC3" s="266"/>
      <c r="AD3" s="137"/>
      <c r="AE3" s="138"/>
    </row>
    <row r="4" spans="2:59" s="4" customFormat="1" ht="14.25" customHeight="1" x14ac:dyDescent="0.2">
      <c r="B4" s="270" t="s">
        <v>78</v>
      </c>
      <c r="C4" s="271"/>
      <c r="D4" s="271"/>
      <c r="E4" s="272"/>
      <c r="G4" s="293" t="s">
        <v>54</v>
      </c>
      <c r="H4" s="293"/>
      <c r="I4" s="258" t="s">
        <v>104</v>
      </c>
      <c r="J4" s="258"/>
      <c r="K4" s="258"/>
      <c r="L4" s="258"/>
      <c r="M4" s="143" t="s">
        <v>6</v>
      </c>
      <c r="N4" s="140" t="s">
        <v>145</v>
      </c>
      <c r="O4" s="143" t="s">
        <v>138</v>
      </c>
      <c r="P4" s="140" t="s">
        <v>7</v>
      </c>
      <c r="Q4" s="36">
        <v>1</v>
      </c>
      <c r="R4" s="36">
        <v>1</v>
      </c>
      <c r="S4" s="268">
        <v>-1.2E-2</v>
      </c>
      <c r="T4" s="268"/>
      <c r="U4" s="268"/>
      <c r="V4" s="268"/>
      <c r="W4" s="268">
        <v>1.2E-2</v>
      </c>
      <c r="X4" s="268"/>
      <c r="Y4" s="268"/>
      <c r="Z4" s="268"/>
      <c r="AA4" s="37">
        <v>-0.01</v>
      </c>
      <c r="AB4" s="267" t="str">
        <f>"less than " &amp; TEXT(AA4, "0.000")</f>
        <v>less than -0.010</v>
      </c>
      <c r="AC4" s="267"/>
      <c r="AD4" s="62"/>
      <c r="AE4" s="139"/>
    </row>
    <row r="5" spans="2:59" s="4" customFormat="1" ht="14.25" customHeight="1" x14ac:dyDescent="0.2">
      <c r="B5" s="270" t="s">
        <v>63</v>
      </c>
      <c r="C5" s="271"/>
      <c r="D5" s="271"/>
      <c r="E5" s="272"/>
      <c r="G5" s="293" t="s">
        <v>53</v>
      </c>
      <c r="H5" s="293"/>
      <c r="I5" s="258">
        <v>2400049</v>
      </c>
      <c r="J5" s="258"/>
      <c r="K5" s="258"/>
      <c r="L5" s="258"/>
      <c r="M5" s="143" t="s">
        <v>135</v>
      </c>
      <c r="N5" s="140" t="s">
        <v>20</v>
      </c>
      <c r="O5" s="143" t="s">
        <v>139</v>
      </c>
      <c r="P5" s="128" t="s">
        <v>8</v>
      </c>
      <c r="Q5" s="36">
        <v>2</v>
      </c>
      <c r="R5" s="36">
        <v>2</v>
      </c>
      <c r="S5" s="268">
        <v>-1.4999999999999999E-2</v>
      </c>
      <c r="T5" s="268"/>
      <c r="U5" s="268"/>
      <c r="V5" s="268"/>
      <c r="W5" s="268">
        <v>1.4999999999999999E-2</v>
      </c>
      <c r="X5" s="268"/>
      <c r="Y5" s="268"/>
      <c r="Z5" s="268"/>
      <c r="AA5" s="37">
        <v>-5.0000000000000001E-3</v>
      </c>
      <c r="AB5" s="267" t="str">
        <f>"between "  &amp; TEXT(AA5,"0.000") &amp; " and 0.000"</f>
        <v>between -0.005 and 0.000</v>
      </c>
      <c r="AC5" s="267"/>
      <c r="AD5" s="62"/>
      <c r="AE5" s="139"/>
    </row>
    <row r="6" spans="2:59" s="4" customFormat="1" ht="14.25" customHeight="1" x14ac:dyDescent="0.2">
      <c r="B6" s="270" t="s">
        <v>65</v>
      </c>
      <c r="C6" s="271"/>
      <c r="D6" s="271"/>
      <c r="E6" s="272"/>
      <c r="G6" s="293" t="s">
        <v>69</v>
      </c>
      <c r="H6" s="293"/>
      <c r="I6" s="294">
        <v>45391.5625</v>
      </c>
      <c r="J6" s="294"/>
      <c r="K6" s="294"/>
      <c r="L6" s="115" t="str">
        <f>_xlfn.XLOOKUP(I6,Lookup_SurveyEpoch[Epoch], Lookup_SurveyEpoch[Index],"-")</f>
        <v>-</v>
      </c>
      <c r="M6" s="143" t="s">
        <v>136</v>
      </c>
      <c r="N6" s="140" t="s">
        <v>137</v>
      </c>
      <c r="O6" s="143" t="s">
        <v>141</v>
      </c>
      <c r="P6" s="128" t="s">
        <v>143</v>
      </c>
      <c r="Q6" s="36">
        <v>3</v>
      </c>
      <c r="R6" s="36">
        <v>3</v>
      </c>
      <c r="S6" s="268">
        <v>-0.02</v>
      </c>
      <c r="T6" s="268"/>
      <c r="U6" s="268"/>
      <c r="V6" s="268"/>
      <c r="W6" s="268">
        <v>0.02</v>
      </c>
      <c r="X6" s="268"/>
      <c r="Y6" s="268"/>
      <c r="Z6" s="268"/>
      <c r="AA6" s="37">
        <v>5.0000000000000001E-3</v>
      </c>
      <c r="AB6" s="267" t="str">
        <f>"between 0.000 and " &amp; TEXT(AA6,"0.000")</f>
        <v>between 0.000 and 0.005</v>
      </c>
      <c r="AC6" s="267"/>
      <c r="AD6" s="299" t="s">
        <v>147</v>
      </c>
      <c r="AE6" s="300"/>
    </row>
    <row r="7" spans="2:59" s="4" customFormat="1" ht="14.25" customHeight="1" x14ac:dyDescent="0.2">
      <c r="B7" s="270" t="s">
        <v>64</v>
      </c>
      <c r="C7" s="271"/>
      <c r="D7" s="271"/>
      <c r="E7" s="272"/>
      <c r="G7" s="293" t="s">
        <v>70</v>
      </c>
      <c r="H7" s="293"/>
      <c r="I7" s="294" t="e">
        <f>_xlfn.XLOOKUP(L7,Lookup_SurveyEpoch[Index], Lookup_SurveyEpoch[Epoch],"-")</f>
        <v>#VALUE!</v>
      </c>
      <c r="J7" s="294"/>
      <c r="K7" s="294"/>
      <c r="L7" s="115" t="e">
        <f>L6-1</f>
        <v>#VALUE!</v>
      </c>
      <c r="M7" s="143" t="s">
        <v>140</v>
      </c>
      <c r="N7" s="140" t="s">
        <v>88</v>
      </c>
      <c r="O7" s="144" t="s">
        <v>142</v>
      </c>
      <c r="P7" s="128" t="s">
        <v>144</v>
      </c>
      <c r="Q7" s="36">
        <v>4</v>
      </c>
      <c r="R7" s="36">
        <v>4</v>
      </c>
      <c r="S7" s="268">
        <v>-0.03</v>
      </c>
      <c r="T7" s="268"/>
      <c r="U7" s="268"/>
      <c r="V7" s="268"/>
      <c r="W7" s="268">
        <v>0.03</v>
      </c>
      <c r="X7" s="268"/>
      <c r="Y7" s="268"/>
      <c r="Z7" s="268"/>
      <c r="AA7" s="37">
        <v>0.01</v>
      </c>
      <c r="AB7" s="267" t="str">
        <f>"greater than " &amp; TEXT(AA7, "0.000")</f>
        <v>greater than 0.010</v>
      </c>
      <c r="AC7" s="267"/>
      <c r="AD7" s="301"/>
      <c r="AE7" s="302"/>
    </row>
    <row r="8" spans="2:59" s="4" customFormat="1" ht="14.25" customHeight="1" x14ac:dyDescent="0.2">
      <c r="B8" s="270" t="s">
        <v>66</v>
      </c>
      <c r="C8" s="271"/>
      <c r="D8" s="271"/>
      <c r="E8" s="272"/>
      <c r="J8" s="5"/>
      <c r="K8" s="5"/>
      <c r="L8" s="10"/>
      <c r="M8" s="7"/>
      <c r="N8" s="7"/>
      <c r="O8" s="7"/>
      <c r="P8" s="7"/>
      <c r="Q8" s="7"/>
      <c r="R8" s="10"/>
      <c r="S8" s="10"/>
      <c r="T8" s="10"/>
      <c r="U8" s="10"/>
      <c r="V8" s="10"/>
      <c r="W8" s="10"/>
      <c r="X8" s="10"/>
      <c r="Y8" s="10"/>
      <c r="Z8" s="10"/>
      <c r="AA8" s="10"/>
      <c r="AB8" s="10"/>
      <c r="AC8" s="10"/>
      <c r="AD8" s="10"/>
      <c r="AE8" s="10"/>
      <c r="AF8" s="10"/>
      <c r="AG8" s="10"/>
      <c r="AH8" s="10"/>
      <c r="AI8" s="10"/>
      <c r="AJ8" s="10"/>
      <c r="AT8" s="7"/>
    </row>
    <row r="9" spans="2:59" ht="22.5" customHeight="1" x14ac:dyDescent="0.2">
      <c r="G9" s="298" t="s">
        <v>67</v>
      </c>
      <c r="H9" s="298"/>
      <c r="I9" s="304" t="s">
        <v>20</v>
      </c>
      <c r="J9" s="304"/>
      <c r="K9" s="304"/>
      <c r="L9" s="304"/>
      <c r="M9" s="303" t="s">
        <v>21</v>
      </c>
      <c r="N9" s="303"/>
      <c r="O9" s="303"/>
      <c r="P9" s="303"/>
      <c r="Q9" s="298" t="s">
        <v>22</v>
      </c>
      <c r="R9" s="298"/>
      <c r="S9" s="298"/>
      <c r="T9" s="298"/>
      <c r="U9" s="298"/>
      <c r="V9" s="298"/>
      <c r="W9" s="298"/>
      <c r="X9" s="298"/>
      <c r="Y9" s="298"/>
      <c r="Z9" s="298"/>
      <c r="AA9" s="298" t="s">
        <v>51</v>
      </c>
      <c r="AB9" s="298"/>
      <c r="AC9" s="298"/>
      <c r="AD9" s="298" t="s">
        <v>52</v>
      </c>
      <c r="AE9" s="298"/>
      <c r="AQ9" s="10"/>
      <c r="AR9" s="10"/>
      <c r="AT9" s="10"/>
      <c r="AU9" s="10"/>
      <c r="AV9" s="7"/>
      <c r="AW9" s="7"/>
      <c r="BC9" s="7"/>
      <c r="BD9" s="7"/>
      <c r="BE9" s="7"/>
      <c r="BG9" s="4"/>
    </row>
    <row r="10" spans="2:59" s="6" customFormat="1" ht="30" customHeight="1" x14ac:dyDescent="0.2">
      <c r="B10" s="273" t="s">
        <v>50</v>
      </c>
      <c r="C10" s="274"/>
      <c r="D10" s="274"/>
      <c r="E10" s="275"/>
      <c r="G10" s="130" t="s">
        <v>6</v>
      </c>
      <c r="H10" s="130" t="s">
        <v>2</v>
      </c>
      <c r="I10" s="131" t="s">
        <v>161</v>
      </c>
      <c r="J10" s="131" t="s">
        <v>149</v>
      </c>
      <c r="K10" s="131" t="s">
        <v>150</v>
      </c>
      <c r="L10" s="131" t="s">
        <v>151</v>
      </c>
      <c r="M10" s="141" t="s">
        <v>152</v>
      </c>
      <c r="N10" s="141" t="s">
        <v>153</v>
      </c>
      <c r="O10" s="141" t="s">
        <v>154</v>
      </c>
      <c r="P10" s="132" t="s">
        <v>162</v>
      </c>
      <c r="Q10" s="133" t="s">
        <v>155</v>
      </c>
      <c r="R10" s="133" t="s">
        <v>72</v>
      </c>
      <c r="S10" s="133" t="s">
        <v>156</v>
      </c>
      <c r="T10" s="133" t="s">
        <v>73</v>
      </c>
      <c r="U10" s="133" t="s">
        <v>157</v>
      </c>
      <c r="V10" s="133" t="s">
        <v>56</v>
      </c>
      <c r="W10" s="133" t="s">
        <v>158</v>
      </c>
      <c r="X10" s="133" t="s">
        <v>105</v>
      </c>
      <c r="Y10" s="133" t="s">
        <v>159</v>
      </c>
      <c r="Z10" s="133" t="s">
        <v>106</v>
      </c>
      <c r="AA10" s="134" t="s">
        <v>74</v>
      </c>
      <c r="AB10" s="134" t="s">
        <v>75</v>
      </c>
      <c r="AC10" s="134" t="s">
        <v>76</v>
      </c>
      <c r="AD10" s="130" t="s">
        <v>9</v>
      </c>
      <c r="AE10" s="130" t="s">
        <v>160</v>
      </c>
      <c r="AU10" s="1"/>
      <c r="AV10" s="1"/>
    </row>
    <row r="11" spans="2:59" ht="14.25" customHeight="1" x14ac:dyDescent="0.2">
      <c r="G11" s="74">
        <v>45776.284722222219</v>
      </c>
      <c r="H11" s="107" t="s">
        <v>172</v>
      </c>
      <c r="I11" s="127"/>
      <c r="J11" s="145">
        <v>51885.34</v>
      </c>
      <c r="K11" s="145">
        <v>159195.739</v>
      </c>
      <c r="L11" s="145">
        <v>18.782</v>
      </c>
      <c r="M11" s="142">
        <v>51885.339</v>
      </c>
      <c r="N11" s="142">
        <v>159195.73800000001</v>
      </c>
      <c r="O11" s="142">
        <v>18.780999999999999</v>
      </c>
      <c r="P11" s="129">
        <v>23</v>
      </c>
      <c r="Q11" s="76">
        <v>-9.9999999656574801E-4</v>
      </c>
      <c r="R11" s="109" cm="1">
        <f t="array" ref="R1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 s="76">
        <v>-9.9999998928979039E-4</v>
      </c>
      <c r="T11" s="77" cm="1">
        <f t="array" ref="T1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 s="76">
        <v>-1.0000000000012221E-3</v>
      </c>
      <c r="V11" s="77" cm="1">
        <f t="array" ref="V1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 s="77">
        <v>-9.9999999656574801E-4</v>
      </c>
      <c r="X11" s="77" cm="1">
        <f t="array" ref="X1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 s="77">
        <v>-9.9999998928979039E-4</v>
      </c>
      <c r="Z11" s="77" cm="1">
        <f t="array" ref="Z1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 s="107" t="s">
        <v>86</v>
      </c>
      <c r="AE11" s="111"/>
      <c r="AF11" s="1"/>
      <c r="AG11" s="1"/>
      <c r="AH11" s="4"/>
      <c r="AI11" s="4"/>
      <c r="AJ11" s="4"/>
      <c r="AK11" s="4"/>
      <c r="AL11" s="1"/>
      <c r="AM11" s="1"/>
      <c r="AN11" s="9"/>
      <c r="AO11" s="6"/>
      <c r="AP11" s="6"/>
      <c r="AQ11" s="6"/>
      <c r="AR11" s="8"/>
      <c r="AS11" s="8"/>
      <c r="AT11" s="1"/>
    </row>
    <row r="12" spans="2:59" ht="14.25" customHeight="1" x14ac:dyDescent="0.2">
      <c r="G12" s="74">
        <v>45776.284722222219</v>
      </c>
      <c r="H12" s="107" t="s">
        <v>171</v>
      </c>
      <c r="I12" s="127"/>
      <c r="J12" s="145">
        <v>51884.958899999998</v>
      </c>
      <c r="K12" s="145">
        <v>159194.47070000001</v>
      </c>
      <c r="L12" s="145">
        <v>18.778099999999998</v>
      </c>
      <c r="M12" s="142">
        <v>51884.957999999999</v>
      </c>
      <c r="N12" s="142">
        <v>159194.47099999999</v>
      </c>
      <c r="O12" s="142">
        <v>18.777000000000001</v>
      </c>
      <c r="P12" s="129">
        <v>23</v>
      </c>
      <c r="Q12" s="76">
        <v>-8.9999999909196049E-4</v>
      </c>
      <c r="R12" s="109" cm="1">
        <f t="array" ref="R1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 s="76">
        <v>2.9999998514540493E-4</v>
      </c>
      <c r="T12" s="77" cm="1">
        <f t="array" ref="T1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 s="76">
        <v>-1.0999999999974364E-3</v>
      </c>
      <c r="V12" s="77" cm="1">
        <f t="array" ref="V1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 s="77">
        <v>-8.9999999909196049E-4</v>
      </c>
      <c r="X12" s="77" cm="1">
        <f t="array" ref="X1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 s="77">
        <v>2.9999998514540493E-4</v>
      </c>
      <c r="Z12" s="77" cm="1">
        <f t="array" ref="Z1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 s="107" t="s">
        <v>86</v>
      </c>
      <c r="AE12" s="111"/>
      <c r="AF12" s="1"/>
      <c r="AG12" s="1"/>
      <c r="AH12" s="4"/>
      <c r="AI12" s="4"/>
      <c r="AJ12" s="4"/>
      <c r="AK12" s="4"/>
      <c r="AL12" s="1"/>
      <c r="AM12" s="1"/>
      <c r="AN12" s="9"/>
      <c r="AO12" s="6"/>
      <c r="AP12" s="6"/>
      <c r="AQ12" s="6"/>
      <c r="AR12" s="8"/>
      <c r="AS12" s="8"/>
      <c r="AT12" s="1"/>
    </row>
    <row r="13" spans="2:59" ht="14.25" customHeight="1" x14ac:dyDescent="0.2">
      <c r="G13" s="74">
        <v>45776.284722222219</v>
      </c>
      <c r="H13" s="107" t="s">
        <v>174</v>
      </c>
      <c r="I13" s="127"/>
      <c r="J13" s="145">
        <v>51888.117700000003</v>
      </c>
      <c r="K13" s="145">
        <v>159194.94529999999</v>
      </c>
      <c r="L13" s="145">
        <v>18.7788</v>
      </c>
      <c r="M13" s="142">
        <v>51888.116999999998</v>
      </c>
      <c r="N13" s="142">
        <v>159194.94500000001</v>
      </c>
      <c r="O13" s="142">
        <v>18.777000000000001</v>
      </c>
      <c r="P13" s="129">
        <v>23</v>
      </c>
      <c r="Q13" s="76">
        <v>-7.0000000414438546E-4</v>
      </c>
      <c r="R13" s="109" cm="1">
        <f t="array" ref="R1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 s="76">
        <v>-2.9999998514540493E-4</v>
      </c>
      <c r="T13" s="77" cm="1">
        <f t="array" ref="T1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 s="76">
        <v>-1.7999999999993577E-3</v>
      </c>
      <c r="V13" s="77" cm="1">
        <f t="array" ref="V1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 s="77">
        <v>-7.0000000414438546E-4</v>
      </c>
      <c r="X13" s="77" cm="1">
        <f t="array" ref="X1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 s="77">
        <v>-2.9999998514540493E-4</v>
      </c>
      <c r="Z13" s="77" cm="1">
        <f t="array" ref="Z1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 s="107" t="s">
        <v>86</v>
      </c>
      <c r="AE13" s="111"/>
      <c r="AF13" s="1"/>
      <c r="AG13" s="1"/>
      <c r="AH13" s="4"/>
      <c r="AI13" s="4"/>
      <c r="AJ13" s="4"/>
      <c r="AK13" s="4"/>
      <c r="AL13" s="1"/>
      <c r="AM13" s="1"/>
      <c r="AN13" s="9"/>
      <c r="AO13" s="6"/>
      <c r="AP13" s="6"/>
      <c r="AQ13" s="6"/>
      <c r="AR13" s="8"/>
      <c r="AS13" s="8"/>
      <c r="AT13" s="1"/>
    </row>
    <row r="14" spans="2:59" ht="14.25" customHeight="1" x14ac:dyDescent="0.2">
      <c r="G14" s="74">
        <v>45776.284722222219</v>
      </c>
      <c r="H14" s="107" t="s">
        <v>173</v>
      </c>
      <c r="I14" s="127"/>
      <c r="J14" s="145">
        <v>51887.805099999998</v>
      </c>
      <c r="K14" s="145">
        <v>159193.65710000001</v>
      </c>
      <c r="L14" s="145">
        <v>18.778500000000001</v>
      </c>
      <c r="M14" s="142">
        <v>51887.803999999996</v>
      </c>
      <c r="N14" s="142">
        <v>159193.65700000001</v>
      </c>
      <c r="O14" s="142">
        <v>18.777000000000001</v>
      </c>
      <c r="P14" s="129">
        <v>23</v>
      </c>
      <c r="Q14" s="76">
        <v>-1.1000000013154931E-3</v>
      </c>
      <c r="R14" s="109" cm="1">
        <f t="array" ref="R1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 s="76">
        <v>-1.0000000474974513E-4</v>
      </c>
      <c r="T14" s="77" cm="1">
        <f t="array" ref="T1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 s="76">
        <v>-1.5000000000000568E-3</v>
      </c>
      <c r="V14" s="77" cm="1">
        <f t="array" ref="V1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 s="77">
        <v>-1.1000000013154931E-3</v>
      </c>
      <c r="X14" s="77" cm="1">
        <f t="array" ref="X1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 s="77">
        <v>-1.0000000474974513E-4</v>
      </c>
      <c r="Z14" s="77" cm="1">
        <f t="array" ref="Z1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 s="107" t="s">
        <v>86</v>
      </c>
      <c r="AE14" s="111"/>
      <c r="AF14" s="1"/>
      <c r="AG14" s="1"/>
      <c r="AH14" s="4"/>
      <c r="AI14" s="4"/>
      <c r="AJ14" s="4"/>
      <c r="AK14" s="4"/>
      <c r="AL14" s="1"/>
      <c r="AM14" s="1"/>
      <c r="AN14" s="9"/>
      <c r="AO14" s="6"/>
      <c r="AP14" s="6"/>
      <c r="AQ14" s="6"/>
      <c r="AR14" s="8"/>
      <c r="AS14" s="8"/>
      <c r="AT14" s="1"/>
    </row>
    <row r="15" spans="2:59" ht="14.25" customHeight="1" x14ac:dyDescent="0.2">
      <c r="G15" s="74">
        <v>45776.284722222219</v>
      </c>
      <c r="H15" s="107" t="s">
        <v>176</v>
      </c>
      <c r="I15" s="127"/>
      <c r="J15" s="145">
        <v>51890.969100000002</v>
      </c>
      <c r="K15" s="145">
        <v>159194.1177</v>
      </c>
      <c r="L15" s="145">
        <v>18.779</v>
      </c>
      <c r="M15" s="142">
        <v>51890.968000000001</v>
      </c>
      <c r="N15" s="142">
        <v>159194.11799999999</v>
      </c>
      <c r="O15" s="142">
        <v>18.777999999999999</v>
      </c>
      <c r="P15" s="129">
        <v>23</v>
      </c>
      <c r="Q15" s="76">
        <v>-1.1000000013154931E-3</v>
      </c>
      <c r="R15" s="109" cm="1">
        <f t="array" ref="R1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 s="76">
        <v>2.9999998514540493E-4</v>
      </c>
      <c r="T15" s="77" cm="1">
        <f t="array" ref="T1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 s="76">
        <v>-1.0000000000012221E-3</v>
      </c>
      <c r="V15" s="77" cm="1">
        <f t="array" ref="V1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 s="77">
        <v>-1.1000000013154931E-3</v>
      </c>
      <c r="X15" s="77" cm="1">
        <f t="array" ref="X1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 s="77">
        <v>2.9999998514540493E-4</v>
      </c>
      <c r="Z15" s="77" cm="1">
        <f t="array" ref="Z1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 s="107" t="s">
        <v>86</v>
      </c>
      <c r="AE15" s="111"/>
      <c r="AF15" s="1"/>
      <c r="AG15" s="1"/>
      <c r="AH15" s="4"/>
      <c r="AI15" s="8"/>
      <c r="AJ15" s="1"/>
      <c r="AK15" s="1"/>
      <c r="AL15" s="1"/>
      <c r="AM15" s="1"/>
      <c r="AN15" s="1"/>
      <c r="AO15" s="1"/>
      <c r="AP15" s="1"/>
      <c r="AQ15" s="1"/>
      <c r="AR15" s="1"/>
      <c r="AS15" s="1"/>
      <c r="AT15" s="1"/>
    </row>
    <row r="16" spans="2:59" ht="14.25" customHeight="1" x14ac:dyDescent="0.2">
      <c r="G16" s="74">
        <v>45776.284722222219</v>
      </c>
      <c r="H16" s="107" t="s">
        <v>175</v>
      </c>
      <c r="I16" s="127"/>
      <c r="J16" s="145">
        <v>51890.606800000001</v>
      </c>
      <c r="K16" s="145">
        <v>159192.86069999999</v>
      </c>
      <c r="L16" s="145">
        <v>18.771999999999998</v>
      </c>
      <c r="M16" s="142">
        <v>51890.606</v>
      </c>
      <c r="N16" s="142">
        <v>159192.861</v>
      </c>
      <c r="O16" s="142">
        <v>18.771000000000001</v>
      </c>
      <c r="P16" s="129">
        <v>23</v>
      </c>
      <c r="Q16" s="76">
        <v>-8.0000000161817297E-4</v>
      </c>
      <c r="R16" s="109" cm="1">
        <f t="array" ref="R1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 s="76">
        <v>3.0000001424923539E-4</v>
      </c>
      <c r="T16" s="77" cm="1">
        <f t="array" ref="T1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 s="76">
        <v>-9.9999999999766942E-4</v>
      </c>
      <c r="V16" s="77" cm="1">
        <f t="array" ref="V1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 s="77">
        <v>-8.0000000161817297E-4</v>
      </c>
      <c r="X16" s="77" cm="1">
        <f t="array" ref="X1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 s="77">
        <v>3.0000001424923539E-4</v>
      </c>
      <c r="Z16" s="77" cm="1">
        <f t="array" ref="Z1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 s="107" t="s">
        <v>86</v>
      </c>
      <c r="AE16" s="111"/>
      <c r="AF16" s="1"/>
      <c r="AG16" s="1"/>
      <c r="AH16" s="4"/>
      <c r="AI16" s="8"/>
      <c r="AJ16" s="1"/>
      <c r="AK16" s="1"/>
      <c r="AL16" s="1"/>
      <c r="AM16" s="1"/>
      <c r="AN16" s="1"/>
      <c r="AO16" s="1"/>
      <c r="AP16" s="1"/>
      <c r="AQ16" s="1"/>
      <c r="AR16" s="1"/>
      <c r="AS16" s="1"/>
      <c r="AT16" s="1"/>
    </row>
    <row r="17" spans="7:46" ht="14.25" customHeight="1" x14ac:dyDescent="0.2">
      <c r="G17" s="74">
        <v>45776.284722222219</v>
      </c>
      <c r="H17" s="107" t="s">
        <v>178</v>
      </c>
      <c r="I17" s="127"/>
      <c r="J17" s="145">
        <v>51893.758699999998</v>
      </c>
      <c r="K17" s="145">
        <v>159193.3144</v>
      </c>
      <c r="L17" s="145">
        <v>18.774100000000001</v>
      </c>
      <c r="M17" s="142">
        <v>51893.758000000002</v>
      </c>
      <c r="N17" s="142">
        <v>159193.315</v>
      </c>
      <c r="O17" s="142">
        <v>18.773</v>
      </c>
      <c r="P17" s="129">
        <v>23</v>
      </c>
      <c r="Q17" s="76">
        <v>-6.9999999686842784E-4</v>
      </c>
      <c r="R17" s="109" cm="1">
        <f t="array" ref="R1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 s="76">
        <v>5.9999999939464033E-4</v>
      </c>
      <c r="T17" s="77" cm="1">
        <f t="array" ref="T1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 s="76">
        <v>-1.1000000000009891E-3</v>
      </c>
      <c r="V17" s="77" cm="1">
        <f t="array" ref="V1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 s="77">
        <v>-6.9999999686842784E-4</v>
      </c>
      <c r="X17" s="77" cm="1">
        <f t="array" ref="X1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 s="77">
        <v>5.9999999939464033E-4</v>
      </c>
      <c r="Z17" s="77" cm="1">
        <f t="array" ref="Z1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 s="107" t="s">
        <v>86</v>
      </c>
      <c r="AE17" s="111"/>
      <c r="AF17" s="1"/>
      <c r="AG17" s="1"/>
      <c r="AH17" s="4"/>
      <c r="AI17" s="8"/>
      <c r="AJ17" s="1"/>
      <c r="AK17" s="1"/>
      <c r="AL17" s="1"/>
      <c r="AM17" s="1"/>
      <c r="AN17" s="1"/>
      <c r="AO17" s="1"/>
      <c r="AP17" s="1"/>
      <c r="AQ17" s="1"/>
      <c r="AR17" s="1"/>
      <c r="AS17" s="1"/>
      <c r="AT17" s="1"/>
    </row>
    <row r="18" spans="7:46" ht="14.25" customHeight="1" x14ac:dyDescent="0.2">
      <c r="G18" s="74">
        <v>45776.284722222219</v>
      </c>
      <c r="H18" s="107" t="s">
        <v>177</v>
      </c>
      <c r="I18" s="127"/>
      <c r="J18" s="145">
        <v>51893.441299999999</v>
      </c>
      <c r="K18" s="145">
        <v>159192.04019999999</v>
      </c>
      <c r="L18" s="145">
        <v>18.7683</v>
      </c>
      <c r="M18" s="142">
        <v>51893.440000000002</v>
      </c>
      <c r="N18" s="142">
        <v>159192.041</v>
      </c>
      <c r="O18" s="142">
        <v>18.768000000000001</v>
      </c>
      <c r="P18" s="129">
        <v>23</v>
      </c>
      <c r="Q18" s="76">
        <v>-1.2999999962630682E-3</v>
      </c>
      <c r="R18" s="109" cm="1">
        <f t="array" ref="R1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 s="76">
        <v>8.0000000889413059E-4</v>
      </c>
      <c r="T18" s="77" cm="1">
        <f t="array" ref="T1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 s="76">
        <v>-2.9999999999930083E-4</v>
      </c>
      <c r="V18" s="77" cm="1">
        <f t="array" ref="V1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 s="77">
        <v>-1.2999999962630682E-3</v>
      </c>
      <c r="X18" s="77" cm="1">
        <f t="array" ref="X1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 s="77">
        <v>8.0000000889413059E-4</v>
      </c>
      <c r="Z18" s="77" cm="1">
        <f t="array" ref="Z1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 s="107" t="s">
        <v>86</v>
      </c>
      <c r="AE18" s="111"/>
      <c r="AF18" s="1"/>
      <c r="AG18" s="1"/>
      <c r="AH18" s="4"/>
      <c r="AI18" s="8"/>
      <c r="AJ18" s="1"/>
      <c r="AK18" s="1"/>
      <c r="AL18" s="1"/>
      <c r="AM18" s="1"/>
      <c r="AN18" s="1"/>
      <c r="AO18" s="1"/>
      <c r="AP18" s="1"/>
      <c r="AQ18" s="1"/>
      <c r="AR18" s="1"/>
      <c r="AS18" s="1"/>
      <c r="AT18" s="1"/>
    </row>
    <row r="19" spans="7:46" ht="14.25" customHeight="1" x14ac:dyDescent="0.2">
      <c r="G19" s="74">
        <v>45776.284722222219</v>
      </c>
      <c r="H19" s="107" t="s">
        <v>180</v>
      </c>
      <c r="I19" s="127"/>
      <c r="J19" s="145">
        <v>51896.633300000001</v>
      </c>
      <c r="K19" s="145">
        <v>159192.48449999999</v>
      </c>
      <c r="L19" s="145">
        <v>18.7776</v>
      </c>
      <c r="M19" s="142">
        <v>51896.633000000002</v>
      </c>
      <c r="N19" s="142">
        <v>159192.48499999999</v>
      </c>
      <c r="O19" s="142">
        <v>18.777000000000001</v>
      </c>
      <c r="P19" s="129">
        <v>23</v>
      </c>
      <c r="Q19" s="76">
        <v>-2.9999999969732016E-4</v>
      </c>
      <c r="R19" s="109" cm="1">
        <f t="array" ref="R1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9" s="76">
        <v>4.999999946448952E-4</v>
      </c>
      <c r="T19" s="77" cm="1">
        <f t="array" ref="T1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9" s="76">
        <v>-5.9999999999860165E-4</v>
      </c>
      <c r="V19" s="77" cm="1">
        <f t="array" ref="V1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9" s="77">
        <v>-2.9999999969732016E-4</v>
      </c>
      <c r="X19" s="77" cm="1">
        <f t="array" ref="X1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9" s="77">
        <v>4.999999946448952E-4</v>
      </c>
      <c r="Z19" s="77" cm="1">
        <f t="array" ref="Z1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9" s="107" t="s">
        <v>86</v>
      </c>
      <c r="AE19" s="111"/>
      <c r="AF19" s="1"/>
      <c r="AG19" s="1"/>
      <c r="AH19" s="4"/>
      <c r="AM19" s="1"/>
      <c r="AN19" s="1"/>
      <c r="AO19" s="1"/>
      <c r="AP19" s="1"/>
      <c r="AQ19" s="1"/>
      <c r="AR19" s="1"/>
      <c r="AS19" s="1"/>
      <c r="AT19" s="1"/>
    </row>
    <row r="20" spans="7:46" ht="14.25" customHeight="1" x14ac:dyDescent="0.2">
      <c r="G20" s="74">
        <v>45776.284722222219</v>
      </c>
      <c r="H20" s="107" t="s">
        <v>179</v>
      </c>
      <c r="I20" s="127"/>
      <c r="J20" s="145">
        <v>51896.249799999998</v>
      </c>
      <c r="K20" s="145">
        <v>159191.22630000001</v>
      </c>
      <c r="L20" s="145">
        <v>18.7698</v>
      </c>
      <c r="M20" s="142">
        <v>51896.249000000003</v>
      </c>
      <c r="N20" s="142">
        <v>159191.226</v>
      </c>
      <c r="O20" s="142">
        <v>18.768999999999998</v>
      </c>
      <c r="P20" s="129">
        <v>23</v>
      </c>
      <c r="Q20" s="76">
        <v>-7.9999999434221536E-4</v>
      </c>
      <c r="R20" s="109" cm="1">
        <f t="array" ref="R2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0" s="76">
        <v>-3.0000001424923539E-4</v>
      </c>
      <c r="T20" s="77" cm="1">
        <f t="array" ref="T2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0" s="76">
        <v>-8.0000000000168825E-4</v>
      </c>
      <c r="V20" s="77" cm="1">
        <f t="array" ref="V2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0" s="77">
        <v>-7.9999999434221536E-4</v>
      </c>
      <c r="X20" s="77" cm="1">
        <f t="array" ref="X2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0" s="77">
        <v>-3.0000001424923539E-4</v>
      </c>
      <c r="Z20" s="77" cm="1">
        <f t="array" ref="Z2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0" s="107" t="s">
        <v>86</v>
      </c>
      <c r="AE20" s="111"/>
      <c r="AF20" s="1"/>
      <c r="AG20" s="1"/>
      <c r="AH20" s="4"/>
      <c r="AI20" s="8"/>
      <c r="AJ20" s="1"/>
      <c r="AK20" s="1"/>
      <c r="AL20" s="1"/>
      <c r="AM20" s="1"/>
      <c r="AN20" s="1"/>
      <c r="AO20" s="1"/>
      <c r="AP20" s="1"/>
      <c r="AQ20" s="1"/>
      <c r="AR20" s="1"/>
      <c r="AS20" s="1"/>
      <c r="AT20" s="1"/>
    </row>
    <row r="21" spans="7:46" ht="14.25" customHeight="1" x14ac:dyDescent="0.2">
      <c r="G21" s="74">
        <v>45776.284722222219</v>
      </c>
      <c r="H21" s="107" t="s">
        <v>182</v>
      </c>
      <c r="I21" s="127"/>
      <c r="J21" s="145">
        <v>51899.398699999998</v>
      </c>
      <c r="K21" s="145">
        <v>159191.69760000001</v>
      </c>
      <c r="L21" s="145">
        <v>18.777999999999999</v>
      </c>
      <c r="M21" s="142">
        <v>51899.398000000001</v>
      </c>
      <c r="N21" s="142">
        <v>159191.698</v>
      </c>
      <c r="O21" s="142">
        <v>18.777000000000001</v>
      </c>
      <c r="P21" s="129">
        <v>23</v>
      </c>
      <c r="Q21" s="76">
        <v>-6.9999999686842784E-4</v>
      </c>
      <c r="R21" s="109" cm="1">
        <f t="array" ref="R2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1" s="76">
        <v>3.9999998989515007E-4</v>
      </c>
      <c r="T21" s="77" cm="1">
        <f t="array" ref="T2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1" s="76">
        <v>-9.9999999999766942E-4</v>
      </c>
      <c r="V21" s="77" cm="1">
        <f t="array" ref="V2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1" s="77">
        <v>-6.9999999686842784E-4</v>
      </c>
      <c r="X21" s="77" cm="1">
        <f t="array" ref="X2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1" s="77">
        <v>3.9999998989515007E-4</v>
      </c>
      <c r="Z21" s="77" cm="1">
        <f t="array" ref="Z2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1" s="107" t="s">
        <v>86</v>
      </c>
      <c r="AE21" s="111"/>
      <c r="AF21" s="1"/>
      <c r="AG21" s="1"/>
      <c r="AH21" s="4"/>
      <c r="AI21" s="8"/>
      <c r="AJ21" s="1"/>
      <c r="AK21" s="1"/>
      <c r="AL21" s="1"/>
      <c r="AM21" s="1"/>
      <c r="AN21" s="1"/>
      <c r="AO21" s="1"/>
      <c r="AP21" s="1"/>
      <c r="AQ21" s="1"/>
      <c r="AR21" s="1"/>
      <c r="AS21" s="1"/>
      <c r="AT21" s="1"/>
    </row>
    <row r="22" spans="7:46" ht="14.25" customHeight="1" x14ac:dyDescent="0.2">
      <c r="G22" s="74">
        <v>45776.284722222219</v>
      </c>
      <c r="H22" s="107" t="s">
        <v>181</v>
      </c>
      <c r="I22" s="127"/>
      <c r="J22" s="145">
        <v>51899.041100000002</v>
      </c>
      <c r="K22" s="145">
        <v>159190.43340000001</v>
      </c>
      <c r="L22" s="145">
        <v>18.771100000000001</v>
      </c>
      <c r="M22" s="142">
        <v>51899.040000000001</v>
      </c>
      <c r="N22" s="142">
        <v>159190.43400000001</v>
      </c>
      <c r="O22" s="142">
        <v>18.77</v>
      </c>
      <c r="P22" s="129">
        <v>23</v>
      </c>
      <c r="Q22" s="76">
        <v>-1.1000000013154931E-3</v>
      </c>
      <c r="R22" s="109" cm="1">
        <f t="array" ref="R2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2" s="76">
        <v>5.9999999939464033E-4</v>
      </c>
      <c r="T22" s="77" cm="1">
        <f t="array" ref="T2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2" s="76">
        <v>-1.1000000000009891E-3</v>
      </c>
      <c r="V22" s="77" cm="1">
        <f t="array" ref="V2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2" s="77">
        <v>-1.1000000013154931E-3</v>
      </c>
      <c r="X22" s="77" cm="1">
        <f t="array" ref="X2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2" s="77">
        <v>5.9999999939464033E-4</v>
      </c>
      <c r="Z22" s="77" cm="1">
        <f t="array" ref="Z2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2" s="107" t="s">
        <v>86</v>
      </c>
      <c r="AE22" s="111"/>
      <c r="AF22" s="1"/>
      <c r="AG22" s="1"/>
      <c r="AH22" s="4"/>
      <c r="AI22" s="8"/>
      <c r="AJ22" s="1"/>
      <c r="AK22" s="1"/>
      <c r="AL22" s="1"/>
      <c r="AM22" s="1"/>
      <c r="AN22" s="1"/>
      <c r="AO22" s="1"/>
      <c r="AP22" s="1"/>
      <c r="AQ22" s="1"/>
      <c r="AR22" s="1"/>
      <c r="AS22" s="1"/>
      <c r="AT22" s="1"/>
    </row>
    <row r="23" spans="7:46" ht="14.25" customHeight="1" x14ac:dyDescent="0.2">
      <c r="G23" s="74">
        <v>45776.284722222219</v>
      </c>
      <c r="H23" s="107" t="s">
        <v>184</v>
      </c>
      <c r="I23" s="127"/>
      <c r="J23" s="145">
        <v>51902.292699999998</v>
      </c>
      <c r="K23" s="145">
        <v>159190.88459999999</v>
      </c>
      <c r="L23" s="145">
        <v>18.779</v>
      </c>
      <c r="M23" s="142">
        <v>51902.292000000001</v>
      </c>
      <c r="N23" s="142">
        <v>159190.88500000001</v>
      </c>
      <c r="O23" s="142">
        <v>18.777999999999999</v>
      </c>
      <c r="P23" s="129">
        <v>23</v>
      </c>
      <c r="Q23" s="76">
        <v>-6.9999999686842784E-4</v>
      </c>
      <c r="R23" s="109" cm="1">
        <f t="array" ref="R2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3" s="76">
        <v>4.0000001899898052E-4</v>
      </c>
      <c r="T23" s="77" cm="1">
        <f t="array" ref="T2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3" s="76">
        <v>-1.0000000000012221E-3</v>
      </c>
      <c r="V23" s="77" cm="1">
        <f t="array" ref="V2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3" s="77">
        <v>-6.9999999686842784E-4</v>
      </c>
      <c r="X23" s="77" cm="1">
        <f t="array" ref="X2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3" s="77">
        <v>4.0000001899898052E-4</v>
      </c>
      <c r="Z23" s="77" cm="1">
        <f t="array" ref="Z2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3" s="107" t="s">
        <v>86</v>
      </c>
      <c r="AE23" s="111"/>
      <c r="AF23" s="1"/>
      <c r="AG23" s="1"/>
      <c r="AH23" s="4"/>
      <c r="AI23" s="8"/>
      <c r="AJ23" s="1"/>
      <c r="AK23" s="1"/>
      <c r="AL23" s="1"/>
      <c r="AM23" s="1"/>
      <c r="AN23" s="1"/>
      <c r="AO23" s="1"/>
      <c r="AP23" s="1"/>
      <c r="AQ23" s="1"/>
      <c r="AR23" s="1"/>
      <c r="AS23" s="1"/>
      <c r="AT23" s="1"/>
    </row>
    <row r="24" spans="7:46" ht="14.25" customHeight="1" x14ac:dyDescent="0.2">
      <c r="G24" s="74">
        <v>45776.284722222219</v>
      </c>
      <c r="H24" s="107" t="s">
        <v>183</v>
      </c>
      <c r="I24" s="127"/>
      <c r="J24" s="145">
        <v>51901.989200000004</v>
      </c>
      <c r="K24" s="145">
        <v>159189.60260000001</v>
      </c>
      <c r="L24" s="145">
        <v>18.770099999999999</v>
      </c>
      <c r="M24" s="142">
        <v>51901.987999999998</v>
      </c>
      <c r="N24" s="142">
        <v>159189.60399999999</v>
      </c>
      <c r="O24" s="142">
        <v>18.768999999999998</v>
      </c>
      <c r="P24" s="129">
        <v>23</v>
      </c>
      <c r="Q24" s="76">
        <v>-1.2000000060652383E-3</v>
      </c>
      <c r="R24" s="109" cm="1">
        <f t="array" ref="R2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4" s="76">
        <v>1.3999999791849405E-3</v>
      </c>
      <c r="T24" s="77" cm="1">
        <f t="array" ref="T2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4" s="76">
        <v>-1.1000000000009891E-3</v>
      </c>
      <c r="V24" s="77" cm="1">
        <f t="array" ref="V2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4" s="77">
        <v>-1.2000000060652383E-3</v>
      </c>
      <c r="X24" s="77" cm="1">
        <f t="array" ref="X2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4" s="77">
        <v>1.3999999791849405E-3</v>
      </c>
      <c r="Z24" s="77" cm="1">
        <f t="array" ref="Z2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4" s="107" t="s">
        <v>86</v>
      </c>
      <c r="AE24" s="111"/>
      <c r="AF24" s="1"/>
      <c r="AG24" s="1"/>
      <c r="AH24" s="4"/>
      <c r="AI24" s="8"/>
      <c r="AJ24" s="1"/>
      <c r="AK24" s="1"/>
      <c r="AL24" s="1"/>
      <c r="AM24" s="1"/>
      <c r="AN24" s="1"/>
      <c r="AO24" s="1"/>
      <c r="AP24" s="1"/>
      <c r="AQ24" s="1"/>
      <c r="AR24" s="1"/>
      <c r="AS24" s="1"/>
      <c r="AT24" s="1"/>
    </row>
    <row r="25" spans="7:46" ht="14.25" customHeight="1" x14ac:dyDescent="0.2">
      <c r="G25" s="74">
        <v>45776.284722222219</v>
      </c>
      <c r="H25" s="107" t="s">
        <v>186</v>
      </c>
      <c r="I25" s="127"/>
      <c r="J25" s="145">
        <v>51905.196199999998</v>
      </c>
      <c r="K25" s="145">
        <v>159190.09460000001</v>
      </c>
      <c r="L25" s="145">
        <v>18.780899999999999</v>
      </c>
      <c r="M25" s="142">
        <v>51905.195</v>
      </c>
      <c r="N25" s="142">
        <v>159190.095</v>
      </c>
      <c r="O25" s="142">
        <v>18.78</v>
      </c>
      <c r="P25" s="129">
        <v>23</v>
      </c>
      <c r="Q25" s="76">
        <v>-1.1999999987892807E-3</v>
      </c>
      <c r="R25" s="109" cm="1">
        <f t="array" ref="R2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5" s="76">
        <v>3.9999998989515007E-4</v>
      </c>
      <c r="T25" s="77" cm="1">
        <f t="array" ref="T2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5" s="76">
        <v>-8.9999999999790248E-4</v>
      </c>
      <c r="V25" s="77" cm="1">
        <f t="array" ref="V2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5" s="77">
        <v>-1.1999999987892807E-3</v>
      </c>
      <c r="X25" s="77" cm="1">
        <f t="array" ref="X2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5" s="77">
        <v>3.9999998989515007E-4</v>
      </c>
      <c r="Z25" s="77" cm="1">
        <f t="array" ref="Z2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5" s="107" t="s">
        <v>86</v>
      </c>
      <c r="AE25" s="111"/>
      <c r="AF25" s="1"/>
      <c r="AG25" s="1"/>
      <c r="AH25" s="4"/>
      <c r="AI25" s="8"/>
      <c r="AJ25" s="1"/>
      <c r="AK25" s="1"/>
      <c r="AL25" s="1"/>
      <c r="AM25" s="1"/>
      <c r="AN25" s="1"/>
      <c r="AO25" s="1"/>
      <c r="AP25" s="1"/>
      <c r="AQ25" s="1"/>
      <c r="AR25" s="1"/>
      <c r="AS25" s="1"/>
      <c r="AT25" s="1"/>
    </row>
    <row r="26" spans="7:46" ht="14.25" customHeight="1" x14ac:dyDescent="0.2">
      <c r="G26" s="74">
        <v>45776.284722222219</v>
      </c>
      <c r="H26" s="107" t="s">
        <v>185</v>
      </c>
      <c r="I26" s="127"/>
      <c r="J26" s="145">
        <v>51904.885600000001</v>
      </c>
      <c r="K26" s="145">
        <v>159188.8046</v>
      </c>
      <c r="L26" s="145">
        <v>18.773099999999999</v>
      </c>
      <c r="M26" s="142">
        <v>51904.883999999998</v>
      </c>
      <c r="N26" s="142">
        <v>159188.80600000001</v>
      </c>
      <c r="O26" s="142">
        <v>18.773</v>
      </c>
      <c r="P26" s="129">
        <v>23</v>
      </c>
      <c r="Q26" s="76">
        <v>-1.6000000032363459E-3</v>
      </c>
      <c r="R26" s="109" cm="1">
        <f t="array" ref="R2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6" s="76">
        <v>1.4000000082887709E-3</v>
      </c>
      <c r="T26" s="77" cm="1">
        <f t="array" ref="T2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6" s="76">
        <v>-9.9999999999766942E-5</v>
      </c>
      <c r="V26" s="77" cm="1">
        <f t="array" ref="V2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6" s="77">
        <v>-1.6000000032363459E-3</v>
      </c>
      <c r="X26" s="77" cm="1">
        <f t="array" ref="X2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6" s="77">
        <v>1.4000000082887709E-3</v>
      </c>
      <c r="Z26" s="77" cm="1">
        <f t="array" ref="Z2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6" s="107" t="s">
        <v>86</v>
      </c>
      <c r="AE26" s="111"/>
      <c r="AF26" s="1"/>
      <c r="AG26" s="1"/>
      <c r="AH26" s="4"/>
      <c r="AI26" s="8"/>
      <c r="AJ26" s="1"/>
      <c r="AK26" s="1"/>
      <c r="AL26" s="1"/>
      <c r="AM26" s="1"/>
      <c r="AN26" s="1"/>
      <c r="AO26" s="1"/>
      <c r="AP26" s="1"/>
      <c r="AQ26" s="1"/>
      <c r="AR26" s="1"/>
      <c r="AS26" s="1"/>
      <c r="AT26" s="1"/>
    </row>
    <row r="27" spans="7:46" ht="14.25" customHeight="1" x14ac:dyDescent="0.2">
      <c r="G27" s="74">
        <v>45776.284722222219</v>
      </c>
      <c r="H27" s="107" t="s">
        <v>188</v>
      </c>
      <c r="I27" s="127"/>
      <c r="J27" s="145">
        <v>51907.9522</v>
      </c>
      <c r="K27" s="145">
        <v>159189.36230000001</v>
      </c>
      <c r="L27" s="145">
        <v>18.786000000000001</v>
      </c>
      <c r="M27" s="142">
        <v>51907.951999999997</v>
      </c>
      <c r="N27" s="142">
        <v>159189.36300000001</v>
      </c>
      <c r="O27" s="142">
        <v>18.785</v>
      </c>
      <c r="P27" s="129">
        <v>23</v>
      </c>
      <c r="Q27" s="76">
        <v>-2.0000000222353265E-4</v>
      </c>
      <c r="R27" s="109" cm="1">
        <f t="array" ref="R2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7" s="76">
        <v>7.0000000414438546E-4</v>
      </c>
      <c r="T27" s="77" cm="1">
        <f t="array" ref="T2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7" s="76">
        <v>-1.0000000000012221E-3</v>
      </c>
      <c r="V27" s="77" cm="1">
        <f t="array" ref="V2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7" s="77">
        <v>-2.0000000222353265E-4</v>
      </c>
      <c r="X27" s="77" cm="1">
        <f t="array" ref="X2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7" s="77">
        <v>7.0000000414438546E-4</v>
      </c>
      <c r="Z27" s="77" cm="1">
        <f t="array" ref="Z2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7" s="107" t="s">
        <v>86</v>
      </c>
      <c r="AE27" s="111"/>
      <c r="AF27" s="1"/>
      <c r="AG27" s="1"/>
      <c r="AH27" s="4"/>
      <c r="AI27" s="8"/>
      <c r="AJ27" s="1"/>
      <c r="AK27" s="1"/>
      <c r="AL27" s="1"/>
      <c r="AM27" s="1"/>
      <c r="AN27" s="1"/>
      <c r="AO27" s="1"/>
      <c r="AP27" s="1"/>
      <c r="AQ27" s="1"/>
      <c r="AR27" s="1"/>
      <c r="AS27" s="1"/>
      <c r="AT27" s="1"/>
    </row>
    <row r="28" spans="7:46" ht="14.25" customHeight="1" x14ac:dyDescent="0.2">
      <c r="G28" s="74">
        <v>45776.284722222219</v>
      </c>
      <c r="H28" s="107" t="s">
        <v>187</v>
      </c>
      <c r="I28" s="127"/>
      <c r="J28" s="145">
        <v>51907.578699999998</v>
      </c>
      <c r="K28" s="145">
        <v>159188.09770000001</v>
      </c>
      <c r="L28" s="145">
        <v>18.776</v>
      </c>
      <c r="M28" s="142">
        <v>51907.578000000001</v>
      </c>
      <c r="N28" s="142">
        <v>159188.09899999999</v>
      </c>
      <c r="O28" s="142">
        <v>18.774999999999999</v>
      </c>
      <c r="P28" s="129">
        <v>23</v>
      </c>
      <c r="Q28" s="76">
        <v>-6.9999999686842784E-4</v>
      </c>
      <c r="R28" s="109" cm="1">
        <f t="array" ref="R2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8" s="76">
        <v>1.2999999744351953E-3</v>
      </c>
      <c r="T28" s="77" cm="1">
        <f t="array" ref="T2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8" s="76">
        <v>-1.0000000000012221E-3</v>
      </c>
      <c r="V28" s="77" cm="1">
        <f t="array" ref="V2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8" s="77">
        <v>-6.9999999686842784E-4</v>
      </c>
      <c r="X28" s="77" cm="1">
        <f t="array" ref="X2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8" s="77">
        <v>1.2999999744351953E-3</v>
      </c>
      <c r="Z28" s="77" cm="1">
        <f t="array" ref="Z2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8" s="107" t="s">
        <v>86</v>
      </c>
      <c r="AE28" s="111"/>
      <c r="AF28" s="1"/>
      <c r="AG28" s="1"/>
      <c r="AH28" s="4"/>
      <c r="AI28" s="8"/>
      <c r="AJ28" s="1"/>
      <c r="AK28" s="1"/>
      <c r="AL28" s="1"/>
      <c r="AM28" s="1"/>
      <c r="AN28" s="1"/>
      <c r="AO28" s="1"/>
      <c r="AP28" s="1"/>
      <c r="AQ28" s="1"/>
      <c r="AR28" s="1"/>
      <c r="AS28" s="1"/>
      <c r="AT28" s="1"/>
    </row>
    <row r="29" spans="7:46" ht="14.25" customHeight="1" x14ac:dyDescent="0.2">
      <c r="G29" s="74">
        <v>45776.284722222219</v>
      </c>
      <c r="H29" s="107" t="s">
        <v>190</v>
      </c>
      <c r="I29" s="127"/>
      <c r="J29" s="145">
        <v>51910.962800000001</v>
      </c>
      <c r="K29" s="145">
        <v>159188.60079999999</v>
      </c>
      <c r="L29" s="145">
        <v>18.794599999999999</v>
      </c>
      <c r="M29" s="142">
        <v>51910.962</v>
      </c>
      <c r="N29" s="142">
        <v>159188.601</v>
      </c>
      <c r="O29" s="142">
        <v>18.794</v>
      </c>
      <c r="P29" s="129">
        <v>23</v>
      </c>
      <c r="Q29" s="76">
        <v>-8.0000000161817297E-4</v>
      </c>
      <c r="R29" s="109" cm="1">
        <f t="array" ref="R2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29" s="76">
        <v>2.0000000949949026E-4</v>
      </c>
      <c r="T29" s="77" cm="1">
        <f t="array" ref="T2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29" s="76">
        <v>-5.9999999999860165E-4</v>
      </c>
      <c r="V29" s="77" cm="1">
        <f t="array" ref="V2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29" s="77">
        <v>-8.0000000161817297E-4</v>
      </c>
      <c r="X29" s="77" cm="1">
        <f t="array" ref="X2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29" s="77">
        <v>2.0000000949949026E-4</v>
      </c>
      <c r="Z29" s="77" cm="1">
        <f t="array" ref="Z2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2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2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2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29" s="107" t="s">
        <v>86</v>
      </c>
      <c r="AE29" s="111"/>
      <c r="AF29" s="1"/>
      <c r="AG29" s="1"/>
      <c r="AH29" s="4"/>
      <c r="AI29" s="8"/>
      <c r="AJ29" s="1"/>
      <c r="AK29" s="1"/>
      <c r="AL29" s="1"/>
      <c r="AM29" s="1"/>
      <c r="AN29" s="1"/>
      <c r="AO29" s="1"/>
      <c r="AP29" s="1"/>
      <c r="AQ29" s="1"/>
      <c r="AR29" s="1"/>
      <c r="AS29" s="1"/>
      <c r="AT29" s="1"/>
    </row>
    <row r="30" spans="7:46" ht="14.25" customHeight="1" x14ac:dyDescent="0.2">
      <c r="G30" s="74">
        <v>45776.284722222219</v>
      </c>
      <c r="H30" s="107" t="s">
        <v>189</v>
      </c>
      <c r="I30" s="127"/>
      <c r="J30" s="145">
        <v>51910.640099999997</v>
      </c>
      <c r="K30" s="145">
        <v>159187.3223</v>
      </c>
      <c r="L30" s="145">
        <v>18.7836</v>
      </c>
      <c r="M30" s="142">
        <v>51910.639000000003</v>
      </c>
      <c r="N30" s="142">
        <v>159187.323</v>
      </c>
      <c r="O30" s="142">
        <v>18.783000000000001</v>
      </c>
      <c r="P30" s="129">
        <v>23</v>
      </c>
      <c r="Q30" s="76">
        <v>-1.0999999940395355E-3</v>
      </c>
      <c r="R30" s="109" cm="1">
        <f t="array" ref="R3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0" s="76">
        <v>7.0000000414438546E-4</v>
      </c>
      <c r="T30" s="77" cm="1">
        <f t="array" ref="T3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0" s="76">
        <v>-5.9999999999860165E-4</v>
      </c>
      <c r="V30" s="77" cm="1">
        <f t="array" ref="V3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0" s="77">
        <v>-1.0999999940395355E-3</v>
      </c>
      <c r="X30" s="77" cm="1">
        <f t="array" ref="X3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0" s="77">
        <v>7.0000000414438546E-4</v>
      </c>
      <c r="Z30" s="77" cm="1">
        <f t="array" ref="Z3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0" s="107" t="s">
        <v>86</v>
      </c>
      <c r="AE30" s="111"/>
      <c r="AI30" s="8"/>
      <c r="AJ30" s="1"/>
      <c r="AK30" s="1"/>
      <c r="AL30" s="1"/>
      <c r="AM30" s="1"/>
      <c r="AN30" s="1"/>
      <c r="AO30" s="1"/>
      <c r="AP30" s="1"/>
      <c r="AQ30" s="1"/>
      <c r="AR30" s="1"/>
      <c r="AS30" s="1"/>
      <c r="AT30" s="1"/>
    </row>
    <row r="31" spans="7:46" ht="14.25" customHeight="1" x14ac:dyDescent="0.2">
      <c r="G31" s="74">
        <v>45776.284722222219</v>
      </c>
      <c r="H31" s="107" t="s">
        <v>192</v>
      </c>
      <c r="I31" s="127"/>
      <c r="J31" s="145">
        <v>51913.751100000001</v>
      </c>
      <c r="K31" s="145">
        <v>159187.9178</v>
      </c>
      <c r="L31" s="145">
        <v>18.809000000000001</v>
      </c>
      <c r="M31" s="142">
        <v>51913.75</v>
      </c>
      <c r="N31" s="142">
        <v>159187.91800000001</v>
      </c>
      <c r="O31" s="142">
        <v>18.808</v>
      </c>
      <c r="P31" s="129">
        <v>23</v>
      </c>
      <c r="Q31" s="76">
        <v>-1.1000000013154931E-3</v>
      </c>
      <c r="R31" s="109" cm="1">
        <f t="array" ref="R3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1" s="76">
        <v>2.0000000949949026E-4</v>
      </c>
      <c r="T31" s="77" cm="1">
        <f t="array" ref="T3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1" s="76">
        <v>-1.0000000000012221E-3</v>
      </c>
      <c r="V31" s="77" cm="1">
        <f t="array" ref="V3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1" s="77">
        <v>-1.1000000013154931E-3</v>
      </c>
      <c r="X31" s="77" cm="1">
        <f t="array" ref="X3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1" s="77">
        <v>2.0000000949949026E-4</v>
      </c>
      <c r="Z31" s="77" cm="1">
        <f t="array" ref="Z3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1" s="107" t="s">
        <v>86</v>
      </c>
      <c r="AE31" s="111"/>
      <c r="AF31" s="1"/>
      <c r="AG31" s="1"/>
      <c r="AH31" s="4"/>
      <c r="AI31" s="8"/>
      <c r="AJ31" s="1"/>
      <c r="AK31" s="1"/>
      <c r="AL31" s="1"/>
      <c r="AM31" s="1"/>
      <c r="AN31" s="1"/>
      <c r="AO31" s="1"/>
      <c r="AP31" s="1"/>
      <c r="AQ31" s="1"/>
      <c r="AR31" s="1"/>
      <c r="AS31" s="1"/>
      <c r="AT31" s="1"/>
    </row>
    <row r="32" spans="7:46" ht="14.25" customHeight="1" x14ac:dyDescent="0.2">
      <c r="G32" s="74">
        <v>45776.284722222219</v>
      </c>
      <c r="H32" s="107" t="s">
        <v>191</v>
      </c>
      <c r="I32" s="127"/>
      <c r="J32" s="145">
        <v>51913.421499999997</v>
      </c>
      <c r="K32" s="145">
        <v>159186.63630000001</v>
      </c>
      <c r="L32" s="145">
        <v>18.794899999999998</v>
      </c>
      <c r="M32" s="142">
        <v>51913.42</v>
      </c>
      <c r="N32" s="142">
        <v>159186.63699999999</v>
      </c>
      <c r="O32" s="142">
        <v>18.794</v>
      </c>
      <c r="P32" s="129">
        <v>23</v>
      </c>
      <c r="Q32" s="76">
        <v>-1.4999999984866008E-3</v>
      </c>
      <c r="R32" s="109" cm="1">
        <f t="array" ref="R3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2" s="76">
        <v>6.99999975040555E-4</v>
      </c>
      <c r="T32" s="77" cm="1">
        <f t="array" ref="T3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2" s="76">
        <v>-8.9999999999790248E-4</v>
      </c>
      <c r="V32" s="77" cm="1">
        <f t="array" ref="V3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2" s="77">
        <v>-1.4999999984866008E-3</v>
      </c>
      <c r="X32" s="77" cm="1">
        <f t="array" ref="X3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2" s="77">
        <v>6.99999975040555E-4</v>
      </c>
      <c r="Z32" s="77" cm="1">
        <f t="array" ref="Z3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2" s="107" t="s">
        <v>86</v>
      </c>
      <c r="AE32" s="111"/>
      <c r="AF32" s="1"/>
      <c r="AG32" s="1"/>
      <c r="AH32" s="4"/>
      <c r="AI32" s="8"/>
      <c r="AJ32" s="1"/>
      <c r="AK32" s="1"/>
      <c r="AL32" s="1"/>
      <c r="AM32" s="1"/>
      <c r="AN32" s="1"/>
      <c r="AO32" s="1"/>
      <c r="AP32" s="1"/>
      <c r="AQ32" s="1"/>
      <c r="AR32" s="1"/>
      <c r="AS32" s="1"/>
      <c r="AT32" s="1"/>
    </row>
    <row r="33" spans="7:46" ht="14.25" customHeight="1" x14ac:dyDescent="0.2">
      <c r="G33" s="74">
        <v>45776.284722222219</v>
      </c>
      <c r="H33" s="107" t="s">
        <v>165</v>
      </c>
      <c r="I33" s="127"/>
      <c r="J33" s="145">
        <v>51884.538999999997</v>
      </c>
      <c r="K33" s="145">
        <v>159193.38269999999</v>
      </c>
      <c r="L33" s="145">
        <v>19.331700000000001</v>
      </c>
      <c r="M33" s="142">
        <v>51884.538999999997</v>
      </c>
      <c r="N33" s="142">
        <v>159193.38200000001</v>
      </c>
      <c r="O33" s="142">
        <v>19.329999999999998</v>
      </c>
      <c r="P33" s="129">
        <v>23</v>
      </c>
      <c r="Q33" s="76">
        <v>0</v>
      </c>
      <c r="R33" s="109" cm="1">
        <f t="array" ref="R3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3" s="76">
        <v>-6.99999975040555E-4</v>
      </c>
      <c r="T33" s="77" cm="1">
        <f t="array" ref="T3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3" s="76">
        <v>-1.7000000000031434E-3</v>
      </c>
      <c r="V33" s="77" cm="1">
        <f t="array" ref="V3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3" s="77">
        <v>0</v>
      </c>
      <c r="X33" s="77" cm="1">
        <f t="array" ref="X3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3" s="77">
        <v>-6.99999975040555E-4</v>
      </c>
      <c r="Z33" s="77" cm="1">
        <f t="array" ref="Z3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3" s="107" t="s">
        <v>86</v>
      </c>
      <c r="AE33" s="111"/>
      <c r="AF33" s="1"/>
      <c r="AG33" s="1"/>
      <c r="AH33" s="4"/>
      <c r="AI33" s="8"/>
      <c r="AJ33" s="1"/>
      <c r="AK33" s="1"/>
      <c r="AL33" s="1"/>
      <c r="AM33" s="1"/>
      <c r="AN33" s="1"/>
      <c r="AO33" s="1"/>
      <c r="AP33" s="1"/>
      <c r="AQ33" s="1"/>
      <c r="AR33" s="1"/>
      <c r="AS33" s="1"/>
      <c r="AT33" s="1"/>
    </row>
    <row r="34" spans="7:46" ht="14.25" customHeight="1" x14ac:dyDescent="0.2">
      <c r="G34" s="74">
        <v>45776.284722222219</v>
      </c>
      <c r="H34" s="107" t="s">
        <v>166</v>
      </c>
      <c r="I34" s="127"/>
      <c r="J34" s="145">
        <v>51890.2863</v>
      </c>
      <c r="K34" s="145">
        <v>159191.73069999999</v>
      </c>
      <c r="L34" s="145">
        <v>19.321999999999999</v>
      </c>
      <c r="M34" s="142">
        <v>51890.286</v>
      </c>
      <c r="N34" s="142">
        <v>159191.73000000001</v>
      </c>
      <c r="O34" s="142">
        <v>19.321000000000002</v>
      </c>
      <c r="P34" s="129">
        <v>23</v>
      </c>
      <c r="Q34" s="76">
        <v>-2.9999999969732016E-4</v>
      </c>
      <c r="R34" s="109" cm="1">
        <f t="array" ref="R3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4" s="76">
        <v>-6.99999975040555E-4</v>
      </c>
      <c r="T34" s="77" cm="1">
        <f t="array" ref="T3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4" s="76">
        <v>-9.9999999999766942E-4</v>
      </c>
      <c r="V34" s="77" cm="1">
        <f t="array" ref="V3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4" s="77">
        <v>-2.9999999969732016E-4</v>
      </c>
      <c r="X34" s="77" cm="1">
        <f t="array" ref="X3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4" s="77">
        <v>-6.99999975040555E-4</v>
      </c>
      <c r="Z34" s="77" cm="1">
        <f t="array" ref="Z3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4" s="107" t="s">
        <v>86</v>
      </c>
      <c r="AE34" s="111"/>
      <c r="AF34" s="1"/>
      <c r="AG34" s="1"/>
      <c r="AH34" s="4"/>
      <c r="AI34" s="8"/>
      <c r="AJ34" s="1"/>
      <c r="AK34" s="1"/>
      <c r="AL34" s="1"/>
      <c r="AM34" s="1"/>
      <c r="AN34" s="1"/>
      <c r="AO34" s="1"/>
      <c r="AP34" s="1"/>
      <c r="AQ34" s="1"/>
      <c r="AR34" s="1"/>
      <c r="AS34" s="1"/>
      <c r="AT34" s="1"/>
    </row>
    <row r="35" spans="7:46" ht="14.25" customHeight="1" x14ac:dyDescent="0.2">
      <c r="G35" s="74">
        <v>45776.284722222219</v>
      </c>
      <c r="H35" s="107" t="s">
        <v>167</v>
      </c>
      <c r="I35" s="127"/>
      <c r="J35" s="145">
        <v>51895.920700000002</v>
      </c>
      <c r="K35" s="145">
        <v>159190.1</v>
      </c>
      <c r="L35" s="145">
        <v>19.334</v>
      </c>
      <c r="M35" s="142">
        <v>51895.921000000002</v>
      </c>
      <c r="N35" s="142">
        <v>159190.1</v>
      </c>
      <c r="O35" s="142">
        <v>19.332999999999998</v>
      </c>
      <c r="P35" s="129">
        <v>23</v>
      </c>
      <c r="Q35" s="76">
        <v>2.9999999969732016E-4</v>
      </c>
      <c r="R35" s="109" cm="1">
        <f t="array" ref="R3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5" s="76">
        <v>0</v>
      </c>
      <c r="T35" s="77" cm="1">
        <f t="array" ref="T3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5" s="76">
        <v>-1.0000000000012221E-3</v>
      </c>
      <c r="V35" s="77" cm="1">
        <f t="array" ref="V3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5" s="77">
        <v>2.9999999969732016E-4</v>
      </c>
      <c r="X35" s="77" cm="1">
        <f t="array" ref="X3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5" s="77">
        <v>0</v>
      </c>
      <c r="Z35" s="77" cm="1">
        <f t="array" ref="Z3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5" s="107" t="s">
        <v>86</v>
      </c>
      <c r="AE35" s="111"/>
      <c r="AF35" s="1"/>
      <c r="AG35" s="1"/>
      <c r="AH35" s="4"/>
      <c r="AI35" s="8"/>
      <c r="AJ35" s="1"/>
      <c r="AK35" s="1"/>
      <c r="AL35" s="1"/>
      <c r="AM35" s="1"/>
      <c r="AN35" s="1"/>
      <c r="AO35" s="1"/>
      <c r="AP35" s="1"/>
      <c r="AQ35" s="1"/>
      <c r="AR35" s="1"/>
      <c r="AS35" s="1"/>
      <c r="AT35" s="1"/>
    </row>
    <row r="36" spans="7:46" ht="14.25" customHeight="1" x14ac:dyDescent="0.2">
      <c r="G36" s="74">
        <v>45776.284722222219</v>
      </c>
      <c r="H36" s="107" t="s">
        <v>168</v>
      </c>
      <c r="I36" s="127"/>
      <c r="J36" s="145">
        <v>51899.7667</v>
      </c>
      <c r="K36" s="145">
        <v>159188.9933</v>
      </c>
      <c r="L36" s="145">
        <v>19.344999999999999</v>
      </c>
      <c r="M36" s="142">
        <v>51899.767</v>
      </c>
      <c r="N36" s="142">
        <v>159188.99299999999</v>
      </c>
      <c r="O36" s="142">
        <v>19.344000000000001</v>
      </c>
      <c r="P36" s="129">
        <v>23</v>
      </c>
      <c r="Q36" s="76">
        <v>2.9999999969732016E-4</v>
      </c>
      <c r="R36" s="109" cm="1">
        <f t="array" ref="R3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6" s="76">
        <v>-3.0000001424923539E-4</v>
      </c>
      <c r="T36" s="77" cm="1">
        <f t="array" ref="T3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6" s="76">
        <v>-9.9999999999766942E-4</v>
      </c>
      <c r="V36" s="77" cm="1">
        <f t="array" ref="V3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6" s="77">
        <v>2.9999999969732016E-4</v>
      </c>
      <c r="X36" s="77" cm="1">
        <f t="array" ref="X3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6" s="77">
        <v>-3.0000001424923539E-4</v>
      </c>
      <c r="Z36" s="77" cm="1">
        <f t="array" ref="Z3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6" s="107" t="s">
        <v>86</v>
      </c>
      <c r="AE36" s="111"/>
      <c r="AF36" s="1"/>
      <c r="AG36" s="1"/>
      <c r="AH36" s="4"/>
      <c r="AI36" s="8"/>
      <c r="AJ36" s="1"/>
      <c r="AK36" s="1"/>
      <c r="AL36" s="1"/>
      <c r="AM36" s="1"/>
      <c r="AN36" s="1"/>
      <c r="AO36" s="1"/>
      <c r="AP36" s="1"/>
      <c r="AQ36" s="1"/>
      <c r="AR36" s="1"/>
      <c r="AS36" s="1"/>
      <c r="AT36" s="1"/>
    </row>
    <row r="37" spans="7:46" ht="14.25" customHeight="1" x14ac:dyDescent="0.2">
      <c r="G37" s="74">
        <v>45776.284722222219</v>
      </c>
      <c r="H37" s="107" t="s">
        <v>169</v>
      </c>
      <c r="I37" s="127"/>
      <c r="J37" s="145">
        <v>51903.6083</v>
      </c>
      <c r="K37" s="145">
        <v>159187.88200000001</v>
      </c>
      <c r="L37" s="145">
        <v>19.356999999999999</v>
      </c>
      <c r="M37" s="142">
        <v>51903.608</v>
      </c>
      <c r="N37" s="142">
        <v>159187.88200000001</v>
      </c>
      <c r="O37" s="142">
        <v>19.356000000000002</v>
      </c>
      <c r="P37" s="129">
        <v>23</v>
      </c>
      <c r="Q37" s="76">
        <v>-2.9999999969732016E-4</v>
      </c>
      <c r="R37" s="109" cm="1">
        <f t="array" ref="R3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7" s="76">
        <v>0</v>
      </c>
      <c r="T37" s="77" cm="1">
        <f t="array" ref="T3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7" s="76">
        <v>-9.9999999999766942E-4</v>
      </c>
      <c r="V37" s="77" cm="1">
        <f t="array" ref="V3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7" s="77">
        <v>-2.9999999969732016E-4</v>
      </c>
      <c r="X37" s="77" cm="1">
        <f t="array" ref="X3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7" s="77">
        <v>0</v>
      </c>
      <c r="Z37" s="77" cm="1">
        <f t="array" ref="Z3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7" s="107" t="s">
        <v>86</v>
      </c>
      <c r="AE37" s="111"/>
      <c r="AF37" s="1"/>
      <c r="AG37" s="1"/>
      <c r="AH37" s="4"/>
      <c r="AI37" s="8"/>
      <c r="AJ37" s="1"/>
      <c r="AK37" s="1"/>
      <c r="AL37" s="1"/>
      <c r="AM37" s="1"/>
      <c r="AN37" s="1"/>
      <c r="AO37" s="1"/>
      <c r="AP37" s="1"/>
      <c r="AQ37" s="1"/>
      <c r="AR37" s="1"/>
      <c r="AS37" s="1"/>
      <c r="AT37" s="1"/>
    </row>
    <row r="38" spans="7:46" ht="14.25" customHeight="1" x14ac:dyDescent="0.2">
      <c r="G38" s="74">
        <v>45776.284722222219</v>
      </c>
      <c r="H38" s="107" t="s">
        <v>170</v>
      </c>
      <c r="I38" s="127"/>
      <c r="J38" s="145">
        <v>51910.065000000002</v>
      </c>
      <c r="K38" s="145">
        <v>159186.02369999999</v>
      </c>
      <c r="L38" s="145">
        <v>19.356999999999999</v>
      </c>
      <c r="M38" s="142">
        <v>51910.065000000002</v>
      </c>
      <c r="N38" s="142">
        <v>159186.02299999999</v>
      </c>
      <c r="O38" s="142">
        <v>19.356999999999999</v>
      </c>
      <c r="P38" s="129">
        <v>23</v>
      </c>
      <c r="Q38" s="76">
        <v>0</v>
      </c>
      <c r="R38" s="109" cm="1">
        <f t="array" ref="R3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8" s="76">
        <v>-7.0000000414438546E-4</v>
      </c>
      <c r="T38" s="77" cm="1">
        <f t="array" ref="T3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8" s="76">
        <v>0</v>
      </c>
      <c r="V38" s="77" cm="1">
        <f t="array" ref="V3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8" s="77">
        <v>0</v>
      </c>
      <c r="X38" s="77" cm="1">
        <f t="array" ref="X3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8" s="77">
        <v>-7.0000000414438546E-4</v>
      </c>
      <c r="Z38" s="77" cm="1">
        <f t="array" ref="Z3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8" s="107" t="s">
        <v>86</v>
      </c>
      <c r="AE38" s="111"/>
      <c r="AF38" s="1"/>
      <c r="AG38" s="1"/>
      <c r="AH38" s="4"/>
      <c r="AI38" s="8"/>
      <c r="AJ38" s="1"/>
      <c r="AK38" s="1"/>
      <c r="AL38" s="1"/>
      <c r="AM38" s="1"/>
      <c r="AN38" s="1"/>
      <c r="AO38" s="1"/>
      <c r="AP38" s="1"/>
      <c r="AQ38" s="1"/>
      <c r="AR38" s="1"/>
      <c r="AS38" s="1"/>
      <c r="AT38" s="1"/>
    </row>
    <row r="39" spans="7:46" ht="14.25" customHeight="1" x14ac:dyDescent="0.2">
      <c r="G39" s="74">
        <v>45775.28125</v>
      </c>
      <c r="H39" s="107" t="s">
        <v>172</v>
      </c>
      <c r="I39" s="127"/>
      <c r="J39" s="145">
        <v>51885.34</v>
      </c>
      <c r="K39" s="145">
        <v>159195.739</v>
      </c>
      <c r="L39" s="145">
        <v>18.782</v>
      </c>
      <c r="M39" s="142">
        <v>51885.34</v>
      </c>
      <c r="N39" s="142">
        <v>159195.739</v>
      </c>
      <c r="O39" s="142">
        <v>18.783000000000001</v>
      </c>
      <c r="P39" s="129">
        <v>23</v>
      </c>
      <c r="Q39" s="76">
        <v>0</v>
      </c>
      <c r="R39" s="109" cm="1">
        <f t="array" ref="R3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39" s="76">
        <v>0</v>
      </c>
      <c r="T39" s="77" cm="1">
        <f t="array" ref="T3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39" s="76">
        <v>1.0000000000012221E-3</v>
      </c>
      <c r="V39" s="77" cm="1">
        <f t="array" ref="V3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39" s="77">
        <v>0</v>
      </c>
      <c r="X39" s="77" cm="1">
        <f t="array" ref="X3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39" s="77">
        <v>0</v>
      </c>
      <c r="Z39" s="77" cm="1">
        <f t="array" ref="Z3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3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3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3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39" s="107" t="s">
        <v>86</v>
      </c>
      <c r="AE39" s="111"/>
      <c r="AF39" s="1"/>
      <c r="AG39" s="1"/>
      <c r="AH39" s="4"/>
      <c r="AI39" s="8"/>
      <c r="AJ39" s="1"/>
      <c r="AK39" s="1"/>
      <c r="AL39" s="1"/>
      <c r="AM39" s="1"/>
      <c r="AN39" s="1"/>
      <c r="AO39" s="1"/>
      <c r="AP39" s="1"/>
      <c r="AQ39" s="1"/>
      <c r="AR39" s="1"/>
      <c r="AS39" s="1"/>
      <c r="AT39" s="1"/>
    </row>
    <row r="40" spans="7:46" ht="14.25" customHeight="1" x14ac:dyDescent="0.2">
      <c r="G40" s="74">
        <v>45775.28125</v>
      </c>
      <c r="H40" s="107" t="s">
        <v>171</v>
      </c>
      <c r="I40" s="127"/>
      <c r="J40" s="145">
        <v>51884.958899999998</v>
      </c>
      <c r="K40" s="145">
        <v>159194.47070000001</v>
      </c>
      <c r="L40" s="145">
        <v>18.778099999999998</v>
      </c>
      <c r="M40" s="142">
        <v>51884.959000000003</v>
      </c>
      <c r="N40" s="142">
        <v>159194.47099999999</v>
      </c>
      <c r="O40" s="142">
        <v>18.779</v>
      </c>
      <c r="P40" s="129">
        <v>23</v>
      </c>
      <c r="Q40" s="76">
        <v>1.0000000474974513E-4</v>
      </c>
      <c r="R40" s="109" cm="1">
        <f t="array" ref="R4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0" s="76">
        <v>2.9999998514540493E-4</v>
      </c>
      <c r="T40" s="77" cm="1">
        <f t="array" ref="T4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0" s="76">
        <v>9.0000000000145519E-4</v>
      </c>
      <c r="V40" s="77" cm="1">
        <f t="array" ref="V4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0" s="77">
        <v>1.0000000474974513E-4</v>
      </c>
      <c r="X40" s="77" cm="1">
        <f t="array" ref="X4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0" s="77">
        <v>2.9999998514540493E-4</v>
      </c>
      <c r="Z40" s="77" cm="1">
        <f t="array" ref="Z4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0" s="107" t="s">
        <v>86</v>
      </c>
      <c r="AE40" s="111"/>
      <c r="AF40" s="1"/>
      <c r="AG40" s="1"/>
      <c r="AH40" s="4"/>
      <c r="AI40" s="8"/>
      <c r="AJ40" s="1"/>
      <c r="AK40" s="1"/>
      <c r="AL40" s="1"/>
      <c r="AM40" s="1"/>
      <c r="AN40" s="1"/>
      <c r="AO40" s="1"/>
      <c r="AP40" s="1"/>
      <c r="AQ40" s="1"/>
      <c r="AR40" s="1"/>
      <c r="AS40" s="1"/>
      <c r="AT40" s="1"/>
    </row>
    <row r="41" spans="7:46" ht="14.25" customHeight="1" x14ac:dyDescent="0.2">
      <c r="G41" s="74">
        <v>45775.28125</v>
      </c>
      <c r="H41" s="107" t="s">
        <v>174</v>
      </c>
      <c r="I41" s="127"/>
      <c r="J41" s="145">
        <v>51888.117700000003</v>
      </c>
      <c r="K41" s="145">
        <v>159194.94529999999</v>
      </c>
      <c r="L41" s="145">
        <v>18.7788</v>
      </c>
      <c r="M41" s="142">
        <v>51888.116999999998</v>
      </c>
      <c r="N41" s="142">
        <v>159194.946</v>
      </c>
      <c r="O41" s="142">
        <v>18.779</v>
      </c>
      <c r="P41" s="129">
        <v>23</v>
      </c>
      <c r="Q41" s="76">
        <v>-7.0000000414438546E-4</v>
      </c>
      <c r="R41" s="109" cm="1">
        <f t="array" ref="R4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1" s="76">
        <v>7.0000000414438546E-4</v>
      </c>
      <c r="T41" s="77" cm="1">
        <f t="array" ref="T4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1" s="76">
        <v>1.9999999999953388E-4</v>
      </c>
      <c r="V41" s="77" cm="1">
        <f t="array" ref="V4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1" s="77">
        <v>-7.0000000414438546E-4</v>
      </c>
      <c r="X41" s="77" cm="1">
        <f t="array" ref="X4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1" s="77">
        <v>7.0000000414438546E-4</v>
      </c>
      <c r="Z41" s="77" cm="1">
        <f t="array" ref="Z4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1" s="107" t="s">
        <v>86</v>
      </c>
      <c r="AE41" s="111"/>
      <c r="AF41" s="1"/>
      <c r="AG41" s="1"/>
      <c r="AH41" s="4"/>
      <c r="AI41" s="8"/>
      <c r="AJ41" s="1"/>
      <c r="AK41" s="1"/>
      <c r="AL41" s="1"/>
      <c r="AM41" s="1"/>
      <c r="AN41" s="1"/>
      <c r="AO41" s="1"/>
      <c r="AP41" s="1"/>
      <c r="AQ41" s="1"/>
      <c r="AR41" s="1"/>
      <c r="AS41" s="1"/>
      <c r="AT41" s="1"/>
    </row>
    <row r="42" spans="7:46" ht="14.25" customHeight="1" x14ac:dyDescent="0.2">
      <c r="G42" s="74">
        <v>45775.28125</v>
      </c>
      <c r="H42" s="107" t="s">
        <v>173</v>
      </c>
      <c r="I42" s="127"/>
      <c r="J42" s="145">
        <v>51887.805099999998</v>
      </c>
      <c r="K42" s="145">
        <v>159193.65710000001</v>
      </c>
      <c r="L42" s="145">
        <v>18.778500000000001</v>
      </c>
      <c r="M42" s="142">
        <v>51887.805</v>
      </c>
      <c r="N42" s="142">
        <v>159193.658</v>
      </c>
      <c r="O42" s="142">
        <v>18.779</v>
      </c>
      <c r="P42" s="129">
        <v>23</v>
      </c>
      <c r="Q42" s="76">
        <v>-9.9999997473787516E-5</v>
      </c>
      <c r="R42" s="109" cm="1">
        <f t="array" ref="R4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2" s="76">
        <v>8.9999998454004526E-4</v>
      </c>
      <c r="T42" s="77" cm="1">
        <f t="array" ref="T4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2" s="76">
        <v>4.9999999999883471E-4</v>
      </c>
      <c r="V42" s="77" cm="1">
        <f t="array" ref="V4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2" s="77">
        <v>-9.9999997473787516E-5</v>
      </c>
      <c r="X42" s="77" cm="1">
        <f t="array" ref="X4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2" s="77">
        <v>8.9999998454004526E-4</v>
      </c>
      <c r="Z42" s="77" cm="1">
        <f t="array" ref="Z4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2" s="107" t="s">
        <v>86</v>
      </c>
      <c r="AE42" s="111"/>
      <c r="AF42" s="1"/>
      <c r="AG42" s="1"/>
      <c r="AH42" s="4"/>
      <c r="AI42" s="8"/>
      <c r="AJ42" s="1"/>
      <c r="AK42" s="1"/>
      <c r="AL42" s="1"/>
      <c r="AM42" s="1"/>
      <c r="AN42" s="1"/>
      <c r="AO42" s="1"/>
      <c r="AP42" s="1"/>
      <c r="AQ42" s="1"/>
      <c r="AR42" s="1"/>
      <c r="AS42" s="1"/>
      <c r="AT42" s="1"/>
    </row>
    <row r="43" spans="7:46" ht="14.25" customHeight="1" x14ac:dyDescent="0.2">
      <c r="G43" s="74">
        <v>45775.28125</v>
      </c>
      <c r="H43" s="107" t="s">
        <v>176</v>
      </c>
      <c r="I43" s="127"/>
      <c r="J43" s="145">
        <v>51890.969100000002</v>
      </c>
      <c r="K43" s="145">
        <v>159194.1177</v>
      </c>
      <c r="L43" s="145">
        <v>18.779</v>
      </c>
      <c r="M43" s="142">
        <v>51890.968999999997</v>
      </c>
      <c r="N43" s="142">
        <v>159194.11799999999</v>
      </c>
      <c r="O43" s="142">
        <v>18.78</v>
      </c>
      <c r="P43" s="129">
        <v>23</v>
      </c>
      <c r="Q43" s="76">
        <v>-1.0000000474974513E-4</v>
      </c>
      <c r="R43" s="109" cm="1">
        <f t="array" ref="R4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3" s="76">
        <v>2.9999998514540493E-4</v>
      </c>
      <c r="T43" s="77" cm="1">
        <f t="array" ref="T4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3" s="76">
        <v>1.0000000000012221E-3</v>
      </c>
      <c r="V43" s="77" cm="1">
        <f t="array" ref="V4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3" s="77">
        <v>-1.0000000474974513E-4</v>
      </c>
      <c r="X43" s="77" cm="1">
        <f t="array" ref="X4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3" s="77">
        <v>2.9999998514540493E-4</v>
      </c>
      <c r="Z43" s="77" cm="1">
        <f t="array" ref="Z4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3" s="107" t="s">
        <v>86</v>
      </c>
      <c r="AE43" s="111"/>
      <c r="AF43" s="1"/>
      <c r="AG43" s="1"/>
      <c r="AH43" s="4"/>
      <c r="AI43" s="8"/>
      <c r="AJ43" s="1"/>
      <c r="AK43" s="1"/>
      <c r="AL43" s="1"/>
      <c r="AM43" s="1"/>
      <c r="AN43" s="1"/>
      <c r="AO43" s="1"/>
      <c r="AP43" s="1"/>
      <c r="AQ43" s="1"/>
      <c r="AR43" s="1"/>
      <c r="AS43" s="1"/>
      <c r="AT43" s="1"/>
    </row>
    <row r="44" spans="7:46" ht="14.25" customHeight="1" x14ac:dyDescent="0.2">
      <c r="G44" s="74">
        <v>45775.28125</v>
      </c>
      <c r="H44" s="107" t="s">
        <v>175</v>
      </c>
      <c r="I44" s="127"/>
      <c r="J44" s="145">
        <v>51890.606800000001</v>
      </c>
      <c r="K44" s="145">
        <v>159192.86069999999</v>
      </c>
      <c r="L44" s="145">
        <v>18.771999999999998</v>
      </c>
      <c r="M44" s="142">
        <v>51890.606</v>
      </c>
      <c r="N44" s="142">
        <v>159192.86199999999</v>
      </c>
      <c r="O44" s="142">
        <v>18.773</v>
      </c>
      <c r="P44" s="129">
        <v>23</v>
      </c>
      <c r="Q44" s="76">
        <v>-8.0000000161817297E-4</v>
      </c>
      <c r="R44" s="109" cm="1">
        <f t="array" ref="R4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4" s="76">
        <v>1.3000000035390258E-3</v>
      </c>
      <c r="T44" s="77" cm="1">
        <f t="array" ref="T4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4" s="76">
        <v>1.0000000000012221E-3</v>
      </c>
      <c r="V44" s="77" cm="1">
        <f t="array" ref="V4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4" s="77">
        <v>-8.0000000161817297E-4</v>
      </c>
      <c r="X44" s="77" cm="1">
        <f t="array" ref="X4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4" s="77">
        <v>1.3000000035390258E-3</v>
      </c>
      <c r="Z44" s="77" cm="1">
        <f t="array" ref="Z4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4" s="107" t="s">
        <v>86</v>
      </c>
      <c r="AE44" s="111"/>
      <c r="AF44" s="1"/>
      <c r="AG44" s="1"/>
      <c r="AH44" s="4"/>
      <c r="AI44" s="8"/>
      <c r="AJ44" s="1"/>
      <c r="AK44" s="1"/>
      <c r="AL44" s="1"/>
      <c r="AM44" s="1"/>
      <c r="AN44" s="1"/>
      <c r="AO44" s="1"/>
      <c r="AP44" s="1"/>
      <c r="AQ44" s="1"/>
      <c r="AR44" s="1"/>
      <c r="AS44" s="1"/>
      <c r="AT44" s="1"/>
    </row>
    <row r="45" spans="7:46" ht="14.25" customHeight="1" x14ac:dyDescent="0.2">
      <c r="G45" s="74">
        <v>45775.28125</v>
      </c>
      <c r="H45" s="107" t="s">
        <v>178</v>
      </c>
      <c r="I45" s="127"/>
      <c r="J45" s="145">
        <v>51893.758699999998</v>
      </c>
      <c r="K45" s="145">
        <v>159193.3144</v>
      </c>
      <c r="L45" s="145">
        <v>18.774100000000001</v>
      </c>
      <c r="M45" s="142">
        <v>51893.758000000002</v>
      </c>
      <c r="N45" s="142">
        <v>159193.315</v>
      </c>
      <c r="O45" s="142">
        <v>18.774999999999999</v>
      </c>
      <c r="P45" s="129">
        <v>23</v>
      </c>
      <c r="Q45" s="76">
        <v>-6.9999999686842784E-4</v>
      </c>
      <c r="R45" s="109" cm="1">
        <f t="array" ref="R4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5" s="76">
        <v>5.9999999939464033E-4</v>
      </c>
      <c r="T45" s="77" cm="1">
        <f t="array" ref="T4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5" s="76">
        <v>8.9999999999790248E-4</v>
      </c>
      <c r="V45" s="77" cm="1">
        <f t="array" ref="V4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5" s="77">
        <v>-6.9999999686842784E-4</v>
      </c>
      <c r="X45" s="77" cm="1">
        <f t="array" ref="X4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5" s="77">
        <v>5.9999999939464033E-4</v>
      </c>
      <c r="Z45" s="77" cm="1">
        <f t="array" ref="Z4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5" s="107" t="s">
        <v>86</v>
      </c>
      <c r="AE45" s="111"/>
      <c r="AF45" s="1"/>
      <c r="AG45" s="1"/>
      <c r="AH45" s="4"/>
      <c r="AI45" s="4"/>
      <c r="AJ45" s="4"/>
      <c r="AK45" s="4"/>
      <c r="AL45" s="1"/>
      <c r="AM45" s="1"/>
      <c r="AN45" s="9"/>
      <c r="AO45" s="6"/>
      <c r="AP45" s="6"/>
      <c r="AQ45" s="6"/>
      <c r="AR45" s="8"/>
      <c r="AS45" s="8"/>
      <c r="AT45" s="1"/>
    </row>
    <row r="46" spans="7:46" ht="14.25" customHeight="1" x14ac:dyDescent="0.2">
      <c r="G46" s="74">
        <v>45775.28125</v>
      </c>
      <c r="H46" s="107" t="s">
        <v>177</v>
      </c>
      <c r="I46" s="127"/>
      <c r="J46" s="145">
        <v>51893.441299999999</v>
      </c>
      <c r="K46" s="145">
        <v>159192.04019999999</v>
      </c>
      <c r="L46" s="145">
        <v>18.7683</v>
      </c>
      <c r="M46" s="142">
        <v>51893.440999999999</v>
      </c>
      <c r="N46" s="142">
        <v>159192.041</v>
      </c>
      <c r="O46" s="142">
        <v>18.77</v>
      </c>
      <c r="P46" s="129">
        <v>23</v>
      </c>
      <c r="Q46" s="76">
        <v>-2.9999999969732016E-4</v>
      </c>
      <c r="R46" s="109" cm="1">
        <f t="array" ref="R4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6" s="76">
        <v>8.0000000889413059E-4</v>
      </c>
      <c r="T46" s="77" cm="1">
        <f t="array" ref="T4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6" s="76">
        <v>1.6999999999995907E-3</v>
      </c>
      <c r="V46" s="77" cm="1">
        <f t="array" ref="V4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6" s="77">
        <v>-2.9999999969732016E-4</v>
      </c>
      <c r="X46" s="77" cm="1">
        <f t="array" ref="X4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6" s="77">
        <v>8.0000000889413059E-4</v>
      </c>
      <c r="Z46" s="77" cm="1">
        <f t="array" ref="Z4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6" s="107" t="s">
        <v>86</v>
      </c>
      <c r="AE46" s="111"/>
      <c r="AF46" s="1"/>
      <c r="AG46" s="1"/>
      <c r="AH46" s="4"/>
      <c r="AI46" s="4"/>
      <c r="AJ46" s="4"/>
      <c r="AK46" s="4"/>
      <c r="AL46" s="1"/>
      <c r="AM46" s="1"/>
      <c r="AN46" s="9"/>
      <c r="AO46" s="6"/>
      <c r="AP46" s="6"/>
      <c r="AQ46" s="6"/>
      <c r="AR46" s="8"/>
      <c r="AS46" s="8"/>
      <c r="AT46" s="1"/>
    </row>
    <row r="47" spans="7:46" ht="14.25" customHeight="1" x14ac:dyDescent="0.2">
      <c r="G47" s="74">
        <v>45775.28125</v>
      </c>
      <c r="H47" s="107" t="s">
        <v>180</v>
      </c>
      <c r="I47" s="127"/>
      <c r="J47" s="145">
        <v>51896.633300000001</v>
      </c>
      <c r="K47" s="145">
        <v>159192.48449999999</v>
      </c>
      <c r="L47" s="145">
        <v>18.7776</v>
      </c>
      <c r="M47" s="142">
        <v>51896.633000000002</v>
      </c>
      <c r="N47" s="142">
        <v>159192.48499999999</v>
      </c>
      <c r="O47" s="142">
        <v>18.777999999999999</v>
      </c>
      <c r="P47" s="129">
        <v>23</v>
      </c>
      <c r="Q47" s="76">
        <v>-2.9999999969732016E-4</v>
      </c>
      <c r="R47" s="109" cm="1">
        <f t="array" ref="R4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7" s="76">
        <v>4.999999946448952E-4</v>
      </c>
      <c r="T47" s="77" cm="1">
        <f t="array" ref="T4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7" s="76">
        <v>3.9999999999906777E-4</v>
      </c>
      <c r="V47" s="77" cm="1">
        <f t="array" ref="V4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7" s="77">
        <v>-2.9999999969732016E-4</v>
      </c>
      <c r="X47" s="77" cm="1">
        <f t="array" ref="X4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7" s="77">
        <v>4.999999946448952E-4</v>
      </c>
      <c r="Z47" s="77" cm="1">
        <f t="array" ref="Z4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7" s="107" t="s">
        <v>86</v>
      </c>
      <c r="AE47" s="111"/>
      <c r="AF47" s="1"/>
      <c r="AG47" s="1"/>
      <c r="AH47" s="4"/>
      <c r="AI47" s="4"/>
      <c r="AJ47" s="4"/>
      <c r="AK47" s="4"/>
      <c r="AL47" s="1"/>
      <c r="AM47" s="1"/>
      <c r="AN47" s="9"/>
      <c r="AO47" s="6"/>
      <c r="AP47" s="6"/>
      <c r="AQ47" s="6"/>
      <c r="AR47" s="8"/>
      <c r="AS47" s="8"/>
      <c r="AT47" s="1"/>
    </row>
    <row r="48" spans="7:46" ht="14.25" customHeight="1" x14ac:dyDescent="0.2">
      <c r="G48" s="74">
        <v>45775.28125</v>
      </c>
      <c r="H48" s="107" t="s">
        <v>179</v>
      </c>
      <c r="I48" s="127"/>
      <c r="J48" s="145">
        <v>51896.249799999998</v>
      </c>
      <c r="K48" s="145">
        <v>159191.22630000001</v>
      </c>
      <c r="L48" s="145">
        <v>18.7698</v>
      </c>
      <c r="M48" s="142">
        <v>51896.249000000003</v>
      </c>
      <c r="N48" s="142">
        <v>159191.22700000001</v>
      </c>
      <c r="O48" s="142">
        <v>18.771000000000001</v>
      </c>
      <c r="P48" s="129">
        <v>23</v>
      </c>
      <c r="Q48" s="76">
        <v>-7.9999999434221536E-4</v>
      </c>
      <c r="R48" s="109" cm="1">
        <f t="array" ref="R4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8" s="76">
        <v>7.0000000414438546E-4</v>
      </c>
      <c r="T48" s="77" cm="1">
        <f t="array" ref="T4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8" s="76">
        <v>1.200000000000756E-3</v>
      </c>
      <c r="V48" s="77" cm="1">
        <f t="array" ref="V4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8" s="77">
        <v>-7.9999999434221536E-4</v>
      </c>
      <c r="X48" s="77" cm="1">
        <f t="array" ref="X4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8" s="77">
        <v>7.0000000414438546E-4</v>
      </c>
      <c r="Z48" s="77" cm="1">
        <f t="array" ref="Z4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8" s="107" t="s">
        <v>86</v>
      </c>
      <c r="AE48" s="111"/>
      <c r="AF48" s="1"/>
      <c r="AG48" s="1"/>
      <c r="AH48" s="4"/>
      <c r="AI48" s="4"/>
      <c r="AJ48" s="4"/>
      <c r="AK48" s="4"/>
      <c r="AL48" s="1"/>
      <c r="AM48" s="1"/>
      <c r="AN48" s="9"/>
      <c r="AO48" s="6"/>
      <c r="AP48" s="6"/>
      <c r="AQ48" s="6"/>
      <c r="AR48" s="8"/>
      <c r="AS48" s="8"/>
      <c r="AT48" s="1"/>
    </row>
    <row r="49" spans="7:46" ht="14.25" customHeight="1" x14ac:dyDescent="0.2">
      <c r="G49" s="74">
        <v>45775.28125</v>
      </c>
      <c r="H49" s="107" t="s">
        <v>182</v>
      </c>
      <c r="I49" s="127"/>
      <c r="J49" s="145">
        <v>51899.398699999998</v>
      </c>
      <c r="K49" s="145">
        <v>159191.69760000001</v>
      </c>
      <c r="L49" s="145">
        <v>18.777999999999999</v>
      </c>
      <c r="M49" s="142">
        <v>51899.398000000001</v>
      </c>
      <c r="N49" s="142">
        <v>159191.698</v>
      </c>
      <c r="O49" s="142">
        <v>18.779</v>
      </c>
      <c r="P49" s="129">
        <v>23</v>
      </c>
      <c r="Q49" s="76">
        <v>-6.9999999686842784E-4</v>
      </c>
      <c r="R49" s="109" cm="1">
        <f t="array" ref="R4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49" s="76">
        <v>3.9999998989515007E-4</v>
      </c>
      <c r="T49" s="77" cm="1">
        <f t="array" ref="T4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49" s="76">
        <v>1.0000000000012221E-3</v>
      </c>
      <c r="V49" s="77" cm="1">
        <f t="array" ref="V4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49" s="77">
        <v>-6.9999999686842784E-4</v>
      </c>
      <c r="X49" s="77" cm="1">
        <f t="array" ref="X4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49" s="77">
        <v>3.9999998989515007E-4</v>
      </c>
      <c r="Z49" s="77" cm="1">
        <f t="array" ref="Z4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4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4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4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49" s="107" t="s">
        <v>86</v>
      </c>
      <c r="AE49" s="111"/>
      <c r="AF49" s="1"/>
      <c r="AG49" s="1"/>
      <c r="AH49" s="4"/>
      <c r="AI49" s="4"/>
      <c r="AJ49" s="4"/>
      <c r="AK49" s="4"/>
      <c r="AL49" s="1"/>
      <c r="AM49" s="1"/>
      <c r="AN49" s="9"/>
      <c r="AO49" s="6"/>
      <c r="AP49" s="6"/>
      <c r="AQ49" s="6"/>
      <c r="AR49" s="8"/>
      <c r="AS49" s="8"/>
      <c r="AT49" s="1"/>
    </row>
    <row r="50" spans="7:46" ht="14.25" customHeight="1" x14ac:dyDescent="0.2">
      <c r="G50" s="74">
        <v>45775.28125</v>
      </c>
      <c r="H50" s="107" t="s">
        <v>181</v>
      </c>
      <c r="I50" s="127"/>
      <c r="J50" s="145">
        <v>51899.041100000002</v>
      </c>
      <c r="K50" s="145">
        <v>159190.43340000001</v>
      </c>
      <c r="L50" s="145">
        <v>18.771100000000001</v>
      </c>
      <c r="M50" s="142">
        <v>51899.040000000001</v>
      </c>
      <c r="N50" s="142">
        <v>159190.435</v>
      </c>
      <c r="O50" s="142">
        <v>18.771999999999998</v>
      </c>
      <c r="P50" s="129">
        <v>23</v>
      </c>
      <c r="Q50" s="76">
        <v>-1.1000000013154931E-3</v>
      </c>
      <c r="R50" s="109" cm="1">
        <f t="array" ref="R5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0" s="76">
        <v>1.5999999886844307E-3</v>
      </c>
      <c r="T50" s="77" cm="1">
        <f t="array" ref="T5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0" s="76">
        <v>8.9999999999790248E-4</v>
      </c>
      <c r="V50" s="77" cm="1">
        <f t="array" ref="V5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0" s="77">
        <v>-1.1000000013154931E-3</v>
      </c>
      <c r="X50" s="77" cm="1">
        <f t="array" ref="X5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0" s="77">
        <v>1.5999999886844307E-3</v>
      </c>
      <c r="Z50" s="77" cm="1">
        <f t="array" ref="Z5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0" s="107" t="s">
        <v>86</v>
      </c>
      <c r="AE50" s="111"/>
      <c r="AF50" s="1"/>
      <c r="AG50" s="1"/>
      <c r="AH50" s="4"/>
      <c r="AI50" s="4"/>
      <c r="AJ50" s="4"/>
      <c r="AK50" s="4"/>
      <c r="AL50" s="1"/>
      <c r="AM50" s="1"/>
      <c r="AN50" s="9"/>
      <c r="AO50" s="6"/>
      <c r="AP50" s="6"/>
      <c r="AQ50" s="6"/>
      <c r="AR50" s="8"/>
      <c r="AS50" s="8"/>
      <c r="AT50" s="1"/>
    </row>
    <row r="51" spans="7:46" ht="14.25" customHeight="1" x14ac:dyDescent="0.2">
      <c r="G51" s="74">
        <v>45775.28125</v>
      </c>
      <c r="H51" s="107" t="s">
        <v>184</v>
      </c>
      <c r="I51" s="127"/>
      <c r="J51" s="145">
        <v>51902.292699999998</v>
      </c>
      <c r="K51" s="145">
        <v>159190.88459999999</v>
      </c>
      <c r="L51" s="145">
        <v>18.779</v>
      </c>
      <c r="M51" s="142">
        <v>51902.292999999998</v>
      </c>
      <c r="N51" s="142">
        <v>159190.886</v>
      </c>
      <c r="O51" s="142">
        <v>18.779</v>
      </c>
      <c r="P51" s="129">
        <v>23</v>
      </c>
      <c r="Q51" s="76">
        <v>2.9999999969732016E-4</v>
      </c>
      <c r="R51" s="109" cm="1">
        <f t="array" ref="R5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1" s="76">
        <v>1.4000000082887709E-3</v>
      </c>
      <c r="T51" s="77" cm="1">
        <f t="array" ref="T5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1" s="76">
        <v>0</v>
      </c>
      <c r="V51" s="77" cm="1">
        <f t="array" ref="V5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1" s="77">
        <v>2.9999999969732016E-4</v>
      </c>
      <c r="X51" s="77" cm="1">
        <f t="array" ref="X5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1" s="77">
        <v>1.4000000082887709E-3</v>
      </c>
      <c r="Z51" s="77" cm="1">
        <f t="array" ref="Z5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1" s="107" t="s">
        <v>86</v>
      </c>
      <c r="AE51" s="111"/>
      <c r="AF51" s="1"/>
      <c r="AG51" s="1"/>
      <c r="AH51" s="4"/>
      <c r="AI51" s="4"/>
      <c r="AJ51" s="4"/>
      <c r="AK51" s="4"/>
      <c r="AL51" s="1"/>
      <c r="AM51" s="1"/>
      <c r="AN51" s="9"/>
      <c r="AO51" s="6"/>
      <c r="AP51" s="6"/>
      <c r="AQ51" s="6"/>
      <c r="AR51" s="8"/>
      <c r="AS51" s="8"/>
      <c r="AT51" s="1"/>
    </row>
    <row r="52" spans="7:46" ht="14.25" customHeight="1" x14ac:dyDescent="0.2">
      <c r="G52" s="74">
        <v>45775.28125</v>
      </c>
      <c r="H52" s="107" t="s">
        <v>183</v>
      </c>
      <c r="I52" s="127"/>
      <c r="J52" s="145">
        <v>51901.989200000004</v>
      </c>
      <c r="K52" s="145">
        <v>159189.60260000001</v>
      </c>
      <c r="L52" s="145">
        <v>18.770099999999999</v>
      </c>
      <c r="M52" s="142">
        <v>51901.989000000001</v>
      </c>
      <c r="N52" s="142">
        <v>159189.60399999999</v>
      </c>
      <c r="O52" s="142">
        <v>18.771000000000001</v>
      </c>
      <c r="P52" s="129">
        <v>23</v>
      </c>
      <c r="Q52" s="76">
        <v>-2.0000000222353265E-4</v>
      </c>
      <c r="R52" s="109" cm="1">
        <f t="array" ref="R5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2" s="76">
        <v>1.3999999791849405E-3</v>
      </c>
      <c r="T52" s="77" cm="1">
        <f t="array" ref="T5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2" s="76">
        <v>9.0000000000145519E-4</v>
      </c>
      <c r="V52" s="77" cm="1">
        <f t="array" ref="V5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2" s="77">
        <v>-2.0000000222353265E-4</v>
      </c>
      <c r="X52" s="77" cm="1">
        <f t="array" ref="X5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2" s="77">
        <v>1.3999999791849405E-3</v>
      </c>
      <c r="Z52" s="77" cm="1">
        <f t="array" ref="Z5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2" s="107" t="s">
        <v>86</v>
      </c>
      <c r="AE52" s="111"/>
      <c r="AF52" s="1"/>
      <c r="AG52" s="1"/>
      <c r="AH52" s="4"/>
      <c r="AI52" s="4"/>
      <c r="AJ52" s="4"/>
      <c r="AK52" s="4"/>
      <c r="AL52" s="1"/>
      <c r="AM52" s="1"/>
      <c r="AN52" s="9"/>
      <c r="AO52" s="6"/>
      <c r="AP52" s="6"/>
      <c r="AQ52" s="6"/>
      <c r="AR52" s="8"/>
      <c r="AS52" s="8"/>
      <c r="AT52" s="1"/>
    </row>
    <row r="53" spans="7:46" ht="14.25" customHeight="1" x14ac:dyDescent="0.2">
      <c r="G53" s="74">
        <v>45775.28125</v>
      </c>
      <c r="H53" s="107" t="s">
        <v>186</v>
      </c>
      <c r="I53" s="127"/>
      <c r="J53" s="145">
        <v>51905.196199999998</v>
      </c>
      <c r="K53" s="145">
        <v>159190.09460000001</v>
      </c>
      <c r="L53" s="145">
        <v>18.780899999999999</v>
      </c>
      <c r="M53" s="142">
        <v>51905.196000000004</v>
      </c>
      <c r="N53" s="142">
        <v>159190.09599999999</v>
      </c>
      <c r="O53" s="142">
        <v>18.780999999999999</v>
      </c>
      <c r="P53" s="129">
        <v>23</v>
      </c>
      <c r="Q53" s="76">
        <v>-1.9999999494757503E-4</v>
      </c>
      <c r="R53" s="109" cm="1">
        <f t="array" ref="R5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3" s="76">
        <v>1.3999999791849405E-3</v>
      </c>
      <c r="T53" s="77" cm="1">
        <f t="array" ref="T5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3" s="76">
        <v>9.9999999999766942E-5</v>
      </c>
      <c r="V53" s="77" cm="1">
        <f t="array" ref="V5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3" s="77">
        <v>-1.9999999494757503E-4</v>
      </c>
      <c r="X53" s="77" cm="1">
        <f t="array" ref="X5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3" s="77">
        <v>1.3999999791849405E-3</v>
      </c>
      <c r="Z53" s="77" cm="1">
        <f t="array" ref="Z5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3" s="107" t="s">
        <v>86</v>
      </c>
      <c r="AE53" s="111"/>
      <c r="AF53" s="1"/>
      <c r="AG53" s="1"/>
      <c r="AH53" s="4"/>
      <c r="AI53" s="4"/>
      <c r="AJ53" s="4"/>
      <c r="AK53" s="4"/>
      <c r="AL53" s="1"/>
      <c r="AM53" s="1"/>
      <c r="AN53" s="9"/>
      <c r="AO53" s="6"/>
      <c r="AP53" s="6"/>
      <c r="AQ53" s="6"/>
      <c r="AR53" s="8"/>
      <c r="AS53" s="8"/>
      <c r="AT53" s="1"/>
    </row>
    <row r="54" spans="7:46" ht="14.25" customHeight="1" x14ac:dyDescent="0.2">
      <c r="G54" s="74">
        <v>45775.28125</v>
      </c>
      <c r="H54" s="107" t="s">
        <v>185</v>
      </c>
      <c r="I54" s="127"/>
      <c r="J54" s="145">
        <v>51904.885600000001</v>
      </c>
      <c r="K54" s="145">
        <v>159188.8046</v>
      </c>
      <c r="L54" s="145">
        <v>18.773099999999999</v>
      </c>
      <c r="M54" s="142">
        <v>51904.885000000002</v>
      </c>
      <c r="N54" s="142">
        <v>159188.80600000001</v>
      </c>
      <c r="O54" s="142">
        <v>18.774000000000001</v>
      </c>
      <c r="P54" s="129">
        <v>23</v>
      </c>
      <c r="Q54" s="76">
        <v>-5.9999999939464033E-4</v>
      </c>
      <c r="R54" s="109" cm="1">
        <f t="array" ref="R5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4" s="76">
        <v>1.4000000082887709E-3</v>
      </c>
      <c r="T54" s="77" cm="1">
        <f t="array" ref="T5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4" s="76">
        <v>9.0000000000145519E-4</v>
      </c>
      <c r="V54" s="77" cm="1">
        <f t="array" ref="V5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4" s="77">
        <v>-5.9999999939464033E-4</v>
      </c>
      <c r="X54" s="77" cm="1">
        <f t="array" ref="X5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4" s="77">
        <v>1.4000000082887709E-3</v>
      </c>
      <c r="Z54" s="77" cm="1">
        <f t="array" ref="Z5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4" s="107" t="s">
        <v>86</v>
      </c>
      <c r="AE54" s="111"/>
      <c r="AF54" s="1"/>
      <c r="AG54" s="1"/>
      <c r="AH54" s="4"/>
      <c r="AI54" s="4"/>
      <c r="AJ54" s="4"/>
      <c r="AK54" s="4"/>
      <c r="AL54" s="1"/>
      <c r="AM54" s="1"/>
      <c r="AN54" s="9"/>
      <c r="AO54" s="6"/>
      <c r="AP54" s="6"/>
      <c r="AQ54" s="6"/>
      <c r="AR54" s="8"/>
      <c r="AS54" s="8"/>
      <c r="AT54" s="1"/>
    </row>
    <row r="55" spans="7:46" ht="14.25" customHeight="1" x14ac:dyDescent="0.2">
      <c r="G55" s="74">
        <v>45775.28125</v>
      </c>
      <c r="H55" s="107" t="s">
        <v>188</v>
      </c>
      <c r="I55" s="127"/>
      <c r="J55" s="145">
        <v>51907.9522</v>
      </c>
      <c r="K55" s="145">
        <v>159189.36230000001</v>
      </c>
      <c r="L55" s="145">
        <v>18.786000000000001</v>
      </c>
      <c r="M55" s="142">
        <v>51907.951999999997</v>
      </c>
      <c r="N55" s="142">
        <v>159189.364</v>
      </c>
      <c r="O55" s="142">
        <v>18.786000000000001</v>
      </c>
      <c r="P55" s="129">
        <v>23</v>
      </c>
      <c r="Q55" s="76">
        <v>-2.0000000222353265E-4</v>
      </c>
      <c r="R55" s="109" cm="1">
        <f t="array" ref="R5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5" s="76">
        <v>1.6999999934341758E-3</v>
      </c>
      <c r="T55" s="77" cm="1">
        <f t="array" ref="T5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5" s="76">
        <v>0</v>
      </c>
      <c r="V55" s="77" cm="1">
        <f t="array" ref="V5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5" s="77">
        <v>-2.0000000222353265E-4</v>
      </c>
      <c r="X55" s="77" cm="1">
        <f t="array" ref="X5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5" s="77">
        <v>1.6999999934341758E-3</v>
      </c>
      <c r="Z55" s="77" cm="1">
        <f t="array" ref="Z5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5" s="107" t="s">
        <v>86</v>
      </c>
      <c r="AE55" s="111"/>
      <c r="AF55" s="1"/>
      <c r="AG55" s="1"/>
      <c r="AH55" s="4"/>
      <c r="AI55" s="4"/>
      <c r="AJ55" s="4"/>
      <c r="AK55" s="4"/>
      <c r="AL55" s="1"/>
      <c r="AM55" s="1"/>
      <c r="AN55" s="9"/>
      <c r="AO55" s="6"/>
      <c r="AP55" s="6"/>
      <c r="AQ55" s="6"/>
      <c r="AR55" s="8"/>
      <c r="AS55" s="8"/>
      <c r="AT55" s="1"/>
    </row>
    <row r="56" spans="7:46" ht="14.25" customHeight="1" x14ac:dyDescent="0.2">
      <c r="G56" s="74">
        <v>45775.28125</v>
      </c>
      <c r="H56" s="107" t="s">
        <v>187</v>
      </c>
      <c r="I56" s="127"/>
      <c r="J56" s="145">
        <v>51907.578699999998</v>
      </c>
      <c r="K56" s="145">
        <v>159188.09770000001</v>
      </c>
      <c r="L56" s="145">
        <v>18.776</v>
      </c>
      <c r="M56" s="142">
        <v>51907.578000000001</v>
      </c>
      <c r="N56" s="142">
        <v>159188.1</v>
      </c>
      <c r="O56" s="142">
        <v>18.776</v>
      </c>
      <c r="P56" s="129">
        <v>23</v>
      </c>
      <c r="Q56" s="76">
        <v>-6.9999999686842784E-4</v>
      </c>
      <c r="R56" s="109" cm="1">
        <f t="array" ref="R5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6" s="76">
        <v>2.2999999928288162E-3</v>
      </c>
      <c r="T56" s="77" cm="1">
        <f t="array" ref="T5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6" s="76">
        <v>0</v>
      </c>
      <c r="V56" s="77" cm="1">
        <f t="array" ref="V5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6" s="77">
        <v>-6.9999999686842784E-4</v>
      </c>
      <c r="X56" s="77" cm="1">
        <f t="array" ref="X5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6" s="77">
        <v>2.2999999928288162E-3</v>
      </c>
      <c r="Z56" s="77" cm="1">
        <f t="array" ref="Z5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6" s="107" t="s">
        <v>86</v>
      </c>
      <c r="AE56" s="111"/>
      <c r="AF56" s="1"/>
      <c r="AG56" s="1"/>
      <c r="AH56" s="4"/>
      <c r="AI56" s="4"/>
      <c r="AJ56" s="4"/>
      <c r="AK56" s="4"/>
      <c r="AL56" s="1"/>
      <c r="AM56" s="1"/>
      <c r="AN56" s="9"/>
      <c r="AO56" s="6"/>
      <c r="AP56" s="6"/>
      <c r="AQ56" s="6"/>
      <c r="AR56" s="8"/>
      <c r="AS56" s="8"/>
      <c r="AT56" s="1"/>
    </row>
    <row r="57" spans="7:46" ht="14.25" customHeight="1" x14ac:dyDescent="0.2">
      <c r="G57" s="74">
        <v>45775.28125</v>
      </c>
      <c r="H57" s="107" t="s">
        <v>190</v>
      </c>
      <c r="I57" s="127"/>
      <c r="J57" s="145">
        <v>51910.962800000001</v>
      </c>
      <c r="K57" s="145">
        <v>159188.60079999999</v>
      </c>
      <c r="L57" s="145">
        <v>18.794599999999999</v>
      </c>
      <c r="M57" s="142">
        <v>51910.962</v>
      </c>
      <c r="N57" s="142">
        <v>159188.60200000001</v>
      </c>
      <c r="O57" s="142">
        <v>18.795000000000002</v>
      </c>
      <c r="P57" s="129">
        <v>23</v>
      </c>
      <c r="Q57" s="76">
        <v>-8.0000000161817297E-4</v>
      </c>
      <c r="R57" s="109" cm="1">
        <f t="array" ref="R5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7" s="76">
        <v>1.2000000278931111E-3</v>
      </c>
      <c r="T57" s="77" cm="1">
        <f t="array" ref="T5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7" s="76">
        <v>4.0000000000262048E-4</v>
      </c>
      <c r="V57" s="77" cm="1">
        <f t="array" ref="V5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7" s="77">
        <v>-8.0000000161817297E-4</v>
      </c>
      <c r="X57" s="77" cm="1">
        <f t="array" ref="X5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7" s="77">
        <v>1.2000000278931111E-3</v>
      </c>
      <c r="Z57" s="77" cm="1">
        <f t="array" ref="Z5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7" s="107" t="s">
        <v>86</v>
      </c>
      <c r="AE57" s="111"/>
      <c r="AF57" s="1"/>
      <c r="AG57" s="1"/>
      <c r="AH57" s="4"/>
      <c r="AI57" s="4"/>
      <c r="AJ57" s="4"/>
      <c r="AK57" s="4"/>
      <c r="AL57" s="1"/>
      <c r="AM57" s="1"/>
      <c r="AN57" s="9"/>
      <c r="AO57" s="6"/>
      <c r="AP57" s="6"/>
      <c r="AQ57" s="6"/>
      <c r="AR57" s="8"/>
      <c r="AS57" s="8"/>
      <c r="AT57" s="1"/>
    </row>
    <row r="58" spans="7:46" ht="14.25" customHeight="1" x14ac:dyDescent="0.2">
      <c r="G58" s="74">
        <v>45775.28125</v>
      </c>
      <c r="H58" s="107" t="s">
        <v>189</v>
      </c>
      <c r="I58" s="127"/>
      <c r="J58" s="145">
        <v>51910.640099999997</v>
      </c>
      <c r="K58" s="145">
        <v>159187.3223</v>
      </c>
      <c r="L58" s="145">
        <v>18.7836</v>
      </c>
      <c r="M58" s="142">
        <v>51910.639000000003</v>
      </c>
      <c r="N58" s="142">
        <v>159187.32399999999</v>
      </c>
      <c r="O58" s="142">
        <v>18.783999999999999</v>
      </c>
      <c r="P58" s="129">
        <v>23</v>
      </c>
      <c r="Q58" s="76">
        <v>-1.0999999940395355E-3</v>
      </c>
      <c r="R58" s="109" cm="1">
        <f t="array" ref="R5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8" s="76">
        <v>1.6999999934341758E-3</v>
      </c>
      <c r="T58" s="77" cm="1">
        <f t="array" ref="T5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8" s="76">
        <v>3.9999999999906777E-4</v>
      </c>
      <c r="V58" s="77" cm="1">
        <f t="array" ref="V5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8" s="77">
        <v>-1.0999999940395355E-3</v>
      </c>
      <c r="X58" s="77" cm="1">
        <f t="array" ref="X5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8" s="77">
        <v>1.6999999934341758E-3</v>
      </c>
      <c r="Z58" s="77" cm="1">
        <f t="array" ref="Z5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8" s="107" t="s">
        <v>86</v>
      </c>
      <c r="AE58" s="111"/>
      <c r="AF58" s="1"/>
      <c r="AG58" s="1"/>
      <c r="AH58" s="4"/>
      <c r="AI58" s="4"/>
      <c r="AJ58" s="4"/>
      <c r="AK58" s="4"/>
      <c r="AL58" s="1"/>
      <c r="AM58" s="1"/>
      <c r="AN58" s="9"/>
      <c r="AO58" s="6"/>
      <c r="AP58" s="6"/>
      <c r="AQ58" s="6"/>
      <c r="AR58" s="8"/>
      <c r="AS58" s="8"/>
      <c r="AT58" s="1"/>
    </row>
    <row r="59" spans="7:46" ht="14.25" customHeight="1" x14ac:dyDescent="0.2">
      <c r="G59" s="74">
        <v>45775.28125</v>
      </c>
      <c r="H59" s="107" t="s">
        <v>192</v>
      </c>
      <c r="I59" s="127"/>
      <c r="J59" s="145">
        <v>51913.751100000001</v>
      </c>
      <c r="K59" s="145">
        <v>159187.9178</v>
      </c>
      <c r="L59" s="145">
        <v>18.809000000000001</v>
      </c>
      <c r="M59" s="142">
        <v>51913.75</v>
      </c>
      <c r="N59" s="142">
        <v>159187.91899999999</v>
      </c>
      <c r="O59" s="142">
        <v>18.809000000000001</v>
      </c>
      <c r="P59" s="129">
        <v>23</v>
      </c>
      <c r="Q59" s="76">
        <v>-1.1000000013154931E-3</v>
      </c>
      <c r="R59" s="109" cm="1">
        <f t="array" ref="R5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59" s="76">
        <v>1.1999999987892807E-3</v>
      </c>
      <c r="T59" s="77" cm="1">
        <f t="array" ref="T5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59" s="76">
        <v>0</v>
      </c>
      <c r="V59" s="77" cm="1">
        <f t="array" ref="V5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59" s="77">
        <v>-1.1000000013154931E-3</v>
      </c>
      <c r="X59" s="77" cm="1">
        <f t="array" ref="X5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59" s="77">
        <v>1.1999999987892807E-3</v>
      </c>
      <c r="Z59" s="77" cm="1">
        <f t="array" ref="Z5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5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5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5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59" s="107" t="s">
        <v>86</v>
      </c>
      <c r="AE59" s="111"/>
      <c r="AF59" s="1"/>
      <c r="AG59" s="1"/>
      <c r="AH59" s="4"/>
      <c r="AI59" s="4"/>
      <c r="AJ59" s="4"/>
      <c r="AK59" s="4"/>
      <c r="AL59" s="1"/>
      <c r="AM59" s="1"/>
      <c r="AN59" s="1"/>
      <c r="AO59" s="1"/>
      <c r="AP59" s="1"/>
      <c r="AQ59" s="1"/>
      <c r="AR59" s="1"/>
      <c r="AS59" s="1"/>
      <c r="AT59" s="1"/>
    </row>
    <row r="60" spans="7:46" ht="14.25" customHeight="1" x14ac:dyDescent="0.2">
      <c r="G60" s="74">
        <v>45775.28125</v>
      </c>
      <c r="H60" s="107" t="s">
        <v>191</v>
      </c>
      <c r="I60" s="127"/>
      <c r="J60" s="145">
        <v>51913.421499999997</v>
      </c>
      <c r="K60" s="145">
        <v>159186.63630000001</v>
      </c>
      <c r="L60" s="145">
        <v>18.794899999999998</v>
      </c>
      <c r="M60" s="142">
        <v>51913.421000000002</v>
      </c>
      <c r="N60" s="142">
        <v>159186.63800000001</v>
      </c>
      <c r="O60" s="142">
        <v>18.795000000000002</v>
      </c>
      <c r="P60" s="129">
        <v>23</v>
      </c>
      <c r="Q60" s="76">
        <v>-4.999999946448952E-4</v>
      </c>
      <c r="R60" s="109" cm="1">
        <f t="array" ref="R6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0" s="76">
        <v>1.6999999934341758E-3</v>
      </c>
      <c r="T60" s="77" cm="1">
        <f t="array" ref="T6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0" s="76">
        <v>1.0000000000331966E-4</v>
      </c>
      <c r="V60" s="77" cm="1">
        <f t="array" ref="V6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0" s="77">
        <v>-4.999999946448952E-4</v>
      </c>
      <c r="X60" s="77" cm="1">
        <f t="array" ref="X6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0" s="77">
        <v>1.6999999934341758E-3</v>
      </c>
      <c r="Z60" s="77" cm="1">
        <f t="array" ref="Z6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0" s="107" t="s">
        <v>86</v>
      </c>
      <c r="AE60" s="111"/>
      <c r="AF60" s="1"/>
      <c r="AG60" s="1"/>
      <c r="AH60" s="4"/>
      <c r="AI60" s="4"/>
      <c r="AJ60" s="4"/>
      <c r="AK60" s="4"/>
      <c r="AL60" s="1"/>
      <c r="AM60" s="1"/>
      <c r="AN60" s="1"/>
      <c r="AO60" s="1"/>
      <c r="AP60" s="1"/>
      <c r="AQ60" s="1"/>
      <c r="AR60" s="1"/>
      <c r="AS60" s="1"/>
      <c r="AT60" s="1"/>
    </row>
    <row r="61" spans="7:46" ht="14.25" customHeight="1" x14ac:dyDescent="0.2">
      <c r="G61" s="74">
        <v>45775.28125</v>
      </c>
      <c r="H61" s="107" t="s">
        <v>165</v>
      </c>
      <c r="I61" s="127"/>
      <c r="J61" s="145">
        <v>51884.538999999997</v>
      </c>
      <c r="K61" s="145">
        <v>159193.38269999999</v>
      </c>
      <c r="L61" s="145">
        <v>19.331700000000001</v>
      </c>
      <c r="M61" s="142">
        <v>51884.538999999997</v>
      </c>
      <c r="N61" s="142">
        <v>159193.383</v>
      </c>
      <c r="O61" s="142">
        <v>19.332000000000001</v>
      </c>
      <c r="P61" s="129">
        <v>23</v>
      </c>
      <c r="Q61" s="76">
        <v>0</v>
      </c>
      <c r="R61" s="109" cm="1">
        <f t="array" ref="R6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1" s="76">
        <v>3.0000001424923539E-4</v>
      </c>
      <c r="T61" s="77" cm="1">
        <f t="array" ref="T6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1" s="76">
        <v>2.9999999999930083E-4</v>
      </c>
      <c r="V61" s="77" cm="1">
        <f t="array" ref="V6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1" s="77">
        <v>0</v>
      </c>
      <c r="X61" s="77" cm="1">
        <f t="array" ref="X6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1" s="77">
        <v>3.0000001424923539E-4</v>
      </c>
      <c r="Z61" s="77" cm="1">
        <f t="array" ref="Z6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1" s="107" t="s">
        <v>86</v>
      </c>
      <c r="AE61" s="111"/>
      <c r="AF61" s="1"/>
      <c r="AG61" s="1"/>
      <c r="AH61" s="1"/>
      <c r="AI61" s="1"/>
      <c r="AJ61" s="1"/>
      <c r="AK61" s="4"/>
      <c r="AL61" s="4"/>
      <c r="AM61" s="4"/>
      <c r="AN61" s="4"/>
      <c r="AO61" s="1"/>
      <c r="AP61" s="1"/>
      <c r="AQ61" s="1"/>
      <c r="AR61" s="1"/>
      <c r="AS61" s="1"/>
      <c r="AT61" s="1"/>
    </row>
    <row r="62" spans="7:46" ht="14.25" customHeight="1" x14ac:dyDescent="0.2">
      <c r="G62" s="74">
        <v>45775.28125</v>
      </c>
      <c r="H62" s="107" t="s">
        <v>166</v>
      </c>
      <c r="I62" s="127"/>
      <c r="J62" s="145">
        <v>51890.2863</v>
      </c>
      <c r="K62" s="145">
        <v>159191.73069999999</v>
      </c>
      <c r="L62" s="145">
        <v>19.321999999999999</v>
      </c>
      <c r="M62" s="142">
        <v>51890.286999999997</v>
      </c>
      <c r="N62" s="142">
        <v>159191.731</v>
      </c>
      <c r="O62" s="142">
        <v>19.321999999999999</v>
      </c>
      <c r="P62" s="129">
        <v>23</v>
      </c>
      <c r="Q62" s="76">
        <v>6.9999999686842784E-4</v>
      </c>
      <c r="R62" s="109" cm="1">
        <f t="array" ref="R6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2" s="76">
        <v>3.0000001424923539E-4</v>
      </c>
      <c r="T62" s="77" cm="1">
        <f t="array" ref="T6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2" s="76">
        <v>0</v>
      </c>
      <c r="V62" s="77" cm="1">
        <f t="array" ref="V6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2" s="77">
        <v>6.9999999686842784E-4</v>
      </c>
      <c r="X62" s="77" cm="1">
        <f t="array" ref="X6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2" s="77">
        <v>3.0000001424923539E-4</v>
      </c>
      <c r="Z62" s="77" cm="1">
        <f t="array" ref="Z6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2" s="107" t="s">
        <v>86</v>
      </c>
      <c r="AE62" s="111"/>
      <c r="AF62" s="1"/>
      <c r="AG62" s="1"/>
      <c r="AH62" s="1"/>
      <c r="AI62" s="1"/>
      <c r="AJ62" s="1"/>
      <c r="AK62" s="4"/>
      <c r="AL62" s="4"/>
      <c r="AM62" s="4"/>
      <c r="AN62" s="4"/>
      <c r="AO62" s="1"/>
      <c r="AP62" s="1"/>
      <c r="AQ62" s="1"/>
      <c r="AR62" s="1"/>
      <c r="AS62" s="1"/>
      <c r="AT62" s="1"/>
    </row>
    <row r="63" spans="7:46" ht="14.25" customHeight="1" x14ac:dyDescent="0.2">
      <c r="G63" s="74">
        <v>45775.28125</v>
      </c>
      <c r="H63" s="107" t="s">
        <v>167</v>
      </c>
      <c r="I63" s="127"/>
      <c r="J63" s="145">
        <v>51895.920700000002</v>
      </c>
      <c r="K63" s="145">
        <v>159190.1</v>
      </c>
      <c r="L63" s="145">
        <v>19.334</v>
      </c>
      <c r="M63" s="142">
        <v>51895.921000000002</v>
      </c>
      <c r="N63" s="142">
        <v>159190.1</v>
      </c>
      <c r="O63" s="142">
        <v>19.335000000000001</v>
      </c>
      <c r="P63" s="129">
        <v>23</v>
      </c>
      <c r="Q63" s="76">
        <v>2.9999999969732016E-4</v>
      </c>
      <c r="R63" s="109" cm="1">
        <f t="array" ref="R6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3" s="76">
        <v>0</v>
      </c>
      <c r="T63" s="77" cm="1">
        <f t="array" ref="T6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3" s="76">
        <v>1.0000000000012221E-3</v>
      </c>
      <c r="V63" s="77" cm="1">
        <f t="array" ref="V6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3" s="77">
        <v>2.9999999969732016E-4</v>
      </c>
      <c r="X63" s="77" cm="1">
        <f t="array" ref="X6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3" s="77">
        <v>0</v>
      </c>
      <c r="Z63" s="77" cm="1">
        <f t="array" ref="Z6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3" s="107" t="s">
        <v>86</v>
      </c>
      <c r="AE63" s="111"/>
      <c r="AF63" s="1"/>
      <c r="AG63" s="1"/>
      <c r="AH63" s="1"/>
      <c r="AI63" s="1"/>
      <c r="AJ63" s="1"/>
      <c r="AK63" s="4"/>
      <c r="AL63" s="4"/>
      <c r="AM63" s="4"/>
      <c r="AN63" s="4"/>
      <c r="AO63" s="1"/>
      <c r="AP63" s="1"/>
      <c r="AQ63" s="1"/>
      <c r="AR63" s="1"/>
      <c r="AS63" s="1"/>
      <c r="AT63" s="1"/>
    </row>
    <row r="64" spans="7:46" ht="14.25" customHeight="1" x14ac:dyDescent="0.2">
      <c r="G64" s="74">
        <v>45775.28125</v>
      </c>
      <c r="H64" s="107" t="s">
        <v>168</v>
      </c>
      <c r="I64" s="127"/>
      <c r="J64" s="145">
        <v>51899.7667</v>
      </c>
      <c r="K64" s="145">
        <v>159188.9933</v>
      </c>
      <c r="L64" s="145">
        <v>19.344999999999999</v>
      </c>
      <c r="M64" s="142">
        <v>51899.767999999996</v>
      </c>
      <c r="N64" s="142">
        <v>159188.99400000001</v>
      </c>
      <c r="O64" s="142">
        <v>19.346</v>
      </c>
      <c r="P64" s="129">
        <v>23</v>
      </c>
      <c r="Q64" s="76">
        <v>1.2999999962630682E-3</v>
      </c>
      <c r="R64" s="109" cm="1">
        <f t="array" ref="R6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4" s="76">
        <v>7.0000000414438546E-4</v>
      </c>
      <c r="T64" s="77" cm="1">
        <f t="array" ref="T6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4" s="76">
        <v>1.0000000000012221E-3</v>
      </c>
      <c r="V64" s="77" cm="1">
        <f t="array" ref="V6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4" s="77">
        <v>1.2999999962630682E-3</v>
      </c>
      <c r="X64" s="77" cm="1">
        <f t="array" ref="X6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4" s="77">
        <v>7.0000000414438546E-4</v>
      </c>
      <c r="Z64" s="77" cm="1">
        <f t="array" ref="Z6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4" s="107" t="s">
        <v>86</v>
      </c>
      <c r="AE64" s="111"/>
      <c r="AF64" s="1"/>
      <c r="AG64" s="1"/>
      <c r="AH64" s="1"/>
      <c r="AI64" s="1"/>
      <c r="AJ64" s="1"/>
      <c r="AK64" s="4"/>
      <c r="AL64" s="4"/>
      <c r="AM64" s="4"/>
      <c r="AN64" s="4"/>
      <c r="AO64" s="1"/>
      <c r="AP64" s="1"/>
      <c r="AQ64" s="1"/>
      <c r="AR64" s="1"/>
      <c r="AS64" s="1"/>
      <c r="AT64" s="1"/>
    </row>
    <row r="65" spans="7:46" ht="14.25" customHeight="1" x14ac:dyDescent="0.2">
      <c r="G65" s="74">
        <v>45775.28125</v>
      </c>
      <c r="H65" s="107" t="s">
        <v>169</v>
      </c>
      <c r="I65" s="127"/>
      <c r="J65" s="145">
        <v>51903.6083</v>
      </c>
      <c r="K65" s="145">
        <v>159187.88200000001</v>
      </c>
      <c r="L65" s="145">
        <v>19.356999999999999</v>
      </c>
      <c r="M65" s="142">
        <v>51903.608999999997</v>
      </c>
      <c r="N65" s="142">
        <v>159187.88200000001</v>
      </c>
      <c r="O65" s="142">
        <v>19.356999999999999</v>
      </c>
      <c r="P65" s="129">
        <v>23</v>
      </c>
      <c r="Q65" s="76">
        <v>6.9999999686842784E-4</v>
      </c>
      <c r="R65" s="109" cm="1">
        <f t="array" ref="R6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5" s="76">
        <v>0</v>
      </c>
      <c r="T65" s="77" cm="1">
        <f t="array" ref="T6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5" s="76">
        <v>0</v>
      </c>
      <c r="V65" s="77" cm="1">
        <f t="array" ref="V6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5" s="77">
        <v>6.9999999686842784E-4</v>
      </c>
      <c r="X65" s="77" cm="1">
        <f t="array" ref="X6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5" s="77">
        <v>0</v>
      </c>
      <c r="Z65" s="77" cm="1">
        <f t="array" ref="Z6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5" s="107" t="s">
        <v>86</v>
      </c>
      <c r="AE65" s="111"/>
      <c r="AF65" s="1"/>
      <c r="AG65" s="1"/>
      <c r="AH65" s="1"/>
      <c r="AI65" s="1"/>
      <c r="AJ65" s="1"/>
      <c r="AK65" s="4"/>
      <c r="AL65" s="4"/>
      <c r="AM65" s="4"/>
      <c r="AN65" s="4"/>
      <c r="AO65" s="1"/>
      <c r="AP65" s="1"/>
      <c r="AQ65" s="1"/>
      <c r="AR65" s="1"/>
      <c r="AS65" s="1"/>
      <c r="AT65" s="1"/>
    </row>
    <row r="66" spans="7:46" ht="14.25" customHeight="1" x14ac:dyDescent="0.2">
      <c r="G66" s="74">
        <v>45775.28125</v>
      </c>
      <c r="H66" s="107" t="s">
        <v>170</v>
      </c>
      <c r="I66" s="127"/>
      <c r="J66" s="145">
        <v>51910.065000000002</v>
      </c>
      <c r="K66" s="145">
        <v>159186.02369999999</v>
      </c>
      <c r="L66" s="145">
        <v>19.356999999999999</v>
      </c>
      <c r="M66" s="142">
        <v>51910.065000000002</v>
      </c>
      <c r="N66" s="142">
        <v>159186.024</v>
      </c>
      <c r="O66" s="142">
        <v>19.356999999999999</v>
      </c>
      <c r="P66" s="129">
        <v>23</v>
      </c>
      <c r="Q66" s="76">
        <v>0</v>
      </c>
      <c r="R66" s="109" cm="1">
        <f t="array" ref="R6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6" s="76">
        <v>3.0000001424923539E-4</v>
      </c>
      <c r="T66" s="77" cm="1">
        <f t="array" ref="T6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6" s="76">
        <v>0</v>
      </c>
      <c r="V66" s="77" cm="1">
        <f t="array" ref="V6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6" s="77">
        <v>0</v>
      </c>
      <c r="X66" s="77" cm="1">
        <f t="array" ref="X6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6" s="77">
        <v>3.0000001424923539E-4</v>
      </c>
      <c r="Z66" s="77" cm="1">
        <f t="array" ref="Z6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6" s="107" t="s">
        <v>86</v>
      </c>
      <c r="AE66" s="111"/>
      <c r="AF66" s="1"/>
      <c r="AG66" s="1"/>
      <c r="AH66" s="1"/>
      <c r="AI66" s="1"/>
      <c r="AJ66" s="1"/>
      <c r="AK66" s="4"/>
      <c r="AL66" s="4"/>
      <c r="AM66" s="4"/>
      <c r="AN66" s="4"/>
      <c r="AO66" s="1"/>
      <c r="AP66" s="1"/>
      <c r="AQ66" s="1"/>
      <c r="AR66" s="1"/>
      <c r="AS66" s="1"/>
      <c r="AT66" s="1"/>
    </row>
    <row r="67" spans="7:46" ht="14.25" customHeight="1" x14ac:dyDescent="0.2">
      <c r="G67" s="74">
        <v>45750.28125</v>
      </c>
      <c r="H67" s="107" t="s">
        <v>172</v>
      </c>
      <c r="I67" s="127"/>
      <c r="J67" s="145">
        <v>51885.34</v>
      </c>
      <c r="K67" s="145">
        <v>159195.739</v>
      </c>
      <c r="L67" s="145">
        <v>18.782</v>
      </c>
      <c r="M67" s="142">
        <v>51885.339</v>
      </c>
      <c r="N67" s="142">
        <v>159195.73800000001</v>
      </c>
      <c r="O67" s="142">
        <v>18.782</v>
      </c>
      <c r="P67" s="129">
        <v>19.3</v>
      </c>
      <c r="Q67" s="76">
        <v>-9.9999999656574801E-4</v>
      </c>
      <c r="R67" s="109" cm="1">
        <f t="array" ref="R6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7" s="76">
        <v>-9.9999998928979039E-4</v>
      </c>
      <c r="T67" s="77" cm="1">
        <f t="array" ref="T6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7" s="76">
        <v>0</v>
      </c>
      <c r="V67" s="77" cm="1">
        <f t="array" ref="V6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7" s="77">
        <v>-9.9999999656574801E-4</v>
      </c>
      <c r="X67" s="77" cm="1">
        <f t="array" ref="X6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7" s="77">
        <v>-9.9999998928979039E-4</v>
      </c>
      <c r="Z67" s="77" cm="1">
        <f t="array" ref="Z6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7" s="107" t="s">
        <v>85</v>
      </c>
      <c r="AE67" s="111"/>
      <c r="AF67" s="1"/>
      <c r="AG67" s="1"/>
      <c r="AH67" s="1"/>
      <c r="AI67" s="1"/>
      <c r="AJ67" s="1"/>
      <c r="AK67" s="4"/>
      <c r="AL67" s="4"/>
      <c r="AM67" s="4"/>
      <c r="AN67" s="4"/>
      <c r="AO67" s="1"/>
      <c r="AP67" s="1"/>
      <c r="AQ67" s="1"/>
      <c r="AR67" s="1"/>
      <c r="AS67" s="1"/>
      <c r="AT67" s="1"/>
    </row>
    <row r="68" spans="7:46" ht="14.25" customHeight="1" x14ac:dyDescent="0.2">
      <c r="G68" s="74">
        <v>45750.28125</v>
      </c>
      <c r="H68" s="107" t="s">
        <v>171</v>
      </c>
      <c r="I68" s="127"/>
      <c r="J68" s="145">
        <v>51884.958899999998</v>
      </c>
      <c r="K68" s="145">
        <v>159194.47070000001</v>
      </c>
      <c r="L68" s="145">
        <v>18.778099999999998</v>
      </c>
      <c r="M68" s="142">
        <v>51884.959000000003</v>
      </c>
      <c r="N68" s="142">
        <v>159194.47099999999</v>
      </c>
      <c r="O68" s="142">
        <v>18.779</v>
      </c>
      <c r="P68" s="129">
        <v>19.3</v>
      </c>
      <c r="Q68" s="76">
        <v>1.0000000474974513E-4</v>
      </c>
      <c r="R68" s="109" cm="1">
        <f t="array" ref="R6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8" s="76">
        <v>2.9999998514540493E-4</v>
      </c>
      <c r="T68" s="77" cm="1">
        <f t="array" ref="T6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8" s="76">
        <v>9.0000000000145519E-4</v>
      </c>
      <c r="V68" s="77" cm="1">
        <f t="array" ref="V6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8" s="77">
        <v>1.0000000474974513E-4</v>
      </c>
      <c r="X68" s="77" cm="1">
        <f t="array" ref="X6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8" s="77">
        <v>2.9999998514540493E-4</v>
      </c>
      <c r="Z68" s="77" cm="1">
        <f t="array" ref="Z6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8" s="107" t="s">
        <v>85</v>
      </c>
      <c r="AE68" s="111"/>
      <c r="AF68" s="1"/>
      <c r="AG68" s="1"/>
      <c r="AH68" s="1"/>
      <c r="AI68" s="1"/>
      <c r="AJ68" s="1"/>
      <c r="AK68" s="4"/>
      <c r="AL68" s="4"/>
      <c r="AM68" s="4"/>
      <c r="AN68" s="4"/>
      <c r="AO68" s="1"/>
      <c r="AP68" s="1"/>
      <c r="AQ68" s="1"/>
      <c r="AR68" s="1"/>
      <c r="AS68" s="1"/>
      <c r="AT68" s="1"/>
    </row>
    <row r="69" spans="7:46" ht="14.25" customHeight="1" x14ac:dyDescent="0.2">
      <c r="G69" s="74">
        <v>45750.28125</v>
      </c>
      <c r="H69" s="107" t="s">
        <v>174</v>
      </c>
      <c r="I69" s="127"/>
      <c r="J69" s="145">
        <v>51888.117700000003</v>
      </c>
      <c r="K69" s="145">
        <v>159194.94529999999</v>
      </c>
      <c r="L69" s="145">
        <v>18.7788</v>
      </c>
      <c r="M69" s="142">
        <v>51888.116999999998</v>
      </c>
      <c r="N69" s="142">
        <v>159194.94500000001</v>
      </c>
      <c r="O69" s="142">
        <v>18.779</v>
      </c>
      <c r="P69" s="129">
        <v>19.3</v>
      </c>
      <c r="Q69" s="76">
        <v>-7.0000000414438546E-4</v>
      </c>
      <c r="R69" s="109" cm="1">
        <f t="array" ref="R6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69" s="76">
        <v>-2.9999998514540493E-4</v>
      </c>
      <c r="T69" s="77" cm="1">
        <f t="array" ref="T6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69" s="76">
        <v>1.9999999999953388E-4</v>
      </c>
      <c r="V69" s="77" cm="1">
        <f t="array" ref="V6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69" s="77">
        <v>-7.0000000414438546E-4</v>
      </c>
      <c r="X69" s="77" cm="1">
        <f t="array" ref="X6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69" s="77">
        <v>-2.9999998514540493E-4</v>
      </c>
      <c r="Z69" s="77" cm="1">
        <f t="array" ref="Z6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6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6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6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69" s="107" t="s">
        <v>85</v>
      </c>
      <c r="AE69" s="111"/>
      <c r="AF69" s="1"/>
      <c r="AG69" s="1"/>
      <c r="AH69" s="1"/>
      <c r="AI69" s="1"/>
      <c r="AJ69" s="1"/>
      <c r="AK69" s="4"/>
      <c r="AL69" s="4"/>
      <c r="AM69" s="4"/>
      <c r="AN69" s="4"/>
      <c r="AO69" s="1"/>
      <c r="AP69" s="1"/>
      <c r="AQ69" s="1"/>
      <c r="AR69" s="1"/>
      <c r="AS69" s="1"/>
      <c r="AT69" s="1"/>
    </row>
    <row r="70" spans="7:46" ht="14.25" customHeight="1" x14ac:dyDescent="0.2">
      <c r="G70" s="74">
        <v>45750.28125</v>
      </c>
      <c r="H70" s="107" t="s">
        <v>173</v>
      </c>
      <c r="I70" s="127"/>
      <c r="J70" s="145">
        <v>51887.805099999998</v>
      </c>
      <c r="K70" s="145">
        <v>159193.65710000001</v>
      </c>
      <c r="L70" s="145">
        <v>18.778500000000001</v>
      </c>
      <c r="M70" s="142">
        <v>51887.803999999996</v>
      </c>
      <c r="N70" s="142">
        <v>159193.65700000001</v>
      </c>
      <c r="O70" s="142">
        <v>18.779</v>
      </c>
      <c r="P70" s="129">
        <v>19.3</v>
      </c>
      <c r="Q70" s="76">
        <v>-1.1000000013154931E-3</v>
      </c>
      <c r="R70" s="109" cm="1">
        <f t="array" ref="R7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0" s="76">
        <v>-1.0000000474974513E-4</v>
      </c>
      <c r="T70" s="77" cm="1">
        <f t="array" ref="T7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0" s="76">
        <v>4.9999999999883471E-4</v>
      </c>
      <c r="V70" s="77" cm="1">
        <f t="array" ref="V7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0" s="77">
        <v>-1.1000000013154931E-3</v>
      </c>
      <c r="X70" s="77" cm="1">
        <f t="array" ref="X7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0" s="77">
        <v>-1.0000000474974513E-4</v>
      </c>
      <c r="Z70" s="77" cm="1">
        <f t="array" ref="Z7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0" s="107" t="s">
        <v>85</v>
      </c>
      <c r="AE70" s="111"/>
      <c r="AF70" s="1"/>
      <c r="AG70" s="1"/>
      <c r="AH70" s="1"/>
      <c r="AI70" s="1"/>
      <c r="AJ70" s="1"/>
      <c r="AK70" s="4"/>
      <c r="AL70" s="4"/>
      <c r="AM70" s="4"/>
      <c r="AN70" s="4"/>
      <c r="AO70" s="1"/>
      <c r="AP70" s="1"/>
      <c r="AQ70" s="1"/>
      <c r="AR70" s="1"/>
      <c r="AS70" s="1"/>
      <c r="AT70" s="1"/>
    </row>
    <row r="71" spans="7:46" ht="14.25" customHeight="1" x14ac:dyDescent="0.2">
      <c r="G71" s="74">
        <v>45750.28125</v>
      </c>
      <c r="H71" s="107" t="s">
        <v>176</v>
      </c>
      <c r="I71" s="127"/>
      <c r="J71" s="145">
        <v>51890.969100000002</v>
      </c>
      <c r="K71" s="145">
        <v>159194.1177</v>
      </c>
      <c r="L71" s="145">
        <v>18.779</v>
      </c>
      <c r="M71" s="142">
        <v>51890.968000000001</v>
      </c>
      <c r="N71" s="142">
        <v>159194.117</v>
      </c>
      <c r="O71" s="142">
        <v>18.779</v>
      </c>
      <c r="P71" s="129">
        <v>19.3</v>
      </c>
      <c r="Q71" s="76">
        <v>-1.1000000013154931E-3</v>
      </c>
      <c r="R71" s="109" cm="1">
        <f t="array" ref="R7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1" s="76">
        <v>-7.0000000414438546E-4</v>
      </c>
      <c r="T71" s="77" cm="1">
        <f t="array" ref="T7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1" s="76">
        <v>0</v>
      </c>
      <c r="V71" s="77" cm="1">
        <f t="array" ref="V7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1" s="77">
        <v>-1.1000000013154931E-3</v>
      </c>
      <c r="X71" s="77" cm="1">
        <f t="array" ref="X7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1" s="77">
        <v>-7.0000000414438546E-4</v>
      </c>
      <c r="Z71" s="77" cm="1">
        <f t="array" ref="Z7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1" s="107" t="s">
        <v>85</v>
      </c>
      <c r="AE71" s="111"/>
      <c r="AF71" s="1"/>
      <c r="AG71" s="1"/>
      <c r="AH71" s="1"/>
      <c r="AI71" s="1"/>
      <c r="AJ71" s="1"/>
      <c r="AK71" s="4"/>
      <c r="AL71" s="4"/>
      <c r="AM71" s="4"/>
      <c r="AN71" s="4"/>
      <c r="AO71" s="1"/>
      <c r="AP71" s="1"/>
      <c r="AQ71" s="1"/>
      <c r="AR71" s="1"/>
      <c r="AS71" s="1"/>
      <c r="AT71" s="1"/>
    </row>
    <row r="72" spans="7:46" ht="14.25" customHeight="1" x14ac:dyDescent="0.2">
      <c r="G72" s="74">
        <v>45750.28125</v>
      </c>
      <c r="H72" s="107" t="s">
        <v>175</v>
      </c>
      <c r="I72" s="127"/>
      <c r="J72" s="145">
        <v>51890.606800000001</v>
      </c>
      <c r="K72" s="145">
        <v>159192.86069999999</v>
      </c>
      <c r="L72" s="145">
        <v>18.771999999999998</v>
      </c>
      <c r="M72" s="142">
        <v>51890.606</v>
      </c>
      <c r="N72" s="142">
        <v>159192.861</v>
      </c>
      <c r="O72" s="142">
        <v>18.771999999999998</v>
      </c>
      <c r="P72" s="129">
        <v>19.3</v>
      </c>
      <c r="Q72" s="76">
        <v>-8.0000000161817297E-4</v>
      </c>
      <c r="R72" s="109" cm="1">
        <f t="array" ref="R7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2" s="76">
        <v>3.0000001424923539E-4</v>
      </c>
      <c r="T72" s="77" cm="1">
        <f t="array" ref="T7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2" s="76">
        <v>0</v>
      </c>
      <c r="V72" s="77" cm="1">
        <f t="array" ref="V7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2" s="77">
        <v>-8.0000000161817297E-4</v>
      </c>
      <c r="X72" s="77" cm="1">
        <f t="array" ref="X7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2" s="77">
        <v>3.0000001424923539E-4</v>
      </c>
      <c r="Z72" s="77" cm="1">
        <f t="array" ref="Z7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2" s="107" t="s">
        <v>85</v>
      </c>
      <c r="AE72" s="111"/>
      <c r="AF72" s="1"/>
      <c r="AG72" s="1"/>
      <c r="AH72" s="1"/>
      <c r="AI72" s="1"/>
      <c r="AJ72" s="1"/>
      <c r="AK72" s="4"/>
      <c r="AL72" s="4"/>
      <c r="AM72" s="4"/>
      <c r="AN72" s="4"/>
      <c r="AO72" s="1"/>
      <c r="AP72" s="1"/>
      <c r="AQ72" s="1"/>
      <c r="AR72" s="1"/>
      <c r="AS72" s="1"/>
      <c r="AT72" s="1"/>
    </row>
    <row r="73" spans="7:46" ht="14.25" customHeight="1" x14ac:dyDescent="0.2">
      <c r="G73" s="74">
        <v>45750.28125</v>
      </c>
      <c r="H73" s="107" t="s">
        <v>178</v>
      </c>
      <c r="I73" s="127"/>
      <c r="J73" s="145">
        <v>51893.758699999998</v>
      </c>
      <c r="K73" s="145">
        <v>159193.3144</v>
      </c>
      <c r="L73" s="145">
        <v>18.774100000000001</v>
      </c>
      <c r="M73" s="142">
        <v>51893.758000000002</v>
      </c>
      <c r="N73" s="142">
        <v>159193.31400000001</v>
      </c>
      <c r="O73" s="142">
        <v>18.774000000000001</v>
      </c>
      <c r="P73" s="129">
        <v>19.3</v>
      </c>
      <c r="Q73" s="76">
        <v>-6.9999999686842784E-4</v>
      </c>
      <c r="R73" s="109" cm="1">
        <f t="array" ref="R7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3" s="76">
        <v>-3.9999998989515007E-4</v>
      </c>
      <c r="T73" s="77" cm="1">
        <f t="array" ref="T7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3" s="76">
        <v>-9.9999999999766942E-5</v>
      </c>
      <c r="V73" s="77" cm="1">
        <f t="array" ref="V7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3" s="77">
        <v>-6.9999999686842784E-4</v>
      </c>
      <c r="X73" s="77" cm="1">
        <f t="array" ref="X7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3" s="77">
        <v>-3.9999998989515007E-4</v>
      </c>
      <c r="Z73" s="77" cm="1">
        <f t="array" ref="Z7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3" s="107" t="s">
        <v>85</v>
      </c>
      <c r="AE73" s="111"/>
      <c r="AF73" s="1"/>
      <c r="AG73" s="1"/>
      <c r="AH73" s="1"/>
      <c r="AI73" s="1"/>
      <c r="AJ73" s="1"/>
      <c r="AK73" s="4"/>
      <c r="AL73" s="4"/>
      <c r="AM73" s="4"/>
      <c r="AN73" s="4"/>
      <c r="AO73" s="1"/>
      <c r="AP73" s="1"/>
      <c r="AQ73" s="1"/>
      <c r="AR73" s="1"/>
      <c r="AS73" s="1"/>
      <c r="AT73" s="1"/>
    </row>
    <row r="74" spans="7:46" ht="14.25" customHeight="1" x14ac:dyDescent="0.2">
      <c r="G74" s="74">
        <v>45750.28125</v>
      </c>
      <c r="H74" s="107" t="s">
        <v>177</v>
      </c>
      <c r="I74" s="127"/>
      <c r="J74" s="145">
        <v>51893.441299999999</v>
      </c>
      <c r="K74" s="145">
        <v>159192.04019999999</v>
      </c>
      <c r="L74" s="145">
        <v>18.7683</v>
      </c>
      <c r="M74" s="142">
        <v>51893.440999999999</v>
      </c>
      <c r="N74" s="142">
        <v>159192.04</v>
      </c>
      <c r="O74" s="142">
        <v>18.768999999999998</v>
      </c>
      <c r="P74" s="129">
        <v>19.3</v>
      </c>
      <c r="Q74" s="76">
        <v>-2.9999999969732016E-4</v>
      </c>
      <c r="R74" s="109" cm="1">
        <f t="array" ref="R7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4" s="76">
        <v>-1.999999803956598E-4</v>
      </c>
      <c r="T74" s="77" cm="1">
        <f t="array" ref="T7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4" s="76">
        <v>6.9999999999836859E-4</v>
      </c>
      <c r="V74" s="77" cm="1">
        <f t="array" ref="V7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4" s="77">
        <v>-2.9999999969732016E-4</v>
      </c>
      <c r="X74" s="77" cm="1">
        <f t="array" ref="X7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4" s="77">
        <v>-1.999999803956598E-4</v>
      </c>
      <c r="Z74" s="77" cm="1">
        <f t="array" ref="Z7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4" s="107" t="s">
        <v>85</v>
      </c>
      <c r="AE74" s="111"/>
      <c r="AF74" s="1"/>
      <c r="AG74" s="1"/>
      <c r="AH74" s="1"/>
      <c r="AI74" s="1"/>
      <c r="AJ74" s="1"/>
      <c r="AK74" s="4"/>
      <c r="AL74" s="4"/>
      <c r="AM74" s="4"/>
      <c r="AN74" s="4"/>
      <c r="AO74" s="1"/>
      <c r="AP74" s="1"/>
      <c r="AQ74" s="1"/>
      <c r="AR74" s="1"/>
      <c r="AS74" s="1"/>
      <c r="AT74" s="1"/>
    </row>
    <row r="75" spans="7:46" ht="14.25" customHeight="1" x14ac:dyDescent="0.2">
      <c r="G75" s="74">
        <v>45750.28125</v>
      </c>
      <c r="H75" s="107" t="s">
        <v>180</v>
      </c>
      <c r="I75" s="127"/>
      <c r="J75" s="145">
        <v>51896.633300000001</v>
      </c>
      <c r="K75" s="145">
        <v>159192.48449999999</v>
      </c>
      <c r="L75" s="145">
        <v>18.7776</v>
      </c>
      <c r="M75" s="142">
        <v>51896.633000000002</v>
      </c>
      <c r="N75" s="142">
        <v>159192.484</v>
      </c>
      <c r="O75" s="142">
        <v>18.777999999999999</v>
      </c>
      <c r="P75" s="129">
        <v>19.3</v>
      </c>
      <c r="Q75" s="76">
        <v>-2.9999999969732016E-4</v>
      </c>
      <c r="R75" s="109" cm="1">
        <f t="array" ref="R7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5" s="76">
        <v>-4.999999946448952E-4</v>
      </c>
      <c r="T75" s="77" cm="1">
        <f t="array" ref="T7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5" s="76">
        <v>3.9999999999906777E-4</v>
      </c>
      <c r="V75" s="77" cm="1">
        <f t="array" ref="V7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5" s="77">
        <v>-2.9999999969732016E-4</v>
      </c>
      <c r="X75" s="77" cm="1">
        <f t="array" ref="X7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5" s="77">
        <v>-4.999999946448952E-4</v>
      </c>
      <c r="Z75" s="77" cm="1">
        <f t="array" ref="Z7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5" s="107" t="s">
        <v>85</v>
      </c>
      <c r="AE75" s="111"/>
      <c r="AF75" s="1"/>
      <c r="AG75" s="1"/>
      <c r="AH75" s="1"/>
      <c r="AI75" s="1"/>
      <c r="AJ75" s="1"/>
      <c r="AK75" s="4"/>
      <c r="AL75" s="4"/>
      <c r="AM75" s="4"/>
      <c r="AN75" s="4"/>
      <c r="AO75" s="1"/>
      <c r="AP75" s="1"/>
      <c r="AQ75" s="1"/>
      <c r="AR75" s="1"/>
      <c r="AS75" s="1"/>
      <c r="AT75" s="1"/>
    </row>
    <row r="76" spans="7:46" ht="14.25" customHeight="1" x14ac:dyDescent="0.2">
      <c r="G76" s="74">
        <v>45750.28125</v>
      </c>
      <c r="H76" s="107" t="s">
        <v>179</v>
      </c>
      <c r="I76" s="127"/>
      <c r="J76" s="145">
        <v>51896.249799999998</v>
      </c>
      <c r="K76" s="145">
        <v>159191.22630000001</v>
      </c>
      <c r="L76" s="145">
        <v>18.7698</v>
      </c>
      <c r="M76" s="142">
        <v>51896.249000000003</v>
      </c>
      <c r="N76" s="142">
        <v>159191.226</v>
      </c>
      <c r="O76" s="142">
        <v>18.77</v>
      </c>
      <c r="P76" s="129">
        <v>19.3</v>
      </c>
      <c r="Q76" s="76">
        <v>-7.9999999434221536E-4</v>
      </c>
      <c r="R76" s="109" cm="1">
        <f t="array" ref="R7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6" s="76">
        <v>-3.0000001424923539E-4</v>
      </c>
      <c r="T76" s="77" cm="1">
        <f t="array" ref="T7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6" s="76">
        <v>1.9999999999953388E-4</v>
      </c>
      <c r="V76" s="77" cm="1">
        <f t="array" ref="V7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6" s="77">
        <v>-7.9999999434221536E-4</v>
      </c>
      <c r="X76" s="77" cm="1">
        <f t="array" ref="X7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6" s="77">
        <v>-3.0000001424923539E-4</v>
      </c>
      <c r="Z76" s="77" cm="1">
        <f t="array" ref="Z7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6" s="107" t="s">
        <v>85</v>
      </c>
      <c r="AE76" s="111"/>
      <c r="AF76" s="1"/>
      <c r="AG76" s="1"/>
      <c r="AH76" s="1"/>
      <c r="AI76" s="1"/>
      <c r="AJ76" s="1"/>
      <c r="AK76" s="4"/>
      <c r="AL76" s="4"/>
      <c r="AM76" s="4"/>
      <c r="AN76" s="4"/>
      <c r="AO76" s="1"/>
      <c r="AP76" s="1"/>
      <c r="AQ76" s="1"/>
      <c r="AR76" s="1"/>
      <c r="AS76" s="1"/>
      <c r="AT76" s="1"/>
    </row>
    <row r="77" spans="7:46" ht="14.25" customHeight="1" x14ac:dyDescent="0.2">
      <c r="G77" s="74">
        <v>45750.28125</v>
      </c>
      <c r="H77" s="107" t="s">
        <v>182</v>
      </c>
      <c r="I77" s="127"/>
      <c r="J77" s="145">
        <v>51899.398699999998</v>
      </c>
      <c r="K77" s="145">
        <v>159191.69760000001</v>
      </c>
      <c r="L77" s="145">
        <v>18.777999999999999</v>
      </c>
      <c r="M77" s="142">
        <v>51899.398000000001</v>
      </c>
      <c r="N77" s="142">
        <v>159191.698</v>
      </c>
      <c r="O77" s="142">
        <v>18.777999999999999</v>
      </c>
      <c r="P77" s="129">
        <v>19.3</v>
      </c>
      <c r="Q77" s="76">
        <v>-6.9999999686842784E-4</v>
      </c>
      <c r="R77" s="109" cm="1">
        <f t="array" ref="R7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7" s="76">
        <v>3.9999998989515007E-4</v>
      </c>
      <c r="T77" s="77" cm="1">
        <f t="array" ref="T7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7" s="76">
        <v>0</v>
      </c>
      <c r="V77" s="77" cm="1">
        <f t="array" ref="V7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7" s="77">
        <v>-6.9999999686842784E-4</v>
      </c>
      <c r="X77" s="77" cm="1">
        <f t="array" ref="X7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7" s="77">
        <v>3.9999998989515007E-4</v>
      </c>
      <c r="Z77" s="77" cm="1">
        <f t="array" ref="Z7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7" s="107" t="s">
        <v>85</v>
      </c>
      <c r="AE77" s="111"/>
      <c r="AF77" s="1"/>
      <c r="AG77" s="1"/>
      <c r="AH77" s="1"/>
      <c r="AI77" s="1"/>
      <c r="AJ77" s="1"/>
      <c r="AK77" s="4"/>
      <c r="AL77" s="4"/>
      <c r="AM77" s="4"/>
      <c r="AN77" s="4"/>
      <c r="AO77" s="1"/>
      <c r="AP77" s="1"/>
      <c r="AQ77" s="1"/>
      <c r="AR77" s="1"/>
      <c r="AS77" s="1"/>
      <c r="AT77" s="1"/>
    </row>
    <row r="78" spans="7:46" ht="14.25" customHeight="1" x14ac:dyDescent="0.2">
      <c r="G78" s="74">
        <v>45750.28125</v>
      </c>
      <c r="H78" s="107" t="s">
        <v>181</v>
      </c>
      <c r="I78" s="127"/>
      <c r="J78" s="145">
        <v>51899.041100000002</v>
      </c>
      <c r="K78" s="145">
        <v>159190.43340000001</v>
      </c>
      <c r="L78" s="145">
        <v>18.771100000000001</v>
      </c>
      <c r="M78" s="142">
        <v>51899.040000000001</v>
      </c>
      <c r="N78" s="142">
        <v>159190.43400000001</v>
      </c>
      <c r="O78" s="142">
        <v>18.771000000000001</v>
      </c>
      <c r="P78" s="129">
        <v>19.3</v>
      </c>
      <c r="Q78" s="76">
        <v>-1.1000000013154931E-3</v>
      </c>
      <c r="R78" s="109" cm="1">
        <f t="array" ref="R7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8" s="76">
        <v>5.9999999939464033E-4</v>
      </c>
      <c r="T78" s="77" cm="1">
        <f t="array" ref="T7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8" s="76">
        <v>-9.9999999999766942E-5</v>
      </c>
      <c r="V78" s="77" cm="1">
        <f t="array" ref="V7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8" s="77">
        <v>-1.1000000013154931E-3</v>
      </c>
      <c r="X78" s="77" cm="1">
        <f t="array" ref="X7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8" s="77">
        <v>5.9999999939464033E-4</v>
      </c>
      <c r="Z78" s="77" cm="1">
        <f t="array" ref="Z7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8" s="107" t="s">
        <v>85</v>
      </c>
      <c r="AE78" s="111"/>
      <c r="AF78" s="1"/>
      <c r="AG78" s="1"/>
      <c r="AH78" s="1"/>
      <c r="AI78" s="1"/>
      <c r="AJ78" s="1"/>
      <c r="AK78" s="4"/>
      <c r="AL78" s="4"/>
      <c r="AM78" s="4"/>
      <c r="AN78" s="4"/>
      <c r="AO78" s="1"/>
      <c r="AP78" s="1"/>
      <c r="AQ78" s="1"/>
      <c r="AR78" s="1"/>
      <c r="AS78" s="1"/>
      <c r="AT78" s="1"/>
    </row>
    <row r="79" spans="7:46" ht="14.25" customHeight="1" x14ac:dyDescent="0.2">
      <c r="G79" s="74">
        <v>45750.28125</v>
      </c>
      <c r="H79" s="107" t="s">
        <v>184</v>
      </c>
      <c r="I79" s="127"/>
      <c r="J79" s="145">
        <v>51902.292699999998</v>
      </c>
      <c r="K79" s="145">
        <v>159190.88459999999</v>
      </c>
      <c r="L79" s="145">
        <v>18.779</v>
      </c>
      <c r="M79" s="142">
        <v>51902.292000000001</v>
      </c>
      <c r="N79" s="142">
        <v>159190.88500000001</v>
      </c>
      <c r="O79" s="142">
        <v>18.779</v>
      </c>
      <c r="P79" s="129">
        <v>19.3</v>
      </c>
      <c r="Q79" s="76">
        <v>-6.9999999686842784E-4</v>
      </c>
      <c r="R79" s="109" cm="1">
        <f t="array" ref="R7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79" s="76">
        <v>4.0000001899898052E-4</v>
      </c>
      <c r="T79" s="77" cm="1">
        <f t="array" ref="T7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79" s="76">
        <v>0</v>
      </c>
      <c r="V79" s="77" cm="1">
        <f t="array" ref="V7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79" s="77">
        <v>-6.9999999686842784E-4</v>
      </c>
      <c r="X79" s="77" cm="1">
        <f t="array" ref="X7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79" s="77">
        <v>4.0000001899898052E-4</v>
      </c>
      <c r="Z79" s="77" cm="1">
        <f t="array" ref="Z7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7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7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7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79" s="107" t="s">
        <v>85</v>
      </c>
      <c r="AE79" s="111"/>
      <c r="AF79" s="1"/>
      <c r="AG79" s="1"/>
      <c r="AH79" s="1"/>
      <c r="AI79" s="1"/>
      <c r="AJ79" s="1"/>
      <c r="AK79" s="4"/>
      <c r="AL79" s="4"/>
      <c r="AM79" s="4"/>
      <c r="AN79" s="4"/>
      <c r="AO79" s="1"/>
      <c r="AP79" s="1"/>
      <c r="AQ79" s="1"/>
      <c r="AR79" s="1"/>
      <c r="AS79" s="1"/>
      <c r="AT79" s="1"/>
    </row>
    <row r="80" spans="7:46" ht="14.25" customHeight="1" x14ac:dyDescent="0.2">
      <c r="G80" s="74">
        <v>45750.28125</v>
      </c>
      <c r="H80" s="107" t="s">
        <v>183</v>
      </c>
      <c r="I80" s="127"/>
      <c r="J80" s="145">
        <v>51901.989200000004</v>
      </c>
      <c r="K80" s="145">
        <v>159189.60260000001</v>
      </c>
      <c r="L80" s="145">
        <v>18.770099999999999</v>
      </c>
      <c r="M80" s="142">
        <v>51901.989000000001</v>
      </c>
      <c r="N80" s="142">
        <v>159189.603</v>
      </c>
      <c r="O80" s="142">
        <v>18.77</v>
      </c>
      <c r="P80" s="129">
        <v>19.3</v>
      </c>
      <c r="Q80" s="76">
        <v>-2.0000000222353265E-4</v>
      </c>
      <c r="R80" s="109" cm="1">
        <f t="array" ref="R8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0" s="76">
        <v>3.9999998989515007E-4</v>
      </c>
      <c r="T80" s="77" cm="1">
        <f t="array" ref="T8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0" s="76">
        <v>-9.9999999999766942E-5</v>
      </c>
      <c r="V80" s="77" cm="1">
        <f t="array" ref="V8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0" s="77">
        <v>-2.0000000222353265E-4</v>
      </c>
      <c r="X80" s="77" cm="1">
        <f t="array" ref="X8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0" s="77">
        <v>3.9999998989515007E-4</v>
      </c>
      <c r="Z80" s="77" cm="1">
        <f t="array" ref="Z8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0" s="107" t="s">
        <v>85</v>
      </c>
      <c r="AE80" s="111"/>
      <c r="AF80" s="1"/>
      <c r="AG80" s="1"/>
      <c r="AH80" s="1"/>
      <c r="AI80" s="1"/>
      <c r="AJ80" s="1"/>
      <c r="AK80" s="4"/>
      <c r="AL80" s="4"/>
      <c r="AM80" s="4"/>
      <c r="AN80" s="4"/>
      <c r="AO80" s="1"/>
      <c r="AP80" s="1"/>
      <c r="AQ80" s="1"/>
      <c r="AR80" s="1"/>
      <c r="AS80" s="1"/>
      <c r="AT80" s="1"/>
    </row>
    <row r="81" spans="7:46" ht="14.25" customHeight="1" x14ac:dyDescent="0.2">
      <c r="G81" s="74">
        <v>45750.28125</v>
      </c>
      <c r="H81" s="107" t="s">
        <v>186</v>
      </c>
      <c r="I81" s="127"/>
      <c r="J81" s="145">
        <v>51905.196199999998</v>
      </c>
      <c r="K81" s="145">
        <v>159190.09460000001</v>
      </c>
      <c r="L81" s="145">
        <v>18.780899999999999</v>
      </c>
      <c r="M81" s="142">
        <v>51905.196000000004</v>
      </c>
      <c r="N81" s="142">
        <v>159190.095</v>
      </c>
      <c r="O81" s="142">
        <v>18.780999999999999</v>
      </c>
      <c r="P81" s="129">
        <v>19.3</v>
      </c>
      <c r="Q81" s="76">
        <v>-1.9999999494757503E-4</v>
      </c>
      <c r="R81" s="109" cm="1">
        <f t="array" ref="R8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1" s="76">
        <v>3.9999998989515007E-4</v>
      </c>
      <c r="T81" s="77" cm="1">
        <f t="array" ref="T8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1" s="76">
        <v>9.9999999999766942E-5</v>
      </c>
      <c r="V81" s="77" cm="1">
        <f t="array" ref="V8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1" s="77">
        <v>-1.9999999494757503E-4</v>
      </c>
      <c r="X81" s="77" cm="1">
        <f t="array" ref="X8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1" s="77">
        <v>3.9999998989515007E-4</v>
      </c>
      <c r="Z81" s="77" cm="1">
        <f t="array" ref="Z8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1" s="107" t="s">
        <v>85</v>
      </c>
      <c r="AE81" s="111"/>
      <c r="AF81" s="1"/>
      <c r="AG81" s="1"/>
      <c r="AH81" s="1"/>
      <c r="AI81" s="1"/>
      <c r="AJ81" s="1"/>
      <c r="AK81" s="4"/>
      <c r="AL81" s="4"/>
      <c r="AM81" s="4"/>
      <c r="AN81" s="4"/>
      <c r="AO81" s="1"/>
      <c r="AP81" s="1"/>
      <c r="AQ81" s="1"/>
      <c r="AR81" s="1"/>
      <c r="AS81" s="1"/>
      <c r="AT81" s="1"/>
    </row>
    <row r="82" spans="7:46" ht="14.25" customHeight="1" x14ac:dyDescent="0.2">
      <c r="G82" s="74">
        <v>45750.28125</v>
      </c>
      <c r="H82" s="107" t="s">
        <v>185</v>
      </c>
      <c r="I82" s="127"/>
      <c r="J82" s="145">
        <v>51904.885600000001</v>
      </c>
      <c r="K82" s="145">
        <v>159188.8046</v>
      </c>
      <c r="L82" s="145">
        <v>18.773099999999999</v>
      </c>
      <c r="M82" s="142">
        <v>51904.885000000002</v>
      </c>
      <c r="N82" s="142">
        <v>159188.80499999999</v>
      </c>
      <c r="O82" s="142">
        <v>18.773</v>
      </c>
      <c r="P82" s="129">
        <v>19.3</v>
      </c>
      <c r="Q82" s="76">
        <v>-5.9999999939464033E-4</v>
      </c>
      <c r="R82" s="109" cm="1">
        <f t="array" ref="R8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2" s="76">
        <v>3.9999998989515007E-4</v>
      </c>
      <c r="T82" s="77" cm="1">
        <f t="array" ref="T8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2" s="76">
        <v>-9.9999999999766942E-5</v>
      </c>
      <c r="V82" s="77" cm="1">
        <f t="array" ref="V8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2" s="77">
        <v>-5.9999999939464033E-4</v>
      </c>
      <c r="X82" s="77" cm="1">
        <f t="array" ref="X8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2" s="77">
        <v>3.9999998989515007E-4</v>
      </c>
      <c r="Z82" s="77" cm="1">
        <f t="array" ref="Z8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2" s="107" t="s">
        <v>85</v>
      </c>
      <c r="AE82" s="111"/>
      <c r="AF82" s="1"/>
      <c r="AG82" s="1"/>
      <c r="AH82" s="1"/>
      <c r="AI82" s="1"/>
      <c r="AJ82" s="1"/>
      <c r="AK82" s="4"/>
      <c r="AL82" s="4"/>
      <c r="AM82" s="4"/>
      <c r="AN82" s="4"/>
      <c r="AO82" s="1"/>
      <c r="AP82" s="1"/>
      <c r="AQ82" s="1"/>
      <c r="AR82" s="1"/>
      <c r="AS82" s="1"/>
      <c r="AT82" s="1"/>
    </row>
    <row r="83" spans="7:46" ht="14.25" customHeight="1" x14ac:dyDescent="0.2">
      <c r="G83" s="74">
        <v>45750.28125</v>
      </c>
      <c r="H83" s="107" t="s">
        <v>188</v>
      </c>
      <c r="I83" s="127"/>
      <c r="J83" s="145">
        <v>51907.9522</v>
      </c>
      <c r="K83" s="145">
        <v>159189.36230000001</v>
      </c>
      <c r="L83" s="145">
        <v>18.786000000000001</v>
      </c>
      <c r="M83" s="142">
        <v>51907.951999999997</v>
      </c>
      <c r="N83" s="142">
        <v>159189.36300000001</v>
      </c>
      <c r="O83" s="142">
        <v>18.786000000000001</v>
      </c>
      <c r="P83" s="129">
        <v>19.3</v>
      </c>
      <c r="Q83" s="76">
        <v>-2.0000000222353265E-4</v>
      </c>
      <c r="R83" s="109" cm="1">
        <f t="array" ref="R8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3" s="76">
        <v>7.0000000414438546E-4</v>
      </c>
      <c r="T83" s="77" cm="1">
        <f t="array" ref="T8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3" s="76">
        <v>0</v>
      </c>
      <c r="V83" s="77" cm="1">
        <f t="array" ref="V8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3" s="77">
        <v>-2.0000000222353265E-4</v>
      </c>
      <c r="X83" s="77" cm="1">
        <f t="array" ref="X8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3" s="77">
        <v>7.0000000414438546E-4</v>
      </c>
      <c r="Z83" s="77" cm="1">
        <f t="array" ref="Z8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3" s="107" t="s">
        <v>85</v>
      </c>
      <c r="AE83" s="111"/>
      <c r="AF83" s="1"/>
      <c r="AG83" s="1"/>
      <c r="AH83" s="1"/>
      <c r="AI83" s="1"/>
      <c r="AJ83" s="1"/>
      <c r="AK83" s="4"/>
      <c r="AL83" s="4"/>
      <c r="AM83" s="4"/>
      <c r="AN83" s="4"/>
      <c r="AO83" s="1"/>
      <c r="AP83" s="1"/>
      <c r="AQ83" s="1"/>
      <c r="AR83" s="1"/>
      <c r="AS83" s="1"/>
      <c r="AT83" s="1"/>
    </row>
    <row r="84" spans="7:46" ht="14.25" customHeight="1" x14ac:dyDescent="0.2">
      <c r="G84" s="74">
        <v>45750.28125</v>
      </c>
      <c r="H84" s="107" t="s">
        <v>187</v>
      </c>
      <c r="I84" s="127"/>
      <c r="J84" s="145">
        <v>51907.578699999998</v>
      </c>
      <c r="K84" s="145">
        <v>159188.09770000001</v>
      </c>
      <c r="L84" s="145">
        <v>18.776</v>
      </c>
      <c r="M84" s="142">
        <v>51907.578000000001</v>
      </c>
      <c r="N84" s="142">
        <v>159188.098</v>
      </c>
      <c r="O84" s="142">
        <v>18.776</v>
      </c>
      <c r="P84" s="129">
        <v>19.3</v>
      </c>
      <c r="Q84" s="76">
        <v>-6.9999999686842784E-4</v>
      </c>
      <c r="R84" s="109" cm="1">
        <f t="array" ref="R8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4" s="76">
        <v>2.9999998514540493E-4</v>
      </c>
      <c r="T84" s="77" cm="1">
        <f t="array" ref="T8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4" s="76">
        <v>0</v>
      </c>
      <c r="V84" s="77" cm="1">
        <f t="array" ref="V8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4" s="77">
        <v>-6.9999999686842784E-4</v>
      </c>
      <c r="X84" s="77" cm="1">
        <f t="array" ref="X8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4" s="77">
        <v>2.9999998514540493E-4</v>
      </c>
      <c r="Z84" s="77" cm="1">
        <f t="array" ref="Z8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4" s="107" t="s">
        <v>85</v>
      </c>
      <c r="AE84" s="111"/>
      <c r="AF84" s="1"/>
      <c r="AG84" s="1"/>
      <c r="AH84" s="1"/>
      <c r="AI84" s="1"/>
      <c r="AJ84" s="1"/>
      <c r="AK84" s="4"/>
      <c r="AL84" s="4"/>
      <c r="AM84" s="4"/>
      <c r="AN84" s="4"/>
      <c r="AO84" s="1"/>
      <c r="AP84" s="1"/>
      <c r="AQ84" s="1"/>
      <c r="AR84" s="1"/>
      <c r="AS84" s="1"/>
      <c r="AT84" s="1"/>
    </row>
    <row r="85" spans="7:46" ht="14.25" customHeight="1" x14ac:dyDescent="0.2">
      <c r="G85" s="74">
        <v>45750.28125</v>
      </c>
      <c r="H85" s="107" t="s">
        <v>190</v>
      </c>
      <c r="I85" s="127"/>
      <c r="J85" s="145">
        <v>51910.962800000001</v>
      </c>
      <c r="K85" s="145">
        <v>159188.60079999999</v>
      </c>
      <c r="L85" s="145">
        <v>18.794599999999999</v>
      </c>
      <c r="M85" s="142">
        <v>51910.962</v>
      </c>
      <c r="N85" s="142">
        <v>159188.601</v>
      </c>
      <c r="O85" s="142">
        <v>18.795000000000002</v>
      </c>
      <c r="P85" s="129">
        <v>19.3</v>
      </c>
      <c r="Q85" s="76">
        <v>-8.0000000161817297E-4</v>
      </c>
      <c r="R85" s="109" cm="1">
        <f t="array" ref="R8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5" s="76">
        <v>2.0000000949949026E-4</v>
      </c>
      <c r="T85" s="77" cm="1">
        <f t="array" ref="T8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5" s="76">
        <v>4.0000000000262048E-4</v>
      </c>
      <c r="V85" s="77" cm="1">
        <f t="array" ref="V8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5" s="77">
        <v>-8.0000000161817297E-4</v>
      </c>
      <c r="X85" s="77" cm="1">
        <f t="array" ref="X8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5" s="77">
        <v>2.0000000949949026E-4</v>
      </c>
      <c r="Z85" s="77" cm="1">
        <f t="array" ref="Z8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5" s="107" t="s">
        <v>85</v>
      </c>
      <c r="AE85" s="111"/>
      <c r="AF85" s="1"/>
      <c r="AG85" s="1"/>
      <c r="AH85" s="1"/>
      <c r="AI85" s="1"/>
      <c r="AJ85" s="1"/>
      <c r="AK85" s="4"/>
      <c r="AL85" s="4"/>
      <c r="AM85" s="4"/>
      <c r="AN85" s="4"/>
      <c r="AO85" s="1"/>
      <c r="AP85" s="1"/>
      <c r="AQ85" s="1"/>
      <c r="AR85" s="1"/>
      <c r="AS85" s="1"/>
      <c r="AT85" s="1"/>
    </row>
    <row r="86" spans="7:46" ht="14.25" customHeight="1" x14ac:dyDescent="0.2">
      <c r="G86" s="74">
        <v>45750.28125</v>
      </c>
      <c r="H86" s="107" t="s">
        <v>189</v>
      </c>
      <c r="I86" s="127"/>
      <c r="J86" s="145">
        <v>51910.640099999997</v>
      </c>
      <c r="K86" s="145">
        <v>159187.3223</v>
      </c>
      <c r="L86" s="145">
        <v>18.7836</v>
      </c>
      <c r="M86" s="142">
        <v>51910.639000000003</v>
      </c>
      <c r="N86" s="142">
        <v>159187.323</v>
      </c>
      <c r="O86" s="142">
        <v>18.783999999999999</v>
      </c>
      <c r="P86" s="129">
        <v>19.3</v>
      </c>
      <c r="Q86" s="76">
        <v>-1.0999999940395355E-3</v>
      </c>
      <c r="R86" s="109" cm="1">
        <f t="array" ref="R8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6" s="76">
        <v>7.0000000414438546E-4</v>
      </c>
      <c r="T86" s="77" cm="1">
        <f t="array" ref="T8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6" s="76">
        <v>3.9999999999906777E-4</v>
      </c>
      <c r="V86" s="77" cm="1">
        <f t="array" ref="V8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6" s="77">
        <v>-1.0999999940395355E-3</v>
      </c>
      <c r="X86" s="77" cm="1">
        <f t="array" ref="X8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6" s="77">
        <v>7.0000000414438546E-4</v>
      </c>
      <c r="Z86" s="77" cm="1">
        <f t="array" ref="Z8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6" s="107" t="s">
        <v>85</v>
      </c>
      <c r="AE86" s="111"/>
      <c r="AF86" s="1"/>
      <c r="AG86" s="1"/>
      <c r="AH86" s="1"/>
      <c r="AI86" s="1"/>
      <c r="AJ86" s="1"/>
      <c r="AK86" s="4"/>
      <c r="AL86" s="4"/>
      <c r="AM86" s="4"/>
      <c r="AN86" s="4"/>
      <c r="AO86" s="1"/>
      <c r="AP86" s="1"/>
      <c r="AQ86" s="1"/>
      <c r="AR86" s="1"/>
      <c r="AS86" s="1"/>
      <c r="AT86" s="1"/>
    </row>
    <row r="87" spans="7:46" ht="14.25" customHeight="1" x14ac:dyDescent="0.2">
      <c r="G87" s="74">
        <v>45750.28125</v>
      </c>
      <c r="H87" s="107" t="s">
        <v>192</v>
      </c>
      <c r="I87" s="127"/>
      <c r="J87" s="145">
        <v>51913.751100000001</v>
      </c>
      <c r="K87" s="145">
        <v>159187.9178</v>
      </c>
      <c r="L87" s="145">
        <v>18.809000000000001</v>
      </c>
      <c r="M87" s="142">
        <v>51913.75</v>
      </c>
      <c r="N87" s="142">
        <v>159187.91800000001</v>
      </c>
      <c r="O87" s="142">
        <v>18.809000000000001</v>
      </c>
      <c r="P87" s="129">
        <v>19.3</v>
      </c>
      <c r="Q87" s="76">
        <v>-1.1000000013154931E-3</v>
      </c>
      <c r="R87" s="109" cm="1">
        <f t="array" ref="R8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7" s="76">
        <v>2.0000000949949026E-4</v>
      </c>
      <c r="T87" s="77" cm="1">
        <f t="array" ref="T8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7" s="76">
        <v>0</v>
      </c>
      <c r="V87" s="77" cm="1">
        <f t="array" ref="V8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7" s="77">
        <v>-1.1000000013154931E-3</v>
      </c>
      <c r="X87" s="77" cm="1">
        <f t="array" ref="X8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7" s="77">
        <v>2.0000000949949026E-4</v>
      </c>
      <c r="Z87" s="77" cm="1">
        <f t="array" ref="Z8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7" s="107" t="s">
        <v>85</v>
      </c>
      <c r="AE87" s="111"/>
      <c r="AF87" s="1"/>
      <c r="AG87" s="1"/>
      <c r="AH87" s="1"/>
      <c r="AI87" s="1"/>
      <c r="AJ87" s="1"/>
      <c r="AK87" s="4"/>
      <c r="AL87" s="4"/>
      <c r="AM87" s="4"/>
      <c r="AN87" s="4"/>
      <c r="AO87" s="1"/>
      <c r="AP87" s="1"/>
      <c r="AQ87" s="1"/>
      <c r="AR87" s="1"/>
      <c r="AS87" s="1"/>
      <c r="AT87" s="1"/>
    </row>
    <row r="88" spans="7:46" ht="14.25" customHeight="1" x14ac:dyDescent="0.2">
      <c r="G88" s="74">
        <v>45750.28125</v>
      </c>
      <c r="H88" s="107" t="s">
        <v>191</v>
      </c>
      <c r="I88" s="127"/>
      <c r="J88" s="145">
        <v>51913.421499999997</v>
      </c>
      <c r="K88" s="145">
        <v>159186.63630000001</v>
      </c>
      <c r="L88" s="145">
        <v>18.794899999999998</v>
      </c>
      <c r="M88" s="142">
        <v>51913.421000000002</v>
      </c>
      <c r="N88" s="142">
        <v>159186.63699999999</v>
      </c>
      <c r="O88" s="142">
        <v>18.795000000000002</v>
      </c>
      <c r="P88" s="129">
        <v>19.3</v>
      </c>
      <c r="Q88" s="76">
        <v>-4.999999946448952E-4</v>
      </c>
      <c r="R88" s="109" cm="1">
        <f t="array" ref="R8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8" s="76">
        <v>6.99999975040555E-4</v>
      </c>
      <c r="T88" s="77" cm="1">
        <f t="array" ref="T8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8" s="76">
        <v>1.0000000000331966E-4</v>
      </c>
      <c r="V88" s="77" cm="1">
        <f t="array" ref="V8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8" s="77">
        <v>-4.999999946448952E-4</v>
      </c>
      <c r="X88" s="77" cm="1">
        <f t="array" ref="X8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8" s="77">
        <v>6.99999975040555E-4</v>
      </c>
      <c r="Z88" s="77" cm="1">
        <f t="array" ref="Z8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8" s="107" t="s">
        <v>85</v>
      </c>
      <c r="AE88" s="111"/>
      <c r="AF88" s="1"/>
      <c r="AG88" s="1"/>
      <c r="AH88" s="1"/>
      <c r="AI88" s="1"/>
      <c r="AJ88" s="1"/>
      <c r="AK88" s="4"/>
      <c r="AL88" s="4"/>
      <c r="AM88" s="4"/>
      <c r="AN88" s="4"/>
      <c r="AO88" s="1"/>
      <c r="AP88" s="1"/>
      <c r="AQ88" s="1"/>
      <c r="AR88" s="1"/>
      <c r="AS88" s="1"/>
      <c r="AT88" s="1"/>
    </row>
    <row r="89" spans="7:46" ht="14.25" customHeight="1" x14ac:dyDescent="0.2">
      <c r="G89" s="74">
        <v>45750.28125</v>
      </c>
      <c r="H89" s="107" t="s">
        <v>165</v>
      </c>
      <c r="I89" s="127"/>
      <c r="J89" s="145">
        <v>51884.538999999997</v>
      </c>
      <c r="K89" s="145">
        <v>159193.38269999999</v>
      </c>
      <c r="L89" s="145">
        <v>19.331700000000001</v>
      </c>
      <c r="M89" s="142">
        <v>51884.538999999997</v>
      </c>
      <c r="N89" s="142">
        <v>159193.38200000001</v>
      </c>
      <c r="O89" s="142">
        <v>19.332000000000001</v>
      </c>
      <c r="P89" s="129">
        <v>19.3</v>
      </c>
      <c r="Q89" s="76">
        <v>0</v>
      </c>
      <c r="R89" s="109" cm="1">
        <f t="array" ref="R8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89" s="76">
        <v>-6.99999975040555E-4</v>
      </c>
      <c r="T89" s="77" cm="1">
        <f t="array" ref="T8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89" s="76">
        <v>2.9999999999930083E-4</v>
      </c>
      <c r="V89" s="77" cm="1">
        <f t="array" ref="V8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89" s="77">
        <v>0</v>
      </c>
      <c r="X89" s="77" cm="1">
        <f t="array" ref="X8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89" s="77">
        <v>-6.99999975040555E-4</v>
      </c>
      <c r="Z89" s="77" cm="1">
        <f t="array" ref="Z8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8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8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8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89" s="107" t="s">
        <v>85</v>
      </c>
      <c r="AE89" s="111"/>
      <c r="AF89" s="1"/>
      <c r="AG89" s="1"/>
      <c r="AH89" s="1"/>
      <c r="AI89" s="1"/>
      <c r="AJ89" s="1"/>
      <c r="AK89" s="4"/>
      <c r="AL89" s="4"/>
      <c r="AM89" s="4"/>
      <c r="AN89" s="4"/>
      <c r="AO89" s="1"/>
      <c r="AP89" s="1"/>
      <c r="AQ89" s="1"/>
      <c r="AR89" s="1"/>
      <c r="AS89" s="1"/>
      <c r="AT89" s="1"/>
    </row>
    <row r="90" spans="7:46" ht="14.25" customHeight="1" x14ac:dyDescent="0.2">
      <c r="G90" s="74">
        <v>45750.28125</v>
      </c>
      <c r="H90" s="107" t="s">
        <v>166</v>
      </c>
      <c r="I90" s="127"/>
      <c r="J90" s="145">
        <v>51890.2863</v>
      </c>
      <c r="K90" s="145">
        <v>159191.73069999999</v>
      </c>
      <c r="L90" s="145">
        <v>19.321999999999999</v>
      </c>
      <c r="M90" s="142">
        <v>51890.286</v>
      </c>
      <c r="N90" s="142">
        <v>159191.73000000001</v>
      </c>
      <c r="O90" s="142">
        <v>19.321999999999999</v>
      </c>
      <c r="P90" s="129">
        <v>19.3</v>
      </c>
      <c r="Q90" s="76">
        <v>-2.9999999969732016E-4</v>
      </c>
      <c r="R90" s="109" cm="1">
        <f t="array" ref="R9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0" s="76">
        <v>-6.99999975040555E-4</v>
      </c>
      <c r="T90" s="77" cm="1">
        <f t="array" ref="T9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0" s="76">
        <v>0</v>
      </c>
      <c r="V90" s="77" cm="1">
        <f t="array" ref="V9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0" s="77">
        <v>-2.9999999969732016E-4</v>
      </c>
      <c r="X90" s="77" cm="1">
        <f t="array" ref="X9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0" s="77">
        <v>-6.99999975040555E-4</v>
      </c>
      <c r="Z90" s="77" cm="1">
        <f t="array" ref="Z9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0" s="107" t="s">
        <v>85</v>
      </c>
      <c r="AE90" s="111"/>
      <c r="AF90" s="1"/>
      <c r="AG90" s="1"/>
      <c r="AH90" s="1"/>
      <c r="AI90" s="1"/>
      <c r="AJ90" s="1"/>
      <c r="AK90" s="4"/>
      <c r="AL90" s="4"/>
      <c r="AM90" s="4"/>
      <c r="AN90" s="4"/>
      <c r="AO90" s="1"/>
      <c r="AP90" s="1"/>
      <c r="AQ90" s="1"/>
      <c r="AR90" s="1"/>
      <c r="AS90" s="1"/>
      <c r="AT90" s="1"/>
    </row>
    <row r="91" spans="7:46" ht="14.25" customHeight="1" x14ac:dyDescent="0.2">
      <c r="G91" s="74">
        <v>45750.28125</v>
      </c>
      <c r="H91" s="107" t="s">
        <v>167</v>
      </c>
      <c r="I91" s="127"/>
      <c r="J91" s="145">
        <v>51895.920700000002</v>
      </c>
      <c r="K91" s="145">
        <v>159190.1</v>
      </c>
      <c r="L91" s="145">
        <v>19.334</v>
      </c>
      <c r="M91" s="142">
        <v>51895.921000000002</v>
      </c>
      <c r="N91" s="142">
        <v>159190.1</v>
      </c>
      <c r="O91" s="142">
        <v>19.334</v>
      </c>
      <c r="P91" s="129">
        <v>19.3</v>
      </c>
      <c r="Q91" s="76">
        <v>2.9999999969732016E-4</v>
      </c>
      <c r="R91" s="109" cm="1">
        <f t="array" ref="R9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1" s="76">
        <v>0</v>
      </c>
      <c r="T91" s="77" cm="1">
        <f t="array" ref="T9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1" s="76">
        <v>0</v>
      </c>
      <c r="V91" s="77" cm="1">
        <f t="array" ref="V9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1" s="77">
        <v>2.9999999969732016E-4</v>
      </c>
      <c r="X91" s="77" cm="1">
        <f t="array" ref="X9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1" s="77">
        <v>0</v>
      </c>
      <c r="Z91" s="77" cm="1">
        <f t="array" ref="Z9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1" s="107" t="s">
        <v>85</v>
      </c>
      <c r="AE91" s="111"/>
      <c r="AF91" s="1"/>
      <c r="AG91" s="1"/>
      <c r="AH91" s="1"/>
      <c r="AI91" s="1"/>
      <c r="AJ91" s="1"/>
      <c r="AK91" s="4"/>
      <c r="AL91" s="4"/>
      <c r="AM91" s="4"/>
      <c r="AN91" s="4"/>
      <c r="AO91" s="1"/>
      <c r="AP91" s="1"/>
      <c r="AQ91" s="1"/>
      <c r="AR91" s="1"/>
      <c r="AS91" s="1"/>
      <c r="AT91" s="1"/>
    </row>
    <row r="92" spans="7:46" ht="14.25" customHeight="1" x14ac:dyDescent="0.2">
      <c r="G92" s="74">
        <v>45750.28125</v>
      </c>
      <c r="H92" s="107" t="s">
        <v>168</v>
      </c>
      <c r="I92" s="127"/>
      <c r="J92" s="145">
        <v>51899.7667</v>
      </c>
      <c r="K92" s="145">
        <v>159188.9933</v>
      </c>
      <c r="L92" s="145">
        <v>19.344999999999999</v>
      </c>
      <c r="M92" s="142">
        <v>51899.767</v>
      </c>
      <c r="N92" s="142">
        <v>159188.99299999999</v>
      </c>
      <c r="O92" s="142">
        <v>19.344999999999999</v>
      </c>
      <c r="P92" s="129">
        <v>19.3</v>
      </c>
      <c r="Q92" s="76">
        <v>2.9999999969732016E-4</v>
      </c>
      <c r="R92" s="109" cm="1">
        <f t="array" ref="R9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2" s="76">
        <v>-3.0000001424923539E-4</v>
      </c>
      <c r="T92" s="77" cm="1">
        <f t="array" ref="T9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2" s="76">
        <v>0</v>
      </c>
      <c r="V92" s="77" cm="1">
        <f t="array" ref="V9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2" s="77">
        <v>2.9999999969732016E-4</v>
      </c>
      <c r="X92" s="77" cm="1">
        <f t="array" ref="X9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2" s="77">
        <v>-3.0000001424923539E-4</v>
      </c>
      <c r="Z92" s="77" cm="1">
        <f t="array" ref="Z9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2" s="107" t="s">
        <v>85</v>
      </c>
      <c r="AE92" s="111"/>
      <c r="AF92" s="1"/>
      <c r="AG92" s="1"/>
      <c r="AH92" s="1"/>
      <c r="AI92" s="1"/>
      <c r="AJ92" s="1"/>
      <c r="AK92" s="4"/>
      <c r="AL92" s="4"/>
      <c r="AM92" s="4"/>
      <c r="AN92" s="4"/>
      <c r="AO92" s="1"/>
      <c r="AP92" s="1"/>
      <c r="AQ92" s="1"/>
      <c r="AR92" s="1"/>
      <c r="AS92" s="1"/>
      <c r="AT92" s="1"/>
    </row>
    <row r="93" spans="7:46" ht="14.25" customHeight="1" x14ac:dyDescent="0.2">
      <c r="G93" s="74">
        <v>45750.28125</v>
      </c>
      <c r="H93" s="107" t="s">
        <v>169</v>
      </c>
      <c r="I93" s="127"/>
      <c r="J93" s="145">
        <v>51903.6083</v>
      </c>
      <c r="K93" s="145">
        <v>159187.88200000001</v>
      </c>
      <c r="L93" s="145">
        <v>19.356999999999999</v>
      </c>
      <c r="M93" s="142">
        <v>51903.608999999997</v>
      </c>
      <c r="N93" s="142">
        <v>159187.88200000001</v>
      </c>
      <c r="O93" s="142">
        <v>19.356999999999999</v>
      </c>
      <c r="P93" s="129">
        <v>19.3</v>
      </c>
      <c r="Q93" s="76">
        <v>6.9999999686842784E-4</v>
      </c>
      <c r="R93" s="109" cm="1">
        <f t="array" ref="R9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3" s="76">
        <v>0</v>
      </c>
      <c r="T93" s="77" cm="1">
        <f t="array" ref="T9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3" s="76">
        <v>0</v>
      </c>
      <c r="V93" s="77" cm="1">
        <f t="array" ref="V9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3" s="77">
        <v>6.9999999686842784E-4</v>
      </c>
      <c r="X93" s="77" cm="1">
        <f t="array" ref="X9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3" s="77">
        <v>0</v>
      </c>
      <c r="Z93" s="77" cm="1">
        <f t="array" ref="Z9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3" s="107" t="s">
        <v>85</v>
      </c>
      <c r="AE93" s="111"/>
      <c r="AF93" s="1"/>
      <c r="AG93" s="1"/>
      <c r="AH93" s="1"/>
      <c r="AI93" s="1"/>
      <c r="AJ93" s="1"/>
      <c r="AK93" s="4"/>
      <c r="AL93" s="4"/>
      <c r="AM93" s="4"/>
      <c r="AN93" s="4"/>
      <c r="AO93" s="1"/>
      <c r="AP93" s="1"/>
      <c r="AQ93" s="1"/>
      <c r="AR93" s="1"/>
      <c r="AS93" s="1"/>
      <c r="AT93" s="1"/>
    </row>
    <row r="94" spans="7:46" ht="14.25" customHeight="1" x14ac:dyDescent="0.2">
      <c r="G94" s="74">
        <v>45750.28125</v>
      </c>
      <c r="H94" s="107" t="s">
        <v>170</v>
      </c>
      <c r="I94" s="127"/>
      <c r="J94" s="145">
        <v>51910.065000000002</v>
      </c>
      <c r="K94" s="145">
        <v>159186.02369999999</v>
      </c>
      <c r="L94" s="145">
        <v>19.356999999999999</v>
      </c>
      <c r="M94" s="142">
        <v>51910.065000000002</v>
      </c>
      <c r="N94" s="142">
        <v>159186.02299999999</v>
      </c>
      <c r="O94" s="142">
        <v>19.356999999999999</v>
      </c>
      <c r="P94" s="129">
        <v>19.3</v>
      </c>
      <c r="Q94" s="76">
        <v>0</v>
      </c>
      <c r="R94" s="109" cm="1">
        <f t="array" ref="R9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4" s="76">
        <v>-7.0000000414438546E-4</v>
      </c>
      <c r="T94" s="77" cm="1">
        <f t="array" ref="T9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4" s="76">
        <v>0</v>
      </c>
      <c r="V94" s="77" cm="1">
        <f t="array" ref="V9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4" s="77">
        <v>0</v>
      </c>
      <c r="X94" s="77" cm="1">
        <f t="array" ref="X9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4" s="77">
        <v>-7.0000000414438546E-4</v>
      </c>
      <c r="Z94" s="77" cm="1">
        <f t="array" ref="Z9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4" s="107" t="s">
        <v>85</v>
      </c>
      <c r="AE94" s="111"/>
      <c r="AF94" s="1"/>
      <c r="AG94" s="1"/>
      <c r="AH94" s="1"/>
      <c r="AI94" s="1"/>
      <c r="AJ94" s="1"/>
      <c r="AK94" s="4"/>
      <c r="AL94" s="4"/>
      <c r="AM94" s="4"/>
      <c r="AN94" s="4"/>
      <c r="AO94" s="1"/>
      <c r="AP94" s="1"/>
      <c r="AQ94" s="1"/>
      <c r="AR94" s="1"/>
      <c r="AS94" s="1"/>
      <c r="AT94" s="1"/>
    </row>
    <row r="95" spans="7:46" ht="14.25" customHeight="1" x14ac:dyDescent="0.2">
      <c r="G95" s="74">
        <v>45743.493055555555</v>
      </c>
      <c r="H95" s="107" t="s">
        <v>172</v>
      </c>
      <c r="I95" s="127"/>
      <c r="J95" s="145">
        <v>51885.34</v>
      </c>
      <c r="K95" s="145">
        <v>159195.739</v>
      </c>
      <c r="L95" s="145">
        <v>18.782</v>
      </c>
      <c r="M95" s="142">
        <v>51885.339</v>
      </c>
      <c r="N95" s="142">
        <v>159195.73800000001</v>
      </c>
      <c r="O95" s="142">
        <v>18.782</v>
      </c>
      <c r="P95" s="129">
        <v>25.5</v>
      </c>
      <c r="Q95" s="76">
        <v>-9.9999999656574801E-4</v>
      </c>
      <c r="R95" s="109" cm="1">
        <f t="array" ref="R9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5" s="76">
        <v>-9.9999998928979039E-4</v>
      </c>
      <c r="T95" s="77" cm="1">
        <f t="array" ref="T9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5" s="76">
        <v>0</v>
      </c>
      <c r="V95" s="77" cm="1">
        <f t="array" ref="V9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5" s="77">
        <v>-9.9999999656574801E-4</v>
      </c>
      <c r="X95" s="77" cm="1">
        <f t="array" ref="X9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5" s="77">
        <v>-9.9999998928979039E-4</v>
      </c>
      <c r="Z95" s="77" cm="1">
        <f t="array" ref="Z9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5" s="107" t="s">
        <v>85</v>
      </c>
      <c r="AE95" s="111"/>
      <c r="AF95" s="1"/>
      <c r="AG95" s="1"/>
      <c r="AH95" s="1"/>
      <c r="AI95" s="1"/>
      <c r="AJ95" s="1"/>
      <c r="AK95" s="4"/>
      <c r="AL95" s="4"/>
      <c r="AM95" s="4"/>
      <c r="AN95" s="4"/>
      <c r="AO95" s="1"/>
      <c r="AP95" s="1"/>
      <c r="AQ95" s="1"/>
      <c r="AR95" s="1"/>
      <c r="AS95" s="1"/>
      <c r="AT95" s="1"/>
    </row>
    <row r="96" spans="7:46" ht="14.25" customHeight="1" x14ac:dyDescent="0.2">
      <c r="G96" s="74">
        <v>45743.493055555555</v>
      </c>
      <c r="H96" s="107" t="s">
        <v>171</v>
      </c>
      <c r="I96" s="127"/>
      <c r="J96" s="145">
        <v>51884.958899999998</v>
      </c>
      <c r="K96" s="145">
        <v>159194.47070000001</v>
      </c>
      <c r="L96" s="145">
        <v>18.778099999999998</v>
      </c>
      <c r="M96" s="142">
        <v>51884.959000000003</v>
      </c>
      <c r="N96" s="142">
        <v>159194.47</v>
      </c>
      <c r="O96" s="142">
        <v>18.777999999999999</v>
      </c>
      <c r="P96" s="129">
        <v>25.5</v>
      </c>
      <c r="Q96" s="76">
        <v>1.0000000474974513E-4</v>
      </c>
      <c r="R96" s="109" cm="1">
        <f t="array" ref="R9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6" s="76">
        <v>-7.0000000414438546E-4</v>
      </c>
      <c r="T96" s="77" cm="1">
        <f t="array" ref="T9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6" s="76">
        <v>-9.9999999999766942E-5</v>
      </c>
      <c r="V96" s="77" cm="1">
        <f t="array" ref="V9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6" s="77">
        <v>1.0000000474974513E-4</v>
      </c>
      <c r="X96" s="77" cm="1">
        <f t="array" ref="X9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6" s="77">
        <v>-7.0000000414438546E-4</v>
      </c>
      <c r="Z96" s="77" cm="1">
        <f t="array" ref="Z9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6" s="107" t="s">
        <v>85</v>
      </c>
      <c r="AE96" s="111"/>
      <c r="AF96" s="1"/>
      <c r="AG96" s="1"/>
      <c r="AH96" s="1"/>
      <c r="AI96" s="1"/>
      <c r="AJ96" s="1"/>
      <c r="AK96" s="4"/>
      <c r="AL96" s="4"/>
      <c r="AM96" s="4"/>
      <c r="AN96" s="4"/>
      <c r="AO96" s="1"/>
      <c r="AP96" s="1"/>
      <c r="AQ96" s="1"/>
      <c r="AR96" s="1"/>
      <c r="AS96" s="1"/>
      <c r="AT96" s="1"/>
    </row>
    <row r="97" spans="7:46" ht="14.25" customHeight="1" x14ac:dyDescent="0.2">
      <c r="G97" s="74">
        <v>45743.493055555555</v>
      </c>
      <c r="H97" s="107" t="s">
        <v>174</v>
      </c>
      <c r="I97" s="127"/>
      <c r="J97" s="145">
        <v>51888.117700000003</v>
      </c>
      <c r="K97" s="145">
        <v>159194.94529999999</v>
      </c>
      <c r="L97" s="145">
        <v>18.7788</v>
      </c>
      <c r="M97" s="142">
        <v>51888.116999999998</v>
      </c>
      <c r="N97" s="142">
        <v>159194.94500000001</v>
      </c>
      <c r="O97" s="142">
        <v>18.779</v>
      </c>
      <c r="P97" s="129">
        <v>25.5</v>
      </c>
      <c r="Q97" s="76">
        <v>-7.0000000414438546E-4</v>
      </c>
      <c r="R97" s="109" cm="1">
        <f t="array" ref="R9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7" s="76">
        <v>-2.9999998514540493E-4</v>
      </c>
      <c r="T97" s="77" cm="1">
        <f t="array" ref="T9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7" s="76">
        <v>1.9999999999953388E-4</v>
      </c>
      <c r="V97" s="77" cm="1">
        <f t="array" ref="V9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7" s="77">
        <v>-7.0000000414438546E-4</v>
      </c>
      <c r="X97" s="77" cm="1">
        <f t="array" ref="X9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7" s="77">
        <v>-2.9999998514540493E-4</v>
      </c>
      <c r="Z97" s="77" cm="1">
        <f t="array" ref="Z9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7" s="107" t="s">
        <v>85</v>
      </c>
      <c r="AE97" s="111"/>
      <c r="AF97" s="1"/>
      <c r="AG97" s="1"/>
      <c r="AH97" s="1"/>
      <c r="AI97" s="1"/>
      <c r="AJ97" s="1"/>
      <c r="AK97" s="4"/>
      <c r="AL97" s="4"/>
      <c r="AM97" s="4"/>
      <c r="AN97" s="4"/>
      <c r="AO97" s="1"/>
      <c r="AP97" s="1"/>
      <c r="AQ97" s="1"/>
      <c r="AR97" s="1"/>
      <c r="AS97" s="1"/>
      <c r="AT97" s="1"/>
    </row>
    <row r="98" spans="7:46" ht="14.25" customHeight="1" x14ac:dyDescent="0.2">
      <c r="G98" s="74">
        <v>45743.493055555555</v>
      </c>
      <c r="H98" s="107" t="s">
        <v>173</v>
      </c>
      <c r="I98" s="127"/>
      <c r="J98" s="145">
        <v>51887.805099999998</v>
      </c>
      <c r="K98" s="145">
        <v>159193.65710000001</v>
      </c>
      <c r="L98" s="145">
        <v>18.778500000000001</v>
      </c>
      <c r="M98" s="142">
        <v>51887.803999999996</v>
      </c>
      <c r="N98" s="142">
        <v>159193.65700000001</v>
      </c>
      <c r="O98" s="142">
        <v>18.779</v>
      </c>
      <c r="P98" s="129">
        <v>25.5</v>
      </c>
      <c r="Q98" s="76">
        <v>-1.1000000013154931E-3</v>
      </c>
      <c r="R98" s="109" cm="1">
        <f t="array" ref="R9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8" s="76">
        <v>-1.0000000474974513E-4</v>
      </c>
      <c r="T98" s="77" cm="1">
        <f t="array" ref="T9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8" s="76">
        <v>4.9999999999883471E-4</v>
      </c>
      <c r="V98" s="77" cm="1">
        <f t="array" ref="V9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8" s="77">
        <v>-1.1000000013154931E-3</v>
      </c>
      <c r="X98" s="77" cm="1">
        <f t="array" ref="X9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8" s="77">
        <v>-1.0000000474974513E-4</v>
      </c>
      <c r="Z98" s="77" cm="1">
        <f t="array" ref="Z9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8" s="107" t="s">
        <v>85</v>
      </c>
      <c r="AE98" s="111"/>
      <c r="AF98" s="1"/>
      <c r="AG98" s="1"/>
      <c r="AH98" s="1"/>
      <c r="AI98" s="1"/>
      <c r="AJ98" s="1"/>
      <c r="AK98" s="4"/>
      <c r="AL98" s="4"/>
      <c r="AM98" s="4"/>
      <c r="AN98" s="4"/>
      <c r="AO98" s="1"/>
      <c r="AP98" s="1"/>
      <c r="AQ98" s="1"/>
      <c r="AR98" s="1"/>
      <c r="AS98" s="1"/>
      <c r="AT98" s="1"/>
    </row>
    <row r="99" spans="7:46" ht="14.25" customHeight="1" x14ac:dyDescent="0.2">
      <c r="G99" s="74">
        <v>45743.493055555555</v>
      </c>
      <c r="H99" s="107" t="s">
        <v>176</v>
      </c>
      <c r="I99" s="127"/>
      <c r="J99" s="145">
        <v>51890.969100000002</v>
      </c>
      <c r="K99" s="145">
        <v>159194.1177</v>
      </c>
      <c r="L99" s="145">
        <v>18.779</v>
      </c>
      <c r="M99" s="142">
        <v>51890.968000000001</v>
      </c>
      <c r="N99" s="142">
        <v>159194.117</v>
      </c>
      <c r="O99" s="142">
        <v>18.779</v>
      </c>
      <c r="P99" s="129">
        <v>25.5</v>
      </c>
      <c r="Q99" s="76">
        <v>-1.1000000013154931E-3</v>
      </c>
      <c r="R99" s="109" cm="1">
        <f t="array" ref="R9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99" s="76">
        <v>-7.0000000414438546E-4</v>
      </c>
      <c r="T99" s="77" cm="1">
        <f t="array" ref="T9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99" s="76">
        <v>0</v>
      </c>
      <c r="V99" s="77" cm="1">
        <f t="array" ref="V9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99" s="77">
        <v>-1.1000000013154931E-3</v>
      </c>
      <c r="X99" s="77" cm="1">
        <f t="array" ref="X9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99" s="77">
        <v>-7.0000000414438546E-4</v>
      </c>
      <c r="Z99" s="77" cm="1">
        <f t="array" ref="Z9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9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9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9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99" s="107" t="s">
        <v>85</v>
      </c>
      <c r="AE99" s="111"/>
      <c r="AF99" s="1"/>
      <c r="AG99" s="1"/>
      <c r="AH99" s="1"/>
      <c r="AI99" s="1"/>
      <c r="AJ99" s="1"/>
      <c r="AK99" s="4"/>
      <c r="AL99" s="4"/>
      <c r="AM99" s="4"/>
      <c r="AN99" s="4"/>
      <c r="AO99" s="1"/>
      <c r="AP99" s="1"/>
      <c r="AQ99" s="1"/>
      <c r="AR99" s="1"/>
      <c r="AS99" s="1"/>
      <c r="AT99" s="1"/>
    </row>
    <row r="100" spans="7:46" ht="14.25" customHeight="1" x14ac:dyDescent="0.2">
      <c r="G100" s="74">
        <v>45743.493055555555</v>
      </c>
      <c r="H100" s="107" t="s">
        <v>175</v>
      </c>
      <c r="I100" s="127"/>
      <c r="J100" s="145">
        <v>51890.606800000001</v>
      </c>
      <c r="K100" s="145">
        <v>159192.86069999999</v>
      </c>
      <c r="L100" s="145">
        <v>18.771999999999998</v>
      </c>
      <c r="M100" s="142">
        <v>51890.606</v>
      </c>
      <c r="N100" s="142">
        <v>159192.861</v>
      </c>
      <c r="O100" s="142">
        <v>18.771999999999998</v>
      </c>
      <c r="P100" s="129">
        <v>25.5</v>
      </c>
      <c r="Q100" s="76">
        <v>-8.0000000161817297E-4</v>
      </c>
      <c r="R100" s="109" cm="1">
        <f t="array" ref="R10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0" s="76">
        <v>3.0000001424923539E-4</v>
      </c>
      <c r="T100" s="77" cm="1">
        <f t="array" ref="T10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0" s="76">
        <v>0</v>
      </c>
      <c r="V100" s="77" cm="1">
        <f t="array" ref="V10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0" s="77">
        <v>-8.0000000161817297E-4</v>
      </c>
      <c r="X100" s="77" cm="1">
        <f t="array" ref="X10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0" s="77">
        <v>3.0000001424923539E-4</v>
      </c>
      <c r="Z100" s="77" cm="1">
        <f t="array" ref="Z10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0" s="107" t="s">
        <v>85</v>
      </c>
      <c r="AE100" s="111"/>
      <c r="AF100" s="1"/>
      <c r="AG100" s="1"/>
      <c r="AH100" s="1"/>
      <c r="AI100" s="1"/>
      <c r="AJ100" s="1"/>
      <c r="AK100" s="4"/>
      <c r="AL100" s="4"/>
      <c r="AM100" s="4"/>
      <c r="AN100" s="4"/>
      <c r="AO100" s="1"/>
      <c r="AP100" s="1"/>
      <c r="AQ100" s="1"/>
      <c r="AR100" s="1"/>
      <c r="AS100" s="1"/>
      <c r="AT100" s="1"/>
    </row>
    <row r="101" spans="7:46" ht="14.25" customHeight="1" x14ac:dyDescent="0.2">
      <c r="G101" s="74">
        <v>45743.493055555555</v>
      </c>
      <c r="H101" s="107" t="s">
        <v>178</v>
      </c>
      <c r="I101" s="127"/>
      <c r="J101" s="145">
        <v>51893.758699999998</v>
      </c>
      <c r="K101" s="145">
        <v>159193.3144</v>
      </c>
      <c r="L101" s="145">
        <v>18.774100000000001</v>
      </c>
      <c r="M101" s="142">
        <v>51893.758000000002</v>
      </c>
      <c r="N101" s="142">
        <v>159193.31400000001</v>
      </c>
      <c r="O101" s="142">
        <v>18.774000000000001</v>
      </c>
      <c r="P101" s="129">
        <v>25.5</v>
      </c>
      <c r="Q101" s="76">
        <v>-6.9999999686842784E-4</v>
      </c>
      <c r="R101" s="109" cm="1">
        <f t="array" ref="R10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1" s="76">
        <v>-3.9999998989515007E-4</v>
      </c>
      <c r="T101" s="77" cm="1">
        <f t="array" ref="T10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1" s="76">
        <v>-9.9999999999766942E-5</v>
      </c>
      <c r="V101" s="77" cm="1">
        <f t="array" ref="V10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1" s="77">
        <v>-6.9999999686842784E-4</v>
      </c>
      <c r="X101" s="77" cm="1">
        <f t="array" ref="X10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1" s="77">
        <v>-3.9999998989515007E-4</v>
      </c>
      <c r="Z101" s="77" cm="1">
        <f t="array" ref="Z10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1" s="107" t="s">
        <v>85</v>
      </c>
      <c r="AE101" s="111"/>
      <c r="AF101" s="1"/>
      <c r="AG101" s="1"/>
      <c r="AH101" s="1"/>
      <c r="AI101" s="1"/>
      <c r="AJ101" s="1"/>
      <c r="AK101" s="4"/>
      <c r="AL101" s="4"/>
      <c r="AM101" s="4"/>
      <c r="AN101" s="4"/>
      <c r="AO101" s="1"/>
      <c r="AP101" s="1"/>
      <c r="AQ101" s="1"/>
      <c r="AR101" s="1"/>
      <c r="AS101" s="1"/>
      <c r="AT101" s="1"/>
    </row>
    <row r="102" spans="7:46" ht="14.25" customHeight="1" x14ac:dyDescent="0.2">
      <c r="G102" s="74">
        <v>45743.493055555555</v>
      </c>
      <c r="H102" s="107" t="s">
        <v>177</v>
      </c>
      <c r="I102" s="127"/>
      <c r="J102" s="145">
        <v>51893.441299999999</v>
      </c>
      <c r="K102" s="145">
        <v>159192.04019999999</v>
      </c>
      <c r="L102" s="145">
        <v>18.7683</v>
      </c>
      <c r="M102" s="142">
        <v>51893.440999999999</v>
      </c>
      <c r="N102" s="142">
        <v>159192.04</v>
      </c>
      <c r="O102" s="142">
        <v>18.768999999999998</v>
      </c>
      <c r="P102" s="129">
        <v>25.5</v>
      </c>
      <c r="Q102" s="76">
        <v>-2.9999999969732016E-4</v>
      </c>
      <c r="R102" s="109" cm="1">
        <f t="array" ref="R10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2" s="76">
        <v>-1.999999803956598E-4</v>
      </c>
      <c r="T102" s="77" cm="1">
        <f t="array" ref="T10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2" s="76">
        <v>6.9999999999836859E-4</v>
      </c>
      <c r="V102" s="77" cm="1">
        <f t="array" ref="V10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2" s="77">
        <v>-2.9999999969732016E-4</v>
      </c>
      <c r="X102" s="77" cm="1">
        <f t="array" ref="X10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2" s="77">
        <v>-1.999999803956598E-4</v>
      </c>
      <c r="Z102" s="77" cm="1">
        <f t="array" ref="Z10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2" s="107" t="s">
        <v>85</v>
      </c>
      <c r="AE102" s="111"/>
      <c r="AF102" s="1"/>
      <c r="AG102" s="1"/>
      <c r="AH102" s="1"/>
      <c r="AI102" s="1"/>
      <c r="AJ102" s="1"/>
      <c r="AK102" s="4"/>
      <c r="AL102" s="4"/>
      <c r="AM102" s="4"/>
      <c r="AN102" s="4"/>
      <c r="AO102" s="1"/>
      <c r="AP102" s="1"/>
      <c r="AQ102" s="1"/>
      <c r="AR102" s="1"/>
      <c r="AS102" s="1"/>
      <c r="AT102" s="1"/>
    </row>
    <row r="103" spans="7:46" ht="14.25" customHeight="1" x14ac:dyDescent="0.2">
      <c r="G103" s="74">
        <v>45743.493055555555</v>
      </c>
      <c r="H103" s="107" t="s">
        <v>180</v>
      </c>
      <c r="I103" s="127"/>
      <c r="J103" s="145">
        <v>51896.633300000001</v>
      </c>
      <c r="K103" s="145">
        <v>159192.48449999999</v>
      </c>
      <c r="L103" s="145">
        <v>18.7776</v>
      </c>
      <c r="M103" s="142">
        <v>51896.633000000002</v>
      </c>
      <c r="N103" s="142">
        <v>159192.484</v>
      </c>
      <c r="O103" s="142">
        <v>18.777000000000001</v>
      </c>
      <c r="P103" s="129">
        <v>25.5</v>
      </c>
      <c r="Q103" s="76">
        <v>-2.9999999969732016E-4</v>
      </c>
      <c r="R103" s="109" cm="1">
        <f t="array" ref="R10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3" s="76">
        <v>-4.999999946448952E-4</v>
      </c>
      <c r="T103" s="77" cm="1">
        <f t="array" ref="T10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3" s="76">
        <v>-5.9999999999860165E-4</v>
      </c>
      <c r="V103" s="77" cm="1">
        <f t="array" ref="V10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3" s="77">
        <v>-2.9999999969732016E-4</v>
      </c>
      <c r="X103" s="77" cm="1">
        <f t="array" ref="X10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3" s="77">
        <v>-4.999999946448952E-4</v>
      </c>
      <c r="Z103" s="77" cm="1">
        <f t="array" ref="Z10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3" s="107" t="s">
        <v>85</v>
      </c>
      <c r="AE103" s="111"/>
      <c r="AF103" s="1"/>
      <c r="AG103" s="1"/>
      <c r="AH103" s="1"/>
      <c r="AI103" s="1"/>
      <c r="AJ103" s="1"/>
      <c r="AK103" s="4"/>
      <c r="AL103" s="4"/>
      <c r="AM103" s="4"/>
      <c r="AN103" s="4"/>
      <c r="AO103" s="1"/>
      <c r="AP103" s="1"/>
      <c r="AQ103" s="1"/>
      <c r="AR103" s="1"/>
      <c r="AS103" s="1"/>
      <c r="AT103" s="1"/>
    </row>
    <row r="104" spans="7:46" ht="14.25" customHeight="1" x14ac:dyDescent="0.2">
      <c r="G104" s="74">
        <v>45743.493055555555</v>
      </c>
      <c r="H104" s="107" t="s">
        <v>179</v>
      </c>
      <c r="I104" s="127"/>
      <c r="J104" s="145">
        <v>51896.249799999998</v>
      </c>
      <c r="K104" s="145">
        <v>159191.22630000001</v>
      </c>
      <c r="L104" s="145">
        <v>18.7698</v>
      </c>
      <c r="M104" s="142">
        <v>51896.249000000003</v>
      </c>
      <c r="N104" s="142">
        <v>159191.226</v>
      </c>
      <c r="O104" s="142">
        <v>18.77</v>
      </c>
      <c r="P104" s="129">
        <v>25.5</v>
      </c>
      <c r="Q104" s="76">
        <v>-7.9999999434221536E-4</v>
      </c>
      <c r="R104" s="109" cm="1">
        <f t="array" ref="R10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4" s="76">
        <v>-3.0000001424923539E-4</v>
      </c>
      <c r="T104" s="77" cm="1">
        <f t="array" ref="T10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4" s="76">
        <v>1.9999999999953388E-4</v>
      </c>
      <c r="V104" s="77" cm="1">
        <f t="array" ref="V10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4" s="77">
        <v>-7.9999999434221536E-4</v>
      </c>
      <c r="X104" s="77" cm="1">
        <f t="array" ref="X10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4" s="77">
        <v>-3.0000001424923539E-4</v>
      </c>
      <c r="Z104" s="77" cm="1">
        <f t="array" ref="Z10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4" s="107" t="s">
        <v>85</v>
      </c>
      <c r="AE104" s="111"/>
      <c r="AF104" s="1"/>
      <c r="AG104" s="1"/>
      <c r="AH104" s="1"/>
      <c r="AI104" s="1"/>
      <c r="AJ104" s="1"/>
      <c r="AK104" s="4"/>
      <c r="AL104" s="4"/>
      <c r="AM104" s="4"/>
      <c r="AN104" s="4"/>
      <c r="AO104" s="1"/>
      <c r="AP104" s="1"/>
      <c r="AQ104" s="1"/>
      <c r="AR104" s="1"/>
      <c r="AS104" s="1"/>
      <c r="AT104" s="1"/>
    </row>
    <row r="105" spans="7:46" ht="14.25" customHeight="1" x14ac:dyDescent="0.2">
      <c r="G105" s="74">
        <v>45743.493055555555</v>
      </c>
      <c r="H105" s="107" t="s">
        <v>182</v>
      </c>
      <c r="I105" s="127"/>
      <c r="J105" s="145">
        <v>51899.398699999998</v>
      </c>
      <c r="K105" s="145">
        <v>159191.69760000001</v>
      </c>
      <c r="L105" s="145">
        <v>18.777999999999999</v>
      </c>
      <c r="M105" s="142">
        <v>51899.398000000001</v>
      </c>
      <c r="N105" s="142">
        <v>159191.698</v>
      </c>
      <c r="O105" s="142">
        <v>18.777999999999999</v>
      </c>
      <c r="P105" s="129">
        <v>25.5</v>
      </c>
      <c r="Q105" s="76">
        <v>-6.9999999686842784E-4</v>
      </c>
      <c r="R105" s="109" cm="1">
        <f t="array" ref="R10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5" s="76">
        <v>3.9999998989515007E-4</v>
      </c>
      <c r="T105" s="77" cm="1">
        <f t="array" ref="T10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5" s="76">
        <v>0</v>
      </c>
      <c r="V105" s="77" cm="1">
        <f t="array" ref="V10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5" s="77">
        <v>-6.9999999686842784E-4</v>
      </c>
      <c r="X105" s="77" cm="1">
        <f t="array" ref="X10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5" s="77">
        <v>3.9999998989515007E-4</v>
      </c>
      <c r="Z105" s="77" cm="1">
        <f t="array" ref="Z10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5" s="107" t="s">
        <v>85</v>
      </c>
      <c r="AE105" s="111"/>
      <c r="AF105" s="1"/>
      <c r="AG105" s="1"/>
      <c r="AH105" s="1"/>
      <c r="AI105" s="1"/>
      <c r="AJ105" s="1"/>
      <c r="AK105" s="4"/>
      <c r="AL105" s="4"/>
      <c r="AM105" s="4"/>
      <c r="AN105" s="4"/>
      <c r="AO105" s="1"/>
      <c r="AP105" s="1"/>
      <c r="AQ105" s="1"/>
      <c r="AR105" s="1"/>
      <c r="AS105" s="1"/>
      <c r="AT105" s="1"/>
    </row>
    <row r="106" spans="7:46" ht="14.25" customHeight="1" x14ac:dyDescent="0.2">
      <c r="G106" s="74">
        <v>45743.493055555555</v>
      </c>
      <c r="H106" s="107" t="s">
        <v>181</v>
      </c>
      <c r="I106" s="127"/>
      <c r="J106" s="145">
        <v>51899.041100000002</v>
      </c>
      <c r="K106" s="145">
        <v>159190.43340000001</v>
      </c>
      <c r="L106" s="145">
        <v>18.771100000000001</v>
      </c>
      <c r="M106" s="142">
        <v>51899.040000000001</v>
      </c>
      <c r="N106" s="142">
        <v>159190.43400000001</v>
      </c>
      <c r="O106" s="142">
        <v>18.771000000000001</v>
      </c>
      <c r="P106" s="129">
        <v>25.5</v>
      </c>
      <c r="Q106" s="76">
        <v>-1.1000000013154931E-3</v>
      </c>
      <c r="R106" s="109" cm="1">
        <f t="array" ref="R10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6" s="76">
        <v>5.9999999939464033E-4</v>
      </c>
      <c r="T106" s="77" cm="1">
        <f t="array" ref="T10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6" s="76">
        <v>-9.9999999999766942E-5</v>
      </c>
      <c r="V106" s="77" cm="1">
        <f t="array" ref="V10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6" s="77">
        <v>-1.1000000013154931E-3</v>
      </c>
      <c r="X106" s="77" cm="1">
        <f t="array" ref="X10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6" s="77">
        <v>5.9999999939464033E-4</v>
      </c>
      <c r="Z106" s="77" cm="1">
        <f t="array" ref="Z10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6" s="107" t="s">
        <v>85</v>
      </c>
      <c r="AE106" s="111"/>
      <c r="AF106" s="1"/>
      <c r="AG106" s="1"/>
      <c r="AH106" s="1"/>
      <c r="AI106" s="1"/>
      <c r="AJ106" s="1"/>
      <c r="AK106" s="4"/>
      <c r="AL106" s="4"/>
      <c r="AM106" s="4"/>
      <c r="AN106" s="4"/>
      <c r="AO106" s="1"/>
      <c r="AP106" s="1"/>
      <c r="AQ106" s="1"/>
      <c r="AR106" s="1"/>
      <c r="AS106" s="1"/>
      <c r="AT106" s="1"/>
    </row>
    <row r="107" spans="7:46" ht="14.25" customHeight="1" x14ac:dyDescent="0.2">
      <c r="G107" s="74">
        <v>45743.493055555555</v>
      </c>
      <c r="H107" s="107" t="s">
        <v>184</v>
      </c>
      <c r="I107" s="127"/>
      <c r="J107" s="145">
        <v>51902.292699999998</v>
      </c>
      <c r="K107" s="145">
        <v>159190.88459999999</v>
      </c>
      <c r="L107" s="145">
        <v>18.779</v>
      </c>
      <c r="M107" s="142">
        <v>51902.292000000001</v>
      </c>
      <c r="N107" s="142">
        <v>159190.88500000001</v>
      </c>
      <c r="O107" s="142">
        <v>18.779</v>
      </c>
      <c r="P107" s="129">
        <v>25.5</v>
      </c>
      <c r="Q107" s="76">
        <v>-6.9999999686842784E-4</v>
      </c>
      <c r="R107" s="109" cm="1">
        <f t="array" ref="R10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7" s="76">
        <v>4.0000001899898052E-4</v>
      </c>
      <c r="T107" s="77" cm="1">
        <f t="array" ref="T10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7" s="76">
        <v>0</v>
      </c>
      <c r="V107" s="77" cm="1">
        <f t="array" ref="V10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7" s="77">
        <v>-6.9999999686842784E-4</v>
      </c>
      <c r="X107" s="77" cm="1">
        <f t="array" ref="X10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7" s="77">
        <v>4.0000001899898052E-4</v>
      </c>
      <c r="Z107" s="77" cm="1">
        <f t="array" ref="Z10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7" s="107" t="s">
        <v>85</v>
      </c>
      <c r="AE107" s="111"/>
      <c r="AF107" s="1"/>
      <c r="AG107" s="1"/>
      <c r="AH107" s="1"/>
      <c r="AI107" s="1"/>
      <c r="AJ107" s="1"/>
      <c r="AK107" s="4"/>
      <c r="AL107" s="4"/>
      <c r="AM107" s="4"/>
      <c r="AN107" s="4"/>
      <c r="AO107" s="1"/>
      <c r="AP107" s="1"/>
      <c r="AQ107" s="1"/>
      <c r="AR107" s="1"/>
      <c r="AS107" s="1"/>
      <c r="AT107" s="1"/>
    </row>
    <row r="108" spans="7:46" ht="14.25" customHeight="1" x14ac:dyDescent="0.2">
      <c r="G108" s="74">
        <v>45743.493055555555</v>
      </c>
      <c r="H108" s="107" t="s">
        <v>183</v>
      </c>
      <c r="I108" s="127"/>
      <c r="J108" s="145">
        <v>51901.989200000004</v>
      </c>
      <c r="K108" s="145">
        <v>159189.60260000001</v>
      </c>
      <c r="L108" s="145">
        <v>18.770099999999999</v>
      </c>
      <c r="M108" s="142">
        <v>51901.987999999998</v>
      </c>
      <c r="N108" s="142">
        <v>159189.603</v>
      </c>
      <c r="O108" s="142">
        <v>18.77</v>
      </c>
      <c r="P108" s="129">
        <v>25.5</v>
      </c>
      <c r="Q108" s="76">
        <v>-1.2000000060652383E-3</v>
      </c>
      <c r="R108" s="109" cm="1">
        <f t="array" ref="R10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8" s="76">
        <v>3.9999998989515007E-4</v>
      </c>
      <c r="T108" s="77" cm="1">
        <f t="array" ref="T10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8" s="76">
        <v>-9.9999999999766942E-5</v>
      </c>
      <c r="V108" s="77" cm="1">
        <f t="array" ref="V10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8" s="77">
        <v>-1.2000000060652383E-3</v>
      </c>
      <c r="X108" s="77" cm="1">
        <f t="array" ref="X10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8" s="77">
        <v>3.9999998989515007E-4</v>
      </c>
      <c r="Z108" s="77" cm="1">
        <f t="array" ref="Z10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8" s="107" t="s">
        <v>85</v>
      </c>
      <c r="AE108" s="111"/>
      <c r="AF108" s="1"/>
      <c r="AG108" s="1"/>
      <c r="AH108" s="1"/>
      <c r="AI108" s="1"/>
      <c r="AJ108" s="1"/>
      <c r="AK108" s="4"/>
      <c r="AL108" s="4"/>
      <c r="AM108" s="4"/>
      <c r="AN108" s="4"/>
      <c r="AO108" s="1"/>
      <c r="AP108" s="1"/>
      <c r="AQ108" s="1"/>
      <c r="AR108" s="1"/>
      <c r="AS108" s="1"/>
      <c r="AT108" s="1"/>
    </row>
    <row r="109" spans="7:46" ht="14.25" customHeight="1" x14ac:dyDescent="0.2">
      <c r="G109" s="74">
        <v>45743.493055555555</v>
      </c>
      <c r="H109" s="107" t="s">
        <v>186</v>
      </c>
      <c r="I109" s="127"/>
      <c r="J109" s="145">
        <v>51905.196199999998</v>
      </c>
      <c r="K109" s="145">
        <v>159190.09460000001</v>
      </c>
      <c r="L109" s="145">
        <v>18.780899999999999</v>
      </c>
      <c r="M109" s="142">
        <v>51905.196000000004</v>
      </c>
      <c r="N109" s="142">
        <v>159190.095</v>
      </c>
      <c r="O109" s="142">
        <v>18.780999999999999</v>
      </c>
      <c r="P109" s="129">
        <v>25.5</v>
      </c>
      <c r="Q109" s="76">
        <v>-1.9999999494757503E-4</v>
      </c>
      <c r="R109" s="109" cm="1">
        <f t="array" ref="R10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09" s="76">
        <v>3.9999998989515007E-4</v>
      </c>
      <c r="T109" s="77" cm="1">
        <f t="array" ref="T10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09" s="76">
        <v>9.9999999999766942E-5</v>
      </c>
      <c r="V109" s="77" cm="1">
        <f t="array" ref="V10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09" s="77">
        <v>-1.9999999494757503E-4</v>
      </c>
      <c r="X109" s="77" cm="1">
        <f t="array" ref="X10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09" s="77">
        <v>3.9999998989515007E-4</v>
      </c>
      <c r="Z109" s="77" cm="1">
        <f t="array" ref="Z10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0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0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0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09" s="107" t="s">
        <v>85</v>
      </c>
      <c r="AE109" s="111"/>
      <c r="AF109" s="1"/>
      <c r="AG109" s="1"/>
      <c r="AH109" s="1"/>
      <c r="AI109" s="1"/>
      <c r="AJ109" s="1"/>
      <c r="AK109" s="4"/>
      <c r="AL109" s="4"/>
      <c r="AM109" s="4"/>
      <c r="AN109" s="4"/>
      <c r="AO109" s="1"/>
      <c r="AP109" s="1"/>
      <c r="AQ109" s="1"/>
      <c r="AR109" s="1"/>
      <c r="AS109" s="1"/>
      <c r="AT109" s="1"/>
    </row>
    <row r="110" spans="7:46" ht="14.25" customHeight="1" x14ac:dyDescent="0.2">
      <c r="G110" s="74">
        <v>45743.493055555555</v>
      </c>
      <c r="H110" s="107" t="s">
        <v>185</v>
      </c>
      <c r="I110" s="127"/>
      <c r="J110" s="145">
        <v>51904.885600000001</v>
      </c>
      <c r="K110" s="145">
        <v>159188.8046</v>
      </c>
      <c r="L110" s="145">
        <v>18.773099999999999</v>
      </c>
      <c r="M110" s="142">
        <v>51904.885000000002</v>
      </c>
      <c r="N110" s="142">
        <v>159188.80499999999</v>
      </c>
      <c r="O110" s="142">
        <v>18.773</v>
      </c>
      <c r="P110" s="129">
        <v>25.5</v>
      </c>
      <c r="Q110" s="76">
        <v>-5.9999999939464033E-4</v>
      </c>
      <c r="R110" s="109" cm="1">
        <f t="array" ref="R11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0" s="76">
        <v>3.9999998989515007E-4</v>
      </c>
      <c r="T110" s="77" cm="1">
        <f t="array" ref="T11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0" s="76">
        <v>-9.9999999999766942E-5</v>
      </c>
      <c r="V110" s="77" cm="1">
        <f t="array" ref="V11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0" s="77">
        <v>-5.9999999939464033E-4</v>
      </c>
      <c r="X110" s="77" cm="1">
        <f t="array" ref="X11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0" s="77">
        <v>3.9999998989515007E-4</v>
      </c>
      <c r="Z110" s="77" cm="1">
        <f t="array" ref="Z11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0" s="107" t="s">
        <v>85</v>
      </c>
      <c r="AE110" s="111"/>
      <c r="AF110" s="1"/>
      <c r="AG110" s="1"/>
      <c r="AH110" s="1"/>
      <c r="AI110" s="1"/>
      <c r="AJ110" s="1"/>
      <c r="AK110" s="4"/>
      <c r="AL110" s="4"/>
      <c r="AM110" s="4"/>
      <c r="AN110" s="4"/>
      <c r="AO110" s="1"/>
      <c r="AP110" s="1"/>
      <c r="AQ110" s="1"/>
      <c r="AR110" s="1"/>
      <c r="AS110" s="1"/>
      <c r="AT110" s="1"/>
    </row>
    <row r="111" spans="7:46" ht="14.25" customHeight="1" x14ac:dyDescent="0.2">
      <c r="G111" s="74">
        <v>45743.493055555555</v>
      </c>
      <c r="H111" s="107" t="s">
        <v>188</v>
      </c>
      <c r="I111" s="127"/>
      <c r="J111" s="145">
        <v>51907.9522</v>
      </c>
      <c r="K111" s="145">
        <v>159189.36230000001</v>
      </c>
      <c r="L111" s="145">
        <v>18.786000000000001</v>
      </c>
      <c r="M111" s="142">
        <v>51907.951999999997</v>
      </c>
      <c r="N111" s="142">
        <v>159189.36300000001</v>
      </c>
      <c r="O111" s="142">
        <v>18.786000000000001</v>
      </c>
      <c r="P111" s="129">
        <v>25.5</v>
      </c>
      <c r="Q111" s="76">
        <v>-2.0000000222353265E-4</v>
      </c>
      <c r="R111" s="109" cm="1">
        <f t="array" ref="R11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1" s="76">
        <v>7.0000000414438546E-4</v>
      </c>
      <c r="T111" s="77" cm="1">
        <f t="array" ref="T11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1" s="76">
        <v>0</v>
      </c>
      <c r="V111" s="77" cm="1">
        <f t="array" ref="V11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1" s="77">
        <v>-2.0000000222353265E-4</v>
      </c>
      <c r="X111" s="77" cm="1">
        <f t="array" ref="X11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1" s="77">
        <v>7.0000000414438546E-4</v>
      </c>
      <c r="Z111" s="77" cm="1">
        <f t="array" ref="Z11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1" s="107" t="s">
        <v>85</v>
      </c>
      <c r="AE111" s="111"/>
      <c r="AF111" s="1"/>
      <c r="AG111" s="1"/>
      <c r="AH111" s="1"/>
      <c r="AI111" s="1"/>
      <c r="AJ111" s="1"/>
      <c r="AK111" s="4"/>
      <c r="AL111" s="4"/>
      <c r="AM111" s="4"/>
      <c r="AN111" s="4"/>
      <c r="AO111" s="1"/>
      <c r="AP111" s="1"/>
      <c r="AQ111" s="1"/>
      <c r="AR111" s="1"/>
      <c r="AS111" s="1"/>
      <c r="AT111" s="1"/>
    </row>
    <row r="112" spans="7:46" ht="14.25" customHeight="1" x14ac:dyDescent="0.2">
      <c r="G112" s="74">
        <v>45743.493055555555</v>
      </c>
      <c r="H112" s="107" t="s">
        <v>187</v>
      </c>
      <c r="I112" s="127"/>
      <c r="J112" s="145">
        <v>51907.578699999998</v>
      </c>
      <c r="K112" s="145">
        <v>159188.09770000001</v>
      </c>
      <c r="L112" s="145">
        <v>18.776</v>
      </c>
      <c r="M112" s="142">
        <v>51907.578000000001</v>
      </c>
      <c r="N112" s="142">
        <v>159188.09899999999</v>
      </c>
      <c r="O112" s="142">
        <v>18.776</v>
      </c>
      <c r="P112" s="129">
        <v>25.5</v>
      </c>
      <c r="Q112" s="76">
        <v>-6.9999999686842784E-4</v>
      </c>
      <c r="R112" s="109" cm="1">
        <f t="array" ref="R11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2" s="76">
        <v>1.2999999744351953E-3</v>
      </c>
      <c r="T112" s="77" cm="1">
        <f t="array" ref="T11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2" s="76">
        <v>0</v>
      </c>
      <c r="V112" s="77" cm="1">
        <f t="array" ref="V11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2" s="77">
        <v>-6.9999999686842784E-4</v>
      </c>
      <c r="X112" s="77" cm="1">
        <f t="array" ref="X11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2" s="77">
        <v>1.2999999744351953E-3</v>
      </c>
      <c r="Z112" s="77" cm="1">
        <f t="array" ref="Z11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2" s="107" t="s">
        <v>85</v>
      </c>
      <c r="AE112" s="111"/>
      <c r="AF112" s="1"/>
      <c r="AG112" s="1"/>
      <c r="AH112" s="1"/>
      <c r="AI112" s="1"/>
      <c r="AJ112" s="1"/>
      <c r="AK112" s="4"/>
      <c r="AL112" s="4"/>
      <c r="AM112" s="4"/>
      <c r="AN112" s="4"/>
      <c r="AO112" s="1"/>
      <c r="AP112" s="1"/>
      <c r="AQ112" s="1"/>
      <c r="AR112" s="1"/>
      <c r="AS112" s="1"/>
      <c r="AT112" s="1"/>
    </row>
    <row r="113" spans="7:46" ht="14.25" customHeight="1" x14ac:dyDescent="0.2">
      <c r="G113" s="74">
        <v>45743.493055555555</v>
      </c>
      <c r="H113" s="107" t="s">
        <v>190</v>
      </c>
      <c r="I113" s="127"/>
      <c r="J113" s="145">
        <v>51910.962800000001</v>
      </c>
      <c r="K113" s="145">
        <v>159188.60079999999</v>
      </c>
      <c r="L113" s="145">
        <v>18.794599999999999</v>
      </c>
      <c r="M113" s="142">
        <v>51910.962</v>
      </c>
      <c r="N113" s="142">
        <v>159188.601</v>
      </c>
      <c r="O113" s="142">
        <v>18.795000000000002</v>
      </c>
      <c r="P113" s="129">
        <v>25.5</v>
      </c>
      <c r="Q113" s="76">
        <v>-8.0000000161817297E-4</v>
      </c>
      <c r="R113" s="109" cm="1">
        <f t="array" ref="R11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3" s="76">
        <v>2.0000000949949026E-4</v>
      </c>
      <c r="T113" s="77" cm="1">
        <f t="array" ref="T11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3" s="76">
        <v>4.0000000000262048E-4</v>
      </c>
      <c r="V113" s="77" cm="1">
        <f t="array" ref="V11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3" s="77">
        <v>-8.0000000161817297E-4</v>
      </c>
      <c r="X113" s="77" cm="1">
        <f t="array" ref="X11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3" s="77">
        <v>2.0000000949949026E-4</v>
      </c>
      <c r="Z113" s="77" cm="1">
        <f t="array" ref="Z11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3" s="107" t="s">
        <v>85</v>
      </c>
      <c r="AE113" s="111"/>
      <c r="AF113" s="1"/>
      <c r="AG113" s="1"/>
      <c r="AH113" s="1"/>
      <c r="AI113" s="1"/>
      <c r="AJ113" s="1"/>
      <c r="AK113" s="4"/>
      <c r="AL113" s="4"/>
      <c r="AM113" s="4"/>
      <c r="AN113" s="4"/>
      <c r="AO113" s="1"/>
      <c r="AP113" s="1"/>
      <c r="AQ113" s="1"/>
      <c r="AR113" s="1"/>
      <c r="AS113" s="1"/>
      <c r="AT113" s="1"/>
    </row>
    <row r="114" spans="7:46" ht="14.25" customHeight="1" x14ac:dyDescent="0.2">
      <c r="G114" s="74">
        <v>45743.493055555555</v>
      </c>
      <c r="H114" s="107" t="s">
        <v>189</v>
      </c>
      <c r="I114" s="127"/>
      <c r="J114" s="145">
        <v>51910.640099999997</v>
      </c>
      <c r="K114" s="145">
        <v>159187.3223</v>
      </c>
      <c r="L114" s="145">
        <v>18.7836</v>
      </c>
      <c r="M114" s="142">
        <v>51910.639000000003</v>
      </c>
      <c r="N114" s="142">
        <v>159187.323</v>
      </c>
      <c r="O114" s="142">
        <v>18.783000000000001</v>
      </c>
      <c r="P114" s="129">
        <v>25.5</v>
      </c>
      <c r="Q114" s="76">
        <v>-1.0999999940395355E-3</v>
      </c>
      <c r="R114" s="109" cm="1">
        <f t="array" ref="R11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4" s="76">
        <v>7.0000000414438546E-4</v>
      </c>
      <c r="T114" s="77" cm="1">
        <f t="array" ref="T11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4" s="76">
        <v>-5.9999999999860165E-4</v>
      </c>
      <c r="V114" s="77" cm="1">
        <f t="array" ref="V11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4" s="77">
        <v>-1.0999999940395355E-3</v>
      </c>
      <c r="X114" s="77" cm="1">
        <f t="array" ref="X11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4" s="77">
        <v>7.0000000414438546E-4</v>
      </c>
      <c r="Z114" s="77" cm="1">
        <f t="array" ref="Z11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4" s="107" t="s">
        <v>85</v>
      </c>
      <c r="AE114" s="111"/>
      <c r="AF114" s="1"/>
      <c r="AG114" s="1"/>
      <c r="AH114" s="1"/>
      <c r="AI114" s="1"/>
      <c r="AJ114" s="1"/>
      <c r="AK114" s="4"/>
      <c r="AL114" s="4"/>
      <c r="AM114" s="4"/>
      <c r="AN114" s="4"/>
      <c r="AO114" s="1"/>
      <c r="AP114" s="1"/>
      <c r="AQ114" s="1"/>
      <c r="AR114" s="1"/>
      <c r="AS114" s="1"/>
      <c r="AT114" s="1"/>
    </row>
    <row r="115" spans="7:46" ht="14.25" customHeight="1" x14ac:dyDescent="0.2">
      <c r="G115" s="74">
        <v>45743.493055555555</v>
      </c>
      <c r="H115" s="107" t="s">
        <v>192</v>
      </c>
      <c r="I115" s="127"/>
      <c r="J115" s="145">
        <v>51913.751100000001</v>
      </c>
      <c r="K115" s="145">
        <v>159187.9178</v>
      </c>
      <c r="L115" s="145">
        <v>18.809000000000001</v>
      </c>
      <c r="M115" s="142">
        <v>51913.75</v>
      </c>
      <c r="N115" s="142">
        <v>159187.91800000001</v>
      </c>
      <c r="O115" s="142">
        <v>18.809000000000001</v>
      </c>
      <c r="P115" s="129">
        <v>25.5</v>
      </c>
      <c r="Q115" s="76">
        <v>-1.1000000013154931E-3</v>
      </c>
      <c r="R115" s="109" cm="1">
        <f t="array" ref="R11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5" s="76">
        <v>2.0000000949949026E-4</v>
      </c>
      <c r="T115" s="77" cm="1">
        <f t="array" ref="T11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5" s="76">
        <v>0</v>
      </c>
      <c r="V115" s="77" cm="1">
        <f t="array" ref="V11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5" s="77">
        <v>-1.1000000013154931E-3</v>
      </c>
      <c r="X115" s="77" cm="1">
        <f t="array" ref="X11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5" s="77">
        <v>2.0000000949949026E-4</v>
      </c>
      <c r="Z115" s="77" cm="1">
        <f t="array" ref="Z11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5" s="107" t="s">
        <v>85</v>
      </c>
      <c r="AE115" s="111"/>
      <c r="AF115" s="1"/>
      <c r="AG115" s="1"/>
      <c r="AH115" s="1"/>
      <c r="AI115" s="1"/>
      <c r="AJ115" s="1"/>
      <c r="AK115" s="4"/>
      <c r="AL115" s="4"/>
      <c r="AM115" s="4"/>
      <c r="AN115" s="4"/>
      <c r="AO115" s="1"/>
      <c r="AP115" s="1"/>
      <c r="AQ115" s="1"/>
      <c r="AR115" s="1"/>
      <c r="AS115" s="1"/>
      <c r="AT115" s="1"/>
    </row>
    <row r="116" spans="7:46" ht="14.25" customHeight="1" x14ac:dyDescent="0.2">
      <c r="G116" s="74">
        <v>45743.493055555555</v>
      </c>
      <c r="H116" s="107" t="s">
        <v>191</v>
      </c>
      <c r="I116" s="127"/>
      <c r="J116" s="145">
        <v>51913.421499999997</v>
      </c>
      <c r="K116" s="145">
        <v>159186.63630000001</v>
      </c>
      <c r="L116" s="145">
        <v>18.794899999999998</v>
      </c>
      <c r="M116" s="142">
        <v>51913.42</v>
      </c>
      <c r="N116" s="142">
        <v>159186.63699999999</v>
      </c>
      <c r="O116" s="142">
        <v>18.795000000000002</v>
      </c>
      <c r="P116" s="129">
        <v>25.5</v>
      </c>
      <c r="Q116" s="76">
        <v>-1.4999999984866008E-3</v>
      </c>
      <c r="R116" s="109" cm="1">
        <f t="array" ref="R11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6" s="76">
        <v>6.99999975040555E-4</v>
      </c>
      <c r="T116" s="77" cm="1">
        <f t="array" ref="T11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6" s="76">
        <v>1.0000000000331966E-4</v>
      </c>
      <c r="V116" s="77" cm="1">
        <f t="array" ref="V11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6" s="77">
        <v>-1.4999999984866008E-3</v>
      </c>
      <c r="X116" s="77" cm="1">
        <f t="array" ref="X11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6" s="77">
        <v>6.99999975040555E-4</v>
      </c>
      <c r="Z116" s="77" cm="1">
        <f t="array" ref="Z11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6" s="107" t="s">
        <v>85</v>
      </c>
      <c r="AE116" s="111"/>
      <c r="AF116" s="1"/>
      <c r="AG116" s="1"/>
      <c r="AH116" s="1"/>
      <c r="AI116" s="1"/>
      <c r="AJ116" s="1"/>
      <c r="AK116" s="4"/>
      <c r="AL116" s="4"/>
      <c r="AM116" s="4"/>
      <c r="AN116" s="4"/>
      <c r="AO116" s="1"/>
      <c r="AP116" s="1"/>
      <c r="AQ116" s="1"/>
      <c r="AR116" s="1"/>
      <c r="AS116" s="1"/>
      <c r="AT116" s="1"/>
    </row>
    <row r="117" spans="7:46" ht="14.25" customHeight="1" x14ac:dyDescent="0.2">
      <c r="G117" s="74">
        <v>45743.493055555555</v>
      </c>
      <c r="H117" s="107" t="s">
        <v>165</v>
      </c>
      <c r="I117" s="127"/>
      <c r="J117" s="145">
        <v>51884.538999999997</v>
      </c>
      <c r="K117" s="145">
        <v>159193.38269999999</v>
      </c>
      <c r="L117" s="145">
        <v>19.331700000000001</v>
      </c>
      <c r="M117" s="142">
        <v>51884.538999999997</v>
      </c>
      <c r="N117" s="142">
        <v>159193.38200000001</v>
      </c>
      <c r="O117" s="142">
        <v>19.331</v>
      </c>
      <c r="P117" s="129">
        <v>25.5</v>
      </c>
      <c r="Q117" s="76">
        <v>0</v>
      </c>
      <c r="R117" s="109" cm="1">
        <f t="array" ref="R11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7" s="76">
        <v>-6.99999975040555E-4</v>
      </c>
      <c r="T117" s="77" cm="1">
        <f t="array" ref="T11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7" s="76">
        <v>-7.0000000000192131E-4</v>
      </c>
      <c r="V117" s="77" cm="1">
        <f t="array" ref="V11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7" s="77">
        <v>0</v>
      </c>
      <c r="X117" s="77" cm="1">
        <f t="array" ref="X11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7" s="77">
        <v>-6.99999975040555E-4</v>
      </c>
      <c r="Z117" s="77" cm="1">
        <f t="array" ref="Z11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7" s="107" t="s">
        <v>85</v>
      </c>
      <c r="AE117" s="111"/>
      <c r="AF117" s="1"/>
      <c r="AG117" s="1"/>
      <c r="AH117" s="1"/>
      <c r="AI117" s="1"/>
      <c r="AJ117" s="1"/>
      <c r="AK117" s="4"/>
      <c r="AL117" s="4"/>
      <c r="AM117" s="4"/>
      <c r="AN117" s="4"/>
      <c r="AO117" s="1"/>
      <c r="AP117" s="1"/>
      <c r="AQ117" s="1"/>
      <c r="AR117" s="1"/>
      <c r="AS117" s="1"/>
      <c r="AT117" s="1"/>
    </row>
    <row r="118" spans="7:46" ht="14.25" customHeight="1" x14ac:dyDescent="0.2">
      <c r="G118" s="74">
        <v>45743.493055555555</v>
      </c>
      <c r="H118" s="107" t="s">
        <v>166</v>
      </c>
      <c r="I118" s="127"/>
      <c r="J118" s="145">
        <v>51890.2863</v>
      </c>
      <c r="K118" s="145">
        <v>159191.73069999999</v>
      </c>
      <c r="L118" s="145">
        <v>19.321999999999999</v>
      </c>
      <c r="M118" s="142">
        <v>51890.286</v>
      </c>
      <c r="N118" s="142">
        <v>159191.73000000001</v>
      </c>
      <c r="O118" s="142">
        <v>19.321999999999999</v>
      </c>
      <c r="P118" s="129">
        <v>25.5</v>
      </c>
      <c r="Q118" s="76">
        <v>-2.9999999969732016E-4</v>
      </c>
      <c r="R118" s="109" cm="1">
        <f t="array" ref="R11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8" s="76">
        <v>-6.99999975040555E-4</v>
      </c>
      <c r="T118" s="77" cm="1">
        <f t="array" ref="T11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8" s="76">
        <v>0</v>
      </c>
      <c r="V118" s="77" cm="1">
        <f t="array" ref="V11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8" s="77">
        <v>-2.9999999969732016E-4</v>
      </c>
      <c r="X118" s="77" cm="1">
        <f t="array" ref="X11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8" s="77">
        <v>-6.99999975040555E-4</v>
      </c>
      <c r="Z118" s="77" cm="1">
        <f t="array" ref="Z11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8" s="107" t="s">
        <v>85</v>
      </c>
      <c r="AE118" s="111"/>
      <c r="AF118" s="1"/>
      <c r="AG118" s="1"/>
      <c r="AH118" s="1"/>
      <c r="AI118" s="1"/>
      <c r="AJ118" s="1"/>
      <c r="AK118" s="4"/>
      <c r="AL118" s="4"/>
      <c r="AM118" s="4"/>
      <c r="AN118" s="4"/>
      <c r="AO118" s="1"/>
      <c r="AP118" s="1"/>
      <c r="AQ118" s="1"/>
      <c r="AR118" s="1"/>
      <c r="AS118" s="1"/>
      <c r="AT118" s="1"/>
    </row>
    <row r="119" spans="7:46" ht="14.25" customHeight="1" x14ac:dyDescent="0.2">
      <c r="G119" s="74">
        <v>45743.493055555555</v>
      </c>
      <c r="H119" s="107" t="s">
        <v>167</v>
      </c>
      <c r="I119" s="127"/>
      <c r="J119" s="145">
        <v>51895.920700000002</v>
      </c>
      <c r="K119" s="145">
        <v>159190.1</v>
      </c>
      <c r="L119" s="145">
        <v>19.334</v>
      </c>
      <c r="M119" s="142">
        <v>51895.921000000002</v>
      </c>
      <c r="N119" s="142">
        <v>159190.1</v>
      </c>
      <c r="O119" s="142">
        <v>19.334</v>
      </c>
      <c r="P119" s="129">
        <v>25.5</v>
      </c>
      <c r="Q119" s="76">
        <v>2.9999999969732016E-4</v>
      </c>
      <c r="R119" s="109" cm="1">
        <f t="array" ref="R11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19" s="76">
        <v>0</v>
      </c>
      <c r="T119" s="77" cm="1">
        <f t="array" ref="T11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19" s="76">
        <v>0</v>
      </c>
      <c r="V119" s="77" cm="1">
        <f t="array" ref="V11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19" s="77">
        <v>2.9999999969732016E-4</v>
      </c>
      <c r="X119" s="77" cm="1">
        <f t="array" ref="X11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19" s="77">
        <v>0</v>
      </c>
      <c r="Z119" s="77" cm="1">
        <f t="array" ref="Z11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1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1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1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19" s="107" t="s">
        <v>85</v>
      </c>
      <c r="AE119" s="111"/>
      <c r="AF119" s="1"/>
      <c r="AG119" s="1"/>
      <c r="AH119" s="1"/>
      <c r="AI119" s="1"/>
      <c r="AJ119" s="1"/>
      <c r="AK119" s="4"/>
      <c r="AL119" s="4"/>
      <c r="AM119" s="4"/>
      <c r="AN119" s="4"/>
      <c r="AO119" s="1"/>
      <c r="AP119" s="1"/>
      <c r="AQ119" s="1"/>
      <c r="AR119" s="1"/>
      <c r="AS119" s="1"/>
      <c r="AT119" s="1"/>
    </row>
    <row r="120" spans="7:46" ht="14.25" customHeight="1" x14ac:dyDescent="0.2">
      <c r="G120" s="74">
        <v>45743.493055555555</v>
      </c>
      <c r="H120" s="107" t="s">
        <v>168</v>
      </c>
      <c r="I120" s="127"/>
      <c r="J120" s="145">
        <v>51899.7667</v>
      </c>
      <c r="K120" s="145">
        <v>159188.9933</v>
      </c>
      <c r="L120" s="145">
        <v>19.344999999999999</v>
      </c>
      <c r="M120" s="142">
        <v>51899.767</v>
      </c>
      <c r="N120" s="142">
        <v>159188.99299999999</v>
      </c>
      <c r="O120" s="142">
        <v>19.344999999999999</v>
      </c>
      <c r="P120" s="129">
        <v>25.5</v>
      </c>
      <c r="Q120" s="76">
        <v>2.9999999969732016E-4</v>
      </c>
      <c r="R120" s="109" cm="1">
        <f t="array" ref="R12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0" s="76">
        <v>-3.0000001424923539E-4</v>
      </c>
      <c r="T120" s="77" cm="1">
        <f t="array" ref="T12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0" s="76">
        <v>0</v>
      </c>
      <c r="V120" s="77" cm="1">
        <f t="array" ref="V12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0" s="77">
        <v>2.9999999969732016E-4</v>
      </c>
      <c r="X120" s="77" cm="1">
        <f t="array" ref="X12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0" s="77">
        <v>-3.0000001424923539E-4</v>
      </c>
      <c r="Z120" s="77" cm="1">
        <f t="array" ref="Z12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0" s="107" t="s">
        <v>85</v>
      </c>
      <c r="AE120" s="111"/>
      <c r="AF120" s="1"/>
      <c r="AG120" s="1"/>
      <c r="AH120" s="1"/>
      <c r="AI120" s="1"/>
      <c r="AJ120" s="1"/>
      <c r="AK120" s="4"/>
      <c r="AL120" s="4"/>
      <c r="AM120" s="4"/>
      <c r="AN120" s="4"/>
      <c r="AO120" s="1"/>
      <c r="AP120" s="1"/>
      <c r="AQ120" s="1"/>
      <c r="AR120" s="1"/>
      <c r="AS120" s="1"/>
      <c r="AT120" s="1"/>
    </row>
    <row r="121" spans="7:46" ht="14.25" customHeight="1" x14ac:dyDescent="0.2">
      <c r="G121" s="74">
        <v>45743.493055555555</v>
      </c>
      <c r="H121" s="107" t="s">
        <v>169</v>
      </c>
      <c r="I121" s="127"/>
      <c r="J121" s="145">
        <v>51903.6083</v>
      </c>
      <c r="K121" s="145">
        <v>159187.88200000001</v>
      </c>
      <c r="L121" s="145">
        <v>19.356999999999999</v>
      </c>
      <c r="M121" s="142">
        <v>51903.608</v>
      </c>
      <c r="N121" s="142">
        <v>159187.88200000001</v>
      </c>
      <c r="O121" s="142">
        <v>19.356999999999999</v>
      </c>
      <c r="P121" s="129">
        <v>25.5</v>
      </c>
      <c r="Q121" s="76">
        <v>-2.9999999969732016E-4</v>
      </c>
      <c r="R121" s="109" cm="1">
        <f t="array" ref="R12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1" s="76">
        <v>0</v>
      </c>
      <c r="T121" s="77" cm="1">
        <f t="array" ref="T12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1" s="76">
        <v>0</v>
      </c>
      <c r="V121" s="77" cm="1">
        <f t="array" ref="V12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1" s="77">
        <v>-2.9999999969732016E-4</v>
      </c>
      <c r="X121" s="77" cm="1">
        <f t="array" ref="X12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1" s="77">
        <v>0</v>
      </c>
      <c r="Z121" s="77" cm="1">
        <f t="array" ref="Z12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1" s="107" t="s">
        <v>85</v>
      </c>
      <c r="AE121" s="111"/>
      <c r="AF121" s="1"/>
      <c r="AG121" s="1"/>
      <c r="AH121" s="1"/>
      <c r="AI121" s="1"/>
      <c r="AJ121" s="1"/>
      <c r="AK121" s="4"/>
      <c r="AL121" s="4"/>
      <c r="AM121" s="4"/>
      <c r="AN121" s="4"/>
      <c r="AO121" s="1"/>
      <c r="AP121" s="1"/>
      <c r="AQ121" s="1"/>
      <c r="AR121" s="1"/>
      <c r="AS121" s="1"/>
      <c r="AT121" s="1"/>
    </row>
    <row r="122" spans="7:46" ht="14.25" customHeight="1" x14ac:dyDescent="0.2">
      <c r="G122" s="74">
        <v>45743.493055555555</v>
      </c>
      <c r="H122" s="107" t="s">
        <v>170</v>
      </c>
      <c r="I122" s="127"/>
      <c r="J122" s="145">
        <v>51910.065000000002</v>
      </c>
      <c r="K122" s="145">
        <v>159186.02369999999</v>
      </c>
      <c r="L122" s="145">
        <v>19.356999999999999</v>
      </c>
      <c r="M122" s="142">
        <v>51910.065000000002</v>
      </c>
      <c r="N122" s="142">
        <v>159186.024</v>
      </c>
      <c r="O122" s="142">
        <v>19.356999999999999</v>
      </c>
      <c r="P122" s="129">
        <v>25.5</v>
      </c>
      <c r="Q122" s="76">
        <v>0</v>
      </c>
      <c r="R122" s="109" cm="1">
        <f t="array" ref="R12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2" s="76">
        <v>3.0000001424923539E-4</v>
      </c>
      <c r="T122" s="77" cm="1">
        <f t="array" ref="T12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2" s="76">
        <v>0</v>
      </c>
      <c r="V122" s="77" cm="1">
        <f t="array" ref="V12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2" s="77">
        <v>0</v>
      </c>
      <c r="X122" s="77" cm="1">
        <f t="array" ref="X12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2" s="77">
        <v>3.0000001424923539E-4</v>
      </c>
      <c r="Z122" s="77" cm="1">
        <f t="array" ref="Z12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2" s="107" t="s">
        <v>85</v>
      </c>
      <c r="AE122" s="111"/>
      <c r="AF122" s="1"/>
      <c r="AG122" s="1"/>
      <c r="AH122" s="1"/>
      <c r="AI122" s="1"/>
      <c r="AJ122" s="1"/>
      <c r="AK122" s="4"/>
      <c r="AL122" s="4"/>
      <c r="AM122" s="4"/>
      <c r="AN122" s="4"/>
      <c r="AO122" s="1"/>
      <c r="AP122" s="1"/>
      <c r="AQ122" s="1"/>
      <c r="AR122" s="1"/>
      <c r="AS122" s="1"/>
      <c r="AT122" s="1"/>
    </row>
    <row r="123" spans="7:46" ht="14.25" customHeight="1" x14ac:dyDescent="0.2">
      <c r="G123" s="74">
        <v>45733.840277777781</v>
      </c>
      <c r="H123" s="107" t="s">
        <v>171</v>
      </c>
      <c r="I123" s="127"/>
      <c r="J123" s="145">
        <v>51884.958899999998</v>
      </c>
      <c r="K123" s="145">
        <v>159194.47070000001</v>
      </c>
      <c r="L123" s="145">
        <v>18.778099999999998</v>
      </c>
      <c r="M123" s="142">
        <v>51884.958700000003</v>
      </c>
      <c r="N123" s="142">
        <v>159194.47</v>
      </c>
      <c r="O123" s="142">
        <v>18.778300000000002</v>
      </c>
      <c r="P123" s="129">
        <v>27.5</v>
      </c>
      <c r="Q123" s="76">
        <v>-1.9999999494757503E-4</v>
      </c>
      <c r="R123" s="109" cm="1">
        <f t="array" ref="R12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3" s="76">
        <v>-7.0000000414438546E-4</v>
      </c>
      <c r="T123" s="77" cm="1">
        <f t="array" ref="T12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3" s="76">
        <v>2.000000000030866E-4</v>
      </c>
      <c r="V123" s="77" cm="1">
        <f t="array" ref="V12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3" s="77">
        <v>-1.9999999494757503E-4</v>
      </c>
      <c r="X123" s="77" cm="1">
        <f t="array" ref="X12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3" s="77">
        <v>-7.0000000414438546E-4</v>
      </c>
      <c r="Z123" s="77" cm="1">
        <f t="array" ref="Z12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3" s="107" t="s">
        <v>85</v>
      </c>
      <c r="AE123" s="111"/>
      <c r="AF123" s="1"/>
      <c r="AG123" s="1"/>
      <c r="AH123" s="1"/>
      <c r="AI123" s="1"/>
      <c r="AJ123" s="1"/>
      <c r="AK123" s="4"/>
      <c r="AL123" s="4"/>
      <c r="AM123" s="4"/>
      <c r="AN123" s="4"/>
      <c r="AO123" s="1"/>
      <c r="AP123" s="1"/>
      <c r="AQ123" s="1"/>
      <c r="AR123" s="1"/>
      <c r="AS123" s="1"/>
      <c r="AT123" s="1"/>
    </row>
    <row r="124" spans="7:46" ht="14.25" customHeight="1" x14ac:dyDescent="0.2">
      <c r="G124" s="74">
        <v>45733.840277777781</v>
      </c>
      <c r="H124" s="107" t="s">
        <v>174</v>
      </c>
      <c r="I124" s="127"/>
      <c r="J124" s="145">
        <v>51888.117700000003</v>
      </c>
      <c r="K124" s="145">
        <v>159194.94529999999</v>
      </c>
      <c r="L124" s="145">
        <v>18.7788</v>
      </c>
      <c r="M124" s="142">
        <v>51888.117200000001</v>
      </c>
      <c r="N124" s="142">
        <v>159194.9448</v>
      </c>
      <c r="O124" s="142">
        <v>18.778400000000001</v>
      </c>
      <c r="P124" s="129">
        <v>27.5</v>
      </c>
      <c r="Q124" s="76">
        <v>-5.0000000192085281E-4</v>
      </c>
      <c r="R124" s="109" cm="1">
        <f t="array" ref="R12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4" s="76">
        <v>-4.999999946448952E-4</v>
      </c>
      <c r="T124" s="77" cm="1">
        <f t="array" ref="T12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4" s="76">
        <v>-3.9999999999906777E-4</v>
      </c>
      <c r="V124" s="77" cm="1">
        <f t="array" ref="V12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4" s="77">
        <v>-5.0000000192085281E-4</v>
      </c>
      <c r="X124" s="77" cm="1">
        <f t="array" ref="X12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4" s="77">
        <v>-4.999999946448952E-4</v>
      </c>
      <c r="Z124" s="77" cm="1">
        <f t="array" ref="Z12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4" s="107" t="s">
        <v>85</v>
      </c>
      <c r="AE124" s="111"/>
      <c r="AF124" s="1"/>
      <c r="AG124" s="1"/>
      <c r="AH124" s="1"/>
      <c r="AI124" s="1"/>
      <c r="AJ124" s="1"/>
      <c r="AK124" s="4"/>
      <c r="AL124" s="4"/>
      <c r="AM124" s="4"/>
      <c r="AN124" s="4"/>
      <c r="AO124" s="1"/>
      <c r="AP124" s="1"/>
      <c r="AQ124" s="1"/>
      <c r="AR124" s="1"/>
      <c r="AS124" s="1"/>
      <c r="AT124" s="1"/>
    </row>
    <row r="125" spans="7:46" ht="14.25" customHeight="1" x14ac:dyDescent="0.2">
      <c r="G125" s="74">
        <v>45733.840277777781</v>
      </c>
      <c r="H125" s="107" t="s">
        <v>173</v>
      </c>
      <c r="I125" s="127"/>
      <c r="J125" s="145">
        <v>51887.805099999998</v>
      </c>
      <c r="K125" s="145">
        <v>159193.65710000001</v>
      </c>
      <c r="L125" s="145">
        <v>18.778500000000001</v>
      </c>
      <c r="M125" s="142">
        <v>51887.804300000003</v>
      </c>
      <c r="N125" s="142">
        <v>159193.65640000001</v>
      </c>
      <c r="O125" s="142">
        <v>18.778500000000001</v>
      </c>
      <c r="P125" s="129">
        <v>27.5</v>
      </c>
      <c r="Q125" s="76">
        <v>-7.9999999434221536E-4</v>
      </c>
      <c r="R125" s="109" cm="1">
        <f t="array" ref="R12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5" s="76">
        <v>-7.0000000414438546E-4</v>
      </c>
      <c r="T125" s="77" cm="1">
        <f t="array" ref="T12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5" s="76">
        <v>0</v>
      </c>
      <c r="V125" s="77" cm="1">
        <f t="array" ref="V12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5" s="77">
        <v>-7.9999999434221536E-4</v>
      </c>
      <c r="X125" s="77" cm="1">
        <f t="array" ref="X12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5" s="77">
        <v>-7.0000000414438546E-4</v>
      </c>
      <c r="Z125" s="77" cm="1">
        <f t="array" ref="Z12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5" s="107" t="s">
        <v>85</v>
      </c>
      <c r="AE125" s="111"/>
      <c r="AF125" s="1"/>
      <c r="AG125" s="1"/>
      <c r="AH125" s="1"/>
      <c r="AI125" s="1"/>
      <c r="AJ125" s="1"/>
      <c r="AK125" s="4"/>
      <c r="AL125" s="4"/>
      <c r="AM125" s="4"/>
      <c r="AN125" s="4"/>
      <c r="AO125" s="1"/>
      <c r="AP125" s="1"/>
      <c r="AQ125" s="1"/>
      <c r="AR125" s="1"/>
      <c r="AS125" s="1"/>
      <c r="AT125" s="1"/>
    </row>
    <row r="126" spans="7:46" ht="14.25" customHeight="1" x14ac:dyDescent="0.2">
      <c r="G126" s="74">
        <v>45733.840277777781</v>
      </c>
      <c r="H126" s="107" t="s">
        <v>176</v>
      </c>
      <c r="I126" s="127"/>
      <c r="J126" s="145">
        <v>51890.969100000002</v>
      </c>
      <c r="K126" s="145">
        <v>159194.1177</v>
      </c>
      <c r="L126" s="145">
        <v>18.779</v>
      </c>
      <c r="M126" s="142">
        <v>51890.968200000003</v>
      </c>
      <c r="N126" s="142">
        <v>159194.11720000001</v>
      </c>
      <c r="O126" s="142">
        <v>18.779</v>
      </c>
      <c r="P126" s="129">
        <v>27.5</v>
      </c>
      <c r="Q126" s="76">
        <v>-8.9999999909196049E-4</v>
      </c>
      <c r="R126" s="109" cm="1">
        <f t="array" ref="R12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6" s="76">
        <v>-4.999999946448952E-4</v>
      </c>
      <c r="T126" s="77" cm="1">
        <f t="array" ref="T12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6" s="76">
        <v>0</v>
      </c>
      <c r="V126" s="77" cm="1">
        <f t="array" ref="V12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6" s="77">
        <v>-8.9999999909196049E-4</v>
      </c>
      <c r="X126" s="77" cm="1">
        <f t="array" ref="X12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6" s="77">
        <v>-4.999999946448952E-4</v>
      </c>
      <c r="Z126" s="77" cm="1">
        <f t="array" ref="Z12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6" s="107" t="s">
        <v>85</v>
      </c>
      <c r="AE126" s="111"/>
      <c r="AF126" s="1"/>
      <c r="AG126" s="1"/>
      <c r="AH126" s="1"/>
      <c r="AI126" s="1"/>
      <c r="AJ126" s="1"/>
      <c r="AK126" s="4"/>
      <c r="AL126" s="4"/>
      <c r="AM126" s="4"/>
      <c r="AN126" s="4"/>
      <c r="AO126" s="1"/>
      <c r="AP126" s="1"/>
      <c r="AQ126" s="1"/>
      <c r="AR126" s="1"/>
      <c r="AS126" s="1"/>
      <c r="AT126" s="1"/>
    </row>
    <row r="127" spans="7:46" ht="14.25" customHeight="1" x14ac:dyDescent="0.2">
      <c r="G127" s="74">
        <v>45733.840277777781</v>
      </c>
      <c r="H127" s="107" t="s">
        <v>175</v>
      </c>
      <c r="I127" s="127"/>
      <c r="J127" s="145">
        <v>51890.606800000001</v>
      </c>
      <c r="K127" s="145">
        <v>159192.86069999999</v>
      </c>
      <c r="L127" s="145">
        <v>18.771999999999998</v>
      </c>
      <c r="M127" s="142">
        <v>51890.606399999997</v>
      </c>
      <c r="N127" s="142">
        <v>159192.8602</v>
      </c>
      <c r="O127" s="142">
        <v>18.771999999999998</v>
      </c>
      <c r="P127" s="129">
        <v>27.5</v>
      </c>
      <c r="Q127" s="76">
        <v>-4.0000000444706529E-4</v>
      </c>
      <c r="R127" s="109" cm="1">
        <f t="array" ref="R12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7" s="76">
        <v>-4.999999946448952E-4</v>
      </c>
      <c r="T127" s="77" cm="1">
        <f t="array" ref="T12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7" s="76">
        <v>0</v>
      </c>
      <c r="V127" s="77" cm="1">
        <f t="array" ref="V12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7" s="77">
        <v>-4.0000000444706529E-4</v>
      </c>
      <c r="X127" s="77" cm="1">
        <f t="array" ref="X12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7" s="77">
        <v>-4.999999946448952E-4</v>
      </c>
      <c r="Z127" s="77" cm="1">
        <f t="array" ref="Z12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7" s="107" t="s">
        <v>85</v>
      </c>
      <c r="AE127" s="111"/>
      <c r="AF127" s="1"/>
      <c r="AG127" s="1"/>
      <c r="AH127" s="1"/>
      <c r="AI127" s="1"/>
      <c r="AJ127" s="1"/>
      <c r="AK127" s="4"/>
      <c r="AL127" s="4"/>
      <c r="AM127" s="4"/>
      <c r="AN127" s="4"/>
      <c r="AO127" s="1"/>
      <c r="AP127" s="1"/>
      <c r="AQ127" s="1"/>
      <c r="AR127" s="1"/>
      <c r="AS127" s="1"/>
      <c r="AT127" s="1"/>
    </row>
    <row r="128" spans="7:46" ht="14.25" customHeight="1" x14ac:dyDescent="0.2">
      <c r="G128" s="74">
        <v>45733.840277777781</v>
      </c>
      <c r="H128" s="107" t="s">
        <v>178</v>
      </c>
      <c r="I128" s="127"/>
      <c r="J128" s="145">
        <v>51893.758699999998</v>
      </c>
      <c r="K128" s="145">
        <v>159193.3144</v>
      </c>
      <c r="L128" s="145">
        <v>18.774100000000001</v>
      </c>
      <c r="M128" s="142">
        <v>51893.758199999997</v>
      </c>
      <c r="N128" s="142">
        <v>159193.31419999999</v>
      </c>
      <c r="O128" s="142">
        <v>18.7744</v>
      </c>
      <c r="P128" s="129">
        <v>27.5</v>
      </c>
      <c r="Q128" s="76">
        <v>-5.0000000192085281E-4</v>
      </c>
      <c r="R128" s="109" cm="1">
        <f t="array" ref="R12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8" s="76">
        <v>-2.0000000949949026E-4</v>
      </c>
      <c r="T128" s="77" cm="1">
        <f t="array" ref="T12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8" s="76">
        <v>2.9999999999930083E-4</v>
      </c>
      <c r="V128" s="77" cm="1">
        <f t="array" ref="V12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8" s="77">
        <v>-5.0000000192085281E-4</v>
      </c>
      <c r="X128" s="77" cm="1">
        <f t="array" ref="X12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8" s="77">
        <v>-2.0000000949949026E-4</v>
      </c>
      <c r="Z128" s="77" cm="1">
        <f t="array" ref="Z12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8" s="107" t="s">
        <v>85</v>
      </c>
      <c r="AE128" s="111"/>
      <c r="AF128" s="1"/>
      <c r="AG128" s="1"/>
      <c r="AH128" s="1"/>
      <c r="AI128" s="1"/>
      <c r="AJ128" s="1"/>
      <c r="AK128" s="4"/>
      <c r="AL128" s="4"/>
      <c r="AM128" s="4"/>
      <c r="AN128" s="4"/>
      <c r="AO128" s="1"/>
      <c r="AP128" s="1"/>
      <c r="AQ128" s="1"/>
      <c r="AR128" s="1"/>
      <c r="AS128" s="1"/>
      <c r="AT128" s="1"/>
    </row>
    <row r="129" spans="7:46" ht="14.25" customHeight="1" x14ac:dyDescent="0.2">
      <c r="G129" s="74">
        <v>45733.840277777781</v>
      </c>
      <c r="H129" s="107" t="s">
        <v>177</v>
      </c>
      <c r="I129" s="127"/>
      <c r="J129" s="145">
        <v>51893.441299999999</v>
      </c>
      <c r="K129" s="145">
        <v>159192.04019999999</v>
      </c>
      <c r="L129" s="145">
        <v>18.7683</v>
      </c>
      <c r="M129" s="142">
        <v>51893.440900000001</v>
      </c>
      <c r="N129" s="142">
        <v>159192.03969999999</v>
      </c>
      <c r="O129" s="142">
        <v>18.768999999999998</v>
      </c>
      <c r="P129" s="129">
        <v>27.5</v>
      </c>
      <c r="Q129" s="76">
        <v>-3.9999999717110768E-4</v>
      </c>
      <c r="R129" s="109" cm="1">
        <f t="array" ref="R12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29" s="76">
        <v>-4.999999946448952E-4</v>
      </c>
      <c r="T129" s="77" cm="1">
        <f t="array" ref="T12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29" s="76">
        <v>6.9999999999836859E-4</v>
      </c>
      <c r="V129" s="77" cm="1">
        <f t="array" ref="V12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29" s="77">
        <v>-3.9999999717110768E-4</v>
      </c>
      <c r="X129" s="77" cm="1">
        <f t="array" ref="X12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29" s="77">
        <v>-4.999999946448952E-4</v>
      </c>
      <c r="Z129" s="77" cm="1">
        <f t="array" ref="Z12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2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2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2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29" s="107" t="s">
        <v>85</v>
      </c>
      <c r="AE129" s="111"/>
      <c r="AF129" s="1"/>
      <c r="AG129" s="1"/>
      <c r="AH129" s="1"/>
      <c r="AI129" s="1"/>
      <c r="AJ129" s="1"/>
      <c r="AK129" s="4"/>
      <c r="AL129" s="4"/>
      <c r="AM129" s="4"/>
      <c r="AN129" s="4"/>
      <c r="AO129" s="1"/>
      <c r="AP129" s="1"/>
      <c r="AQ129" s="1"/>
      <c r="AR129" s="1"/>
      <c r="AS129" s="1"/>
      <c r="AT129" s="1"/>
    </row>
    <row r="130" spans="7:46" ht="14.25" customHeight="1" x14ac:dyDescent="0.2">
      <c r="G130" s="74">
        <v>45733.840277777781</v>
      </c>
      <c r="H130" s="107" t="s">
        <v>180</v>
      </c>
      <c r="I130" s="127"/>
      <c r="J130" s="145">
        <v>51896.633300000001</v>
      </c>
      <c r="K130" s="145">
        <v>159192.48449999999</v>
      </c>
      <c r="L130" s="145">
        <v>18.7776</v>
      </c>
      <c r="M130" s="142">
        <v>51896.632899999997</v>
      </c>
      <c r="N130" s="142">
        <v>159192.48439999999</v>
      </c>
      <c r="O130" s="142">
        <v>18.777899999999999</v>
      </c>
      <c r="P130" s="129">
        <v>27.5</v>
      </c>
      <c r="Q130" s="76">
        <v>-4.0000000444706529E-4</v>
      </c>
      <c r="R130" s="109" cm="1">
        <f t="array" ref="R13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0" s="76">
        <v>-1.0000000474974513E-4</v>
      </c>
      <c r="T130" s="77" cm="1">
        <f t="array" ref="T13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0" s="76">
        <v>2.9999999999930083E-4</v>
      </c>
      <c r="V130" s="77" cm="1">
        <f t="array" ref="V13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0" s="77">
        <v>-4.0000000444706529E-4</v>
      </c>
      <c r="X130" s="77" cm="1">
        <f t="array" ref="X13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0" s="77">
        <v>-1.0000000474974513E-4</v>
      </c>
      <c r="Z130" s="77" cm="1">
        <f t="array" ref="Z13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0" s="107" t="s">
        <v>85</v>
      </c>
      <c r="AE130" s="111"/>
      <c r="AF130" s="1"/>
      <c r="AG130" s="1"/>
      <c r="AH130" s="1"/>
      <c r="AI130" s="1"/>
      <c r="AJ130" s="1"/>
      <c r="AK130" s="4"/>
      <c r="AL130" s="4"/>
      <c r="AM130" s="4"/>
      <c r="AN130" s="4"/>
      <c r="AO130" s="1"/>
      <c r="AP130" s="1"/>
      <c r="AQ130" s="1"/>
      <c r="AR130" s="1"/>
      <c r="AS130" s="1"/>
      <c r="AT130" s="1"/>
    </row>
    <row r="131" spans="7:46" ht="14.25" customHeight="1" x14ac:dyDescent="0.2">
      <c r="G131" s="74">
        <v>45733.840277777781</v>
      </c>
      <c r="H131" s="107" t="s">
        <v>179</v>
      </c>
      <c r="I131" s="127"/>
      <c r="J131" s="145">
        <v>51896.249799999998</v>
      </c>
      <c r="K131" s="145">
        <v>159191.22630000001</v>
      </c>
      <c r="L131" s="145">
        <v>18.7698</v>
      </c>
      <c r="M131" s="142">
        <v>51896.249300000003</v>
      </c>
      <c r="N131" s="142">
        <v>159191.22500000001</v>
      </c>
      <c r="O131" s="142">
        <v>18.770399999999999</v>
      </c>
      <c r="P131" s="129">
        <v>27.5</v>
      </c>
      <c r="Q131" s="76">
        <v>-4.999999946448952E-4</v>
      </c>
      <c r="R131" s="109" cm="1">
        <f t="array" ref="R13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1" s="76">
        <v>-1.3000000035390258E-3</v>
      </c>
      <c r="T131" s="77" cm="1">
        <f t="array" ref="T13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1" s="76">
        <v>5.9999999999860165E-4</v>
      </c>
      <c r="V131" s="77" cm="1">
        <f t="array" ref="V13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1" s="77">
        <v>-4.999999946448952E-4</v>
      </c>
      <c r="X131" s="77" cm="1">
        <f t="array" ref="X13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1" s="77">
        <v>-1.3000000035390258E-3</v>
      </c>
      <c r="Z131" s="77" cm="1">
        <f t="array" ref="Z13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1" s="107" t="s">
        <v>85</v>
      </c>
      <c r="AE131" s="111"/>
      <c r="AF131" s="1"/>
      <c r="AG131" s="1"/>
      <c r="AH131" s="1"/>
      <c r="AI131" s="1"/>
      <c r="AJ131" s="1"/>
      <c r="AK131" s="4"/>
      <c r="AL131" s="4"/>
      <c r="AM131" s="4"/>
      <c r="AN131" s="4"/>
      <c r="AO131" s="1"/>
      <c r="AP131" s="1"/>
      <c r="AQ131" s="1"/>
      <c r="AR131" s="1"/>
      <c r="AS131" s="1"/>
      <c r="AT131" s="1"/>
    </row>
    <row r="132" spans="7:46" ht="14.25" customHeight="1" x14ac:dyDescent="0.2">
      <c r="G132" s="74">
        <v>45733.840277777781</v>
      </c>
      <c r="H132" s="107" t="s">
        <v>182</v>
      </c>
      <c r="I132" s="127"/>
      <c r="J132" s="145">
        <v>51899.398699999998</v>
      </c>
      <c r="K132" s="145">
        <v>159191.69760000001</v>
      </c>
      <c r="L132" s="145">
        <v>18.777999999999999</v>
      </c>
      <c r="M132" s="142">
        <v>51899.398200000003</v>
      </c>
      <c r="N132" s="142">
        <v>159191.69769999999</v>
      </c>
      <c r="O132" s="142">
        <v>18.778099999999998</v>
      </c>
      <c r="P132" s="129">
        <v>27.5</v>
      </c>
      <c r="Q132" s="76">
        <v>-4.999999946448952E-4</v>
      </c>
      <c r="R132" s="109" cm="1">
        <f t="array" ref="R13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2" s="76">
        <v>9.9999975645914674E-5</v>
      </c>
      <c r="T132" s="77" cm="1">
        <f t="array" ref="T13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2" s="76">
        <v>9.9999999999766942E-5</v>
      </c>
      <c r="V132" s="77" cm="1">
        <f t="array" ref="V13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2" s="77">
        <v>-4.999999946448952E-4</v>
      </c>
      <c r="X132" s="77" cm="1">
        <f t="array" ref="X13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2" s="77">
        <v>9.9999975645914674E-5</v>
      </c>
      <c r="Z132" s="77" cm="1">
        <f t="array" ref="Z13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2" s="107" t="s">
        <v>85</v>
      </c>
      <c r="AE132" s="111"/>
      <c r="AF132" s="1"/>
      <c r="AG132" s="1"/>
      <c r="AH132" s="1"/>
      <c r="AI132" s="1"/>
      <c r="AJ132" s="1"/>
      <c r="AK132" s="4"/>
      <c r="AL132" s="4"/>
      <c r="AM132" s="4"/>
      <c r="AN132" s="4"/>
      <c r="AO132" s="1"/>
      <c r="AP132" s="1"/>
      <c r="AQ132" s="1"/>
      <c r="AR132" s="1"/>
      <c r="AS132" s="1"/>
      <c r="AT132" s="1"/>
    </row>
    <row r="133" spans="7:46" ht="14.25" customHeight="1" x14ac:dyDescent="0.2">
      <c r="G133" s="74">
        <v>45733.840277777781</v>
      </c>
      <c r="H133" s="107" t="s">
        <v>181</v>
      </c>
      <c r="I133" s="127"/>
      <c r="J133" s="145">
        <v>51899.041100000002</v>
      </c>
      <c r="K133" s="145">
        <v>159190.43340000001</v>
      </c>
      <c r="L133" s="145">
        <v>18.771100000000001</v>
      </c>
      <c r="M133" s="142">
        <v>51899.040300000001</v>
      </c>
      <c r="N133" s="142">
        <v>159190.4332</v>
      </c>
      <c r="O133" s="142">
        <v>18.7712</v>
      </c>
      <c r="P133" s="129">
        <v>27.5</v>
      </c>
      <c r="Q133" s="76">
        <v>-8.0000000161817297E-4</v>
      </c>
      <c r="R133" s="109" cm="1">
        <f t="array" ref="R13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3" s="76">
        <v>-2.0000000949949026E-4</v>
      </c>
      <c r="T133" s="77" cm="1">
        <f t="array" ref="T13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3" s="76">
        <v>9.9999999999766942E-5</v>
      </c>
      <c r="V133" s="77" cm="1">
        <f t="array" ref="V13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3" s="77">
        <v>-8.0000000161817297E-4</v>
      </c>
      <c r="X133" s="77" cm="1">
        <f t="array" ref="X13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3" s="77">
        <v>-2.0000000949949026E-4</v>
      </c>
      <c r="Z133" s="77" cm="1">
        <f t="array" ref="Z13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3" s="107" t="s">
        <v>85</v>
      </c>
      <c r="AE133" s="111"/>
      <c r="AF133" s="1"/>
      <c r="AG133" s="1"/>
      <c r="AH133" s="1"/>
      <c r="AI133" s="1"/>
      <c r="AJ133" s="1"/>
      <c r="AK133" s="4"/>
      <c r="AL133" s="4"/>
      <c r="AM133" s="4"/>
      <c r="AN133" s="4"/>
      <c r="AO133" s="1"/>
      <c r="AP133" s="1"/>
      <c r="AQ133" s="1"/>
      <c r="AR133" s="1"/>
      <c r="AS133" s="1"/>
      <c r="AT133" s="1"/>
    </row>
    <row r="134" spans="7:46" ht="14.25" customHeight="1" x14ac:dyDescent="0.2">
      <c r="G134" s="74">
        <v>45733.840277777781</v>
      </c>
      <c r="H134" s="107" t="s">
        <v>184</v>
      </c>
      <c r="I134" s="127"/>
      <c r="J134" s="145">
        <v>51902.292699999998</v>
      </c>
      <c r="K134" s="145">
        <v>159190.88459999999</v>
      </c>
      <c r="L134" s="145">
        <v>18.779</v>
      </c>
      <c r="M134" s="142">
        <v>51902.292099999999</v>
      </c>
      <c r="N134" s="142">
        <v>159190.8849</v>
      </c>
      <c r="O134" s="142">
        <v>18.7789</v>
      </c>
      <c r="P134" s="129">
        <v>27.5</v>
      </c>
      <c r="Q134" s="76">
        <v>-5.9999999939464033E-4</v>
      </c>
      <c r="R134" s="109" cm="1">
        <f t="array" ref="R13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4" s="76">
        <v>3.0000001424923539E-4</v>
      </c>
      <c r="T134" s="77" cm="1">
        <f t="array" ref="T13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4" s="76">
        <v>-9.9999999999766942E-5</v>
      </c>
      <c r="V134" s="77" cm="1">
        <f t="array" ref="V13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4" s="77">
        <v>-5.9999999939464033E-4</v>
      </c>
      <c r="X134" s="77" cm="1">
        <f t="array" ref="X13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4" s="77">
        <v>3.0000001424923539E-4</v>
      </c>
      <c r="Z134" s="77" cm="1">
        <f t="array" ref="Z13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4" s="107" t="s">
        <v>85</v>
      </c>
      <c r="AE134" s="111"/>
      <c r="AF134" s="1"/>
      <c r="AG134" s="1"/>
      <c r="AH134" s="1"/>
      <c r="AI134" s="1"/>
      <c r="AJ134" s="1"/>
      <c r="AK134" s="4"/>
      <c r="AL134" s="4"/>
      <c r="AM134" s="4"/>
      <c r="AN134" s="4"/>
      <c r="AO134" s="1"/>
      <c r="AP134" s="1"/>
      <c r="AQ134" s="1"/>
      <c r="AR134" s="1"/>
      <c r="AS134" s="1"/>
      <c r="AT134" s="1"/>
    </row>
    <row r="135" spans="7:46" ht="14.25" customHeight="1" x14ac:dyDescent="0.2">
      <c r="G135" s="74">
        <v>45733.840277777781</v>
      </c>
      <c r="H135" s="107" t="s">
        <v>183</v>
      </c>
      <c r="I135" s="127"/>
      <c r="J135" s="145">
        <v>51901.989200000004</v>
      </c>
      <c r="K135" s="145">
        <v>159189.60260000001</v>
      </c>
      <c r="L135" s="145">
        <v>18.770099999999999</v>
      </c>
      <c r="M135" s="142">
        <v>51901.988599999997</v>
      </c>
      <c r="N135" s="142">
        <v>159189.60279999999</v>
      </c>
      <c r="O135" s="142">
        <v>18.770199999999999</v>
      </c>
      <c r="P135" s="129">
        <v>27.5</v>
      </c>
      <c r="Q135" s="76">
        <v>-6.0000000667059794E-4</v>
      </c>
      <c r="R135" s="109" cm="1">
        <f t="array" ref="R13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5" s="76">
        <v>1.999999803956598E-4</v>
      </c>
      <c r="T135" s="77" cm="1">
        <f t="array" ref="T13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5" s="76">
        <v>9.9999999999766942E-5</v>
      </c>
      <c r="V135" s="77" cm="1">
        <f t="array" ref="V13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5" s="77">
        <v>-6.0000000667059794E-4</v>
      </c>
      <c r="X135" s="77" cm="1">
        <f t="array" ref="X13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5" s="77">
        <v>1.999999803956598E-4</v>
      </c>
      <c r="Z135" s="77" cm="1">
        <f t="array" ref="Z13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5" s="107" t="s">
        <v>85</v>
      </c>
      <c r="AE135" s="111"/>
      <c r="AF135" s="1"/>
      <c r="AG135" s="1"/>
      <c r="AH135" s="1"/>
      <c r="AI135" s="1"/>
      <c r="AJ135" s="1"/>
      <c r="AK135" s="4"/>
      <c r="AL135" s="4"/>
      <c r="AM135" s="4"/>
      <c r="AN135" s="4"/>
      <c r="AO135" s="1"/>
      <c r="AP135" s="1"/>
      <c r="AQ135" s="1"/>
      <c r="AR135" s="1"/>
      <c r="AS135" s="1"/>
      <c r="AT135" s="1"/>
    </row>
    <row r="136" spans="7:46" ht="14.25" customHeight="1" x14ac:dyDescent="0.2">
      <c r="G136" s="74">
        <v>45733.840277777781</v>
      </c>
      <c r="H136" s="107" t="s">
        <v>186</v>
      </c>
      <c r="I136" s="127"/>
      <c r="J136" s="145">
        <v>51905.196199999998</v>
      </c>
      <c r="K136" s="145">
        <v>159190.09460000001</v>
      </c>
      <c r="L136" s="145">
        <v>18.780899999999999</v>
      </c>
      <c r="M136" s="142">
        <v>51905.195599999999</v>
      </c>
      <c r="N136" s="142">
        <v>159190.0949</v>
      </c>
      <c r="O136" s="142">
        <v>18.7807</v>
      </c>
      <c r="P136" s="129">
        <v>27.5</v>
      </c>
      <c r="Q136" s="76">
        <v>-5.9999999939464033E-4</v>
      </c>
      <c r="R136" s="109" cm="1">
        <f t="array" ref="R13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6" s="76">
        <v>2.9999998514540493E-4</v>
      </c>
      <c r="T136" s="77" cm="1">
        <f t="array" ref="T13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6" s="76">
        <v>-1.9999999999953388E-4</v>
      </c>
      <c r="V136" s="77" cm="1">
        <f t="array" ref="V13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6" s="77">
        <v>-5.9999999939464033E-4</v>
      </c>
      <c r="X136" s="77" cm="1">
        <f t="array" ref="X13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6" s="77">
        <v>2.9999998514540493E-4</v>
      </c>
      <c r="Z136" s="77" cm="1">
        <f t="array" ref="Z13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6" s="107" t="s">
        <v>85</v>
      </c>
      <c r="AE136" s="111"/>
      <c r="AF136" s="1"/>
      <c r="AG136" s="1"/>
      <c r="AH136" s="1"/>
      <c r="AI136" s="1"/>
      <c r="AJ136" s="1"/>
      <c r="AK136" s="4"/>
      <c r="AL136" s="4"/>
      <c r="AM136" s="4"/>
      <c r="AN136" s="4"/>
      <c r="AO136" s="1"/>
      <c r="AP136" s="1"/>
      <c r="AQ136" s="1"/>
      <c r="AR136" s="1"/>
      <c r="AS136" s="1"/>
      <c r="AT136" s="1"/>
    </row>
    <row r="137" spans="7:46" ht="14.25" customHeight="1" x14ac:dyDescent="0.2">
      <c r="G137" s="74">
        <v>45733.840277777781</v>
      </c>
      <c r="H137" s="107" t="s">
        <v>185</v>
      </c>
      <c r="I137" s="127"/>
      <c r="J137" s="145">
        <v>51904.885600000001</v>
      </c>
      <c r="K137" s="145">
        <v>159188.8046</v>
      </c>
      <c r="L137" s="145">
        <v>18.773099999999999</v>
      </c>
      <c r="M137" s="142">
        <v>51904.884899999997</v>
      </c>
      <c r="N137" s="142">
        <v>159188.80480000001</v>
      </c>
      <c r="O137" s="142">
        <v>18.773299999999999</v>
      </c>
      <c r="P137" s="129">
        <v>27.5</v>
      </c>
      <c r="Q137" s="76">
        <v>-7.0000000414438546E-4</v>
      </c>
      <c r="R137" s="109" cm="1">
        <f t="array" ref="R13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7" s="76">
        <v>2.0000000949949026E-4</v>
      </c>
      <c r="T137" s="77" cm="1">
        <f t="array" ref="T13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7" s="76">
        <v>1.9999999999953388E-4</v>
      </c>
      <c r="V137" s="77" cm="1">
        <f t="array" ref="V13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7" s="77">
        <v>-7.0000000414438546E-4</v>
      </c>
      <c r="X137" s="77" cm="1">
        <f t="array" ref="X13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7" s="77">
        <v>2.0000000949949026E-4</v>
      </c>
      <c r="Z137" s="77" cm="1">
        <f t="array" ref="Z13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7" s="107" t="s">
        <v>85</v>
      </c>
      <c r="AE137" s="111"/>
      <c r="AF137" s="1"/>
      <c r="AG137" s="1"/>
      <c r="AH137" s="1"/>
      <c r="AI137" s="1"/>
      <c r="AJ137" s="1"/>
      <c r="AK137" s="4"/>
      <c r="AL137" s="4"/>
      <c r="AM137" s="4"/>
      <c r="AN137" s="4"/>
      <c r="AO137" s="1"/>
      <c r="AP137" s="1"/>
      <c r="AQ137" s="1"/>
      <c r="AR137" s="1"/>
      <c r="AS137" s="1"/>
      <c r="AT137" s="1"/>
    </row>
    <row r="138" spans="7:46" ht="14.25" customHeight="1" x14ac:dyDescent="0.2">
      <c r="G138" s="74">
        <v>45733.840277777781</v>
      </c>
      <c r="H138" s="107" t="s">
        <v>188</v>
      </c>
      <c r="I138" s="127"/>
      <c r="J138" s="145">
        <v>51907.9522</v>
      </c>
      <c r="K138" s="145">
        <v>159189.36230000001</v>
      </c>
      <c r="L138" s="145">
        <v>18.786000000000001</v>
      </c>
      <c r="M138" s="142">
        <v>51907.9516</v>
      </c>
      <c r="N138" s="142">
        <v>159189.3628</v>
      </c>
      <c r="O138" s="142">
        <v>18.786000000000001</v>
      </c>
      <c r="P138" s="129">
        <v>27.5</v>
      </c>
      <c r="Q138" s="76">
        <v>-5.9999999939464033E-4</v>
      </c>
      <c r="R138" s="109" cm="1">
        <f t="array" ref="R13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8" s="76">
        <v>4.999999946448952E-4</v>
      </c>
      <c r="T138" s="77" cm="1">
        <f t="array" ref="T13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8" s="76">
        <v>0</v>
      </c>
      <c r="V138" s="77" cm="1">
        <f t="array" ref="V13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8" s="77">
        <v>-5.9999999939464033E-4</v>
      </c>
      <c r="X138" s="77" cm="1">
        <f t="array" ref="X13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8" s="77">
        <v>4.999999946448952E-4</v>
      </c>
      <c r="Z138" s="77" cm="1">
        <f t="array" ref="Z13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8" s="107" t="s">
        <v>85</v>
      </c>
      <c r="AE138" s="111"/>
      <c r="AF138" s="1"/>
      <c r="AG138" s="1"/>
      <c r="AH138" s="1"/>
      <c r="AI138" s="1"/>
      <c r="AJ138" s="1"/>
      <c r="AK138" s="4"/>
      <c r="AL138" s="4"/>
      <c r="AM138" s="4"/>
      <c r="AN138" s="4"/>
      <c r="AO138" s="1"/>
      <c r="AP138" s="1"/>
      <c r="AQ138" s="1"/>
      <c r="AR138" s="1"/>
      <c r="AS138" s="1"/>
      <c r="AT138" s="1"/>
    </row>
    <row r="139" spans="7:46" ht="14.25" customHeight="1" x14ac:dyDescent="0.2">
      <c r="G139" s="74">
        <v>45733.840277777781</v>
      </c>
      <c r="H139" s="107" t="s">
        <v>187</v>
      </c>
      <c r="I139" s="127"/>
      <c r="J139" s="145">
        <v>51907.578699999998</v>
      </c>
      <c r="K139" s="145">
        <v>159188.09770000001</v>
      </c>
      <c r="L139" s="145">
        <v>18.776</v>
      </c>
      <c r="M139" s="142">
        <v>51907.578099999999</v>
      </c>
      <c r="N139" s="142">
        <v>159188.09820000001</v>
      </c>
      <c r="O139" s="142">
        <v>18.7761</v>
      </c>
      <c r="P139" s="129">
        <v>27.5</v>
      </c>
      <c r="Q139" s="76">
        <v>-5.9999999939464033E-4</v>
      </c>
      <c r="R139" s="109" cm="1">
        <f t="array" ref="R13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39" s="76">
        <v>4.999999946448952E-4</v>
      </c>
      <c r="T139" s="77" cm="1">
        <f t="array" ref="T13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39" s="76">
        <v>9.9999999999766942E-5</v>
      </c>
      <c r="V139" s="77" cm="1">
        <f t="array" ref="V13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39" s="77">
        <v>-5.9999999939464033E-4</v>
      </c>
      <c r="X139" s="77" cm="1">
        <f t="array" ref="X13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39" s="77">
        <v>4.999999946448952E-4</v>
      </c>
      <c r="Z139" s="77" cm="1">
        <f t="array" ref="Z13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3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3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3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39" s="107" t="s">
        <v>85</v>
      </c>
      <c r="AE139" s="111"/>
      <c r="AF139" s="1"/>
      <c r="AG139" s="1"/>
      <c r="AH139" s="1"/>
      <c r="AI139" s="1"/>
      <c r="AJ139" s="1"/>
      <c r="AK139" s="4"/>
      <c r="AL139" s="4"/>
      <c r="AM139" s="4"/>
      <c r="AN139" s="4"/>
      <c r="AO139" s="1"/>
      <c r="AP139" s="1"/>
      <c r="AQ139" s="1"/>
      <c r="AR139" s="1"/>
      <c r="AS139" s="1"/>
      <c r="AT139" s="1"/>
    </row>
    <row r="140" spans="7:46" ht="14.25" customHeight="1" x14ac:dyDescent="0.2">
      <c r="G140" s="74">
        <v>45733.840277777781</v>
      </c>
      <c r="H140" s="107" t="s">
        <v>190</v>
      </c>
      <c r="I140" s="127"/>
      <c r="J140" s="145">
        <v>51910.962800000001</v>
      </c>
      <c r="K140" s="145">
        <v>159188.60079999999</v>
      </c>
      <c r="L140" s="145">
        <v>18.794599999999999</v>
      </c>
      <c r="M140" s="142">
        <v>51910.962299999999</v>
      </c>
      <c r="N140" s="142">
        <v>159188.60130000001</v>
      </c>
      <c r="O140" s="142">
        <v>18.794699999999999</v>
      </c>
      <c r="P140" s="129">
        <v>27.5</v>
      </c>
      <c r="Q140" s="76">
        <v>-5.0000000192085281E-4</v>
      </c>
      <c r="R140" s="109" cm="1">
        <f t="array" ref="R14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0" s="76">
        <v>5.0000002374872565E-4</v>
      </c>
      <c r="T140" s="77" cm="1">
        <f t="array" ref="T14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0" s="76">
        <v>9.9999999999766942E-5</v>
      </c>
      <c r="V140" s="77" cm="1">
        <f t="array" ref="V14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0" s="77">
        <v>-5.0000000192085281E-4</v>
      </c>
      <c r="X140" s="77" cm="1">
        <f t="array" ref="X14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0" s="77">
        <v>5.0000002374872565E-4</v>
      </c>
      <c r="Z140" s="77" cm="1">
        <f t="array" ref="Z14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0" s="107" t="s">
        <v>85</v>
      </c>
      <c r="AE140" s="111"/>
      <c r="AF140" s="1"/>
      <c r="AG140" s="1"/>
      <c r="AH140" s="1"/>
      <c r="AI140" s="1"/>
      <c r="AJ140" s="1"/>
      <c r="AK140" s="4"/>
      <c r="AL140" s="4"/>
      <c r="AM140" s="4"/>
      <c r="AN140" s="4"/>
      <c r="AO140" s="1"/>
      <c r="AP140" s="1"/>
      <c r="AQ140" s="1"/>
      <c r="AR140" s="1"/>
      <c r="AS140" s="1"/>
      <c r="AT140" s="1"/>
    </row>
    <row r="141" spans="7:46" ht="14.25" customHeight="1" x14ac:dyDescent="0.2">
      <c r="G141" s="74">
        <v>45733.840277777781</v>
      </c>
      <c r="H141" s="107" t="s">
        <v>189</v>
      </c>
      <c r="I141" s="127"/>
      <c r="J141" s="145">
        <v>51910.640099999997</v>
      </c>
      <c r="K141" s="145">
        <v>159187.3223</v>
      </c>
      <c r="L141" s="145">
        <v>18.7836</v>
      </c>
      <c r="M141" s="142">
        <v>51910.6394</v>
      </c>
      <c r="N141" s="142">
        <v>159187.32279999999</v>
      </c>
      <c r="O141" s="142">
        <v>18.783799999999999</v>
      </c>
      <c r="P141" s="129">
        <v>27.5</v>
      </c>
      <c r="Q141" s="76">
        <v>-6.9999999686842784E-4</v>
      </c>
      <c r="R141" s="109" cm="1">
        <f t="array" ref="R14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1" s="76">
        <v>4.999999946448952E-4</v>
      </c>
      <c r="T141" s="77" cm="1">
        <f t="array" ref="T14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1" s="76">
        <v>1.9999999999953388E-4</v>
      </c>
      <c r="V141" s="77" cm="1">
        <f t="array" ref="V14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1" s="77">
        <v>-6.9999999686842784E-4</v>
      </c>
      <c r="X141" s="77" cm="1">
        <f t="array" ref="X14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1" s="77">
        <v>4.999999946448952E-4</v>
      </c>
      <c r="Z141" s="77" cm="1">
        <f t="array" ref="Z14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1" s="107" t="s">
        <v>85</v>
      </c>
      <c r="AE141" s="111"/>
      <c r="AF141" s="1"/>
      <c r="AG141" s="1"/>
      <c r="AH141" s="1"/>
      <c r="AI141" s="1"/>
      <c r="AJ141" s="1"/>
      <c r="AK141" s="4"/>
      <c r="AL141" s="4"/>
      <c r="AM141" s="4"/>
      <c r="AN141" s="4"/>
      <c r="AO141" s="1"/>
      <c r="AP141" s="1"/>
      <c r="AQ141" s="1"/>
      <c r="AR141" s="1"/>
      <c r="AS141" s="1"/>
      <c r="AT141" s="1"/>
    </row>
    <row r="142" spans="7:46" ht="14.25" customHeight="1" x14ac:dyDescent="0.2">
      <c r="G142" s="74">
        <v>45733.840277777781</v>
      </c>
      <c r="H142" s="107" t="s">
        <v>192</v>
      </c>
      <c r="I142" s="127"/>
      <c r="J142" s="145">
        <v>51913.751100000001</v>
      </c>
      <c r="K142" s="145">
        <v>159187.9178</v>
      </c>
      <c r="L142" s="145">
        <v>18.809000000000001</v>
      </c>
      <c r="M142" s="142">
        <v>51913.7503</v>
      </c>
      <c r="N142" s="142">
        <v>159187.9184</v>
      </c>
      <c r="O142" s="142">
        <v>18.809000000000001</v>
      </c>
      <c r="P142" s="129">
        <v>27.5</v>
      </c>
      <c r="Q142" s="76">
        <v>-8.0000000161817297E-4</v>
      </c>
      <c r="R142" s="109" cm="1">
        <f t="array" ref="R14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2" s="76">
        <v>5.9999999939464033E-4</v>
      </c>
      <c r="T142" s="77" cm="1">
        <f t="array" ref="T14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2" s="76">
        <v>0</v>
      </c>
      <c r="V142" s="77" cm="1">
        <f t="array" ref="V14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2" s="77">
        <v>-8.0000000161817297E-4</v>
      </c>
      <c r="X142" s="77" cm="1">
        <f t="array" ref="X14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2" s="77">
        <v>5.9999999939464033E-4</v>
      </c>
      <c r="Z142" s="77" cm="1">
        <f t="array" ref="Z14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2" s="107" t="s">
        <v>85</v>
      </c>
      <c r="AE142" s="111"/>
      <c r="AF142" s="1"/>
      <c r="AG142" s="1"/>
      <c r="AH142" s="1"/>
      <c r="AI142" s="1"/>
      <c r="AJ142" s="1"/>
      <c r="AK142" s="4"/>
      <c r="AL142" s="4"/>
      <c r="AM142" s="4"/>
      <c r="AN142" s="4"/>
      <c r="AO142" s="1"/>
      <c r="AP142" s="1"/>
      <c r="AQ142" s="1"/>
      <c r="AR142" s="1"/>
      <c r="AS142" s="1"/>
      <c r="AT142" s="1"/>
    </row>
    <row r="143" spans="7:46" ht="14.25" customHeight="1" x14ac:dyDescent="0.2">
      <c r="G143" s="74">
        <v>45733.840277777781</v>
      </c>
      <c r="H143" s="107" t="s">
        <v>191</v>
      </c>
      <c r="I143" s="127"/>
      <c r="J143" s="145">
        <v>51913.421499999997</v>
      </c>
      <c r="K143" s="145">
        <v>159186.63630000001</v>
      </c>
      <c r="L143" s="145">
        <v>18.794899999999998</v>
      </c>
      <c r="M143" s="142">
        <v>51913.4205</v>
      </c>
      <c r="N143" s="142">
        <v>159186.63680000001</v>
      </c>
      <c r="O143" s="142">
        <v>18.794799999999999</v>
      </c>
      <c r="P143" s="129">
        <v>27.5</v>
      </c>
      <c r="Q143" s="76">
        <v>-9.9999999656574801E-4</v>
      </c>
      <c r="R143" s="109" cm="1">
        <f t="array" ref="R14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3" s="76">
        <v>4.999999946448952E-4</v>
      </c>
      <c r="T143" s="77" cm="1">
        <f t="array" ref="T14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3" s="76">
        <v>-9.9999999999766942E-5</v>
      </c>
      <c r="V143" s="77" cm="1">
        <f t="array" ref="V14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3" s="77">
        <v>-9.9999999656574801E-4</v>
      </c>
      <c r="X143" s="77" cm="1">
        <f t="array" ref="X14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3" s="77">
        <v>4.999999946448952E-4</v>
      </c>
      <c r="Z143" s="77" cm="1">
        <f t="array" ref="Z14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3" s="107" t="s">
        <v>85</v>
      </c>
      <c r="AE143" s="111"/>
      <c r="AF143" s="1"/>
      <c r="AG143" s="1"/>
      <c r="AH143" s="1"/>
      <c r="AI143" s="1"/>
      <c r="AJ143" s="1"/>
      <c r="AK143" s="4"/>
      <c r="AL143" s="4"/>
      <c r="AM143" s="4"/>
      <c r="AN143" s="4"/>
      <c r="AO143" s="1"/>
      <c r="AP143" s="1"/>
      <c r="AQ143" s="1"/>
      <c r="AR143" s="1"/>
      <c r="AS143" s="1"/>
      <c r="AT143" s="1"/>
    </row>
    <row r="144" spans="7:46" ht="14.25" customHeight="1" x14ac:dyDescent="0.2">
      <c r="G144" s="74">
        <v>45721.395833333336</v>
      </c>
      <c r="H144" s="107" t="s">
        <v>172</v>
      </c>
      <c r="I144" s="127"/>
      <c r="J144" s="145">
        <v>51885.34</v>
      </c>
      <c r="K144" s="145">
        <v>159195.739</v>
      </c>
      <c r="L144" s="145">
        <v>18.782</v>
      </c>
      <c r="M144" s="142">
        <v>51885.339</v>
      </c>
      <c r="N144" s="142">
        <v>159195.74</v>
      </c>
      <c r="O144" s="142">
        <v>18.782</v>
      </c>
      <c r="P144" s="129">
        <v>23</v>
      </c>
      <c r="Q144" s="76">
        <v>-9.9999999656574801E-4</v>
      </c>
      <c r="R144" s="109" cm="1">
        <f t="array" ref="R14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4" s="76">
        <v>9.9999998928979039E-4</v>
      </c>
      <c r="T144" s="77" cm="1">
        <f t="array" ref="T14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4" s="76">
        <v>0</v>
      </c>
      <c r="V144" s="77" cm="1">
        <f t="array" ref="V14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4" s="77">
        <v>-9.9999999656574801E-4</v>
      </c>
      <c r="X144" s="77" cm="1">
        <f t="array" ref="X14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4" s="77">
        <v>9.9999998928979039E-4</v>
      </c>
      <c r="Z144" s="77" cm="1">
        <f t="array" ref="Z14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4" s="107" t="s">
        <v>86</v>
      </c>
      <c r="AE144" s="111"/>
      <c r="AF144" s="1"/>
      <c r="AG144" s="1"/>
      <c r="AH144" s="1"/>
      <c r="AI144" s="1"/>
      <c r="AJ144" s="1"/>
      <c r="AK144" s="4"/>
      <c r="AL144" s="4"/>
      <c r="AM144" s="4"/>
      <c r="AN144" s="4"/>
      <c r="AO144" s="1"/>
      <c r="AP144" s="1"/>
      <c r="AQ144" s="1"/>
      <c r="AR144" s="1"/>
      <c r="AS144" s="1"/>
      <c r="AT144" s="1"/>
    </row>
    <row r="145" spans="7:46" ht="14.25" customHeight="1" x14ac:dyDescent="0.2">
      <c r="G145" s="74">
        <v>45721.395833333336</v>
      </c>
      <c r="H145" s="107" t="s">
        <v>171</v>
      </c>
      <c r="I145" s="127"/>
      <c r="J145" s="145">
        <v>51884.958899999998</v>
      </c>
      <c r="K145" s="145">
        <v>159194.47070000001</v>
      </c>
      <c r="L145" s="145">
        <v>18.778099999999998</v>
      </c>
      <c r="M145" s="142">
        <v>51884.957999999999</v>
      </c>
      <c r="N145" s="142">
        <v>159194.47200000001</v>
      </c>
      <c r="O145" s="142">
        <v>18.777999999999999</v>
      </c>
      <c r="P145" s="129">
        <v>23</v>
      </c>
      <c r="Q145" s="76">
        <v>-8.9999999909196049E-4</v>
      </c>
      <c r="R145" s="109" cm="1">
        <f t="array" ref="R14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5" s="76">
        <v>1.3000000035390258E-3</v>
      </c>
      <c r="T145" s="77" cm="1">
        <f t="array" ref="T14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5" s="76">
        <v>-9.9999999999766942E-5</v>
      </c>
      <c r="V145" s="77" cm="1">
        <f t="array" ref="V14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5" s="77">
        <v>-8.9999999909196049E-4</v>
      </c>
      <c r="X145" s="77" cm="1">
        <f t="array" ref="X14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5" s="77">
        <v>1.3000000035390258E-3</v>
      </c>
      <c r="Z145" s="77" cm="1">
        <f t="array" ref="Z14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5" s="107" t="s">
        <v>86</v>
      </c>
      <c r="AE145" s="111"/>
      <c r="AF145" s="1"/>
      <c r="AG145" s="1"/>
      <c r="AH145" s="1"/>
      <c r="AI145" s="1"/>
      <c r="AJ145" s="1"/>
      <c r="AK145" s="4"/>
      <c r="AL145" s="4"/>
      <c r="AM145" s="4"/>
      <c r="AN145" s="4"/>
      <c r="AO145" s="1"/>
      <c r="AP145" s="1"/>
      <c r="AQ145" s="1"/>
      <c r="AR145" s="1"/>
      <c r="AS145" s="1"/>
      <c r="AT145" s="1"/>
    </row>
    <row r="146" spans="7:46" ht="14.25" customHeight="1" x14ac:dyDescent="0.2">
      <c r="G146" s="74">
        <v>45721.395833333336</v>
      </c>
      <c r="H146" s="107" t="s">
        <v>174</v>
      </c>
      <c r="I146" s="127"/>
      <c r="J146" s="145">
        <v>51888.117700000003</v>
      </c>
      <c r="K146" s="145">
        <v>159194.94529999999</v>
      </c>
      <c r="L146" s="145">
        <v>18.7788</v>
      </c>
      <c r="M146" s="142">
        <v>51888.116999999998</v>
      </c>
      <c r="N146" s="142">
        <v>159194.946</v>
      </c>
      <c r="O146" s="142">
        <v>18.779</v>
      </c>
      <c r="P146" s="129">
        <v>23</v>
      </c>
      <c r="Q146" s="76">
        <v>-7.0000000414438546E-4</v>
      </c>
      <c r="R146" s="109" cm="1">
        <f t="array" ref="R14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6" s="76">
        <v>7.0000000414438546E-4</v>
      </c>
      <c r="T146" s="77" cm="1">
        <f t="array" ref="T14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6" s="76">
        <v>1.9999999999953388E-4</v>
      </c>
      <c r="V146" s="77" cm="1">
        <f t="array" ref="V14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6" s="77">
        <v>-7.0000000414438546E-4</v>
      </c>
      <c r="X146" s="77" cm="1">
        <f t="array" ref="X14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6" s="77">
        <v>7.0000000414438546E-4</v>
      </c>
      <c r="Z146" s="77" cm="1">
        <f t="array" ref="Z14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6" s="107" t="s">
        <v>86</v>
      </c>
      <c r="AE146" s="111"/>
      <c r="AF146" s="1"/>
      <c r="AG146" s="1"/>
      <c r="AH146" s="1"/>
      <c r="AI146" s="1"/>
      <c r="AJ146" s="1"/>
      <c r="AK146" s="4"/>
      <c r="AL146" s="4"/>
      <c r="AM146" s="4"/>
      <c r="AN146" s="4"/>
      <c r="AO146" s="1"/>
      <c r="AP146" s="1"/>
      <c r="AQ146" s="1"/>
      <c r="AR146" s="1"/>
      <c r="AS146" s="1"/>
      <c r="AT146" s="1"/>
    </row>
    <row r="147" spans="7:46" ht="14.25" customHeight="1" x14ac:dyDescent="0.2">
      <c r="G147" s="74">
        <v>45721.395833333336</v>
      </c>
      <c r="H147" s="107" t="s">
        <v>173</v>
      </c>
      <c r="I147" s="127"/>
      <c r="J147" s="145">
        <v>51887.805099999998</v>
      </c>
      <c r="K147" s="145">
        <v>159193.65710000001</v>
      </c>
      <c r="L147" s="145">
        <v>18.778500000000001</v>
      </c>
      <c r="M147" s="142">
        <v>51887.803999999996</v>
      </c>
      <c r="N147" s="142">
        <v>159193.658</v>
      </c>
      <c r="O147" s="142">
        <v>18.777999999999999</v>
      </c>
      <c r="P147" s="129">
        <v>23</v>
      </c>
      <c r="Q147" s="76">
        <v>-1.1000000013154931E-3</v>
      </c>
      <c r="R147" s="109" cm="1">
        <f t="array" ref="R14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7" s="76">
        <v>8.9999998454004526E-4</v>
      </c>
      <c r="T147" s="77" cm="1">
        <f t="array" ref="T14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7" s="76">
        <v>-5.0000000000238742E-4</v>
      </c>
      <c r="V147" s="77" cm="1">
        <f t="array" ref="V14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7" s="77">
        <v>-1.1000000013154931E-3</v>
      </c>
      <c r="X147" s="77" cm="1">
        <f t="array" ref="X14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7" s="77">
        <v>8.9999998454004526E-4</v>
      </c>
      <c r="Z147" s="77" cm="1">
        <f t="array" ref="Z14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7" s="107" t="s">
        <v>86</v>
      </c>
      <c r="AE147" s="111"/>
      <c r="AF147" s="1"/>
      <c r="AG147" s="1"/>
      <c r="AH147" s="1"/>
      <c r="AI147" s="1"/>
      <c r="AJ147" s="1"/>
      <c r="AK147" s="4"/>
      <c r="AL147" s="4"/>
      <c r="AM147" s="4"/>
      <c r="AN147" s="4"/>
      <c r="AO147" s="1"/>
      <c r="AP147" s="1"/>
      <c r="AQ147" s="1"/>
      <c r="AR147" s="1"/>
      <c r="AS147" s="1"/>
      <c r="AT147" s="1"/>
    </row>
    <row r="148" spans="7:46" ht="14.25" customHeight="1" x14ac:dyDescent="0.2">
      <c r="G148" s="74">
        <v>45721.395833333336</v>
      </c>
      <c r="H148" s="107" t="s">
        <v>176</v>
      </c>
      <c r="I148" s="127"/>
      <c r="J148" s="145">
        <v>51890.969100000002</v>
      </c>
      <c r="K148" s="145">
        <v>159194.1177</v>
      </c>
      <c r="L148" s="145">
        <v>18.779</v>
      </c>
      <c r="M148" s="142">
        <v>51890.968000000001</v>
      </c>
      <c r="N148" s="142">
        <v>159194.11799999999</v>
      </c>
      <c r="O148" s="142">
        <v>18.779</v>
      </c>
      <c r="P148" s="129">
        <v>23</v>
      </c>
      <c r="Q148" s="76">
        <v>-1.1000000013154931E-3</v>
      </c>
      <c r="R148" s="109" cm="1">
        <f t="array" ref="R14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8" s="76">
        <v>2.9999998514540493E-4</v>
      </c>
      <c r="T148" s="77" cm="1">
        <f t="array" ref="T14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8" s="76">
        <v>0</v>
      </c>
      <c r="V148" s="77" cm="1">
        <f t="array" ref="V14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8" s="77">
        <v>-1.1000000013154931E-3</v>
      </c>
      <c r="X148" s="77" cm="1">
        <f t="array" ref="X14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8" s="77">
        <v>2.9999998514540493E-4</v>
      </c>
      <c r="Z148" s="77" cm="1">
        <f t="array" ref="Z14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8" s="107" t="s">
        <v>86</v>
      </c>
      <c r="AE148" s="111"/>
      <c r="AF148" s="1"/>
      <c r="AG148" s="1"/>
      <c r="AH148" s="1"/>
      <c r="AI148" s="1"/>
      <c r="AJ148" s="1"/>
      <c r="AK148" s="4"/>
      <c r="AL148" s="4"/>
      <c r="AM148" s="4"/>
      <c r="AN148" s="4"/>
      <c r="AO148" s="1"/>
      <c r="AP148" s="1"/>
      <c r="AQ148" s="1"/>
      <c r="AR148" s="1"/>
      <c r="AS148" s="1"/>
      <c r="AT148" s="1"/>
    </row>
    <row r="149" spans="7:46" ht="14.25" customHeight="1" x14ac:dyDescent="0.2">
      <c r="G149" s="74">
        <v>45721.395833333336</v>
      </c>
      <c r="H149" s="107" t="s">
        <v>175</v>
      </c>
      <c r="I149" s="127"/>
      <c r="J149" s="145">
        <v>51890.606800000001</v>
      </c>
      <c r="K149" s="145">
        <v>159192.86069999999</v>
      </c>
      <c r="L149" s="145">
        <v>18.771999999999998</v>
      </c>
      <c r="M149" s="142">
        <v>51890.606</v>
      </c>
      <c r="N149" s="142">
        <v>159192.86199999999</v>
      </c>
      <c r="O149" s="142">
        <v>18.771999999999998</v>
      </c>
      <c r="P149" s="129">
        <v>23</v>
      </c>
      <c r="Q149" s="76">
        <v>-8.0000000161817297E-4</v>
      </c>
      <c r="R149" s="109" cm="1">
        <f t="array" ref="R14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49" s="76">
        <v>1.3000000035390258E-3</v>
      </c>
      <c r="T149" s="77" cm="1">
        <f t="array" ref="T14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49" s="76">
        <v>0</v>
      </c>
      <c r="V149" s="77" cm="1">
        <f t="array" ref="V14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49" s="77">
        <v>-8.0000000161817297E-4</v>
      </c>
      <c r="X149" s="77" cm="1">
        <f t="array" ref="X14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49" s="77">
        <v>1.3000000035390258E-3</v>
      </c>
      <c r="Z149" s="77" cm="1">
        <f t="array" ref="Z14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4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4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4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49" s="107" t="s">
        <v>86</v>
      </c>
      <c r="AE149" s="111"/>
      <c r="AF149" s="1"/>
      <c r="AG149" s="1"/>
      <c r="AH149" s="1"/>
      <c r="AI149" s="1"/>
      <c r="AJ149" s="1"/>
      <c r="AK149" s="4"/>
      <c r="AL149" s="4"/>
      <c r="AM149" s="4"/>
      <c r="AN149" s="4"/>
      <c r="AO149" s="1"/>
      <c r="AP149" s="1"/>
      <c r="AQ149" s="1"/>
      <c r="AR149" s="1"/>
      <c r="AS149" s="1"/>
      <c r="AT149" s="1"/>
    </row>
    <row r="150" spans="7:46" ht="14.25" customHeight="1" x14ac:dyDescent="0.2">
      <c r="G150" s="74">
        <v>45721.395833333336</v>
      </c>
      <c r="H150" s="107" t="s">
        <v>178</v>
      </c>
      <c r="I150" s="127"/>
      <c r="J150" s="145">
        <v>51893.758699999998</v>
      </c>
      <c r="K150" s="145">
        <v>159193.3144</v>
      </c>
      <c r="L150" s="145">
        <v>18.774100000000001</v>
      </c>
      <c r="M150" s="142">
        <v>51893.758000000002</v>
      </c>
      <c r="N150" s="142">
        <v>159193.315</v>
      </c>
      <c r="O150" s="142">
        <v>18.774000000000001</v>
      </c>
      <c r="P150" s="129">
        <v>23</v>
      </c>
      <c r="Q150" s="76">
        <v>-6.9999999686842784E-4</v>
      </c>
      <c r="R150" s="109" cm="1">
        <f t="array" ref="R15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0" s="76">
        <v>5.9999999939464033E-4</v>
      </c>
      <c r="T150" s="77" cm="1">
        <f t="array" ref="T15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0" s="76">
        <v>-9.9999999999766942E-5</v>
      </c>
      <c r="V150" s="77" cm="1">
        <f t="array" ref="V15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0" s="77">
        <v>-6.9999999686842784E-4</v>
      </c>
      <c r="X150" s="77" cm="1">
        <f t="array" ref="X15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0" s="77">
        <v>5.9999999939464033E-4</v>
      </c>
      <c r="Z150" s="77" cm="1">
        <f t="array" ref="Z15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0" s="107" t="s">
        <v>86</v>
      </c>
      <c r="AE150" s="111"/>
      <c r="AF150" s="1"/>
      <c r="AG150" s="1"/>
      <c r="AH150" s="1"/>
      <c r="AI150" s="1"/>
      <c r="AJ150" s="1"/>
      <c r="AK150" s="4"/>
      <c r="AL150" s="4"/>
      <c r="AM150" s="4"/>
      <c r="AN150" s="4"/>
      <c r="AO150" s="1"/>
      <c r="AP150" s="1"/>
      <c r="AQ150" s="1"/>
      <c r="AR150" s="1"/>
      <c r="AS150" s="1"/>
      <c r="AT150" s="1"/>
    </row>
    <row r="151" spans="7:46" ht="14.25" customHeight="1" x14ac:dyDescent="0.2">
      <c r="G151" s="74">
        <v>45721.395833333336</v>
      </c>
      <c r="H151" s="107" t="s">
        <v>177</v>
      </c>
      <c r="I151" s="127"/>
      <c r="J151" s="145">
        <v>51893.441299999999</v>
      </c>
      <c r="K151" s="145">
        <v>159192.04019999999</v>
      </c>
      <c r="L151" s="145">
        <v>18.7683</v>
      </c>
      <c r="M151" s="142">
        <v>51893.440000000002</v>
      </c>
      <c r="N151" s="142">
        <v>159192.041</v>
      </c>
      <c r="O151" s="142">
        <v>18.768000000000001</v>
      </c>
      <c r="P151" s="129">
        <v>23</v>
      </c>
      <c r="Q151" s="76">
        <v>-1.2999999962630682E-3</v>
      </c>
      <c r="R151" s="109" cm="1">
        <f t="array" ref="R15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1" s="76">
        <v>8.0000000889413059E-4</v>
      </c>
      <c r="T151" s="77" cm="1">
        <f t="array" ref="T15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1" s="76">
        <v>-2.9999999999930083E-4</v>
      </c>
      <c r="V151" s="77" cm="1">
        <f t="array" ref="V15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1" s="77">
        <v>-1.2999999962630682E-3</v>
      </c>
      <c r="X151" s="77" cm="1">
        <f t="array" ref="X15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1" s="77">
        <v>8.0000000889413059E-4</v>
      </c>
      <c r="Z151" s="77" cm="1">
        <f t="array" ref="Z15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1" s="107" t="s">
        <v>86</v>
      </c>
      <c r="AE151" s="111"/>
      <c r="AF151" s="1"/>
      <c r="AG151" s="1"/>
      <c r="AH151" s="1"/>
      <c r="AI151" s="1"/>
      <c r="AJ151" s="1"/>
      <c r="AK151" s="4"/>
      <c r="AL151" s="4"/>
      <c r="AM151" s="4"/>
      <c r="AN151" s="4"/>
      <c r="AO151" s="1"/>
      <c r="AP151" s="1"/>
      <c r="AQ151" s="1"/>
      <c r="AR151" s="1"/>
      <c r="AS151" s="1"/>
      <c r="AT151" s="1"/>
    </row>
    <row r="152" spans="7:46" ht="14.25" customHeight="1" x14ac:dyDescent="0.2">
      <c r="G152" s="74">
        <v>45721.395833333336</v>
      </c>
      <c r="H152" s="107" t="s">
        <v>180</v>
      </c>
      <c r="I152" s="127"/>
      <c r="J152" s="145">
        <v>51896.633300000001</v>
      </c>
      <c r="K152" s="145">
        <v>159192.48449999999</v>
      </c>
      <c r="L152" s="145">
        <v>18.7776</v>
      </c>
      <c r="M152" s="142">
        <v>51896.631999999998</v>
      </c>
      <c r="N152" s="142">
        <v>159192.48499999999</v>
      </c>
      <c r="O152" s="142">
        <v>18.777000000000001</v>
      </c>
      <c r="P152" s="129">
        <v>23</v>
      </c>
      <c r="Q152" s="76">
        <v>-1.3000000035390258E-3</v>
      </c>
      <c r="R152" s="109" cm="1">
        <f t="array" ref="R15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2" s="76">
        <v>4.999999946448952E-4</v>
      </c>
      <c r="T152" s="77" cm="1">
        <f t="array" ref="T15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2" s="76">
        <v>-5.9999999999860165E-4</v>
      </c>
      <c r="V152" s="77" cm="1">
        <f t="array" ref="V15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2" s="77">
        <v>-1.3000000035390258E-3</v>
      </c>
      <c r="X152" s="77" cm="1">
        <f t="array" ref="X15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2" s="77">
        <v>4.999999946448952E-4</v>
      </c>
      <c r="Z152" s="77" cm="1">
        <f t="array" ref="Z15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2" s="107" t="s">
        <v>86</v>
      </c>
      <c r="AE152" s="111"/>
      <c r="AF152" s="1"/>
      <c r="AG152" s="1"/>
      <c r="AH152" s="1"/>
      <c r="AI152" s="1"/>
      <c r="AJ152" s="1"/>
      <c r="AK152" s="1"/>
      <c r="AL152" s="1"/>
      <c r="AM152" s="1"/>
      <c r="AN152" s="1"/>
      <c r="AO152" s="1"/>
      <c r="AP152" s="1"/>
      <c r="AQ152" s="1"/>
      <c r="AR152" s="1"/>
      <c r="AS152" s="1"/>
      <c r="AT152" s="1"/>
    </row>
    <row r="153" spans="7:46" ht="14.25" customHeight="1" x14ac:dyDescent="0.2">
      <c r="G153" s="74">
        <v>45721.395833333336</v>
      </c>
      <c r="H153" s="107" t="s">
        <v>179</v>
      </c>
      <c r="I153" s="127"/>
      <c r="J153" s="145">
        <v>51896.249799999998</v>
      </c>
      <c r="K153" s="145">
        <v>159191.22630000001</v>
      </c>
      <c r="L153" s="145">
        <v>18.7698</v>
      </c>
      <c r="M153" s="142">
        <v>51896.249000000003</v>
      </c>
      <c r="N153" s="142">
        <v>159191.22700000001</v>
      </c>
      <c r="O153" s="142">
        <v>18.77</v>
      </c>
      <c r="P153" s="129">
        <v>23</v>
      </c>
      <c r="Q153" s="76">
        <v>-7.9999999434221536E-4</v>
      </c>
      <c r="R153" s="109" cm="1">
        <f t="array" ref="R15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3" s="76">
        <v>7.0000000414438546E-4</v>
      </c>
      <c r="T153" s="77" cm="1">
        <f t="array" ref="T15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3" s="76">
        <v>1.9999999999953388E-4</v>
      </c>
      <c r="V153" s="77" cm="1">
        <f t="array" ref="V15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3" s="77">
        <v>-7.9999999434221536E-4</v>
      </c>
      <c r="X153" s="77" cm="1">
        <f t="array" ref="X15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3" s="77">
        <v>7.0000000414438546E-4</v>
      </c>
      <c r="Z153" s="77" cm="1">
        <f t="array" ref="Z15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3" s="107" t="s">
        <v>86</v>
      </c>
      <c r="AE153" s="111"/>
      <c r="AF153" s="1"/>
      <c r="AG153" s="1"/>
      <c r="AH153" s="1"/>
      <c r="AI153" s="1"/>
      <c r="AJ153" s="1"/>
      <c r="AK153" s="1"/>
      <c r="AL153" s="1"/>
      <c r="AM153" s="1"/>
      <c r="AN153" s="1"/>
      <c r="AO153" s="1"/>
      <c r="AP153" s="1"/>
      <c r="AQ153" s="1"/>
      <c r="AR153" s="1"/>
      <c r="AS153" s="1"/>
      <c r="AT153" s="1"/>
    </row>
    <row r="154" spans="7:46" ht="14.25" customHeight="1" x14ac:dyDescent="0.2">
      <c r="G154" s="74">
        <v>45721.395833333336</v>
      </c>
      <c r="H154" s="107" t="s">
        <v>182</v>
      </c>
      <c r="I154" s="127"/>
      <c r="J154" s="145">
        <v>51899.398699999998</v>
      </c>
      <c r="K154" s="145">
        <v>159191.69760000001</v>
      </c>
      <c r="L154" s="145">
        <v>18.777999999999999</v>
      </c>
      <c r="M154" s="142">
        <v>51899.398000000001</v>
      </c>
      <c r="N154" s="142">
        <v>159191.698</v>
      </c>
      <c r="O154" s="142">
        <v>18.777999999999999</v>
      </c>
      <c r="P154" s="129">
        <v>23</v>
      </c>
      <c r="Q154" s="76">
        <v>-6.9999999686842784E-4</v>
      </c>
      <c r="R154" s="109" cm="1">
        <f t="array" ref="R15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4" s="76">
        <v>3.9999998989515007E-4</v>
      </c>
      <c r="T154" s="77" cm="1">
        <f t="array" ref="T15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4" s="76">
        <v>0</v>
      </c>
      <c r="V154" s="77" cm="1">
        <f t="array" ref="V15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4" s="77">
        <v>-6.9999999686842784E-4</v>
      </c>
      <c r="X154" s="77" cm="1">
        <f t="array" ref="X15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4" s="77">
        <v>3.9999998989515007E-4</v>
      </c>
      <c r="Z154" s="77" cm="1">
        <f t="array" ref="Z15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4" s="107" t="s">
        <v>86</v>
      </c>
      <c r="AE154" s="111"/>
      <c r="AF154" s="1"/>
      <c r="AG154" s="1"/>
      <c r="AH154" s="1"/>
      <c r="AI154" s="1"/>
      <c r="AJ154" s="1"/>
      <c r="AK154" s="1"/>
      <c r="AL154" s="1"/>
      <c r="AM154" s="1"/>
      <c r="AN154" s="1"/>
      <c r="AO154" s="1"/>
      <c r="AP154" s="1"/>
      <c r="AQ154" s="1"/>
      <c r="AR154" s="1"/>
      <c r="AS154" s="1"/>
      <c r="AT154" s="1"/>
    </row>
    <row r="155" spans="7:46" ht="14.25" customHeight="1" x14ac:dyDescent="0.2">
      <c r="G155" s="74">
        <v>45721.395833333336</v>
      </c>
      <c r="H155" s="107" t="s">
        <v>181</v>
      </c>
      <c r="I155" s="127"/>
      <c r="J155" s="145">
        <v>51899.041100000002</v>
      </c>
      <c r="K155" s="145">
        <v>159190.43340000001</v>
      </c>
      <c r="L155" s="145">
        <v>18.771100000000001</v>
      </c>
      <c r="M155" s="142">
        <v>51899.040000000001</v>
      </c>
      <c r="N155" s="142">
        <v>159190.435</v>
      </c>
      <c r="O155" s="142">
        <v>18.771000000000001</v>
      </c>
      <c r="P155" s="129">
        <v>23</v>
      </c>
      <c r="Q155" s="76">
        <v>-1.1000000013154931E-3</v>
      </c>
      <c r="R155" s="109" cm="1">
        <f t="array" ref="R15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5" s="76">
        <v>1.5999999886844307E-3</v>
      </c>
      <c r="T155" s="77" cm="1">
        <f t="array" ref="T15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5" s="76">
        <v>-9.9999999999766942E-5</v>
      </c>
      <c r="V155" s="77" cm="1">
        <f t="array" ref="V15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5" s="77">
        <v>-1.1000000013154931E-3</v>
      </c>
      <c r="X155" s="77" cm="1">
        <f t="array" ref="X15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5" s="77">
        <v>1.5999999886844307E-3</v>
      </c>
      <c r="Z155" s="77" cm="1">
        <f t="array" ref="Z15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5" s="107" t="s">
        <v>86</v>
      </c>
      <c r="AE155" s="111"/>
      <c r="AF155" s="1"/>
      <c r="AG155" s="1"/>
      <c r="AH155" s="1"/>
      <c r="AI155" s="1"/>
      <c r="AJ155" s="1"/>
      <c r="AK155" s="1"/>
      <c r="AL155" s="1"/>
      <c r="AM155" s="1"/>
      <c r="AN155" s="1"/>
      <c r="AO155" s="1"/>
      <c r="AP155" s="1"/>
      <c r="AQ155" s="1"/>
      <c r="AR155" s="1"/>
      <c r="AS155" s="1"/>
      <c r="AT155" s="1"/>
    </row>
    <row r="156" spans="7:46" ht="14.25" customHeight="1" x14ac:dyDescent="0.2">
      <c r="G156" s="74">
        <v>45721.395833333336</v>
      </c>
      <c r="H156" s="107" t="s">
        <v>184</v>
      </c>
      <c r="I156" s="127"/>
      <c r="J156" s="145">
        <v>51902.292699999998</v>
      </c>
      <c r="K156" s="145">
        <v>159190.88459999999</v>
      </c>
      <c r="L156" s="145">
        <v>18.779</v>
      </c>
      <c r="M156" s="142">
        <v>51902.292000000001</v>
      </c>
      <c r="N156" s="142">
        <v>159190.88500000001</v>
      </c>
      <c r="O156" s="142">
        <v>18.779</v>
      </c>
      <c r="P156" s="129">
        <v>23</v>
      </c>
      <c r="Q156" s="76">
        <v>-6.9999999686842784E-4</v>
      </c>
      <c r="R156" s="109" cm="1">
        <f t="array" ref="R15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6" s="76">
        <v>4.0000001899898052E-4</v>
      </c>
      <c r="T156" s="77" cm="1">
        <f t="array" ref="T15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6" s="76">
        <v>0</v>
      </c>
      <c r="V156" s="77" cm="1">
        <f t="array" ref="V15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6" s="77">
        <v>-6.9999999686842784E-4</v>
      </c>
      <c r="X156" s="77" cm="1">
        <f t="array" ref="X15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6" s="77">
        <v>4.0000001899898052E-4</v>
      </c>
      <c r="Z156" s="77" cm="1">
        <f t="array" ref="Z15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6" s="107" t="s">
        <v>86</v>
      </c>
      <c r="AE156" s="111"/>
      <c r="AF156" s="1"/>
      <c r="AG156" s="1"/>
      <c r="AH156" s="1"/>
      <c r="AI156" s="1"/>
      <c r="AJ156" s="1"/>
      <c r="AK156" s="1"/>
      <c r="AL156" s="1"/>
      <c r="AM156" s="1"/>
      <c r="AN156" s="1"/>
      <c r="AO156" s="1"/>
      <c r="AP156" s="1"/>
      <c r="AQ156" s="1"/>
      <c r="AR156" s="1"/>
      <c r="AS156" s="1"/>
      <c r="AT156" s="1"/>
    </row>
    <row r="157" spans="7:46" ht="14.25" customHeight="1" x14ac:dyDescent="0.2">
      <c r="G157" s="74">
        <v>45721.395833333336</v>
      </c>
      <c r="H157" s="107" t="s">
        <v>183</v>
      </c>
      <c r="I157" s="127"/>
      <c r="J157" s="145">
        <v>51901.989200000004</v>
      </c>
      <c r="K157" s="145">
        <v>159189.60260000001</v>
      </c>
      <c r="L157" s="145">
        <v>18.770099999999999</v>
      </c>
      <c r="M157" s="142">
        <v>51901.987999999998</v>
      </c>
      <c r="N157" s="142">
        <v>159189.60399999999</v>
      </c>
      <c r="O157" s="142">
        <v>18.77</v>
      </c>
      <c r="P157" s="129">
        <v>23</v>
      </c>
      <c r="Q157" s="76">
        <v>-1.2000000060652383E-3</v>
      </c>
      <c r="R157" s="109" cm="1">
        <f t="array" ref="R15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7" s="76">
        <v>1.3999999791849405E-3</v>
      </c>
      <c r="T157" s="77" cm="1">
        <f t="array" ref="T15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7" s="76">
        <v>-9.9999999999766942E-5</v>
      </c>
      <c r="V157" s="77" cm="1">
        <f t="array" ref="V15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7" s="77">
        <v>-1.2000000060652383E-3</v>
      </c>
      <c r="X157" s="77" cm="1">
        <f t="array" ref="X15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7" s="77">
        <v>1.3999999791849405E-3</v>
      </c>
      <c r="Z157" s="77" cm="1">
        <f t="array" ref="Z15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7" s="107" t="s">
        <v>86</v>
      </c>
      <c r="AE157" s="111"/>
      <c r="AF157" s="1"/>
      <c r="AG157" s="1"/>
      <c r="AH157" s="1"/>
      <c r="AI157" s="1"/>
      <c r="AJ157" s="1"/>
      <c r="AK157" s="1"/>
      <c r="AL157" s="1"/>
      <c r="AM157" s="1"/>
      <c r="AN157" s="1"/>
      <c r="AO157" s="1"/>
      <c r="AP157" s="1"/>
      <c r="AQ157" s="1"/>
      <c r="AR157" s="1"/>
      <c r="AS157" s="1"/>
      <c r="AT157" s="1"/>
    </row>
    <row r="158" spans="7:46" ht="14.25" customHeight="1" x14ac:dyDescent="0.2">
      <c r="G158" s="74">
        <v>45721.395833333336</v>
      </c>
      <c r="H158" s="107" t="s">
        <v>186</v>
      </c>
      <c r="I158" s="127"/>
      <c r="J158" s="145">
        <v>51905.196199999998</v>
      </c>
      <c r="K158" s="145">
        <v>159190.09460000001</v>
      </c>
      <c r="L158" s="145">
        <v>18.780899999999999</v>
      </c>
      <c r="M158" s="142">
        <v>51905.195</v>
      </c>
      <c r="N158" s="142">
        <v>159190.095</v>
      </c>
      <c r="O158" s="142">
        <v>18.780999999999999</v>
      </c>
      <c r="P158" s="129">
        <v>23</v>
      </c>
      <c r="Q158" s="76">
        <v>-1.1999999987892807E-3</v>
      </c>
      <c r="R158" s="109" cm="1">
        <f t="array" ref="R15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8" s="76">
        <v>3.9999998989515007E-4</v>
      </c>
      <c r="T158" s="77" cm="1">
        <f t="array" ref="T15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8" s="76">
        <v>9.9999999999766942E-5</v>
      </c>
      <c r="V158" s="77" cm="1">
        <f t="array" ref="V15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8" s="77">
        <v>-1.1999999987892807E-3</v>
      </c>
      <c r="X158" s="77" cm="1">
        <f t="array" ref="X15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8" s="77">
        <v>3.9999998989515007E-4</v>
      </c>
      <c r="Z158" s="77" cm="1">
        <f t="array" ref="Z15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8" s="107" t="s">
        <v>86</v>
      </c>
      <c r="AE158" s="111"/>
      <c r="AF158" s="1"/>
      <c r="AG158" s="1"/>
      <c r="AH158" s="1"/>
      <c r="AI158" s="1"/>
      <c r="AJ158" s="1"/>
      <c r="AK158" s="1"/>
      <c r="AL158" s="1"/>
      <c r="AM158" s="1"/>
      <c r="AN158" s="1"/>
      <c r="AO158" s="1"/>
      <c r="AP158" s="1"/>
      <c r="AQ158" s="1"/>
      <c r="AR158" s="1"/>
      <c r="AS158" s="1"/>
      <c r="AT158" s="1"/>
    </row>
    <row r="159" spans="7:46" ht="14.25" customHeight="1" x14ac:dyDescent="0.2">
      <c r="G159" s="74">
        <v>45721.395833333336</v>
      </c>
      <c r="H159" s="107" t="s">
        <v>185</v>
      </c>
      <c r="I159" s="127"/>
      <c r="J159" s="145">
        <v>51904.885600000001</v>
      </c>
      <c r="K159" s="145">
        <v>159188.8046</v>
      </c>
      <c r="L159" s="145">
        <v>18.773099999999999</v>
      </c>
      <c r="M159" s="142">
        <v>51904.883999999998</v>
      </c>
      <c r="N159" s="142">
        <v>159188.80600000001</v>
      </c>
      <c r="O159" s="142">
        <v>18.773</v>
      </c>
      <c r="P159" s="129">
        <v>23</v>
      </c>
      <c r="Q159" s="76">
        <v>-1.6000000032363459E-3</v>
      </c>
      <c r="R159" s="109" cm="1">
        <f t="array" ref="R15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59" s="76">
        <v>1.4000000082887709E-3</v>
      </c>
      <c r="T159" s="77" cm="1">
        <f t="array" ref="T15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59" s="76">
        <v>-9.9999999999766942E-5</v>
      </c>
      <c r="V159" s="77" cm="1">
        <f t="array" ref="V15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59" s="77">
        <v>-1.6000000032363459E-3</v>
      </c>
      <c r="X159" s="77" cm="1">
        <f t="array" ref="X15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59" s="77">
        <v>1.4000000082887709E-3</v>
      </c>
      <c r="Z159" s="77" cm="1">
        <f t="array" ref="Z15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5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5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5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59" s="107" t="s">
        <v>86</v>
      </c>
      <c r="AE159" s="111"/>
      <c r="AF159" s="1"/>
      <c r="AG159" s="1"/>
      <c r="AH159" s="1"/>
      <c r="AI159" s="1"/>
      <c r="AJ159" s="1"/>
      <c r="AK159" s="1"/>
      <c r="AL159" s="1"/>
      <c r="AM159" s="1"/>
      <c r="AN159" s="1"/>
      <c r="AO159" s="1"/>
      <c r="AP159" s="1"/>
      <c r="AQ159" s="1"/>
      <c r="AR159" s="1"/>
      <c r="AS159" s="1"/>
      <c r="AT159" s="1"/>
    </row>
    <row r="160" spans="7:46" ht="14.25" customHeight="1" x14ac:dyDescent="0.2">
      <c r="G160" s="74">
        <v>45721.395833333336</v>
      </c>
      <c r="H160" s="107" t="s">
        <v>188</v>
      </c>
      <c r="I160" s="127"/>
      <c r="J160" s="145">
        <v>51907.9522</v>
      </c>
      <c r="K160" s="145">
        <v>159189.36230000001</v>
      </c>
      <c r="L160" s="145">
        <v>18.786000000000001</v>
      </c>
      <c r="M160" s="142">
        <v>51907.951000000001</v>
      </c>
      <c r="N160" s="142">
        <v>159189.36300000001</v>
      </c>
      <c r="O160" s="142">
        <v>18.786000000000001</v>
      </c>
      <c r="P160" s="129">
        <v>23</v>
      </c>
      <c r="Q160" s="76">
        <v>-1.1999999987892807E-3</v>
      </c>
      <c r="R160" s="109" cm="1">
        <f t="array" ref="R16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0" s="76">
        <v>7.0000000414438546E-4</v>
      </c>
      <c r="T160" s="77" cm="1">
        <f t="array" ref="T16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0" s="76">
        <v>0</v>
      </c>
      <c r="V160" s="77" cm="1">
        <f t="array" ref="V16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0" s="77">
        <v>-1.1999999987892807E-3</v>
      </c>
      <c r="X160" s="77" cm="1">
        <f t="array" ref="X16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0" s="77">
        <v>7.0000000414438546E-4</v>
      </c>
      <c r="Z160" s="77" cm="1">
        <f t="array" ref="Z16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0" s="107" t="s">
        <v>86</v>
      </c>
      <c r="AE160" s="111"/>
      <c r="AF160" s="1"/>
      <c r="AG160" s="1"/>
      <c r="AH160" s="1"/>
      <c r="AI160" s="1"/>
      <c r="AJ160" s="1"/>
      <c r="AK160" s="1"/>
      <c r="AL160" s="1"/>
      <c r="AM160" s="1"/>
      <c r="AN160" s="1"/>
      <c r="AO160" s="1"/>
      <c r="AP160" s="1"/>
      <c r="AQ160" s="1"/>
      <c r="AR160" s="1"/>
      <c r="AS160" s="1"/>
      <c r="AT160" s="1"/>
    </row>
    <row r="161" spans="7:46" ht="14.25" customHeight="1" x14ac:dyDescent="0.2">
      <c r="G161" s="74">
        <v>45721.395833333336</v>
      </c>
      <c r="H161" s="107" t="s">
        <v>187</v>
      </c>
      <c r="I161" s="127"/>
      <c r="J161" s="145">
        <v>51907.578699999998</v>
      </c>
      <c r="K161" s="145">
        <v>159188.09770000001</v>
      </c>
      <c r="L161" s="145">
        <v>18.776</v>
      </c>
      <c r="M161" s="142">
        <v>51907.576999999997</v>
      </c>
      <c r="N161" s="142">
        <v>159188.09899999999</v>
      </c>
      <c r="O161" s="142">
        <v>18.776</v>
      </c>
      <c r="P161" s="129">
        <v>23</v>
      </c>
      <c r="Q161" s="76">
        <v>-1.7000000007101335E-3</v>
      </c>
      <c r="R161" s="109" cm="1">
        <f t="array" ref="R16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1" s="76">
        <v>1.2999999744351953E-3</v>
      </c>
      <c r="T161" s="77" cm="1">
        <f t="array" ref="T16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1" s="76">
        <v>0</v>
      </c>
      <c r="V161" s="77" cm="1">
        <f t="array" ref="V16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1" s="77">
        <v>-1.7000000007101335E-3</v>
      </c>
      <c r="X161" s="77" cm="1">
        <f t="array" ref="X16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1" s="77">
        <v>1.2999999744351953E-3</v>
      </c>
      <c r="Z161" s="77" cm="1">
        <f t="array" ref="Z16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1" s="107" t="s">
        <v>86</v>
      </c>
      <c r="AE161" s="111"/>
      <c r="AF161" s="1"/>
      <c r="AG161" s="1"/>
      <c r="AH161" s="1"/>
      <c r="AI161" s="1"/>
      <c r="AJ161" s="1"/>
      <c r="AK161" s="1"/>
      <c r="AL161" s="1"/>
      <c r="AM161" s="1"/>
      <c r="AN161" s="1"/>
      <c r="AO161" s="1"/>
      <c r="AP161" s="1"/>
      <c r="AQ161" s="1"/>
      <c r="AR161" s="1"/>
      <c r="AS161" s="1"/>
      <c r="AT161" s="1"/>
    </row>
    <row r="162" spans="7:46" ht="14.25" customHeight="1" x14ac:dyDescent="0.2">
      <c r="G162" s="74">
        <v>45721.395833333336</v>
      </c>
      <c r="H162" s="107" t="s">
        <v>190</v>
      </c>
      <c r="I162" s="127"/>
      <c r="J162" s="145">
        <v>51910.962800000001</v>
      </c>
      <c r="K162" s="145">
        <v>159188.60079999999</v>
      </c>
      <c r="L162" s="145">
        <v>18.794599999999999</v>
      </c>
      <c r="M162" s="142">
        <v>51910.961000000003</v>
      </c>
      <c r="N162" s="142">
        <v>159188.601</v>
      </c>
      <c r="O162" s="142">
        <v>18.794</v>
      </c>
      <c r="P162" s="129">
        <v>23</v>
      </c>
      <c r="Q162" s="76">
        <v>-1.799999998183921E-3</v>
      </c>
      <c r="R162" s="109" cm="1">
        <f t="array" ref="R16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2" s="76">
        <v>2.0000000949949026E-4</v>
      </c>
      <c r="T162" s="77" cm="1">
        <f t="array" ref="T16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2" s="76">
        <v>-5.9999999999860165E-4</v>
      </c>
      <c r="V162" s="77" cm="1">
        <f t="array" ref="V16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2" s="77">
        <v>-1.799999998183921E-3</v>
      </c>
      <c r="X162" s="77" cm="1">
        <f t="array" ref="X16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2" s="77">
        <v>2.0000000949949026E-4</v>
      </c>
      <c r="Z162" s="77" cm="1">
        <f t="array" ref="Z16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2" s="107" t="s">
        <v>86</v>
      </c>
      <c r="AE162" s="111"/>
      <c r="AF162" s="1"/>
      <c r="AG162" s="1"/>
      <c r="AH162" s="1"/>
      <c r="AI162" s="1"/>
      <c r="AJ162" s="1"/>
      <c r="AK162" s="1"/>
      <c r="AL162" s="1"/>
      <c r="AM162" s="1"/>
      <c r="AN162" s="1"/>
      <c r="AO162" s="1"/>
      <c r="AP162" s="1"/>
      <c r="AQ162" s="1"/>
      <c r="AR162" s="1"/>
      <c r="AS162" s="1"/>
      <c r="AT162" s="1"/>
    </row>
    <row r="163" spans="7:46" ht="14.25" customHeight="1" x14ac:dyDescent="0.2">
      <c r="G163" s="74">
        <v>45721.395833333336</v>
      </c>
      <c r="H163" s="107" t="s">
        <v>189</v>
      </c>
      <c r="I163" s="127"/>
      <c r="J163" s="145">
        <v>51910.640099999997</v>
      </c>
      <c r="K163" s="145">
        <v>159187.3223</v>
      </c>
      <c r="L163" s="145">
        <v>18.7836</v>
      </c>
      <c r="M163" s="142">
        <v>51910.637999999999</v>
      </c>
      <c r="N163" s="142">
        <v>159187.323</v>
      </c>
      <c r="O163" s="142">
        <v>18.783000000000001</v>
      </c>
      <c r="P163" s="129">
        <v>23</v>
      </c>
      <c r="Q163" s="76">
        <v>-2.0999999978812411E-3</v>
      </c>
      <c r="R163" s="109" cm="1">
        <f t="array" ref="R16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3" s="76">
        <v>7.0000000414438546E-4</v>
      </c>
      <c r="T163" s="77" cm="1">
        <f t="array" ref="T16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3" s="76">
        <v>-5.9999999999860165E-4</v>
      </c>
      <c r="V163" s="77" cm="1">
        <f t="array" ref="V16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3" s="77">
        <v>-2.0999999978812411E-3</v>
      </c>
      <c r="X163" s="77" cm="1">
        <f t="array" ref="X16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3" s="77">
        <v>7.0000000414438546E-4</v>
      </c>
      <c r="Z163" s="77" cm="1">
        <f t="array" ref="Z16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3" s="107" t="s">
        <v>86</v>
      </c>
      <c r="AE163" s="111"/>
      <c r="AF163" s="1"/>
      <c r="AG163" s="1"/>
      <c r="AH163" s="1"/>
      <c r="AI163" s="1"/>
      <c r="AJ163" s="1"/>
      <c r="AK163" s="1"/>
      <c r="AL163" s="1"/>
      <c r="AM163" s="1"/>
      <c r="AN163" s="1"/>
      <c r="AO163" s="1"/>
      <c r="AP163" s="1"/>
      <c r="AQ163" s="1"/>
      <c r="AR163" s="1"/>
      <c r="AS163" s="1"/>
      <c r="AT163" s="1"/>
    </row>
    <row r="164" spans="7:46" ht="14.25" customHeight="1" x14ac:dyDescent="0.2">
      <c r="G164" s="74">
        <v>45721.395833333336</v>
      </c>
      <c r="H164" s="107" t="s">
        <v>192</v>
      </c>
      <c r="I164" s="127"/>
      <c r="J164" s="145">
        <v>51913.751100000001</v>
      </c>
      <c r="K164" s="145">
        <v>159187.9178</v>
      </c>
      <c r="L164" s="145">
        <v>18.809000000000001</v>
      </c>
      <c r="M164" s="142">
        <v>51913.75</v>
      </c>
      <c r="N164" s="142">
        <v>159187.91800000001</v>
      </c>
      <c r="O164" s="142">
        <v>18.809000000000001</v>
      </c>
      <c r="P164" s="129">
        <v>23</v>
      </c>
      <c r="Q164" s="76">
        <v>-1.1000000013154931E-3</v>
      </c>
      <c r="R164" s="109" cm="1">
        <f t="array" ref="R16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4" s="76">
        <v>2.0000000949949026E-4</v>
      </c>
      <c r="T164" s="77" cm="1">
        <f t="array" ref="T16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4" s="76">
        <v>0</v>
      </c>
      <c r="V164" s="77" cm="1">
        <f t="array" ref="V16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4" s="77">
        <v>-1.1000000013154931E-3</v>
      </c>
      <c r="X164" s="77" cm="1">
        <f t="array" ref="X16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4" s="77">
        <v>2.0000000949949026E-4</v>
      </c>
      <c r="Z164" s="77" cm="1">
        <f t="array" ref="Z16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4" s="107" t="s">
        <v>86</v>
      </c>
      <c r="AE164" s="111"/>
      <c r="AF164" s="1"/>
      <c r="AG164" s="1"/>
      <c r="AH164" s="1"/>
      <c r="AI164" s="1"/>
      <c r="AJ164" s="1"/>
      <c r="AK164" s="1"/>
      <c r="AL164" s="1"/>
      <c r="AM164" s="1"/>
      <c r="AN164" s="1"/>
      <c r="AO164" s="1"/>
      <c r="AP164" s="1"/>
      <c r="AQ164" s="1"/>
      <c r="AR164" s="1"/>
      <c r="AS164" s="1"/>
      <c r="AT164" s="1"/>
    </row>
    <row r="165" spans="7:46" ht="14.25" customHeight="1" x14ac:dyDescent="0.2">
      <c r="G165" s="74">
        <v>45721.395833333336</v>
      </c>
      <c r="H165" s="107" t="s">
        <v>191</v>
      </c>
      <c r="I165" s="127"/>
      <c r="J165" s="145">
        <v>51913.421499999997</v>
      </c>
      <c r="K165" s="145">
        <v>159186.63630000001</v>
      </c>
      <c r="L165" s="145">
        <v>18.794899999999998</v>
      </c>
      <c r="M165" s="142">
        <v>51913.42</v>
      </c>
      <c r="N165" s="142">
        <v>159186.63699999999</v>
      </c>
      <c r="O165" s="142">
        <v>18.795000000000002</v>
      </c>
      <c r="P165" s="129">
        <v>23</v>
      </c>
      <c r="Q165" s="76">
        <v>-1.4999999984866008E-3</v>
      </c>
      <c r="R165" s="109" cm="1">
        <f t="array" ref="R16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5" s="76">
        <v>6.99999975040555E-4</v>
      </c>
      <c r="T165" s="77" cm="1">
        <f t="array" ref="T16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5" s="76">
        <v>1.0000000000331966E-4</v>
      </c>
      <c r="V165" s="77" cm="1">
        <f t="array" ref="V16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5" s="77">
        <v>-1.4999999984866008E-3</v>
      </c>
      <c r="X165" s="77" cm="1">
        <f t="array" ref="X16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5" s="77">
        <v>6.99999975040555E-4</v>
      </c>
      <c r="Z165" s="77" cm="1">
        <f t="array" ref="Z16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5" s="107" t="s">
        <v>86</v>
      </c>
      <c r="AE165" s="111"/>
      <c r="AF165" s="1"/>
      <c r="AG165" s="1"/>
      <c r="AH165" s="1"/>
      <c r="AI165" s="1"/>
      <c r="AJ165" s="1"/>
      <c r="AK165" s="1"/>
      <c r="AL165" s="1"/>
      <c r="AM165" s="1"/>
      <c r="AN165" s="1"/>
      <c r="AO165" s="1"/>
      <c r="AP165" s="1"/>
      <c r="AQ165" s="1"/>
      <c r="AR165" s="1"/>
      <c r="AS165" s="1"/>
      <c r="AT165" s="1"/>
    </row>
    <row r="166" spans="7:46" ht="14.25" customHeight="1" x14ac:dyDescent="0.2">
      <c r="G166" s="74">
        <v>45721.395833333336</v>
      </c>
      <c r="H166" s="107" t="s">
        <v>165</v>
      </c>
      <c r="I166" s="127"/>
      <c r="J166" s="145">
        <v>51884.538999999997</v>
      </c>
      <c r="K166" s="145">
        <v>159193.38269999999</v>
      </c>
      <c r="L166" s="145">
        <v>19.331700000000001</v>
      </c>
      <c r="M166" s="142">
        <v>51884.538999999997</v>
      </c>
      <c r="N166" s="142">
        <v>159193.38399999999</v>
      </c>
      <c r="O166" s="142">
        <v>19.332000000000001</v>
      </c>
      <c r="P166" s="129">
        <v>23</v>
      </c>
      <c r="Q166" s="76">
        <v>0</v>
      </c>
      <c r="R166" s="109" cm="1">
        <f t="array" ref="R16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6" s="76">
        <v>1.3000000035390258E-3</v>
      </c>
      <c r="T166" s="77" cm="1">
        <f t="array" ref="T16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6" s="76">
        <v>2.9999999999930083E-4</v>
      </c>
      <c r="V166" s="77" cm="1">
        <f t="array" ref="V16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6" s="77">
        <v>0</v>
      </c>
      <c r="X166" s="77" cm="1">
        <f t="array" ref="X16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6" s="77">
        <v>1.3000000035390258E-3</v>
      </c>
      <c r="Z166" s="77" cm="1">
        <f t="array" ref="Z16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6" s="107" t="s">
        <v>86</v>
      </c>
      <c r="AE166" s="111"/>
      <c r="AF166" s="1"/>
      <c r="AG166" s="1"/>
      <c r="AH166" s="1"/>
      <c r="AI166" s="1"/>
      <c r="AJ166" s="1"/>
      <c r="AK166" s="1"/>
      <c r="AL166" s="1"/>
      <c r="AM166" s="1"/>
      <c r="AN166" s="1"/>
      <c r="AO166" s="1"/>
      <c r="AP166" s="1"/>
      <c r="AQ166" s="1"/>
      <c r="AR166" s="1"/>
      <c r="AS166" s="1"/>
      <c r="AT166" s="1"/>
    </row>
    <row r="167" spans="7:46" ht="14.25" customHeight="1" x14ac:dyDescent="0.2">
      <c r="G167" s="74">
        <v>45721.395833333336</v>
      </c>
      <c r="H167" s="107" t="s">
        <v>166</v>
      </c>
      <c r="I167" s="127"/>
      <c r="J167" s="145">
        <v>51890.2863</v>
      </c>
      <c r="K167" s="145">
        <v>159191.73069999999</v>
      </c>
      <c r="L167" s="145">
        <v>19.321999999999999</v>
      </c>
      <c r="M167" s="142">
        <v>51890.286999999997</v>
      </c>
      <c r="N167" s="142">
        <v>159191.73199999999</v>
      </c>
      <c r="O167" s="142">
        <v>19.321999999999999</v>
      </c>
      <c r="P167" s="129">
        <v>23</v>
      </c>
      <c r="Q167" s="76">
        <v>6.9999999686842784E-4</v>
      </c>
      <c r="R167" s="109" cm="1">
        <f t="array" ref="R16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7" s="76">
        <v>1.3000000035390258E-3</v>
      </c>
      <c r="T167" s="77" cm="1">
        <f t="array" ref="T16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7" s="76">
        <v>0</v>
      </c>
      <c r="V167" s="77" cm="1">
        <f t="array" ref="V16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7" s="77">
        <v>6.9999999686842784E-4</v>
      </c>
      <c r="X167" s="77" cm="1">
        <f t="array" ref="X16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7" s="77">
        <v>1.3000000035390258E-3</v>
      </c>
      <c r="Z167" s="77" cm="1">
        <f t="array" ref="Z16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7" s="107" t="s">
        <v>86</v>
      </c>
      <c r="AE167" s="111"/>
      <c r="AF167" s="1"/>
      <c r="AG167" s="1"/>
      <c r="AH167" s="1"/>
      <c r="AI167" s="1"/>
      <c r="AJ167" s="1"/>
      <c r="AK167" s="1"/>
      <c r="AL167" s="1"/>
      <c r="AM167" s="1"/>
      <c r="AN167" s="1"/>
      <c r="AO167" s="1"/>
      <c r="AP167" s="1"/>
      <c r="AQ167" s="1"/>
      <c r="AR167" s="1"/>
      <c r="AS167" s="1"/>
      <c r="AT167" s="1"/>
    </row>
    <row r="168" spans="7:46" ht="14.25" customHeight="1" x14ac:dyDescent="0.2">
      <c r="G168" s="74">
        <v>45721.395833333336</v>
      </c>
      <c r="H168" s="107" t="s">
        <v>167</v>
      </c>
      <c r="I168" s="127"/>
      <c r="J168" s="145">
        <v>51895.920700000002</v>
      </c>
      <c r="K168" s="145">
        <v>159190.1</v>
      </c>
      <c r="L168" s="145">
        <v>19.334</v>
      </c>
      <c r="M168" s="142">
        <v>51895.92</v>
      </c>
      <c r="N168" s="142">
        <v>159190.1</v>
      </c>
      <c r="O168" s="142">
        <v>19.334</v>
      </c>
      <c r="P168" s="129">
        <v>23</v>
      </c>
      <c r="Q168" s="76">
        <v>-7.0000000414438546E-4</v>
      </c>
      <c r="R168" s="109" cm="1">
        <f t="array" ref="R16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8" s="76">
        <v>0</v>
      </c>
      <c r="T168" s="77" cm="1">
        <f t="array" ref="T16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8" s="76">
        <v>0</v>
      </c>
      <c r="V168" s="77" cm="1">
        <f t="array" ref="V16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8" s="77">
        <v>-7.0000000414438546E-4</v>
      </c>
      <c r="X168" s="77" cm="1">
        <f t="array" ref="X16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8" s="77">
        <v>0</v>
      </c>
      <c r="Z168" s="77" cm="1">
        <f t="array" ref="Z16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8" s="107" t="s">
        <v>86</v>
      </c>
      <c r="AE168" s="111"/>
      <c r="AF168" s="1"/>
      <c r="AG168" s="1"/>
      <c r="AH168" s="1"/>
      <c r="AI168" s="1"/>
      <c r="AJ168" s="1"/>
      <c r="AK168" s="1"/>
      <c r="AL168" s="1"/>
      <c r="AM168" s="1"/>
      <c r="AN168" s="1"/>
      <c r="AO168" s="1"/>
      <c r="AP168" s="1"/>
      <c r="AQ168" s="1"/>
      <c r="AR168" s="1"/>
      <c r="AS168" s="1"/>
      <c r="AT168" s="1"/>
    </row>
    <row r="169" spans="7:46" ht="14.25" customHeight="1" x14ac:dyDescent="0.2">
      <c r="G169" s="74">
        <v>45721.395833333336</v>
      </c>
      <c r="H169" s="107" t="s">
        <v>168</v>
      </c>
      <c r="I169" s="127"/>
      <c r="J169" s="145">
        <v>51899.7667</v>
      </c>
      <c r="K169" s="145">
        <v>159188.9933</v>
      </c>
      <c r="L169" s="145">
        <v>19.344999999999999</v>
      </c>
      <c r="M169" s="142">
        <v>51899.766000000003</v>
      </c>
      <c r="N169" s="142">
        <v>159188.99400000001</v>
      </c>
      <c r="O169" s="142">
        <v>19.344999999999999</v>
      </c>
      <c r="P169" s="129">
        <v>23</v>
      </c>
      <c r="Q169" s="76">
        <v>-6.9999999686842784E-4</v>
      </c>
      <c r="R169" s="109" cm="1">
        <f t="array" ref="R16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69" s="76">
        <v>7.0000000414438546E-4</v>
      </c>
      <c r="T169" s="77" cm="1">
        <f t="array" ref="T16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69" s="76">
        <v>0</v>
      </c>
      <c r="V169" s="77" cm="1">
        <f t="array" ref="V16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69" s="77">
        <v>-6.9999999686842784E-4</v>
      </c>
      <c r="X169" s="77" cm="1">
        <f t="array" ref="X16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69" s="77">
        <v>7.0000000414438546E-4</v>
      </c>
      <c r="Z169" s="77" cm="1">
        <f t="array" ref="Z16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6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6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6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69" s="107" t="s">
        <v>86</v>
      </c>
      <c r="AE169" s="111"/>
      <c r="AF169" s="1"/>
      <c r="AG169" s="1"/>
      <c r="AH169" s="1"/>
      <c r="AI169" s="1"/>
      <c r="AJ169" s="1"/>
      <c r="AK169" s="1"/>
      <c r="AL169" s="1"/>
      <c r="AM169" s="1"/>
      <c r="AN169" s="1"/>
      <c r="AO169" s="1"/>
      <c r="AP169" s="1"/>
      <c r="AQ169" s="1"/>
      <c r="AR169" s="1"/>
      <c r="AS169" s="1"/>
      <c r="AT169" s="1"/>
    </row>
    <row r="170" spans="7:46" ht="14.25" customHeight="1" x14ac:dyDescent="0.2">
      <c r="G170" s="74">
        <v>45721.395833333336</v>
      </c>
      <c r="H170" s="107" t="s">
        <v>169</v>
      </c>
      <c r="I170" s="127"/>
      <c r="J170" s="145">
        <v>51903.6083</v>
      </c>
      <c r="K170" s="145">
        <v>159187.88200000001</v>
      </c>
      <c r="L170" s="145">
        <v>19.356999999999999</v>
      </c>
      <c r="M170" s="142">
        <v>51903.608</v>
      </c>
      <c r="N170" s="142">
        <v>159187.88200000001</v>
      </c>
      <c r="O170" s="142">
        <v>19.356999999999999</v>
      </c>
      <c r="P170" s="129">
        <v>23</v>
      </c>
      <c r="Q170" s="76">
        <v>-2.9999999969732016E-4</v>
      </c>
      <c r="R170" s="109" cm="1">
        <f t="array" ref="R17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0" s="76">
        <v>0</v>
      </c>
      <c r="T170" s="77" cm="1">
        <f t="array" ref="T17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0" s="76">
        <v>0</v>
      </c>
      <c r="V170" s="77" cm="1">
        <f t="array" ref="V17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0" s="77">
        <v>-2.9999999969732016E-4</v>
      </c>
      <c r="X170" s="77" cm="1">
        <f t="array" ref="X17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0" s="77">
        <v>0</v>
      </c>
      <c r="Z170" s="77" cm="1">
        <f t="array" ref="Z17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0" s="107" t="s">
        <v>86</v>
      </c>
      <c r="AE170" s="111"/>
      <c r="AF170" s="1"/>
      <c r="AG170" s="1"/>
      <c r="AH170" s="1"/>
      <c r="AI170" s="1"/>
      <c r="AJ170" s="1"/>
      <c r="AK170" s="1"/>
      <c r="AL170" s="1"/>
      <c r="AM170" s="1"/>
      <c r="AN170" s="1"/>
      <c r="AO170" s="1"/>
      <c r="AP170" s="1"/>
      <c r="AQ170" s="1"/>
      <c r="AR170" s="1"/>
      <c r="AS170" s="1"/>
      <c r="AT170" s="1"/>
    </row>
    <row r="171" spans="7:46" ht="14.25" customHeight="1" x14ac:dyDescent="0.2">
      <c r="G171" s="74">
        <v>45721.395833333336</v>
      </c>
      <c r="H171" s="107" t="s">
        <v>170</v>
      </c>
      <c r="I171" s="127"/>
      <c r="J171" s="145">
        <v>51910.065000000002</v>
      </c>
      <c r="K171" s="145">
        <v>159186.02369999999</v>
      </c>
      <c r="L171" s="145">
        <v>19.356999999999999</v>
      </c>
      <c r="M171" s="142">
        <v>51910.065000000002</v>
      </c>
      <c r="N171" s="142">
        <v>159186.024</v>
      </c>
      <c r="O171" s="142">
        <v>19.356999999999999</v>
      </c>
      <c r="P171" s="129">
        <v>23</v>
      </c>
      <c r="Q171" s="76">
        <v>0</v>
      </c>
      <c r="R171" s="109" cm="1">
        <f t="array" ref="R17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1" s="76">
        <v>3.0000001424923539E-4</v>
      </c>
      <c r="T171" s="77" cm="1">
        <f t="array" ref="T17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1" s="76">
        <v>0</v>
      </c>
      <c r="V171" s="77" cm="1">
        <f t="array" ref="V17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1" s="77">
        <v>0</v>
      </c>
      <c r="X171" s="77" cm="1">
        <f t="array" ref="X17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1" s="77">
        <v>3.0000001424923539E-4</v>
      </c>
      <c r="Z171" s="77" cm="1">
        <f t="array" ref="Z17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1" s="107" t="s">
        <v>86</v>
      </c>
      <c r="AE171" s="111"/>
      <c r="AF171" s="1"/>
      <c r="AG171" s="1"/>
      <c r="AH171" s="1"/>
      <c r="AI171" s="1"/>
      <c r="AJ171" s="1"/>
      <c r="AK171" s="1"/>
      <c r="AL171" s="1"/>
      <c r="AM171" s="1"/>
      <c r="AN171" s="1"/>
      <c r="AO171" s="1"/>
      <c r="AP171" s="1"/>
      <c r="AQ171" s="1"/>
      <c r="AR171" s="1"/>
      <c r="AS171" s="1"/>
      <c r="AT171" s="1"/>
    </row>
    <row r="172" spans="7:46" ht="14.25" customHeight="1" x14ac:dyDescent="0.2">
      <c r="G172" s="74">
        <v>45710.451388888891</v>
      </c>
      <c r="H172" s="107" t="s">
        <v>172</v>
      </c>
      <c r="I172" s="127"/>
      <c r="J172" s="145">
        <v>51885.34</v>
      </c>
      <c r="K172" s="145">
        <v>159195.739</v>
      </c>
      <c r="L172" s="145">
        <v>18.782</v>
      </c>
      <c r="M172" s="142">
        <v>51885.341</v>
      </c>
      <c r="N172" s="142">
        <v>159195.73800000001</v>
      </c>
      <c r="O172" s="142">
        <v>18.782</v>
      </c>
      <c r="P172" s="129">
        <v>23</v>
      </c>
      <c r="Q172" s="76">
        <v>1.0000000038417056E-3</v>
      </c>
      <c r="R172" s="109" cm="1">
        <f t="array" ref="R17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2" s="76">
        <v>-9.9999998928979039E-4</v>
      </c>
      <c r="T172" s="77" cm="1">
        <f t="array" ref="T17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2" s="76">
        <v>0</v>
      </c>
      <c r="V172" s="77" cm="1">
        <f t="array" ref="V17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2" s="77">
        <v>1.0000000038417056E-3</v>
      </c>
      <c r="X172" s="77" cm="1">
        <f t="array" ref="X17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2" s="77">
        <v>-9.9999998928979039E-4</v>
      </c>
      <c r="Z172" s="77" cm="1">
        <f t="array" ref="Z17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2" s="107" t="s">
        <v>86</v>
      </c>
      <c r="AE172" s="111"/>
      <c r="AF172" s="1"/>
      <c r="AG172" s="1"/>
      <c r="AH172" s="1"/>
      <c r="AI172" s="1"/>
      <c r="AJ172" s="1"/>
      <c r="AK172" s="1"/>
      <c r="AL172" s="1"/>
      <c r="AM172" s="1"/>
      <c r="AN172" s="1"/>
      <c r="AO172" s="1"/>
      <c r="AP172" s="1"/>
      <c r="AQ172" s="1"/>
      <c r="AR172" s="1"/>
      <c r="AS172" s="1"/>
      <c r="AT172" s="1"/>
    </row>
    <row r="173" spans="7:46" ht="14.25" customHeight="1" x14ac:dyDescent="0.2">
      <c r="G173" s="74">
        <v>45710.451388888891</v>
      </c>
      <c r="H173" s="107" t="s">
        <v>171</v>
      </c>
      <c r="I173" s="127"/>
      <c r="J173" s="145">
        <v>51884.958899999998</v>
      </c>
      <c r="K173" s="145">
        <v>159194.47070000001</v>
      </c>
      <c r="L173" s="145">
        <v>18.778099999999998</v>
      </c>
      <c r="M173" s="142">
        <v>51884.959999999999</v>
      </c>
      <c r="N173" s="142">
        <v>159194.47</v>
      </c>
      <c r="O173" s="142">
        <v>18.777999999999999</v>
      </c>
      <c r="P173" s="129">
        <v>23</v>
      </c>
      <c r="Q173" s="76">
        <v>1.1000000013154931E-3</v>
      </c>
      <c r="R173" s="109" cm="1">
        <f t="array" ref="R17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3" s="76">
        <v>-7.0000000414438546E-4</v>
      </c>
      <c r="T173" s="77" cm="1">
        <f t="array" ref="T17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3" s="76">
        <v>-9.9999999999766942E-5</v>
      </c>
      <c r="V173" s="77" cm="1">
        <f t="array" ref="V17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3" s="77">
        <v>1.1000000013154931E-3</v>
      </c>
      <c r="X173" s="77" cm="1">
        <f t="array" ref="X17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3" s="77">
        <v>-7.0000000414438546E-4</v>
      </c>
      <c r="Z173" s="77" cm="1">
        <f t="array" ref="Z17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3" s="107" t="s">
        <v>86</v>
      </c>
      <c r="AE173" s="111"/>
      <c r="AF173" s="1"/>
      <c r="AG173" s="1"/>
      <c r="AH173" s="1"/>
      <c r="AI173" s="1"/>
      <c r="AJ173" s="1"/>
      <c r="AK173" s="1"/>
      <c r="AL173" s="1"/>
      <c r="AM173" s="1"/>
      <c r="AN173" s="1"/>
      <c r="AO173" s="1"/>
      <c r="AP173" s="1"/>
      <c r="AQ173" s="1"/>
      <c r="AR173" s="1"/>
      <c r="AS173" s="1"/>
      <c r="AT173" s="1"/>
    </row>
    <row r="174" spans="7:46" ht="14.25" customHeight="1" x14ac:dyDescent="0.2">
      <c r="G174" s="74">
        <v>45710.451388888891</v>
      </c>
      <c r="H174" s="107" t="s">
        <v>174</v>
      </c>
      <c r="I174" s="127"/>
      <c r="J174" s="145">
        <v>51888.117700000003</v>
      </c>
      <c r="K174" s="145">
        <v>159194.94529999999</v>
      </c>
      <c r="L174" s="145">
        <v>18.7788</v>
      </c>
      <c r="M174" s="142">
        <v>51888.118999999999</v>
      </c>
      <c r="N174" s="142">
        <v>159194.94500000001</v>
      </c>
      <c r="O174" s="142">
        <v>18.779</v>
      </c>
      <c r="P174" s="129">
        <v>23</v>
      </c>
      <c r="Q174" s="76">
        <v>1.2999999962630682E-3</v>
      </c>
      <c r="R174" s="109" cm="1">
        <f t="array" ref="R17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4" s="76">
        <v>-2.9999998514540493E-4</v>
      </c>
      <c r="T174" s="77" cm="1">
        <f t="array" ref="T17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4" s="76">
        <v>1.9999999999953388E-4</v>
      </c>
      <c r="V174" s="77" cm="1">
        <f t="array" ref="V17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4" s="77">
        <v>1.2999999962630682E-3</v>
      </c>
      <c r="X174" s="77" cm="1">
        <f t="array" ref="X17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4" s="77">
        <v>-2.9999998514540493E-4</v>
      </c>
      <c r="Z174" s="77" cm="1">
        <f t="array" ref="Z17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4" s="107" t="s">
        <v>86</v>
      </c>
      <c r="AE174" s="111"/>
      <c r="AF174" s="1"/>
      <c r="AG174" s="1"/>
      <c r="AH174" s="1"/>
      <c r="AI174" s="1"/>
      <c r="AJ174" s="1"/>
      <c r="AK174" s="1"/>
      <c r="AL174" s="1"/>
      <c r="AM174" s="1"/>
      <c r="AN174" s="1"/>
      <c r="AO174" s="1"/>
      <c r="AP174" s="1"/>
      <c r="AQ174" s="1"/>
      <c r="AR174" s="1"/>
      <c r="AS174" s="1"/>
      <c r="AT174" s="1"/>
    </row>
    <row r="175" spans="7:46" ht="14.25" customHeight="1" x14ac:dyDescent="0.2">
      <c r="G175" s="74">
        <v>45710.451388888891</v>
      </c>
      <c r="H175" s="107" t="s">
        <v>173</v>
      </c>
      <c r="I175" s="127"/>
      <c r="J175" s="145">
        <v>51887.805099999998</v>
      </c>
      <c r="K175" s="145">
        <v>159193.65710000001</v>
      </c>
      <c r="L175" s="145">
        <v>18.778500000000001</v>
      </c>
      <c r="M175" s="142">
        <v>51887.807000000001</v>
      </c>
      <c r="N175" s="142">
        <v>159193.65700000001</v>
      </c>
      <c r="O175" s="142">
        <v>18.779</v>
      </c>
      <c r="P175" s="129">
        <v>23</v>
      </c>
      <c r="Q175" s="76">
        <v>1.9000000029336661E-3</v>
      </c>
      <c r="R175" s="109" cm="1">
        <f t="array" ref="R17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5" s="76">
        <v>-1.0000000474974513E-4</v>
      </c>
      <c r="T175" s="77" cm="1">
        <f t="array" ref="T17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5" s="76">
        <v>4.9999999999883471E-4</v>
      </c>
      <c r="V175" s="77" cm="1">
        <f t="array" ref="V17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5" s="77">
        <v>1.9000000029336661E-3</v>
      </c>
      <c r="X175" s="77" cm="1">
        <f t="array" ref="X17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5" s="77">
        <v>-1.0000000474974513E-4</v>
      </c>
      <c r="Z175" s="77" cm="1">
        <f t="array" ref="Z17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5" s="107" t="s">
        <v>86</v>
      </c>
      <c r="AE175" s="111"/>
      <c r="AF175" s="1"/>
      <c r="AG175" s="1"/>
      <c r="AH175" s="1"/>
      <c r="AI175" s="1"/>
      <c r="AJ175" s="1"/>
      <c r="AK175" s="1"/>
      <c r="AL175" s="1"/>
      <c r="AM175" s="1"/>
      <c r="AN175" s="1"/>
      <c r="AO175" s="1"/>
      <c r="AP175" s="1"/>
      <c r="AQ175" s="1"/>
      <c r="AR175" s="1"/>
      <c r="AS175" s="1"/>
      <c r="AT175" s="1"/>
    </row>
    <row r="176" spans="7:46" ht="14.25" customHeight="1" x14ac:dyDescent="0.2">
      <c r="G176" s="74">
        <v>45710.451388888891</v>
      </c>
      <c r="H176" s="107" t="s">
        <v>176</v>
      </c>
      <c r="I176" s="127"/>
      <c r="J176" s="145">
        <v>51890.969100000002</v>
      </c>
      <c r="K176" s="145">
        <v>159194.1177</v>
      </c>
      <c r="L176" s="145">
        <v>18.779</v>
      </c>
      <c r="M176" s="142">
        <v>51890.970999999998</v>
      </c>
      <c r="N176" s="142">
        <v>159194.11799999999</v>
      </c>
      <c r="O176" s="142">
        <v>18.779</v>
      </c>
      <c r="P176" s="129">
        <v>23</v>
      </c>
      <c r="Q176" s="76">
        <v>1.8999999956577085E-3</v>
      </c>
      <c r="R176" s="109" cm="1">
        <f t="array" ref="R17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6" s="76">
        <v>2.9999998514540493E-4</v>
      </c>
      <c r="T176" s="77" cm="1">
        <f t="array" ref="T17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6" s="76">
        <v>0</v>
      </c>
      <c r="V176" s="77" cm="1">
        <f t="array" ref="V17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6" s="77">
        <v>1.8999999956577085E-3</v>
      </c>
      <c r="X176" s="77" cm="1">
        <f t="array" ref="X17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6" s="77">
        <v>2.9999998514540493E-4</v>
      </c>
      <c r="Z176" s="77" cm="1">
        <f t="array" ref="Z17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6" s="107" t="s">
        <v>86</v>
      </c>
      <c r="AE176" s="111"/>
      <c r="AF176" s="1"/>
      <c r="AG176" s="1"/>
      <c r="AH176" s="1"/>
      <c r="AI176" s="1"/>
      <c r="AJ176" s="1"/>
      <c r="AK176" s="1"/>
      <c r="AL176" s="1"/>
      <c r="AM176" s="1"/>
      <c r="AN176" s="1"/>
      <c r="AO176" s="1"/>
      <c r="AP176" s="1"/>
      <c r="AQ176" s="1"/>
      <c r="AR176" s="1"/>
      <c r="AS176" s="1"/>
      <c r="AT176" s="1"/>
    </row>
    <row r="177" spans="7:46" ht="14.25" customHeight="1" x14ac:dyDescent="0.2">
      <c r="G177" s="74">
        <v>45710.451388888891</v>
      </c>
      <c r="H177" s="107" t="s">
        <v>175</v>
      </c>
      <c r="I177" s="127"/>
      <c r="J177" s="145">
        <v>51890.606800000001</v>
      </c>
      <c r="K177" s="145">
        <v>159192.86069999999</v>
      </c>
      <c r="L177" s="145">
        <v>18.771999999999998</v>
      </c>
      <c r="M177" s="142">
        <v>51890.608</v>
      </c>
      <c r="N177" s="142">
        <v>159192.85999999999</v>
      </c>
      <c r="O177" s="142">
        <v>18.771999999999998</v>
      </c>
      <c r="P177" s="129">
        <v>23</v>
      </c>
      <c r="Q177" s="76">
        <v>1.1999999987892807E-3</v>
      </c>
      <c r="R177" s="109" cm="1">
        <f t="array" ref="R17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7" s="76">
        <v>-7.0000000414438546E-4</v>
      </c>
      <c r="T177" s="77" cm="1">
        <f t="array" ref="T17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7" s="76">
        <v>0</v>
      </c>
      <c r="V177" s="77" cm="1">
        <f t="array" ref="V17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7" s="77">
        <v>1.1999999987892807E-3</v>
      </c>
      <c r="X177" s="77" cm="1">
        <f t="array" ref="X17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7" s="77">
        <v>-7.0000000414438546E-4</v>
      </c>
      <c r="Z177" s="77" cm="1">
        <f t="array" ref="Z17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7" s="107" t="s">
        <v>86</v>
      </c>
      <c r="AE177" s="111"/>
      <c r="AF177" s="1"/>
      <c r="AG177" s="1"/>
      <c r="AH177" s="1"/>
      <c r="AI177" s="1"/>
      <c r="AJ177" s="1"/>
      <c r="AK177" s="1"/>
      <c r="AL177" s="1"/>
      <c r="AM177" s="1"/>
      <c r="AN177" s="1"/>
      <c r="AO177" s="1"/>
      <c r="AP177" s="1"/>
      <c r="AQ177" s="1"/>
      <c r="AR177" s="1"/>
      <c r="AS177" s="1"/>
      <c r="AT177" s="1"/>
    </row>
    <row r="178" spans="7:46" ht="14.25" customHeight="1" x14ac:dyDescent="0.2">
      <c r="G178" s="74">
        <v>45710.451388888891</v>
      </c>
      <c r="H178" s="107" t="s">
        <v>178</v>
      </c>
      <c r="I178" s="127"/>
      <c r="J178" s="145">
        <v>51893.758699999998</v>
      </c>
      <c r="K178" s="145">
        <v>159193.3144</v>
      </c>
      <c r="L178" s="145">
        <v>18.774100000000001</v>
      </c>
      <c r="M178" s="142">
        <v>51893.760000000002</v>
      </c>
      <c r="N178" s="142">
        <v>159193.31400000001</v>
      </c>
      <c r="O178" s="142">
        <v>18.774000000000001</v>
      </c>
      <c r="P178" s="129">
        <v>23</v>
      </c>
      <c r="Q178" s="76">
        <v>1.3000000035390258E-3</v>
      </c>
      <c r="R178" s="109" cm="1">
        <f t="array" ref="R17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8" s="76">
        <v>-3.9999998989515007E-4</v>
      </c>
      <c r="T178" s="77" cm="1">
        <f t="array" ref="T17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8" s="76">
        <v>-9.9999999999766942E-5</v>
      </c>
      <c r="V178" s="77" cm="1">
        <f t="array" ref="V17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8" s="77">
        <v>1.3000000035390258E-3</v>
      </c>
      <c r="X178" s="77" cm="1">
        <f t="array" ref="X17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8" s="77">
        <v>-3.9999998989515007E-4</v>
      </c>
      <c r="Z178" s="77" cm="1">
        <f t="array" ref="Z17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8" s="107" t="s">
        <v>86</v>
      </c>
      <c r="AE178" s="111"/>
      <c r="AF178" s="1"/>
      <c r="AG178" s="1"/>
      <c r="AH178" s="1"/>
      <c r="AI178" s="1"/>
      <c r="AJ178" s="1"/>
      <c r="AK178" s="1"/>
      <c r="AL178" s="1"/>
      <c r="AM178" s="1"/>
      <c r="AN178" s="1"/>
      <c r="AO178" s="1"/>
      <c r="AP178" s="1"/>
      <c r="AQ178" s="1"/>
      <c r="AR178" s="1"/>
      <c r="AS178" s="1"/>
      <c r="AT178" s="1"/>
    </row>
    <row r="179" spans="7:46" ht="14.25" customHeight="1" x14ac:dyDescent="0.2">
      <c r="G179" s="74">
        <v>45710.451388888891</v>
      </c>
      <c r="H179" s="107" t="s">
        <v>177</v>
      </c>
      <c r="I179" s="127"/>
      <c r="J179" s="145">
        <v>51893.441299999999</v>
      </c>
      <c r="K179" s="145">
        <v>159192.04019999999</v>
      </c>
      <c r="L179" s="145">
        <v>18.7683</v>
      </c>
      <c r="M179" s="142">
        <v>51893.442999999999</v>
      </c>
      <c r="N179" s="142">
        <v>159192.04</v>
      </c>
      <c r="O179" s="142">
        <v>18.768000000000001</v>
      </c>
      <c r="P179" s="129">
        <v>23</v>
      </c>
      <c r="Q179" s="76">
        <v>1.7000000007101335E-3</v>
      </c>
      <c r="R179" s="109" cm="1">
        <f t="array" ref="R17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79" s="76">
        <v>-1.999999803956598E-4</v>
      </c>
      <c r="T179" s="77" cm="1">
        <f t="array" ref="T17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79" s="76">
        <v>-2.9999999999930083E-4</v>
      </c>
      <c r="V179" s="77" cm="1">
        <f t="array" ref="V17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79" s="77">
        <v>1.7000000007101335E-3</v>
      </c>
      <c r="X179" s="77" cm="1">
        <f t="array" ref="X17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79" s="77">
        <v>-1.999999803956598E-4</v>
      </c>
      <c r="Z179" s="77" cm="1">
        <f t="array" ref="Z17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7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7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7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79" s="107" t="s">
        <v>86</v>
      </c>
      <c r="AE179" s="111"/>
      <c r="AF179" s="1"/>
      <c r="AG179" s="1"/>
      <c r="AH179" s="1"/>
      <c r="AI179" s="1"/>
      <c r="AJ179" s="1"/>
      <c r="AK179" s="1"/>
      <c r="AL179" s="1"/>
      <c r="AM179" s="1"/>
      <c r="AN179" s="1"/>
      <c r="AO179" s="1"/>
      <c r="AP179" s="1"/>
      <c r="AQ179" s="1"/>
      <c r="AR179" s="1"/>
      <c r="AS179" s="1"/>
      <c r="AT179" s="1"/>
    </row>
    <row r="180" spans="7:46" ht="14.25" customHeight="1" x14ac:dyDescent="0.2">
      <c r="G180" s="74">
        <v>45710.451388888891</v>
      </c>
      <c r="H180" s="107" t="s">
        <v>180</v>
      </c>
      <c r="I180" s="127"/>
      <c r="J180" s="145">
        <v>51896.633300000001</v>
      </c>
      <c r="K180" s="145">
        <v>159192.48449999999</v>
      </c>
      <c r="L180" s="145">
        <v>18.7776</v>
      </c>
      <c r="M180" s="142">
        <v>51896.635000000002</v>
      </c>
      <c r="N180" s="142">
        <v>159192.484</v>
      </c>
      <c r="O180" s="142">
        <v>18.777999999999999</v>
      </c>
      <c r="P180" s="129">
        <v>23</v>
      </c>
      <c r="Q180" s="76">
        <v>1.7000000007101335E-3</v>
      </c>
      <c r="R180" s="109" cm="1">
        <f t="array" ref="R18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0" s="76">
        <v>-4.999999946448952E-4</v>
      </c>
      <c r="T180" s="77" cm="1">
        <f t="array" ref="T18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0" s="76">
        <v>3.9999999999906777E-4</v>
      </c>
      <c r="V180" s="77" cm="1">
        <f t="array" ref="V18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0" s="77">
        <v>1.7000000007101335E-3</v>
      </c>
      <c r="X180" s="77" cm="1">
        <f t="array" ref="X18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0" s="77">
        <v>-4.999999946448952E-4</v>
      </c>
      <c r="Z180" s="77" cm="1">
        <f t="array" ref="Z18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0" s="107" t="s">
        <v>86</v>
      </c>
      <c r="AE180" s="111"/>
      <c r="AF180" s="1"/>
      <c r="AG180" s="1"/>
      <c r="AH180" s="1"/>
      <c r="AI180" s="1"/>
      <c r="AJ180" s="1"/>
      <c r="AK180" s="1"/>
      <c r="AL180" s="1"/>
      <c r="AM180" s="1"/>
      <c r="AN180" s="1"/>
      <c r="AO180" s="1"/>
      <c r="AP180" s="1"/>
      <c r="AQ180" s="1"/>
      <c r="AR180" s="1"/>
      <c r="AS180" s="1"/>
      <c r="AT180" s="1"/>
    </row>
    <row r="181" spans="7:46" ht="14.25" customHeight="1" x14ac:dyDescent="0.2">
      <c r="G181" s="74">
        <v>45710.451388888891</v>
      </c>
      <c r="H181" s="107" t="s">
        <v>179</v>
      </c>
      <c r="I181" s="127"/>
      <c r="J181" s="145">
        <v>51896.249799999998</v>
      </c>
      <c r="K181" s="145">
        <v>159191.22630000001</v>
      </c>
      <c r="L181" s="145">
        <v>18.7698</v>
      </c>
      <c r="M181" s="142">
        <v>51896.250999999997</v>
      </c>
      <c r="N181" s="142">
        <v>159191.22700000001</v>
      </c>
      <c r="O181" s="142">
        <v>18.768999999999998</v>
      </c>
      <c r="P181" s="129">
        <v>23</v>
      </c>
      <c r="Q181" s="76">
        <v>1.1999999987892807E-3</v>
      </c>
      <c r="R181" s="109" cm="1">
        <f t="array" ref="R18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1" s="76">
        <v>7.0000000414438546E-4</v>
      </c>
      <c r="T181" s="77" cm="1">
        <f t="array" ref="T18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1" s="76">
        <v>-8.0000000000168825E-4</v>
      </c>
      <c r="V181" s="77" cm="1">
        <f t="array" ref="V18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1" s="77">
        <v>1.1999999987892807E-3</v>
      </c>
      <c r="X181" s="77" cm="1">
        <f t="array" ref="X18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1" s="77">
        <v>7.0000000414438546E-4</v>
      </c>
      <c r="Z181" s="77" cm="1">
        <f t="array" ref="Z18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1" s="107" t="s">
        <v>86</v>
      </c>
      <c r="AE181" s="111"/>
      <c r="AF181" s="1"/>
      <c r="AG181" s="1"/>
      <c r="AH181" s="1"/>
      <c r="AI181" s="1"/>
      <c r="AJ181" s="1"/>
      <c r="AK181" s="1"/>
      <c r="AL181" s="1"/>
      <c r="AM181" s="1"/>
      <c r="AN181" s="1"/>
      <c r="AO181" s="1"/>
      <c r="AP181" s="1"/>
      <c r="AQ181" s="1"/>
      <c r="AR181" s="1"/>
      <c r="AS181" s="1"/>
      <c r="AT181" s="1"/>
    </row>
    <row r="182" spans="7:46" ht="14.25" customHeight="1" x14ac:dyDescent="0.2">
      <c r="G182" s="74">
        <v>45710.451388888891</v>
      </c>
      <c r="H182" s="107" t="s">
        <v>182</v>
      </c>
      <c r="I182" s="127"/>
      <c r="J182" s="145">
        <v>51899.398699999998</v>
      </c>
      <c r="K182" s="145">
        <v>159191.69760000001</v>
      </c>
      <c r="L182" s="145">
        <v>18.777999999999999</v>
      </c>
      <c r="M182" s="142">
        <v>51899.4</v>
      </c>
      <c r="N182" s="142">
        <v>159191.69699999999</v>
      </c>
      <c r="O182" s="142">
        <v>18.777999999999999</v>
      </c>
      <c r="P182" s="129">
        <v>23</v>
      </c>
      <c r="Q182" s="76">
        <v>1.3000000035390258E-3</v>
      </c>
      <c r="R182" s="109" cm="1">
        <f t="array" ref="R18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2" s="76">
        <v>-6.0000002849847078E-4</v>
      </c>
      <c r="T182" s="77" cm="1">
        <f t="array" ref="T18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2" s="76">
        <v>0</v>
      </c>
      <c r="V182" s="77" cm="1">
        <f t="array" ref="V18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2" s="77">
        <v>1.3000000035390258E-3</v>
      </c>
      <c r="X182" s="77" cm="1">
        <f t="array" ref="X18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2" s="77">
        <v>-6.0000002849847078E-4</v>
      </c>
      <c r="Z182" s="77" cm="1">
        <f t="array" ref="Z18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2" s="107" t="s">
        <v>86</v>
      </c>
      <c r="AE182" s="111"/>
      <c r="AF182" s="1"/>
      <c r="AG182" s="1"/>
      <c r="AH182" s="1"/>
      <c r="AI182" s="1"/>
      <c r="AJ182" s="1"/>
      <c r="AK182" s="1"/>
      <c r="AL182" s="1"/>
      <c r="AM182" s="1"/>
      <c r="AN182" s="1"/>
      <c r="AO182" s="1"/>
      <c r="AP182" s="1"/>
      <c r="AQ182" s="1"/>
      <c r="AR182" s="1"/>
      <c r="AS182" s="1"/>
      <c r="AT182" s="1"/>
    </row>
    <row r="183" spans="7:46" ht="14.25" customHeight="1" x14ac:dyDescent="0.2">
      <c r="G183" s="74">
        <v>45710.451388888891</v>
      </c>
      <c r="H183" s="107" t="s">
        <v>181</v>
      </c>
      <c r="I183" s="127"/>
      <c r="J183" s="145">
        <v>51899.041100000002</v>
      </c>
      <c r="K183" s="145">
        <v>159190.43340000001</v>
      </c>
      <c r="L183" s="145">
        <v>18.771100000000001</v>
      </c>
      <c r="M183" s="142">
        <v>51899.042999999998</v>
      </c>
      <c r="N183" s="142">
        <v>159190.432</v>
      </c>
      <c r="O183" s="142">
        <v>18.771000000000001</v>
      </c>
      <c r="P183" s="129">
        <v>23</v>
      </c>
      <c r="Q183" s="76">
        <v>1.8999999956577085E-3</v>
      </c>
      <c r="R183" s="109" cm="1">
        <f t="array" ref="R18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3" s="76">
        <v>-1.4000000082887709E-3</v>
      </c>
      <c r="T183" s="77" cm="1">
        <f t="array" ref="T18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3" s="76">
        <v>-9.9999999999766942E-5</v>
      </c>
      <c r="V183" s="77" cm="1">
        <f t="array" ref="V18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3" s="77">
        <v>1.8999999956577085E-3</v>
      </c>
      <c r="X183" s="77" cm="1">
        <f t="array" ref="X18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3" s="77">
        <v>-1.4000000082887709E-3</v>
      </c>
      <c r="Z183" s="77" cm="1">
        <f t="array" ref="Z18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3" s="107" t="s">
        <v>86</v>
      </c>
      <c r="AE183" s="111"/>
      <c r="AF183" s="1"/>
      <c r="AG183" s="1"/>
      <c r="AH183" s="1"/>
      <c r="AI183" s="1"/>
      <c r="AJ183" s="1"/>
      <c r="AK183" s="1"/>
      <c r="AL183" s="1"/>
      <c r="AM183" s="1"/>
      <c r="AN183" s="1"/>
      <c r="AO183" s="1"/>
      <c r="AP183" s="1"/>
      <c r="AQ183" s="1"/>
      <c r="AR183" s="1"/>
      <c r="AS183" s="1"/>
      <c r="AT183" s="1"/>
    </row>
    <row r="184" spans="7:46" ht="14.25" customHeight="1" x14ac:dyDescent="0.2">
      <c r="G184" s="74">
        <v>45710.451388888891</v>
      </c>
      <c r="H184" s="107" t="s">
        <v>184</v>
      </c>
      <c r="I184" s="127"/>
      <c r="J184" s="145">
        <v>51902.292699999998</v>
      </c>
      <c r="K184" s="145">
        <v>159190.88459999999</v>
      </c>
      <c r="L184" s="145">
        <v>18.779</v>
      </c>
      <c r="M184" s="142">
        <v>51902.294000000002</v>
      </c>
      <c r="N184" s="142">
        <v>159190.88399999999</v>
      </c>
      <c r="O184" s="142">
        <v>18.779</v>
      </c>
      <c r="P184" s="129">
        <v>23</v>
      </c>
      <c r="Q184" s="76">
        <v>1.3000000035390258E-3</v>
      </c>
      <c r="R184" s="109" cm="1">
        <f t="array" ref="R184">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4" s="76">
        <v>-5.9999999939464033E-4</v>
      </c>
      <c r="T184" s="77" cm="1">
        <f t="array" ref="T184">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4" s="76">
        <v>0</v>
      </c>
      <c r="V184" s="77" cm="1">
        <f t="array" ref="V184">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4" s="77">
        <v>1.3000000035390258E-3</v>
      </c>
      <c r="X184" s="77" cm="1">
        <f t="array" ref="X184">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4" s="77">
        <v>-5.9999999939464033E-4</v>
      </c>
      <c r="Z184" s="77" cm="1">
        <f t="array" ref="Z184">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4"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4"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4"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4" s="107" t="s">
        <v>86</v>
      </c>
      <c r="AE184" s="111"/>
      <c r="AF184" s="1"/>
      <c r="AG184" s="1"/>
      <c r="AH184" s="1"/>
      <c r="AI184" s="1"/>
      <c r="AJ184" s="1"/>
      <c r="AK184" s="1"/>
      <c r="AL184" s="1"/>
      <c r="AM184" s="1"/>
      <c r="AN184" s="1"/>
      <c r="AO184" s="1"/>
      <c r="AP184" s="1"/>
      <c r="AQ184" s="1"/>
      <c r="AR184" s="1"/>
      <c r="AS184" s="1"/>
      <c r="AT184" s="1"/>
    </row>
    <row r="185" spans="7:46" ht="14.25" customHeight="1" x14ac:dyDescent="0.2">
      <c r="G185" s="74">
        <v>45710.451388888891</v>
      </c>
      <c r="H185" s="107" t="s">
        <v>183</v>
      </c>
      <c r="I185" s="127"/>
      <c r="J185" s="145">
        <v>51901.989200000004</v>
      </c>
      <c r="K185" s="145">
        <v>159189.60260000001</v>
      </c>
      <c r="L185" s="145">
        <v>18.770099999999999</v>
      </c>
      <c r="M185" s="142">
        <v>51901.991000000002</v>
      </c>
      <c r="N185" s="142">
        <v>159189.601</v>
      </c>
      <c r="O185" s="142">
        <v>18.77</v>
      </c>
      <c r="P185" s="129">
        <v>23</v>
      </c>
      <c r="Q185" s="76">
        <v>1.799999998183921E-3</v>
      </c>
      <c r="R185" s="109" cm="1">
        <f t="array" ref="R185">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5" s="76">
        <v>-1.6000000177882612E-3</v>
      </c>
      <c r="T185" s="77" cm="1">
        <f t="array" ref="T185">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5" s="76">
        <v>-9.9999999999766942E-5</v>
      </c>
      <c r="V185" s="77" cm="1">
        <f t="array" ref="V185">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5" s="77">
        <v>1.799999998183921E-3</v>
      </c>
      <c r="X185" s="77" cm="1">
        <f t="array" ref="X185">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5" s="77">
        <v>-1.6000000177882612E-3</v>
      </c>
      <c r="Z185" s="77" cm="1">
        <f t="array" ref="Z185">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5"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5"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5"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5" s="107" t="s">
        <v>86</v>
      </c>
      <c r="AE185" s="111"/>
      <c r="AF185" s="1"/>
      <c r="AG185" s="1"/>
      <c r="AH185" s="1"/>
      <c r="AI185" s="1"/>
      <c r="AJ185" s="1"/>
      <c r="AK185" s="1"/>
      <c r="AL185" s="1"/>
      <c r="AM185" s="1"/>
      <c r="AN185" s="1"/>
      <c r="AO185" s="1"/>
      <c r="AP185" s="1"/>
      <c r="AQ185" s="1"/>
      <c r="AR185" s="1"/>
      <c r="AS185" s="1"/>
      <c r="AT185" s="1"/>
    </row>
    <row r="186" spans="7:46" ht="14.25" customHeight="1" x14ac:dyDescent="0.2">
      <c r="G186" s="74">
        <v>45710.451388888891</v>
      </c>
      <c r="H186" s="107" t="s">
        <v>186</v>
      </c>
      <c r="I186" s="127"/>
      <c r="J186" s="145">
        <v>51905.196199999998</v>
      </c>
      <c r="K186" s="145">
        <v>159190.09460000001</v>
      </c>
      <c r="L186" s="145">
        <v>18.780899999999999</v>
      </c>
      <c r="M186" s="142">
        <v>51905.197999999997</v>
      </c>
      <c r="N186" s="142">
        <v>159190.09400000001</v>
      </c>
      <c r="O186" s="142">
        <v>18.780999999999999</v>
      </c>
      <c r="P186" s="129">
        <v>23</v>
      </c>
      <c r="Q186" s="76">
        <v>1.799999998183921E-3</v>
      </c>
      <c r="R186" s="109" cm="1">
        <f t="array" ref="R186">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6" s="76">
        <v>-5.9999999939464033E-4</v>
      </c>
      <c r="T186" s="77" cm="1">
        <f t="array" ref="T186">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6" s="76">
        <v>9.9999999999766942E-5</v>
      </c>
      <c r="V186" s="77" cm="1">
        <f t="array" ref="V186">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6" s="77">
        <v>1.799999998183921E-3</v>
      </c>
      <c r="X186" s="77" cm="1">
        <f t="array" ref="X186">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6" s="77">
        <v>-5.9999999939464033E-4</v>
      </c>
      <c r="Z186" s="77" cm="1">
        <f t="array" ref="Z186">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6"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6"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6"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6" s="107" t="s">
        <v>86</v>
      </c>
      <c r="AE186" s="111"/>
      <c r="AF186" s="1"/>
      <c r="AG186" s="1"/>
      <c r="AH186" s="1"/>
      <c r="AI186" s="1"/>
      <c r="AJ186" s="1"/>
      <c r="AK186" s="1"/>
      <c r="AL186" s="1"/>
      <c r="AM186" s="1"/>
      <c r="AN186" s="1"/>
      <c r="AO186" s="1"/>
      <c r="AP186" s="1"/>
      <c r="AQ186" s="1"/>
      <c r="AR186" s="1"/>
      <c r="AS186" s="1"/>
      <c r="AT186" s="1"/>
    </row>
    <row r="187" spans="7:46" ht="14.25" customHeight="1" x14ac:dyDescent="0.2">
      <c r="G187" s="74">
        <v>45710.451388888891</v>
      </c>
      <c r="H187" s="107" t="s">
        <v>185</v>
      </c>
      <c r="I187" s="127"/>
      <c r="J187" s="145">
        <v>51904.885600000001</v>
      </c>
      <c r="K187" s="145">
        <v>159188.8046</v>
      </c>
      <c r="L187" s="145">
        <v>18.773099999999999</v>
      </c>
      <c r="M187" s="142">
        <v>51904.887999999999</v>
      </c>
      <c r="N187" s="142">
        <v>159188.80300000001</v>
      </c>
      <c r="O187" s="142">
        <v>18.773</v>
      </c>
      <c r="P187" s="129">
        <v>23</v>
      </c>
      <c r="Q187" s="76">
        <v>2.3999999975785613E-3</v>
      </c>
      <c r="R187" s="109" cm="1">
        <f t="array" ref="R187">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7" s="76">
        <v>-1.5999999886844307E-3</v>
      </c>
      <c r="T187" s="77" cm="1">
        <f t="array" ref="T187">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7" s="76">
        <v>-9.9999999999766942E-5</v>
      </c>
      <c r="V187" s="77" cm="1">
        <f t="array" ref="V187">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7" s="77">
        <v>2.3999999975785613E-3</v>
      </c>
      <c r="X187" s="77" cm="1">
        <f t="array" ref="X187">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7" s="77">
        <v>-1.5999999886844307E-3</v>
      </c>
      <c r="Z187" s="77" cm="1">
        <f t="array" ref="Z187">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7"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7"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7"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7" s="107" t="s">
        <v>86</v>
      </c>
      <c r="AE187" s="111"/>
      <c r="AF187" s="1"/>
      <c r="AG187" s="1"/>
      <c r="AH187" s="1"/>
      <c r="AI187" s="1"/>
      <c r="AJ187" s="1"/>
      <c r="AK187" s="1"/>
      <c r="AL187" s="1"/>
      <c r="AM187" s="1"/>
      <c r="AN187" s="1"/>
      <c r="AO187" s="1"/>
      <c r="AP187" s="1"/>
      <c r="AQ187" s="1"/>
      <c r="AR187" s="1"/>
      <c r="AS187" s="1"/>
      <c r="AT187" s="1"/>
    </row>
    <row r="188" spans="7:46" ht="14.25" customHeight="1" x14ac:dyDescent="0.2">
      <c r="G188" s="74">
        <v>45710.451388888891</v>
      </c>
      <c r="H188" s="107" t="s">
        <v>188</v>
      </c>
      <c r="I188" s="127"/>
      <c r="J188" s="145">
        <v>51907.9522</v>
      </c>
      <c r="K188" s="145">
        <v>159189.36230000001</v>
      </c>
      <c r="L188" s="145">
        <v>18.786000000000001</v>
      </c>
      <c r="M188" s="142">
        <v>51907.953999999998</v>
      </c>
      <c r="N188" s="142">
        <v>159189.361</v>
      </c>
      <c r="O188" s="142">
        <v>18.786000000000001</v>
      </c>
      <c r="P188" s="129">
        <v>23</v>
      </c>
      <c r="Q188" s="76">
        <v>1.799999998183921E-3</v>
      </c>
      <c r="R188" s="109" cm="1">
        <f t="array" ref="R188">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8" s="76">
        <v>-1.3000000035390258E-3</v>
      </c>
      <c r="T188" s="77" cm="1">
        <f t="array" ref="T188">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8" s="76">
        <v>0</v>
      </c>
      <c r="V188" s="77" cm="1">
        <f t="array" ref="V188">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8" s="77">
        <v>1.799999998183921E-3</v>
      </c>
      <c r="X188" s="77" cm="1">
        <f t="array" ref="X188">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8" s="77">
        <v>-1.3000000035390258E-3</v>
      </c>
      <c r="Z188" s="77" cm="1">
        <f t="array" ref="Z188">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8"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8"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8"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8" s="107" t="s">
        <v>86</v>
      </c>
      <c r="AE188" s="111"/>
      <c r="AF188" s="1"/>
      <c r="AG188" s="1"/>
      <c r="AH188" s="1"/>
      <c r="AI188" s="1"/>
      <c r="AJ188" s="1"/>
      <c r="AK188" s="1"/>
      <c r="AL188" s="1"/>
      <c r="AM188" s="1"/>
      <c r="AN188" s="1"/>
      <c r="AO188" s="1"/>
      <c r="AP188" s="1"/>
      <c r="AQ188" s="1"/>
      <c r="AR188" s="1"/>
      <c r="AS188" s="1"/>
      <c r="AT188" s="1"/>
    </row>
    <row r="189" spans="7:46" ht="14.25" customHeight="1" x14ac:dyDescent="0.2">
      <c r="G189" s="74">
        <v>45710.451388888891</v>
      </c>
      <c r="H189" s="107" t="s">
        <v>187</v>
      </c>
      <c r="I189" s="127"/>
      <c r="J189" s="145">
        <v>51907.578699999998</v>
      </c>
      <c r="K189" s="145">
        <v>159188.09770000001</v>
      </c>
      <c r="L189" s="145">
        <v>18.776</v>
      </c>
      <c r="M189" s="142">
        <v>51907.580999999998</v>
      </c>
      <c r="N189" s="142">
        <v>159188.09599999999</v>
      </c>
      <c r="O189" s="142">
        <v>18.776</v>
      </c>
      <c r="P189" s="129">
        <v>23</v>
      </c>
      <c r="Q189" s="76">
        <v>2.3000000001047738E-3</v>
      </c>
      <c r="R189" s="109" cm="1">
        <f t="array" ref="R189">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89" s="76">
        <v>-1.7000000225380063E-3</v>
      </c>
      <c r="T189" s="77" cm="1">
        <f t="array" ref="T189">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89" s="76">
        <v>0</v>
      </c>
      <c r="V189" s="77" cm="1">
        <f t="array" ref="V189">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89" s="77">
        <v>2.3000000001047738E-3</v>
      </c>
      <c r="X189" s="77" cm="1">
        <f t="array" ref="X189">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89" s="77">
        <v>-1.7000000225380063E-3</v>
      </c>
      <c r="Z189" s="77" cm="1">
        <f t="array" ref="Z189">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89"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89"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89"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89" s="107" t="s">
        <v>86</v>
      </c>
      <c r="AE189" s="111"/>
      <c r="AF189" s="1"/>
      <c r="AG189" s="1"/>
      <c r="AH189" s="1"/>
      <c r="AI189" s="1"/>
      <c r="AJ189" s="1"/>
      <c r="AK189" s="1"/>
      <c r="AL189" s="1"/>
      <c r="AM189" s="1"/>
      <c r="AN189" s="1"/>
      <c r="AO189" s="1"/>
      <c r="AP189" s="1"/>
      <c r="AQ189" s="1"/>
      <c r="AR189" s="1"/>
      <c r="AS189" s="1"/>
      <c r="AT189" s="1"/>
    </row>
    <row r="190" spans="7:46" ht="14.25" customHeight="1" x14ac:dyDescent="0.2">
      <c r="G190" s="74">
        <v>45710.451388888891</v>
      </c>
      <c r="H190" s="107" t="s">
        <v>190</v>
      </c>
      <c r="I190" s="127"/>
      <c r="J190" s="145">
        <v>51910.962800000001</v>
      </c>
      <c r="K190" s="145">
        <v>159188.60079999999</v>
      </c>
      <c r="L190" s="145">
        <v>18.794599999999999</v>
      </c>
      <c r="M190" s="142">
        <v>51910.964999999997</v>
      </c>
      <c r="N190" s="142">
        <v>159188.6</v>
      </c>
      <c r="O190" s="142">
        <v>18.795000000000002</v>
      </c>
      <c r="P190" s="129">
        <v>23</v>
      </c>
      <c r="Q190" s="76">
        <v>2.1999999953550287E-3</v>
      </c>
      <c r="R190" s="109" cm="1">
        <f t="array" ref="R190">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90" s="76">
        <v>-7.9999997979030013E-4</v>
      </c>
      <c r="T190" s="77" cm="1">
        <f t="array" ref="T190">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90" s="76">
        <v>4.0000000000262048E-4</v>
      </c>
      <c r="V190" s="77" cm="1">
        <f t="array" ref="V190">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90" s="77">
        <v>2.1999999953550287E-3</v>
      </c>
      <c r="X190" s="77" cm="1">
        <f t="array" ref="X190">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90" s="77">
        <v>-7.9999997979030013E-4</v>
      </c>
      <c r="Z190" s="77" cm="1">
        <f t="array" ref="Z190">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90"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90"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90"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90" s="107" t="s">
        <v>86</v>
      </c>
      <c r="AE190" s="111"/>
      <c r="AF190" s="1"/>
      <c r="AG190" s="1"/>
      <c r="AH190" s="1"/>
      <c r="AI190" s="1"/>
      <c r="AJ190" s="1"/>
      <c r="AK190" s="1"/>
      <c r="AL190" s="1"/>
      <c r="AM190" s="1"/>
      <c r="AN190" s="1"/>
      <c r="AO190" s="1"/>
      <c r="AP190" s="1"/>
      <c r="AQ190" s="1"/>
      <c r="AR190" s="1"/>
      <c r="AS190" s="1"/>
      <c r="AT190" s="1"/>
    </row>
    <row r="191" spans="7:46" ht="14.25" customHeight="1" x14ac:dyDescent="0.2">
      <c r="G191" s="74">
        <v>45710.451388888891</v>
      </c>
      <c r="H191" s="107" t="s">
        <v>189</v>
      </c>
      <c r="I191" s="127"/>
      <c r="J191" s="145">
        <v>51910.640099999997</v>
      </c>
      <c r="K191" s="145">
        <v>159187.3223</v>
      </c>
      <c r="L191" s="145">
        <v>18.7836</v>
      </c>
      <c r="M191" s="142">
        <v>51910.642999999996</v>
      </c>
      <c r="N191" s="142">
        <v>159187.321</v>
      </c>
      <c r="O191" s="142">
        <v>18.783999999999999</v>
      </c>
      <c r="P191" s="129">
        <v>23</v>
      </c>
      <c r="Q191" s="76">
        <v>2.8999999994994141E-3</v>
      </c>
      <c r="R191" s="109" cm="1">
        <f t="array" ref="R191">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91" s="76">
        <v>-1.3000000035390258E-3</v>
      </c>
      <c r="T191" s="77" cm="1">
        <f t="array" ref="T191">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91" s="76">
        <v>3.9999999999906777E-4</v>
      </c>
      <c r="V191" s="77" cm="1">
        <f t="array" ref="V191">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91" s="77">
        <v>2.8999999994994141E-3</v>
      </c>
      <c r="X191" s="77" cm="1">
        <f t="array" ref="X191">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91" s="77">
        <v>-1.3000000035390258E-3</v>
      </c>
      <c r="Z191" s="77" cm="1">
        <f t="array" ref="Z191">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91"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91"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91"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91" s="107" t="s">
        <v>86</v>
      </c>
      <c r="AE191" s="111"/>
      <c r="AF191" s="1"/>
      <c r="AG191" s="1"/>
      <c r="AH191" s="1"/>
      <c r="AI191" s="1"/>
      <c r="AJ191" s="1"/>
      <c r="AK191" s="1"/>
      <c r="AL191" s="1"/>
      <c r="AM191" s="1"/>
      <c r="AN191" s="1"/>
      <c r="AO191" s="1"/>
      <c r="AP191" s="1"/>
      <c r="AQ191" s="1"/>
      <c r="AR191" s="1"/>
      <c r="AS191" s="1"/>
      <c r="AT191" s="1"/>
    </row>
    <row r="192" spans="7:46" ht="14.25" customHeight="1" x14ac:dyDescent="0.2">
      <c r="G192" s="74">
        <v>45710.451388888891</v>
      </c>
      <c r="H192" s="107" t="s">
        <v>192</v>
      </c>
      <c r="I192" s="127"/>
      <c r="J192" s="145">
        <v>51913.751100000001</v>
      </c>
      <c r="K192" s="145">
        <v>159187.9178</v>
      </c>
      <c r="L192" s="145">
        <v>18.809000000000001</v>
      </c>
      <c r="M192" s="142">
        <v>51913.752999999997</v>
      </c>
      <c r="N192" s="142">
        <v>159187.91699999999</v>
      </c>
      <c r="O192" s="142">
        <v>18.809000000000001</v>
      </c>
      <c r="P192" s="129">
        <v>23</v>
      </c>
      <c r="Q192" s="76">
        <v>1.8999999956577085E-3</v>
      </c>
      <c r="R192" s="109" cm="1">
        <f t="array" ref="R192">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92" s="76">
        <v>-8.0000000889413059E-4</v>
      </c>
      <c r="T192" s="77" cm="1">
        <f t="array" ref="T192">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92" s="76">
        <v>0</v>
      </c>
      <c r="V192" s="77" cm="1">
        <f t="array" ref="V192">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92" s="77">
        <v>1.8999999956577085E-3</v>
      </c>
      <c r="X192" s="77" cm="1">
        <f t="array" ref="X192">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92" s="77">
        <v>-8.0000000889413059E-4</v>
      </c>
      <c r="Z192" s="77" cm="1">
        <f t="array" ref="Z192">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92"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92"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92"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92" s="107" t="s">
        <v>86</v>
      </c>
      <c r="AE192" s="111"/>
      <c r="AF192" s="1"/>
      <c r="AG192" s="1"/>
      <c r="AH192" s="1"/>
      <c r="AI192" s="1"/>
      <c r="AJ192" s="1"/>
      <c r="AK192" s="1"/>
      <c r="AL192" s="1"/>
      <c r="AM192" s="1"/>
      <c r="AN192" s="1"/>
      <c r="AO192" s="1"/>
      <c r="AP192" s="1"/>
      <c r="AQ192" s="1"/>
      <c r="AR192" s="1"/>
      <c r="AS192" s="1"/>
      <c r="AT192" s="1"/>
    </row>
    <row r="193" spans="7:46" ht="14.25" customHeight="1" x14ac:dyDescent="0.2">
      <c r="G193" s="74">
        <v>45710.451388888891</v>
      </c>
      <c r="H193" s="107" t="s">
        <v>191</v>
      </c>
      <c r="I193" s="127"/>
      <c r="J193" s="145">
        <v>51913.421499999997</v>
      </c>
      <c r="K193" s="145">
        <v>159186.63630000001</v>
      </c>
      <c r="L193" s="145">
        <v>18.794899999999998</v>
      </c>
      <c r="M193" s="142">
        <v>51913.423999999999</v>
      </c>
      <c r="N193" s="142">
        <v>159186.63500000001</v>
      </c>
      <c r="O193" s="142">
        <v>18.795000000000002</v>
      </c>
      <c r="P193" s="129">
        <v>23</v>
      </c>
      <c r="Q193" s="76">
        <v>2.5000000023283064E-3</v>
      </c>
      <c r="R193" s="109" cm="1">
        <f t="array" ref="R193">_xlfn.IFS(ReportSummary___QR_SAUP[[#This Row],[Diff to BL. East.]]="-",0,
AND(ReportSummary___QR_SAUP[[#This Row],[Diff to BL. East.]]&gt;=$S$4,ReportSummary___QR_SAUP[[#This Row],[Diff to BL. East.]]&lt;$W$4),0,
OR(AND(ReportSummary___QR_SAUP[[#This Row],[Diff to BL. East.]]&lt;$S$4,ReportSummary___QR_SAUP[[#This Row],[Diff to BL. East.]]&gt;=$S$5),AND(ReportSummary___QR_SAUP[[#This Row],[Diff to BL. East.]]&gt;$W$4,ReportSummary___QR_SAUP[[#This Row],[Diff to BL. East.]]&lt;=$W$5)),1,
OR(AND(ReportSummary___QR_SAUP[[#This Row],[Diff to BL. East.]]&lt;$S$5,ReportSummary___QR_SAUP[[#This Row],[Diff to BL. East.]]&gt;=$S$6),AND(ReportSummary___QR_SAUP[[#This Row],[Diff to BL. East.]]&gt;$W$5,ReportSummary___QR_SAUP[[#This Row],[Diff to BL. East.]]&lt;=$W$6)),2,
OR(AND(ReportSummary___QR_SAUP[[#This Row],[Diff to BL. East.]]&lt;$S$6,ReportSummary___QR_SAUP[[#This Row],[Diff to BL. East.]]&gt;=$S$7),AND(ReportSummary___QR_SAUP[[#This Row],[Diff to BL. East.]]&gt;$W$6,ReportSummary___QR_SAUP[[#This Row],[Diff to BL. East.]]&lt;=$W$7)),3,
OR(ReportSummary___QR_SAUP[[#This Row],[Diff to BL. East.]]&lt;$S$7,ReportSummary___QR_SAUP[[#This Row],[Diff to BL. East.]]&gt;$W$7),4)</f>
        <v>0</v>
      </c>
      <c r="S193" s="76">
        <v>-1.3000000035390258E-3</v>
      </c>
      <c r="T193" s="77" cm="1">
        <f t="array" ref="T193">_xlfn.IFS(ReportSummary___QR_SAUP[[#This Row],[Diff to BL. North.]]="-",0,
AND(ReportSummary___QR_SAUP[[#This Row],[Diff to BL. North.]]&gt;=$S$4,ReportSummary___QR_SAUP[[#This Row],[Diff to BL. North.]]&lt;$W$4),0,
OR(AND(ReportSummary___QR_SAUP[[#This Row],[Diff to BL. North.]]&lt;$S$4,ReportSummary___QR_SAUP[[#This Row],[Diff to BL. North.]]&gt;=$S$5),AND(ReportSummary___QR_SAUP[[#This Row],[Diff to BL. North.]]&gt;$W$4,ReportSummary___QR_SAUP[[#This Row],[Diff to BL. North.]]&lt;=$W$5)),1,
OR(AND(ReportSummary___QR_SAUP[[#This Row],[Diff to BL. North.]]&lt;$S$5,ReportSummary___QR_SAUP[[#This Row],[Diff to BL. North.]]&gt;=$S$6),AND(ReportSummary___QR_SAUP[[#This Row],[Diff to BL. North.]]&gt;$W$5,ReportSummary___QR_SAUP[[#This Row],[Diff to BL. North.]]&lt;=$W$6)),2,
OR(AND(ReportSummary___QR_SAUP[[#This Row],[Diff to BL. North.]]&lt;$S$6,ReportSummary___QR_SAUP[[#This Row],[Diff to BL. North.]]&gt;=$S$7),AND(ReportSummary___QR_SAUP[[#This Row],[Diff to BL. North.]]&gt;$W$6,ReportSummary___QR_SAUP[[#This Row],[Diff to BL. North.]]&lt;=$W$7)),3,
OR(ReportSummary___QR_SAUP[[#This Row],[Diff to BL. North.]]&lt;$S$7,ReportSummary___QR_SAUP[[#This Row],[Diff to BL. North.]]&gt;$W$7),4)</f>
        <v>0</v>
      </c>
      <c r="U193" s="76">
        <v>1.0000000000331966E-4</v>
      </c>
      <c r="V193" s="77" cm="1">
        <f t="array" ref="V193">_xlfn.IFS(ReportSummary___QR_SAUP[[#This Row],[Diff to BL. Level]]="-",0,
AND(ReportSummary___QR_SAUP[[#This Row],[Diff to BL. Level]]&gt;=$S$4,ReportSummary___QR_SAUP[[#This Row],[Diff to BL. Level]]&lt;$W$4),0,
OR(AND(ReportSummary___QR_SAUP[[#This Row],[Diff to BL. Level]]&lt;$S$4,ReportSummary___QR_SAUP[[#This Row],[Diff to BL. Level]]&gt;=$S$5),AND(ReportSummary___QR_SAUP[[#This Row],[Diff to BL. Level]]&gt;$W$4,ReportSummary___QR_SAUP[[#This Row],[Diff to BL. Level]]&lt;=$W$5)),1,
OR(AND(ReportSummary___QR_SAUP[[#This Row],[Diff to BL. Level]]&lt;$S$5,ReportSummary___QR_SAUP[[#This Row],[Diff to BL. Level]]&gt;=$S$6),AND(ReportSummary___QR_SAUP[[#This Row],[Diff to BL. Level]]&gt;$W$5,ReportSummary___QR_SAUP[[#This Row],[Diff to BL. Level]]&lt;=$W$6)),2,
OR(AND(ReportSummary___QR_SAUP[[#This Row],[Diff to BL. Level]]&lt;$S$6,ReportSummary___QR_SAUP[[#This Row],[Diff to BL. Level]]&gt;=$S$7),AND(ReportSummary___QR_SAUP[[#This Row],[Diff to BL. Level]]&gt;$W$6,ReportSummary___QR_SAUP[[#This Row],[Diff to BL. Level]]&lt;=$W$7)),3,
OR(ReportSummary___QR_SAUP[[#This Row],[Diff to BL. Level]]&lt;$S$7,ReportSummary___QR_SAUP[[#This Row],[Diff to BL. Level]]&gt;$W$7),4)</f>
        <v>0</v>
      </c>
      <c r="W193" s="77">
        <v>2.5000000023283064E-3</v>
      </c>
      <c r="X193" s="77" cm="1">
        <f t="array" ref="X193">_xlfn.IFS(ReportSummary___QR_SAUP[[#This Row],[Diff to BL. Trans.]]="-",0,
AND(ReportSummary___QR_SAUP[[#This Row],[Diff to BL. Trans.]]&gt;=$S$4,ReportSummary___QR_SAUP[[#This Row],[Diff to BL. Trans.]]&lt;$W$4),0,
OR(AND(ReportSummary___QR_SAUP[[#This Row],[Diff to BL. Trans.]]&lt;$S$4,ReportSummary___QR_SAUP[[#This Row],[Diff to BL. Trans.]]&gt;=$S$5),AND(ReportSummary___QR_SAUP[[#This Row],[Diff to BL. Trans.]]&gt;$W$4,ReportSummary___QR_SAUP[[#This Row],[Diff to BL. Trans.]]&lt;=$W$5)),1,
OR(AND(ReportSummary___QR_SAUP[[#This Row],[Diff to BL. Trans.]]&lt;$S$5,ReportSummary___QR_SAUP[[#This Row],[Diff to BL. Trans.]]&gt;=$S$6),AND(ReportSummary___QR_SAUP[[#This Row],[Diff to BL. Trans.]]&gt;$W$5,ReportSummary___QR_SAUP[[#This Row],[Diff to BL. Trans.]]&lt;=$W$6)),2,
OR(AND(ReportSummary___QR_SAUP[[#This Row],[Diff to BL. Trans.]]&lt;$S$6,ReportSummary___QR_SAUP[[#This Row],[Diff to BL. Trans.]]&gt;=$S$7),AND(ReportSummary___QR_SAUP[[#This Row],[Diff to BL. Trans.]]&gt;$W$6,ReportSummary___QR_SAUP[[#This Row],[Diff to BL. Trans.]]&lt;=$W$7)),3,
OR(ReportSummary___QR_SAUP[[#This Row],[Diff to BL. Trans.]]&lt;$S$7,ReportSummary___QR_SAUP[[#This Row],[Diff to BL. Trans.]]&gt;$W$7),4)</f>
        <v>0</v>
      </c>
      <c r="Y193" s="77">
        <v>-1.3000000035390258E-3</v>
      </c>
      <c r="Z193" s="77" cm="1">
        <f t="array" ref="Z193">_xlfn.IFS(ReportSummary___QR_SAUP[[#This Row],[Diff to BL. Long.]]="-",0,
AND(ReportSummary___QR_SAUP[[#This Row],[Diff to BL. Long.]]&gt;=$S$4,ReportSummary___QR_SAUP[[#This Row],[Diff to BL. Long.]]&lt;$W$4),0,
OR(AND(ReportSummary___QR_SAUP[[#This Row],[Diff to BL. Long.]]&lt;$S$4,ReportSummary___QR_SAUP[[#This Row],[Diff to BL. Long.]]&gt;=$S$5),AND(ReportSummary___QR_SAUP[[#This Row],[Diff to BL. Long.]]&gt;$W$4,ReportSummary___QR_SAUP[[#This Row],[Diff to BL. Long.]]&lt;=$W$5)),1,
OR(AND(ReportSummary___QR_SAUP[[#This Row],[Diff to BL. Long.]]&lt;$S$5,ReportSummary___QR_SAUP[[#This Row],[Diff to BL. Long.]]&gt;=$S$6),AND(ReportSummary___QR_SAUP[[#This Row],[Diff to BL. Long.]]&gt;$W$5,ReportSummary___QR_SAUP[[#This Row],[Diff to BL. Long.]]&lt;=$W$6)),2,
OR(AND(ReportSummary___QR_SAUP[[#This Row],[Diff to BL. Long.]]&lt;$S$6,ReportSummary___QR_SAUP[[#This Row],[Diff to BL. Long.]]&gt;=$S$7),AND(ReportSummary___QR_SAUP[[#This Row],[Diff to BL. Long.]]&gt;$W$6,ReportSummary___QR_SAUP[[#This Row],[Diff to BL. Long.]]&lt;=$W$7)),3,
OR(ReportSummary___QR_SAUP[[#This Row],[Diff to BL. Long.]]&lt;$S$7,ReportSummary___QR_SAUP[[#This Row],[Diff to BL. Long.]]&gt;$W$7),4)</f>
        <v>0</v>
      </c>
      <c r="AA193" s="77" t="str">
        <f>_xlfn.LET(
_xlpm.CurrentReading,ReportSummary___QR_SAUP[[#This Row],[Obs. Easting]],
_xlpm.LastReading,_xlfn.XLOOKUP(ReportSummary___QR_SAUP[[#This Row],[ID]]&amp;"-"&amp;LastSurvey,Readings[Key],Readings[Obs. X],"-"),
IFERROR(IF(OR(_xlpm.LastReading=0, ISBLANK(_xlpm.LastReading), ISBLANK(_xlpm.CurrentReading)),"-", _xlpm.CurrentReading-_xlpm.LastReading),"-"))</f>
        <v>-</v>
      </c>
      <c r="AB193" s="77" t="str">
        <f>_xlfn.LET(
_xlpm.CurrentReading,ReportSummary___QR_SAUP[[#This Row],[Obs. Northing]],
_xlpm.LastReading,_xlfn.XLOOKUP(ReportSummary___QR_SAUP[[#This Row],[ID]]&amp;"-"&amp;LastSurvey,Readings[Key],Readings[Obs. Y],"-"),
IFERROR(IF(OR(_xlpm.LastReading=0, ISBLANK(_xlpm.LastReading), ISBLANK(_xlpm.CurrentReading)),"-", _xlpm.CurrentReading-_xlpm.LastReading),"-"))</f>
        <v>-</v>
      </c>
      <c r="AC193" s="77" t="str">
        <f>_xlfn.LET(
_xlpm.CurrentReading,ReportSummary___QR_SAUP[[#This Row],[Obs. Height]],
_xlpm.LastReading,_xlfn.XLOOKUP(ReportSummary___QR_SAUP[[#This Row],[ID]]&amp;"-"&amp;LastSurvey,Readings[Key],Readings[Obs. Z],"-"),
IFERROR(IF(OR(_xlpm.LastReading=0, ISBLANK(_xlpm.LastReading), ISBLANK(_xlpm.CurrentReading)),"-", _xlpm.CurrentReading-_xlpm.LastReading),"-"))</f>
        <v>-</v>
      </c>
      <c r="AD193" s="107" t="s">
        <v>86</v>
      </c>
      <c r="AE193" s="111"/>
      <c r="AF193" s="1"/>
      <c r="AG193" s="1"/>
      <c r="AH193" s="1"/>
      <c r="AI193" s="1"/>
      <c r="AJ193" s="1"/>
      <c r="AK193" s="1"/>
      <c r="AL193" s="1"/>
      <c r="AM193" s="1"/>
      <c r="AN193" s="1"/>
      <c r="AO193" s="1"/>
      <c r="AP193" s="1"/>
      <c r="AQ193" s="1"/>
      <c r="AR193" s="1"/>
      <c r="AS193" s="1"/>
      <c r="AT193" s="1"/>
    </row>
    <row r="194" spans="7:46" ht="14.25" customHeight="1" x14ac:dyDescent="0.2">
      <c r="AF194" s="1"/>
      <c r="AG194" s="1"/>
      <c r="AH194" s="1"/>
      <c r="AI194" s="1"/>
      <c r="AJ194" s="1"/>
      <c r="AK194" s="1"/>
      <c r="AL194" s="1"/>
      <c r="AM194" s="1"/>
      <c r="AN194" s="1"/>
      <c r="AO194" s="1"/>
      <c r="AP194" s="1"/>
      <c r="AQ194" s="1"/>
      <c r="AR194" s="1"/>
      <c r="AS194" s="1"/>
      <c r="AT194" s="1"/>
    </row>
    <row r="195" spans="7:46" ht="14.25" customHeight="1" x14ac:dyDescent="0.2">
      <c r="AF195" s="1"/>
      <c r="AG195" s="1"/>
      <c r="AH195" s="1"/>
      <c r="AI195" s="1"/>
      <c r="AJ195" s="1"/>
      <c r="AK195" s="1"/>
      <c r="AL195" s="1"/>
      <c r="AM195" s="1"/>
      <c r="AN195" s="1"/>
      <c r="AO195" s="1"/>
      <c r="AP195" s="1"/>
      <c r="AQ195" s="1"/>
      <c r="AR195" s="1"/>
      <c r="AS195" s="1"/>
      <c r="AT195" s="1"/>
    </row>
    <row r="196" spans="7:46" ht="14.25" customHeight="1" x14ac:dyDescent="0.2">
      <c r="AF196" s="1"/>
      <c r="AG196" s="1"/>
      <c r="AH196" s="1"/>
      <c r="AI196" s="1"/>
      <c r="AJ196" s="1"/>
      <c r="AK196" s="1"/>
      <c r="AL196" s="1"/>
      <c r="AM196" s="1"/>
      <c r="AN196" s="1"/>
      <c r="AO196" s="1"/>
      <c r="AP196" s="1"/>
      <c r="AQ196" s="1"/>
      <c r="AR196" s="1"/>
      <c r="AS196" s="1"/>
      <c r="AT196" s="1"/>
    </row>
    <row r="197" spans="7:46" ht="14.25" customHeight="1" x14ac:dyDescent="0.2">
      <c r="AF197" s="1"/>
      <c r="AG197" s="1"/>
      <c r="AH197" s="1"/>
      <c r="AI197" s="1"/>
      <c r="AJ197" s="1"/>
      <c r="AK197" s="1"/>
      <c r="AL197" s="1"/>
      <c r="AM197" s="1"/>
      <c r="AN197" s="1"/>
      <c r="AO197" s="1"/>
      <c r="AP197" s="1"/>
      <c r="AQ197" s="1"/>
      <c r="AR197" s="1"/>
      <c r="AS197" s="1"/>
      <c r="AT197" s="1"/>
    </row>
    <row r="198" spans="7:46" ht="14.25" customHeight="1" x14ac:dyDescent="0.2">
      <c r="AF198" s="1"/>
      <c r="AG198" s="1"/>
      <c r="AH198" s="1"/>
      <c r="AI198" s="1"/>
      <c r="AJ198" s="1"/>
      <c r="AK198" s="1"/>
      <c r="AL198" s="1"/>
      <c r="AM198" s="1"/>
      <c r="AN198" s="1"/>
      <c r="AO198" s="1"/>
      <c r="AP198" s="1"/>
      <c r="AQ198" s="1"/>
      <c r="AR198" s="1"/>
      <c r="AS198" s="1"/>
      <c r="AT198" s="1"/>
    </row>
    <row r="199" spans="7:46" ht="14.25" customHeight="1" x14ac:dyDescent="0.2">
      <c r="AF199" s="1"/>
      <c r="AG199" s="1"/>
      <c r="AH199" s="1"/>
      <c r="AI199" s="1"/>
      <c r="AJ199" s="1"/>
      <c r="AK199" s="1"/>
      <c r="AL199" s="1"/>
      <c r="AM199" s="1"/>
      <c r="AN199" s="1"/>
      <c r="AO199" s="1"/>
      <c r="AP199" s="1"/>
      <c r="AQ199" s="1"/>
      <c r="AR199" s="1"/>
      <c r="AS199" s="1"/>
      <c r="AT199" s="1"/>
    </row>
    <row r="200" spans="7:46" ht="14.25" customHeight="1" x14ac:dyDescent="0.2">
      <c r="AF200" s="1"/>
      <c r="AG200" s="1"/>
      <c r="AH200" s="1"/>
      <c r="AI200" s="1"/>
      <c r="AJ200" s="1"/>
      <c r="AK200" s="1"/>
      <c r="AL200" s="1"/>
      <c r="AM200" s="1"/>
      <c r="AN200" s="1"/>
      <c r="AO200" s="1"/>
      <c r="AP200" s="1"/>
      <c r="AQ200" s="1"/>
      <c r="AR200" s="1"/>
      <c r="AS200" s="1"/>
      <c r="AT200" s="1"/>
    </row>
    <row r="201" spans="7:46" ht="14.25" customHeight="1" x14ac:dyDescent="0.2">
      <c r="AF201" s="1"/>
      <c r="AG201" s="1"/>
      <c r="AH201" s="1"/>
      <c r="AI201" s="1"/>
      <c r="AJ201" s="1"/>
      <c r="AK201" s="1"/>
      <c r="AL201" s="1"/>
      <c r="AM201" s="1"/>
      <c r="AN201" s="1"/>
      <c r="AO201" s="1"/>
      <c r="AP201" s="1"/>
      <c r="AQ201" s="1"/>
      <c r="AR201" s="1"/>
      <c r="AS201" s="1"/>
      <c r="AT201" s="1"/>
    </row>
    <row r="202" spans="7:46" ht="14.25" customHeight="1" x14ac:dyDescent="0.2">
      <c r="AF202" s="1"/>
      <c r="AG202" s="1"/>
      <c r="AH202" s="1"/>
      <c r="AI202" s="1"/>
      <c r="AJ202" s="1"/>
      <c r="AK202" s="1"/>
      <c r="AL202" s="1"/>
      <c r="AM202" s="1"/>
      <c r="AN202" s="1"/>
      <c r="AO202" s="1"/>
      <c r="AP202" s="1"/>
      <c r="AQ202" s="1"/>
      <c r="AR202" s="1"/>
      <c r="AS202" s="1"/>
      <c r="AT202" s="1"/>
    </row>
    <row r="203" spans="7:46" ht="14.25" customHeight="1" x14ac:dyDescent="0.2">
      <c r="AF203" s="1"/>
      <c r="AG203" s="1"/>
      <c r="AH203" s="1"/>
      <c r="AI203" s="1"/>
      <c r="AJ203" s="1"/>
      <c r="AK203" s="1"/>
      <c r="AL203" s="1"/>
      <c r="AM203" s="1"/>
      <c r="AN203" s="1"/>
      <c r="AO203" s="1"/>
      <c r="AP203" s="1"/>
      <c r="AQ203" s="1"/>
      <c r="AR203" s="1"/>
      <c r="AS203" s="1"/>
      <c r="AT203" s="1"/>
    </row>
    <row r="204" spans="7:46" ht="14.25" customHeight="1" x14ac:dyDescent="0.2">
      <c r="AF204" s="1"/>
      <c r="AG204" s="1"/>
      <c r="AH204" s="1"/>
      <c r="AI204" s="1"/>
      <c r="AJ204" s="1"/>
      <c r="AK204" s="1"/>
      <c r="AL204" s="1"/>
      <c r="AM204" s="1"/>
      <c r="AN204" s="1"/>
      <c r="AO204" s="1"/>
      <c r="AP204" s="1"/>
      <c r="AQ204" s="1"/>
      <c r="AR204" s="1"/>
      <c r="AS204" s="1"/>
      <c r="AT204" s="1"/>
    </row>
    <row r="205" spans="7:46" ht="14.25" customHeight="1" x14ac:dyDescent="0.2">
      <c r="AF205" s="1"/>
      <c r="AG205" s="1"/>
      <c r="AH205" s="1"/>
      <c r="AI205" s="1"/>
      <c r="AJ205" s="1"/>
      <c r="AK205" s="1"/>
      <c r="AL205" s="1"/>
      <c r="AM205" s="1"/>
      <c r="AN205" s="1"/>
      <c r="AO205" s="1"/>
      <c r="AP205" s="1"/>
      <c r="AQ205" s="1"/>
      <c r="AR205" s="1"/>
      <c r="AS205" s="1"/>
      <c r="AT205" s="1"/>
    </row>
    <row r="206" spans="7:46" ht="14.25" customHeight="1" x14ac:dyDescent="0.2">
      <c r="AF206" s="1"/>
      <c r="AG206" s="1"/>
      <c r="AH206" s="1"/>
      <c r="AI206" s="1"/>
      <c r="AJ206" s="1"/>
      <c r="AK206" s="1"/>
      <c r="AL206" s="1"/>
      <c r="AM206" s="1"/>
      <c r="AN206" s="1"/>
      <c r="AO206" s="1"/>
      <c r="AP206" s="1"/>
      <c r="AQ206" s="1"/>
      <c r="AR206" s="1"/>
      <c r="AS206" s="1"/>
      <c r="AT206" s="1"/>
    </row>
    <row r="207" spans="7:46" ht="14.25" customHeight="1" x14ac:dyDescent="0.2">
      <c r="AF207" s="1"/>
      <c r="AG207" s="1"/>
      <c r="AH207" s="1"/>
      <c r="AI207" s="1"/>
      <c r="AJ207" s="1"/>
      <c r="AK207" s="1"/>
      <c r="AL207" s="1"/>
      <c r="AM207" s="1"/>
      <c r="AN207" s="1"/>
      <c r="AO207" s="1"/>
      <c r="AP207" s="1"/>
      <c r="AQ207" s="1"/>
      <c r="AR207" s="1"/>
      <c r="AS207" s="1"/>
      <c r="AT207" s="1"/>
    </row>
    <row r="208" spans="7:46" ht="14.25" customHeight="1" x14ac:dyDescent="0.2">
      <c r="AF208" s="1"/>
      <c r="AG208" s="1"/>
      <c r="AH208" s="1"/>
      <c r="AI208" s="1"/>
      <c r="AJ208" s="1"/>
      <c r="AK208" s="1"/>
      <c r="AL208" s="1"/>
      <c r="AM208" s="1"/>
      <c r="AN208" s="1"/>
      <c r="AO208" s="1"/>
      <c r="AP208" s="1"/>
      <c r="AQ208" s="1"/>
      <c r="AR208" s="1"/>
      <c r="AS208" s="1"/>
      <c r="AT208" s="1"/>
    </row>
    <row r="209" spans="32:46" ht="14.25" customHeight="1" x14ac:dyDescent="0.2">
      <c r="AF209" s="1"/>
      <c r="AG209" s="1"/>
      <c r="AH209" s="1"/>
      <c r="AI209" s="1"/>
      <c r="AJ209" s="1"/>
      <c r="AK209" s="1"/>
      <c r="AL209" s="1"/>
      <c r="AM209" s="1"/>
      <c r="AN209" s="1"/>
      <c r="AO209" s="1"/>
      <c r="AP209" s="1"/>
      <c r="AQ209" s="1"/>
      <c r="AR209" s="1"/>
      <c r="AS209" s="1"/>
      <c r="AT209" s="1"/>
    </row>
    <row r="210" spans="32:46" ht="14.25" customHeight="1" x14ac:dyDescent="0.2">
      <c r="AF210" s="1"/>
      <c r="AG210" s="1"/>
      <c r="AH210" s="1"/>
      <c r="AI210" s="1"/>
      <c r="AJ210" s="1"/>
      <c r="AK210" s="1"/>
      <c r="AL210" s="1"/>
      <c r="AM210" s="1"/>
      <c r="AN210" s="1"/>
      <c r="AO210" s="1"/>
      <c r="AP210" s="1"/>
      <c r="AQ210" s="1"/>
      <c r="AR210" s="1"/>
      <c r="AS210" s="1"/>
      <c r="AT210" s="1"/>
    </row>
    <row r="211" spans="32:46" ht="14.25" customHeight="1" x14ac:dyDescent="0.2">
      <c r="AN211" s="1"/>
      <c r="AO211" s="1"/>
      <c r="AP211" s="1"/>
      <c r="AQ211" s="1"/>
      <c r="AR211" s="1"/>
      <c r="AS211" s="1"/>
      <c r="AT211" s="1"/>
    </row>
    <row r="212" spans="32:46" ht="14.25" customHeight="1" x14ac:dyDescent="0.2">
      <c r="AN212" s="1"/>
      <c r="AO212" s="1"/>
      <c r="AP212" s="1"/>
      <c r="AQ212" s="1"/>
      <c r="AR212" s="1"/>
      <c r="AS212" s="1"/>
      <c r="AT212" s="1"/>
    </row>
    <row r="213" spans="32:46" ht="14.25" customHeight="1" x14ac:dyDescent="0.2">
      <c r="AN213" s="1"/>
      <c r="AO213" s="1"/>
      <c r="AP213" s="1"/>
      <c r="AQ213" s="1"/>
      <c r="AR213" s="1"/>
      <c r="AS213" s="1"/>
      <c r="AT213" s="1"/>
    </row>
    <row r="214" spans="32:46" ht="14.25" customHeight="1" x14ac:dyDescent="0.2">
      <c r="AN214" s="1"/>
      <c r="AO214" s="1"/>
      <c r="AP214" s="1"/>
      <c r="AQ214" s="1"/>
      <c r="AR214" s="1"/>
      <c r="AS214" s="1"/>
      <c r="AT214" s="1"/>
    </row>
    <row r="215" spans="32:46" ht="14.25" customHeight="1" x14ac:dyDescent="0.2">
      <c r="AN215" s="1"/>
      <c r="AO215" s="1"/>
      <c r="AP215" s="1"/>
      <c r="AQ215" s="1"/>
      <c r="AR215" s="1"/>
      <c r="AS215" s="1"/>
      <c r="AT215" s="1"/>
    </row>
    <row r="216" spans="32:46" ht="14.25" customHeight="1" x14ac:dyDescent="0.2">
      <c r="AN216" s="1"/>
      <c r="AO216" s="1"/>
      <c r="AP216" s="1"/>
      <c r="AQ216" s="1"/>
      <c r="AR216" s="1"/>
      <c r="AS216" s="1"/>
      <c r="AT216" s="1"/>
    </row>
    <row r="217" spans="32:46" ht="14.25" customHeight="1" x14ac:dyDescent="0.2">
      <c r="AN217" s="1"/>
      <c r="AO217" s="1"/>
      <c r="AP217" s="1"/>
      <c r="AQ217" s="1"/>
      <c r="AR217" s="1"/>
      <c r="AS217" s="1"/>
      <c r="AT217" s="1"/>
    </row>
    <row r="218" spans="32:46" ht="14.25" customHeight="1" x14ac:dyDescent="0.2">
      <c r="AN218" s="1"/>
      <c r="AO218" s="1"/>
      <c r="AP218" s="1"/>
      <c r="AQ218" s="1"/>
      <c r="AR218" s="1"/>
      <c r="AS218" s="1"/>
      <c r="AT218" s="1"/>
    </row>
    <row r="219" spans="32:46" ht="14.25" customHeight="1" x14ac:dyDescent="0.2">
      <c r="AN219" s="1"/>
      <c r="AO219" s="1"/>
      <c r="AP219" s="1"/>
      <c r="AQ219" s="1"/>
      <c r="AR219" s="1"/>
      <c r="AS219" s="1"/>
      <c r="AT219" s="1"/>
    </row>
    <row r="220" spans="32:46" ht="14.25" customHeight="1" x14ac:dyDescent="0.2">
      <c r="AN220" s="1"/>
      <c r="AO220" s="1"/>
      <c r="AP220" s="1"/>
      <c r="AQ220" s="1"/>
      <c r="AR220" s="1"/>
      <c r="AS220" s="1"/>
      <c r="AT220" s="1"/>
    </row>
    <row r="221" spans="32:46" ht="14.25" customHeight="1" x14ac:dyDescent="0.2">
      <c r="AN221" s="1"/>
      <c r="AO221" s="1"/>
      <c r="AP221" s="1"/>
      <c r="AQ221" s="1"/>
      <c r="AR221" s="1"/>
      <c r="AS221" s="1"/>
      <c r="AT221" s="1"/>
    </row>
    <row r="222" spans="32:46" ht="14.25" customHeight="1" x14ac:dyDescent="0.2">
      <c r="AN222" s="1"/>
      <c r="AO222" s="1"/>
      <c r="AP222" s="1"/>
      <c r="AQ222" s="1"/>
      <c r="AR222" s="1"/>
      <c r="AS222" s="1"/>
      <c r="AT222" s="1"/>
    </row>
    <row r="223" spans="32:46" ht="14.25" customHeight="1" x14ac:dyDescent="0.2">
      <c r="AN223" s="1"/>
      <c r="AO223" s="1"/>
      <c r="AP223" s="1"/>
      <c r="AQ223" s="1"/>
      <c r="AR223" s="1"/>
      <c r="AS223" s="1"/>
      <c r="AT223" s="1"/>
    </row>
    <row r="224" spans="32:46" ht="14.25" customHeight="1" x14ac:dyDescent="0.2">
      <c r="AN224" s="1"/>
      <c r="AO224" s="1"/>
      <c r="AP224" s="1"/>
      <c r="AQ224" s="1"/>
      <c r="AR224" s="1"/>
      <c r="AS224" s="1"/>
      <c r="AT224" s="1"/>
    </row>
    <row r="225" spans="40:46" ht="14.25" customHeight="1" x14ac:dyDescent="0.2">
      <c r="AN225" s="1"/>
      <c r="AO225" s="1"/>
      <c r="AP225" s="1"/>
      <c r="AQ225" s="1"/>
      <c r="AR225" s="1"/>
      <c r="AS225" s="1"/>
      <c r="AT225" s="1"/>
    </row>
    <row r="226" spans="40:46" ht="14.25" customHeight="1" x14ac:dyDescent="0.2">
      <c r="AN226" s="1"/>
      <c r="AO226" s="1"/>
      <c r="AP226" s="1"/>
      <c r="AQ226" s="1"/>
      <c r="AR226" s="1"/>
      <c r="AS226" s="1"/>
      <c r="AT226" s="1"/>
    </row>
    <row r="227" spans="40:46" ht="14.25" customHeight="1" x14ac:dyDescent="0.2">
      <c r="AN227" s="1"/>
      <c r="AO227" s="1"/>
      <c r="AP227" s="1"/>
      <c r="AQ227" s="1"/>
      <c r="AR227" s="1"/>
      <c r="AS227" s="1"/>
      <c r="AT227" s="1"/>
    </row>
    <row r="228" spans="40:46" ht="14.25" customHeight="1" x14ac:dyDescent="0.2">
      <c r="AN228" s="1"/>
      <c r="AO228" s="1"/>
      <c r="AP228" s="1"/>
      <c r="AQ228" s="1"/>
      <c r="AR228" s="1"/>
      <c r="AS228" s="1"/>
      <c r="AT228" s="1"/>
    </row>
    <row r="229" spans="40:46" ht="14.25" customHeight="1" x14ac:dyDescent="0.2">
      <c r="AN229" s="1"/>
      <c r="AO229" s="1"/>
      <c r="AP229" s="1"/>
      <c r="AQ229" s="1"/>
      <c r="AR229" s="1"/>
      <c r="AS229" s="1"/>
      <c r="AT229" s="1"/>
    </row>
    <row r="230" spans="40:46" ht="14.25" customHeight="1" x14ac:dyDescent="0.2">
      <c r="AN230" s="1"/>
      <c r="AO230" s="1"/>
      <c r="AP230" s="1"/>
      <c r="AQ230" s="1"/>
      <c r="AR230" s="1"/>
      <c r="AS230" s="1"/>
      <c r="AT230" s="1"/>
    </row>
    <row r="231" spans="40:46" ht="14.25" customHeight="1" x14ac:dyDescent="0.2">
      <c r="AN231" s="1"/>
      <c r="AO231" s="1"/>
      <c r="AP231" s="1"/>
      <c r="AQ231" s="1"/>
      <c r="AR231" s="1"/>
      <c r="AS231" s="1"/>
      <c r="AT231" s="1"/>
    </row>
    <row r="232" spans="40:46" ht="14.25" customHeight="1" x14ac:dyDescent="0.2">
      <c r="AN232" s="1"/>
      <c r="AO232" s="1"/>
      <c r="AP232" s="1"/>
      <c r="AQ232" s="1"/>
      <c r="AR232" s="1"/>
      <c r="AS232" s="1"/>
      <c r="AT232" s="1"/>
    </row>
    <row r="233" spans="40:46" ht="14.25" customHeight="1" x14ac:dyDescent="0.2">
      <c r="AN233" s="1"/>
      <c r="AO233" s="1"/>
      <c r="AP233" s="1"/>
      <c r="AQ233" s="1"/>
      <c r="AR233" s="1"/>
      <c r="AS233" s="1"/>
      <c r="AT233" s="1"/>
    </row>
    <row r="234" spans="40:46" ht="14.25" customHeight="1" x14ac:dyDescent="0.2">
      <c r="AN234" s="1"/>
      <c r="AO234" s="1"/>
      <c r="AP234" s="1"/>
      <c r="AQ234" s="1"/>
      <c r="AR234" s="1"/>
      <c r="AS234" s="1"/>
      <c r="AT234" s="1"/>
    </row>
    <row r="235" spans="40:46" ht="14.25" customHeight="1" x14ac:dyDescent="0.2">
      <c r="AN235" s="1"/>
      <c r="AO235" s="1"/>
      <c r="AP235" s="1"/>
      <c r="AQ235" s="1"/>
      <c r="AR235" s="1"/>
      <c r="AS235" s="1"/>
      <c r="AT235" s="1"/>
    </row>
    <row r="236" spans="40:46" ht="14.25" customHeight="1" x14ac:dyDescent="0.2">
      <c r="AN236" s="1"/>
      <c r="AO236" s="1"/>
      <c r="AP236" s="1"/>
      <c r="AQ236" s="1"/>
      <c r="AR236" s="1"/>
      <c r="AS236" s="1"/>
      <c r="AT236" s="1"/>
    </row>
    <row r="237" spans="40:46" ht="14.25" customHeight="1" x14ac:dyDescent="0.2">
      <c r="AN237" s="1"/>
      <c r="AO237" s="1"/>
      <c r="AP237" s="1"/>
      <c r="AQ237" s="1"/>
      <c r="AR237" s="1"/>
      <c r="AS237" s="1"/>
      <c r="AT237" s="1"/>
    </row>
    <row r="238" spans="40:46" ht="14.25" customHeight="1" x14ac:dyDescent="0.2">
      <c r="AN238" s="1"/>
      <c r="AO238" s="1"/>
      <c r="AP238" s="1"/>
      <c r="AQ238" s="1"/>
      <c r="AR238" s="1"/>
      <c r="AS238" s="1"/>
      <c r="AT238" s="1"/>
    </row>
    <row r="239" spans="40:46" ht="14.25" customHeight="1" x14ac:dyDescent="0.2">
      <c r="AN239" s="1"/>
      <c r="AO239" s="1"/>
      <c r="AP239" s="1"/>
      <c r="AQ239" s="1"/>
      <c r="AR239" s="1"/>
      <c r="AS239" s="1"/>
      <c r="AT239" s="1"/>
    </row>
    <row r="240" spans="40:46" ht="14.25" customHeight="1" x14ac:dyDescent="0.2">
      <c r="AN240" s="1"/>
      <c r="AO240" s="1"/>
      <c r="AP240" s="1"/>
      <c r="AQ240" s="1"/>
      <c r="AR240" s="1"/>
      <c r="AS240" s="1"/>
      <c r="AT240" s="1"/>
    </row>
    <row r="241" spans="40:46" ht="14.25" customHeight="1" x14ac:dyDescent="0.2">
      <c r="AN241" s="1"/>
      <c r="AO241" s="1"/>
      <c r="AP241" s="1"/>
      <c r="AQ241" s="1"/>
      <c r="AR241" s="1"/>
      <c r="AS241" s="1"/>
      <c r="AT241" s="1"/>
    </row>
    <row r="242" spans="40:46" ht="14.25" customHeight="1" x14ac:dyDescent="0.2">
      <c r="AN242" s="1"/>
      <c r="AO242" s="1"/>
      <c r="AP242" s="1"/>
      <c r="AQ242" s="1"/>
      <c r="AR242" s="1"/>
      <c r="AS242" s="1"/>
      <c r="AT242" s="1"/>
    </row>
    <row r="243" spans="40:46" ht="14.25" customHeight="1" x14ac:dyDescent="0.2">
      <c r="AN243" s="1"/>
      <c r="AO243" s="1"/>
      <c r="AP243" s="1"/>
      <c r="AQ243" s="1"/>
      <c r="AR243" s="1"/>
      <c r="AS243" s="1"/>
      <c r="AT243" s="1"/>
    </row>
    <row r="244" spans="40:46" ht="14.25" customHeight="1" x14ac:dyDescent="0.2">
      <c r="AN244" s="1"/>
      <c r="AO244" s="1"/>
      <c r="AP244" s="1"/>
      <c r="AQ244" s="1"/>
      <c r="AR244" s="1"/>
      <c r="AS244" s="1"/>
      <c r="AT244" s="1"/>
    </row>
    <row r="245" spans="40:46" ht="14.25" customHeight="1" x14ac:dyDescent="0.2">
      <c r="AN245" s="1"/>
      <c r="AO245" s="1"/>
      <c r="AP245" s="1"/>
      <c r="AQ245" s="1"/>
      <c r="AR245" s="1"/>
      <c r="AS245" s="1"/>
      <c r="AT245" s="1"/>
    </row>
    <row r="246" spans="40:46" ht="14.25" customHeight="1" x14ac:dyDescent="0.2">
      <c r="AN246" s="1"/>
      <c r="AO246" s="1"/>
      <c r="AP246" s="1"/>
      <c r="AQ246" s="1"/>
      <c r="AR246" s="1"/>
      <c r="AS246" s="1"/>
      <c r="AT246" s="1"/>
    </row>
    <row r="247" spans="40:46" ht="14.25" customHeight="1" x14ac:dyDescent="0.2">
      <c r="AN247" s="1"/>
      <c r="AO247" s="1"/>
      <c r="AP247" s="1"/>
      <c r="AQ247" s="1"/>
      <c r="AR247" s="1"/>
      <c r="AS247" s="1"/>
      <c r="AT247" s="1"/>
    </row>
    <row r="248" spans="40:46" ht="14.25" customHeight="1" x14ac:dyDescent="0.2">
      <c r="AN248" s="1"/>
      <c r="AO248" s="1"/>
      <c r="AP248" s="1"/>
      <c r="AQ248" s="1"/>
      <c r="AR248" s="1"/>
      <c r="AS248" s="1"/>
      <c r="AT248" s="1"/>
    </row>
    <row r="249" spans="40:46" ht="14.25" customHeight="1" x14ac:dyDescent="0.2">
      <c r="AN249" s="1"/>
      <c r="AO249" s="1"/>
      <c r="AP249" s="1"/>
      <c r="AQ249" s="1"/>
      <c r="AR249" s="1"/>
      <c r="AS249" s="1"/>
      <c r="AT249" s="1"/>
    </row>
    <row r="250" spans="40:46" ht="14.25" customHeight="1" x14ac:dyDescent="0.2">
      <c r="AN250" s="1"/>
      <c r="AO250" s="1"/>
      <c r="AP250" s="1"/>
      <c r="AQ250" s="1"/>
      <c r="AR250" s="1"/>
      <c r="AS250" s="1"/>
      <c r="AT250" s="1"/>
    </row>
    <row r="251" spans="40:46" ht="14.25" customHeight="1" x14ac:dyDescent="0.2">
      <c r="AN251" s="1"/>
      <c r="AO251" s="1"/>
      <c r="AP251" s="1"/>
      <c r="AQ251" s="1"/>
      <c r="AR251" s="1"/>
      <c r="AS251" s="1"/>
      <c r="AT251" s="1"/>
    </row>
    <row r="252" spans="40:46" ht="14.25" customHeight="1" x14ac:dyDescent="0.2">
      <c r="AN252" s="1"/>
      <c r="AO252" s="1"/>
      <c r="AP252" s="1"/>
      <c r="AQ252" s="1"/>
      <c r="AR252" s="1"/>
      <c r="AS252" s="1"/>
      <c r="AT252" s="1"/>
    </row>
    <row r="253" spans="40:46" ht="14.25" customHeight="1" x14ac:dyDescent="0.2">
      <c r="AN253" s="1"/>
      <c r="AO253" s="1"/>
      <c r="AP253" s="1"/>
      <c r="AQ253" s="1"/>
      <c r="AR253" s="1"/>
      <c r="AS253" s="1"/>
      <c r="AT253" s="1"/>
    </row>
    <row r="254" spans="40:46" ht="14.25" customHeight="1" x14ac:dyDescent="0.2">
      <c r="AN254" s="1"/>
      <c r="AO254" s="1"/>
      <c r="AP254" s="1"/>
      <c r="AQ254" s="1"/>
      <c r="AR254" s="1"/>
      <c r="AS254" s="1"/>
      <c r="AT254" s="1"/>
    </row>
    <row r="255" spans="40:46" ht="14.25" customHeight="1" x14ac:dyDescent="0.2">
      <c r="AN255" s="1"/>
      <c r="AO255" s="1"/>
      <c r="AP255" s="1"/>
      <c r="AQ255" s="1"/>
      <c r="AR255" s="1"/>
      <c r="AS255" s="1"/>
      <c r="AT255" s="1"/>
    </row>
    <row r="256" spans="40:46" ht="14.25" customHeight="1" x14ac:dyDescent="0.2">
      <c r="AN256" s="1"/>
      <c r="AO256" s="1"/>
      <c r="AP256" s="1"/>
      <c r="AQ256" s="1"/>
      <c r="AR256" s="1"/>
      <c r="AS256" s="1"/>
      <c r="AT256" s="1"/>
    </row>
    <row r="257" spans="40:46" ht="14.25" customHeight="1" x14ac:dyDescent="0.2">
      <c r="AN257" s="1"/>
      <c r="AO257" s="1"/>
      <c r="AP257" s="1"/>
      <c r="AQ257" s="1"/>
      <c r="AR257" s="1"/>
      <c r="AS257" s="1"/>
      <c r="AT257" s="1"/>
    </row>
    <row r="258" spans="40:46" ht="14.25" customHeight="1" x14ac:dyDescent="0.2">
      <c r="AN258" s="1"/>
      <c r="AO258" s="1"/>
      <c r="AP258" s="1"/>
      <c r="AQ258" s="1"/>
      <c r="AR258" s="1"/>
      <c r="AS258" s="1"/>
      <c r="AT258" s="1"/>
    </row>
    <row r="259" spans="40:46" ht="14.25" customHeight="1" x14ac:dyDescent="0.2">
      <c r="AN259" s="1"/>
      <c r="AO259" s="1"/>
      <c r="AP259" s="1"/>
      <c r="AQ259" s="1"/>
      <c r="AR259" s="1"/>
      <c r="AS259" s="1"/>
      <c r="AT259" s="1"/>
    </row>
    <row r="260" spans="40:46" ht="14.25" customHeight="1" x14ac:dyDescent="0.2">
      <c r="AP260" s="1"/>
      <c r="AQ260" s="1"/>
      <c r="AR260" s="1"/>
      <c r="AS260" s="1"/>
      <c r="AT260" s="1"/>
    </row>
    <row r="261" spans="40:46" ht="14.25" customHeight="1" x14ac:dyDescent="0.2">
      <c r="AP261" s="1"/>
      <c r="AQ261" s="1"/>
      <c r="AR261" s="1"/>
      <c r="AS261" s="1"/>
      <c r="AT261" s="1"/>
    </row>
    <row r="262" spans="40:46" ht="14.25" customHeight="1" x14ac:dyDescent="0.2">
      <c r="AP262" s="1"/>
      <c r="AQ262" s="1"/>
      <c r="AR262" s="1"/>
      <c r="AS262" s="1"/>
      <c r="AT262" s="1"/>
    </row>
    <row r="263" spans="40:46" ht="14.25" customHeight="1" x14ac:dyDescent="0.2">
      <c r="AP263" s="1"/>
      <c r="AQ263" s="1"/>
      <c r="AR263" s="1"/>
      <c r="AS263" s="1"/>
      <c r="AT263" s="1"/>
    </row>
    <row r="264" spans="40:46" ht="14.25" customHeight="1" x14ac:dyDescent="0.2">
      <c r="AP264" s="1"/>
      <c r="AQ264" s="1"/>
      <c r="AR264" s="1"/>
      <c r="AS264" s="1"/>
      <c r="AT264" s="1"/>
    </row>
    <row r="265" spans="40:46" ht="14.25" customHeight="1" x14ac:dyDescent="0.2">
      <c r="AP265" s="1"/>
      <c r="AQ265" s="1"/>
      <c r="AR265" s="1"/>
      <c r="AS265" s="1"/>
      <c r="AT265" s="1"/>
    </row>
    <row r="266" spans="40:46" ht="14.25" customHeight="1" x14ac:dyDescent="0.2">
      <c r="AP266" s="1"/>
      <c r="AQ266" s="1"/>
      <c r="AR266" s="1"/>
      <c r="AS266" s="1"/>
      <c r="AT266" s="1"/>
    </row>
    <row r="267" spans="40:46" ht="14.25" customHeight="1" x14ac:dyDescent="0.2">
      <c r="AP267" s="1"/>
      <c r="AQ267" s="1"/>
      <c r="AR267" s="1"/>
      <c r="AS267" s="1"/>
      <c r="AT267" s="1"/>
    </row>
    <row r="268" spans="40:46" ht="14.25" customHeight="1" x14ac:dyDescent="0.2">
      <c r="AP268" s="1"/>
      <c r="AQ268" s="1"/>
      <c r="AR268" s="1"/>
      <c r="AS268" s="1"/>
      <c r="AT268" s="1"/>
    </row>
    <row r="269" spans="40:46" ht="14.25" customHeight="1" x14ac:dyDescent="0.2">
      <c r="AP269" s="1"/>
      <c r="AQ269" s="1"/>
      <c r="AR269" s="1"/>
      <c r="AS269" s="1"/>
      <c r="AT269" s="1"/>
    </row>
    <row r="270" spans="40:46" ht="14.25" customHeight="1" x14ac:dyDescent="0.2">
      <c r="AP270" s="1"/>
      <c r="AQ270" s="1"/>
      <c r="AR270" s="1"/>
      <c r="AS270" s="1"/>
      <c r="AT270" s="1"/>
    </row>
    <row r="271" spans="40:46" ht="14.25" customHeight="1" x14ac:dyDescent="0.2">
      <c r="AP271" s="1"/>
      <c r="AQ271" s="1"/>
      <c r="AR271" s="1"/>
      <c r="AS271" s="1"/>
      <c r="AT271" s="1"/>
    </row>
    <row r="272" spans="40:46" ht="14.25" customHeight="1" x14ac:dyDescent="0.2">
      <c r="AP272" s="1"/>
      <c r="AQ272" s="1"/>
      <c r="AR272" s="1"/>
      <c r="AS272" s="1"/>
      <c r="AT272" s="1"/>
    </row>
    <row r="273" spans="42:46" ht="14.25" customHeight="1" x14ac:dyDescent="0.2">
      <c r="AP273" s="1"/>
      <c r="AQ273" s="1"/>
      <c r="AR273" s="1"/>
      <c r="AS273" s="1"/>
      <c r="AT273" s="1"/>
    </row>
    <row r="274" spans="42:46" ht="14.25" customHeight="1" x14ac:dyDescent="0.2">
      <c r="AP274" s="1"/>
      <c r="AQ274" s="1"/>
      <c r="AR274" s="1"/>
      <c r="AS274" s="1"/>
      <c r="AT274" s="1"/>
    </row>
    <row r="275" spans="42:46" ht="14.25" customHeight="1" x14ac:dyDescent="0.2">
      <c r="AP275" s="1"/>
      <c r="AQ275" s="1"/>
      <c r="AR275" s="1"/>
      <c r="AS275" s="1"/>
      <c r="AT275" s="1"/>
    </row>
    <row r="276" spans="42:46" ht="14.25" customHeight="1" x14ac:dyDescent="0.2">
      <c r="AP276" s="1"/>
      <c r="AQ276" s="1"/>
      <c r="AR276" s="1"/>
      <c r="AS276" s="1"/>
      <c r="AT276" s="1"/>
    </row>
    <row r="277" spans="42:46" ht="14.25" customHeight="1" x14ac:dyDescent="0.2">
      <c r="AP277" s="1"/>
      <c r="AQ277" s="1"/>
      <c r="AR277" s="1"/>
      <c r="AS277" s="1"/>
      <c r="AT277" s="1"/>
    </row>
    <row r="278" spans="42:46" ht="14.25" customHeight="1" x14ac:dyDescent="0.2">
      <c r="AP278" s="1"/>
      <c r="AQ278" s="1"/>
      <c r="AR278" s="1"/>
      <c r="AS278" s="1"/>
      <c r="AT278" s="1"/>
    </row>
    <row r="279" spans="42:46" ht="14.25" customHeight="1" x14ac:dyDescent="0.2">
      <c r="AP279" s="1"/>
      <c r="AQ279" s="1"/>
      <c r="AR279" s="1"/>
      <c r="AS279" s="1"/>
      <c r="AT279" s="1"/>
    </row>
    <row r="280" spans="42:46" ht="14.25" customHeight="1" x14ac:dyDescent="0.2">
      <c r="AP280" s="1"/>
      <c r="AQ280" s="1"/>
      <c r="AR280" s="1"/>
      <c r="AS280" s="1"/>
      <c r="AT280" s="1"/>
    </row>
    <row r="281" spans="42:46" ht="14.25" customHeight="1" x14ac:dyDescent="0.2">
      <c r="AP281" s="1"/>
      <c r="AQ281" s="1"/>
      <c r="AR281" s="1"/>
      <c r="AS281" s="1"/>
      <c r="AT281" s="1"/>
    </row>
    <row r="282" spans="42:46" ht="14.25" customHeight="1" x14ac:dyDescent="0.2">
      <c r="AP282" s="1"/>
      <c r="AQ282" s="1"/>
      <c r="AR282" s="1"/>
      <c r="AS282" s="1"/>
      <c r="AT282" s="1"/>
    </row>
    <row r="283" spans="42:46" ht="14.25" customHeight="1" x14ac:dyDescent="0.2">
      <c r="AP283" s="1"/>
      <c r="AQ283" s="1"/>
      <c r="AR283" s="1"/>
      <c r="AS283" s="1"/>
      <c r="AT283" s="1"/>
    </row>
    <row r="284" spans="42:46" ht="14.25" customHeight="1" x14ac:dyDescent="0.2">
      <c r="AP284" s="1"/>
      <c r="AQ284" s="1"/>
      <c r="AR284" s="1"/>
      <c r="AS284" s="1"/>
      <c r="AT284" s="1"/>
    </row>
    <row r="285" spans="42:46" ht="14.25" customHeight="1" x14ac:dyDescent="0.2">
      <c r="AP285" s="1"/>
      <c r="AQ285" s="1"/>
      <c r="AR285" s="1"/>
      <c r="AS285" s="1"/>
      <c r="AT285" s="1"/>
    </row>
    <row r="286" spans="42:46" ht="14.25" customHeight="1" x14ac:dyDescent="0.2">
      <c r="AP286" s="1"/>
      <c r="AQ286" s="1"/>
      <c r="AR286" s="1"/>
      <c r="AS286" s="1"/>
      <c r="AT286" s="1"/>
    </row>
    <row r="287" spans="42:46" ht="14.25" customHeight="1" x14ac:dyDescent="0.2">
      <c r="AP287" s="1"/>
      <c r="AQ287" s="1"/>
      <c r="AR287" s="1"/>
      <c r="AS287" s="1"/>
      <c r="AT287" s="1"/>
    </row>
    <row r="288" spans="42:46" ht="14.25" customHeight="1" x14ac:dyDescent="0.2">
      <c r="AP288" s="1"/>
      <c r="AQ288" s="1"/>
      <c r="AR288" s="1"/>
      <c r="AS288" s="1"/>
      <c r="AT288" s="1"/>
    </row>
    <row r="289" spans="42:46" ht="14.25" customHeight="1" x14ac:dyDescent="0.2">
      <c r="AP289" s="1"/>
      <c r="AQ289" s="1"/>
      <c r="AR289" s="1"/>
      <c r="AS289" s="1"/>
      <c r="AT289" s="1"/>
    </row>
    <row r="290" spans="42:46" ht="14.25" customHeight="1" x14ac:dyDescent="0.2">
      <c r="AP290" s="1"/>
      <c r="AQ290" s="1"/>
      <c r="AR290" s="1"/>
      <c r="AS290" s="1"/>
      <c r="AT290" s="1"/>
    </row>
    <row r="291" spans="42:46" ht="14.25" customHeight="1" x14ac:dyDescent="0.2">
      <c r="AP291" s="1"/>
      <c r="AQ291" s="1"/>
      <c r="AR291" s="1"/>
      <c r="AS291" s="1"/>
      <c r="AT291" s="1"/>
    </row>
    <row r="292" spans="42:46" ht="14.25" customHeight="1" x14ac:dyDescent="0.2">
      <c r="AP292" s="1"/>
      <c r="AQ292" s="1"/>
      <c r="AR292" s="1"/>
      <c r="AS292" s="1"/>
      <c r="AT292" s="1"/>
    </row>
    <row r="293" spans="42:46" ht="14.25" customHeight="1" x14ac:dyDescent="0.2">
      <c r="AP293" s="1"/>
      <c r="AQ293" s="1"/>
      <c r="AR293" s="1"/>
      <c r="AS293" s="1"/>
      <c r="AT293" s="1"/>
    </row>
    <row r="294" spans="42:46" ht="14.25" customHeight="1" x14ac:dyDescent="0.2">
      <c r="AP294" s="1"/>
      <c r="AQ294" s="1"/>
      <c r="AR294" s="1"/>
      <c r="AS294" s="1"/>
      <c r="AT294" s="1"/>
    </row>
    <row r="295" spans="42:46" ht="14.25" customHeight="1" x14ac:dyDescent="0.2">
      <c r="AP295" s="1"/>
      <c r="AQ295" s="1"/>
      <c r="AR295" s="1"/>
      <c r="AS295" s="1"/>
      <c r="AT295" s="1"/>
    </row>
    <row r="296" spans="42:46" ht="14.25" customHeight="1" x14ac:dyDescent="0.2">
      <c r="AP296" s="1"/>
      <c r="AQ296" s="1"/>
      <c r="AR296" s="1"/>
      <c r="AS296" s="1"/>
      <c r="AT296" s="1"/>
    </row>
    <row r="297" spans="42:46" ht="14.25" customHeight="1" x14ac:dyDescent="0.2">
      <c r="AP297" s="1"/>
      <c r="AQ297" s="1"/>
      <c r="AR297" s="1"/>
      <c r="AS297" s="1"/>
      <c r="AT297" s="1"/>
    </row>
    <row r="298" spans="42:46" ht="14.25" customHeight="1" x14ac:dyDescent="0.2">
      <c r="AP298" s="1"/>
      <c r="AQ298" s="1"/>
      <c r="AR298" s="1"/>
      <c r="AS298" s="1"/>
      <c r="AT298" s="1"/>
    </row>
    <row r="299" spans="42:46" ht="14.25" customHeight="1" x14ac:dyDescent="0.2">
      <c r="AP299" s="1"/>
      <c r="AQ299" s="1"/>
      <c r="AR299" s="1"/>
      <c r="AS299" s="1"/>
      <c r="AT299" s="1"/>
    </row>
    <row r="300" spans="42:46" ht="14.25" customHeight="1" x14ac:dyDescent="0.2">
      <c r="AP300" s="1"/>
      <c r="AQ300" s="1"/>
      <c r="AR300" s="1"/>
      <c r="AS300" s="1"/>
      <c r="AT300" s="1"/>
    </row>
    <row r="301" spans="42:46" ht="14.25" customHeight="1" x14ac:dyDescent="0.2">
      <c r="AP301" s="1"/>
      <c r="AQ301" s="1"/>
      <c r="AR301" s="1"/>
      <c r="AS301" s="1"/>
      <c r="AT301" s="1"/>
    </row>
    <row r="302" spans="42:46" ht="14.25" customHeight="1" x14ac:dyDescent="0.2">
      <c r="AP302" s="1"/>
      <c r="AQ302" s="1"/>
      <c r="AR302" s="1"/>
      <c r="AS302" s="1"/>
      <c r="AT302" s="1"/>
    </row>
    <row r="303" spans="42:46" ht="14.25" customHeight="1" x14ac:dyDescent="0.2">
      <c r="AP303" s="1"/>
      <c r="AQ303" s="1"/>
      <c r="AR303" s="1"/>
      <c r="AS303" s="1"/>
      <c r="AT303" s="1"/>
    </row>
    <row r="304" spans="42:46" ht="14.25" customHeight="1" x14ac:dyDescent="0.2">
      <c r="AP304" s="1"/>
      <c r="AQ304" s="1"/>
      <c r="AR304" s="1"/>
      <c r="AS304" s="1"/>
      <c r="AT304" s="1"/>
    </row>
    <row r="305" spans="42:46" ht="14.25" customHeight="1" x14ac:dyDescent="0.2">
      <c r="AP305" s="1"/>
      <c r="AQ305" s="1"/>
      <c r="AR305" s="1"/>
      <c r="AS305" s="1"/>
      <c r="AT305" s="1"/>
    </row>
    <row r="306" spans="42:46" ht="14.25" customHeight="1" x14ac:dyDescent="0.2">
      <c r="AP306" s="1"/>
      <c r="AQ306" s="1"/>
      <c r="AR306" s="1"/>
      <c r="AS306" s="1"/>
      <c r="AT306" s="1"/>
    </row>
    <row r="307" spans="42:46" ht="14.25" customHeight="1" x14ac:dyDescent="0.2">
      <c r="AP307" s="1"/>
      <c r="AQ307" s="1"/>
      <c r="AR307" s="1"/>
      <c r="AS307" s="1"/>
      <c r="AT307" s="1"/>
    </row>
    <row r="308" spans="42:46" ht="14.25" customHeight="1" x14ac:dyDescent="0.2">
      <c r="AP308" s="1"/>
      <c r="AQ308" s="1"/>
      <c r="AR308" s="1"/>
      <c r="AS308" s="1"/>
      <c r="AT308" s="1"/>
    </row>
    <row r="309" spans="42:46" ht="14.25" customHeight="1" x14ac:dyDescent="0.2">
      <c r="AP309" s="1"/>
      <c r="AQ309" s="1"/>
      <c r="AR309" s="1"/>
      <c r="AS309" s="1"/>
      <c r="AT309" s="1"/>
    </row>
    <row r="310" spans="42:46" ht="14.25" customHeight="1" x14ac:dyDescent="0.2">
      <c r="AP310" s="1"/>
      <c r="AQ310" s="1"/>
      <c r="AR310" s="1"/>
      <c r="AS310" s="1"/>
      <c r="AT310" s="1"/>
    </row>
    <row r="311" spans="42:46" ht="14.25" customHeight="1" x14ac:dyDescent="0.2">
      <c r="AP311" s="1"/>
      <c r="AQ311" s="1"/>
      <c r="AR311" s="1"/>
      <c r="AS311" s="1"/>
      <c r="AT311" s="1"/>
    </row>
    <row r="312" spans="42:46" ht="14.25" customHeight="1" x14ac:dyDescent="0.2">
      <c r="AP312" s="1"/>
      <c r="AQ312" s="1"/>
      <c r="AR312" s="1"/>
      <c r="AS312" s="1"/>
      <c r="AT312" s="1"/>
    </row>
    <row r="313" spans="42:46" ht="14.25" customHeight="1" x14ac:dyDescent="0.2">
      <c r="AP313" s="1"/>
      <c r="AQ313" s="1"/>
      <c r="AR313" s="1"/>
      <c r="AS313" s="1"/>
      <c r="AT313" s="1"/>
    </row>
    <row r="314" spans="42:46" ht="14.25" customHeight="1" x14ac:dyDescent="0.2">
      <c r="AP314" s="1"/>
      <c r="AQ314" s="1"/>
      <c r="AR314" s="1"/>
      <c r="AS314" s="1"/>
      <c r="AT314" s="1"/>
    </row>
    <row r="315" spans="42:46" ht="14.25" customHeight="1" x14ac:dyDescent="0.2">
      <c r="AP315" s="1"/>
      <c r="AQ315" s="1"/>
      <c r="AR315" s="1"/>
      <c r="AS315" s="1"/>
      <c r="AT315" s="1"/>
    </row>
    <row r="316" spans="42:46" ht="14.25" customHeight="1" x14ac:dyDescent="0.2">
      <c r="AP316" s="1"/>
      <c r="AQ316" s="1"/>
      <c r="AR316" s="1"/>
      <c r="AS316" s="1"/>
      <c r="AT316" s="1"/>
    </row>
    <row r="317" spans="42:46" ht="14.25" customHeight="1" x14ac:dyDescent="0.2">
      <c r="AP317" s="1"/>
      <c r="AQ317" s="1"/>
      <c r="AR317" s="1"/>
      <c r="AS317" s="1"/>
      <c r="AT317" s="1"/>
    </row>
    <row r="318" spans="42:46" ht="14.25" customHeight="1" x14ac:dyDescent="0.2">
      <c r="AP318" s="1"/>
      <c r="AQ318" s="1"/>
      <c r="AR318" s="1"/>
      <c r="AS318" s="1"/>
      <c r="AT318" s="1"/>
    </row>
    <row r="319" spans="42:46" ht="14.25" customHeight="1" x14ac:dyDescent="0.2">
      <c r="AP319" s="1"/>
      <c r="AQ319" s="1"/>
      <c r="AR319" s="1"/>
      <c r="AS319" s="1"/>
      <c r="AT319" s="1"/>
    </row>
    <row r="320" spans="42:46" ht="14.25" customHeight="1" x14ac:dyDescent="0.2">
      <c r="AP320" s="1"/>
      <c r="AQ320" s="1"/>
      <c r="AR320" s="1"/>
      <c r="AS320" s="1"/>
      <c r="AT320" s="1"/>
    </row>
    <row r="321" spans="42:46" ht="14.25" customHeight="1" x14ac:dyDescent="0.2">
      <c r="AP321" s="1"/>
      <c r="AQ321" s="1"/>
      <c r="AR321" s="1"/>
      <c r="AS321" s="1"/>
      <c r="AT321" s="1"/>
    </row>
    <row r="322" spans="42:46" ht="14.25" customHeight="1" x14ac:dyDescent="0.2">
      <c r="AP322" s="1"/>
      <c r="AQ322" s="1"/>
      <c r="AR322" s="1"/>
      <c r="AS322" s="1"/>
      <c r="AT322" s="1"/>
    </row>
    <row r="323" spans="42:46" ht="14.25" customHeight="1" x14ac:dyDescent="0.2">
      <c r="AP323" s="1"/>
      <c r="AQ323" s="1"/>
      <c r="AR323" s="1"/>
      <c r="AS323" s="1"/>
      <c r="AT323" s="1"/>
    </row>
    <row r="324" spans="42:46" ht="14.25" customHeight="1" x14ac:dyDescent="0.2">
      <c r="AP324" s="1"/>
      <c r="AQ324" s="1"/>
      <c r="AR324" s="1"/>
      <c r="AS324" s="1"/>
      <c r="AT324" s="1"/>
    </row>
    <row r="325" spans="42:46" ht="14.25" customHeight="1" x14ac:dyDescent="0.2">
      <c r="AP325" s="1"/>
      <c r="AQ325" s="1"/>
      <c r="AR325" s="1"/>
      <c r="AS325" s="1"/>
      <c r="AT325" s="1"/>
    </row>
    <row r="326" spans="42:46" ht="14.25" customHeight="1" x14ac:dyDescent="0.2">
      <c r="AP326" s="1"/>
      <c r="AQ326" s="1"/>
      <c r="AR326" s="1"/>
      <c r="AS326" s="1"/>
      <c r="AT326" s="1"/>
    </row>
    <row r="327" spans="42:46" ht="14.25" customHeight="1" x14ac:dyDescent="0.2">
      <c r="AP327" s="1"/>
      <c r="AQ327" s="1"/>
      <c r="AR327" s="1"/>
      <c r="AS327" s="1"/>
      <c r="AT327" s="1"/>
    </row>
    <row r="328" spans="42:46" ht="14.25" customHeight="1" x14ac:dyDescent="0.2">
      <c r="AP328" s="1"/>
      <c r="AQ328" s="1"/>
      <c r="AR328" s="1"/>
      <c r="AS328" s="1"/>
      <c r="AT328" s="1"/>
    </row>
    <row r="329" spans="42:46" ht="14.25" customHeight="1" x14ac:dyDescent="0.2">
      <c r="AP329" s="1"/>
      <c r="AQ329" s="1"/>
      <c r="AR329" s="1"/>
      <c r="AS329" s="1"/>
      <c r="AT329" s="1"/>
    </row>
    <row r="330" spans="42:46" ht="14.25" customHeight="1" x14ac:dyDescent="0.2">
      <c r="AP330" s="1"/>
      <c r="AQ330" s="1"/>
      <c r="AR330" s="1"/>
      <c r="AS330" s="1"/>
      <c r="AT330" s="1"/>
    </row>
    <row r="331" spans="42:46" ht="14.25" customHeight="1" x14ac:dyDescent="0.2">
      <c r="AP331" s="1"/>
      <c r="AQ331" s="1"/>
      <c r="AR331" s="1"/>
      <c r="AS331" s="1"/>
      <c r="AT331" s="1"/>
    </row>
    <row r="332" spans="42:46" ht="14.25" customHeight="1" x14ac:dyDescent="0.2">
      <c r="AP332" s="1"/>
      <c r="AQ332" s="1"/>
      <c r="AR332" s="1"/>
      <c r="AS332" s="1"/>
      <c r="AT332" s="1"/>
    </row>
    <row r="333" spans="42:46" ht="14.25" customHeight="1" x14ac:dyDescent="0.2">
      <c r="AP333" s="1"/>
      <c r="AQ333" s="1"/>
      <c r="AR333" s="1"/>
      <c r="AS333" s="1"/>
      <c r="AT333" s="1"/>
    </row>
    <row r="334" spans="42:46" ht="14.25" customHeight="1" x14ac:dyDescent="0.2">
      <c r="AP334" s="1"/>
      <c r="AQ334" s="1"/>
      <c r="AR334" s="1"/>
      <c r="AS334" s="1"/>
      <c r="AT334" s="1"/>
    </row>
    <row r="335" spans="42:46" ht="14.25" customHeight="1" x14ac:dyDescent="0.2">
      <c r="AP335" s="1"/>
      <c r="AQ335" s="1"/>
      <c r="AR335" s="1"/>
      <c r="AS335" s="1"/>
      <c r="AT335" s="1"/>
    </row>
    <row r="336" spans="42:46" ht="14.25" customHeight="1" x14ac:dyDescent="0.2">
      <c r="AP336" s="1"/>
      <c r="AQ336" s="1"/>
      <c r="AR336" s="1"/>
      <c r="AS336" s="1"/>
      <c r="AT336" s="1"/>
    </row>
    <row r="337" spans="42:46" ht="14.25" customHeight="1" x14ac:dyDescent="0.2">
      <c r="AP337" s="1"/>
      <c r="AQ337" s="1"/>
      <c r="AR337" s="1"/>
      <c r="AS337" s="1"/>
      <c r="AT337" s="1"/>
    </row>
    <row r="338" spans="42:46" ht="14.25" customHeight="1" x14ac:dyDescent="0.2">
      <c r="AP338" s="1"/>
      <c r="AQ338" s="1"/>
      <c r="AR338" s="1"/>
      <c r="AS338" s="1"/>
      <c r="AT338" s="1"/>
    </row>
    <row r="339" spans="42:46" ht="14.25" customHeight="1" x14ac:dyDescent="0.2">
      <c r="AP339" s="1"/>
      <c r="AQ339" s="1"/>
      <c r="AR339" s="1"/>
      <c r="AS339" s="1"/>
      <c r="AT339" s="1"/>
    </row>
    <row r="340" spans="42:46" ht="14.25" customHeight="1" x14ac:dyDescent="0.2">
      <c r="AP340" s="1"/>
      <c r="AQ340" s="1"/>
      <c r="AR340" s="1"/>
      <c r="AS340" s="1"/>
      <c r="AT340" s="1"/>
    </row>
    <row r="341" spans="42:46" ht="14.25" customHeight="1" x14ac:dyDescent="0.2">
      <c r="AP341" s="1"/>
      <c r="AQ341" s="1"/>
      <c r="AR341" s="1"/>
      <c r="AS341" s="1"/>
      <c r="AT341" s="1"/>
    </row>
    <row r="342" spans="42:46" ht="14.25" customHeight="1" x14ac:dyDescent="0.2">
      <c r="AP342" s="1"/>
      <c r="AQ342" s="1"/>
      <c r="AR342" s="1"/>
      <c r="AS342" s="1"/>
      <c r="AT342" s="1"/>
    </row>
    <row r="343" spans="42:46" ht="14.25" customHeight="1" x14ac:dyDescent="0.2">
      <c r="AP343" s="1"/>
      <c r="AQ343" s="1"/>
      <c r="AR343" s="1"/>
      <c r="AS343" s="1"/>
      <c r="AT343" s="1"/>
    </row>
    <row r="344" spans="42:46" ht="14.25" customHeight="1" x14ac:dyDescent="0.2">
      <c r="AP344" s="1"/>
      <c r="AQ344" s="1"/>
      <c r="AR344" s="1"/>
      <c r="AS344" s="1"/>
      <c r="AT344" s="1"/>
    </row>
    <row r="345" spans="42:46" ht="14.25" customHeight="1" x14ac:dyDescent="0.2">
      <c r="AP345" s="1"/>
      <c r="AQ345" s="1"/>
      <c r="AR345" s="1"/>
      <c r="AS345" s="1"/>
      <c r="AT345" s="1"/>
    </row>
    <row r="346" spans="42:46" ht="14.25" customHeight="1" x14ac:dyDescent="0.2">
      <c r="AP346" s="1"/>
      <c r="AQ346" s="1"/>
      <c r="AR346" s="1"/>
      <c r="AS346" s="1"/>
      <c r="AT346" s="1"/>
    </row>
    <row r="347" spans="42:46" ht="14.25" customHeight="1" x14ac:dyDescent="0.2">
      <c r="AP347" s="1"/>
      <c r="AQ347" s="1"/>
      <c r="AR347" s="1"/>
      <c r="AS347" s="1"/>
      <c r="AT347" s="1"/>
    </row>
    <row r="348" spans="42:46" ht="14.25" customHeight="1" x14ac:dyDescent="0.2">
      <c r="AP348" s="1"/>
      <c r="AQ348" s="1"/>
      <c r="AR348" s="1"/>
      <c r="AS348" s="1"/>
      <c r="AT348" s="1"/>
    </row>
    <row r="349" spans="42:46" ht="14.25" customHeight="1" x14ac:dyDescent="0.2">
      <c r="AP349" s="1"/>
      <c r="AQ349" s="1"/>
      <c r="AR349" s="1"/>
      <c r="AS349" s="1"/>
      <c r="AT349" s="1"/>
    </row>
    <row r="350" spans="42:46" ht="14.25" customHeight="1" x14ac:dyDescent="0.2">
      <c r="AP350" s="1"/>
      <c r="AQ350" s="1"/>
      <c r="AR350" s="1"/>
      <c r="AS350" s="1"/>
      <c r="AT350" s="1"/>
    </row>
    <row r="351" spans="42:46" ht="14.25" customHeight="1" x14ac:dyDescent="0.2">
      <c r="AP351" s="1"/>
      <c r="AQ351" s="1"/>
      <c r="AR351" s="1"/>
      <c r="AS351" s="1"/>
      <c r="AT351" s="1"/>
    </row>
    <row r="352" spans="42:46" ht="14.25" customHeight="1" x14ac:dyDescent="0.2">
      <c r="AP352" s="1"/>
      <c r="AQ352" s="1"/>
      <c r="AR352" s="1"/>
      <c r="AS352" s="1"/>
      <c r="AT352" s="1"/>
    </row>
    <row r="353" spans="42:46" ht="14.25" customHeight="1" x14ac:dyDescent="0.2">
      <c r="AP353" s="1"/>
      <c r="AQ353" s="1"/>
      <c r="AR353" s="1"/>
      <c r="AS353" s="1"/>
      <c r="AT353" s="1"/>
    </row>
    <row r="354" spans="42:46" ht="14.25" customHeight="1" x14ac:dyDescent="0.2">
      <c r="AP354" s="1"/>
      <c r="AQ354" s="1"/>
      <c r="AR354" s="1"/>
      <c r="AS354" s="1"/>
      <c r="AT354" s="1"/>
    </row>
    <row r="355" spans="42:46" ht="14.25" customHeight="1" x14ac:dyDescent="0.2">
      <c r="AP355" s="1"/>
      <c r="AQ355" s="1"/>
      <c r="AR355" s="1"/>
      <c r="AS355" s="1"/>
      <c r="AT355" s="1"/>
    </row>
    <row r="356" spans="42:46" ht="14.25" customHeight="1" x14ac:dyDescent="0.2">
      <c r="AP356" s="1"/>
      <c r="AQ356" s="1"/>
      <c r="AR356" s="1"/>
      <c r="AS356" s="1"/>
      <c r="AT356" s="1"/>
    </row>
    <row r="357" spans="42:46" ht="14.25" customHeight="1" x14ac:dyDescent="0.2">
      <c r="AP357" s="1"/>
      <c r="AQ357" s="1"/>
      <c r="AR357" s="1"/>
      <c r="AS357" s="1"/>
      <c r="AT357" s="1"/>
    </row>
    <row r="358" spans="42:46" ht="14.25" customHeight="1" x14ac:dyDescent="0.2">
      <c r="AP358" s="1"/>
      <c r="AQ358" s="1"/>
      <c r="AR358" s="1"/>
      <c r="AS358" s="1"/>
      <c r="AT358" s="1"/>
    </row>
    <row r="359" spans="42:46" ht="14.25" customHeight="1" x14ac:dyDescent="0.2">
      <c r="AP359" s="1"/>
      <c r="AQ359" s="1"/>
      <c r="AR359" s="1"/>
      <c r="AS359" s="1"/>
      <c r="AT359" s="1"/>
    </row>
    <row r="360" spans="42:46" ht="14.25" customHeight="1" x14ac:dyDescent="0.2">
      <c r="AP360" s="1"/>
      <c r="AQ360" s="1"/>
      <c r="AR360" s="1"/>
      <c r="AS360" s="1"/>
      <c r="AT360" s="1"/>
    </row>
    <row r="361" spans="42:46" ht="14.25" customHeight="1" x14ac:dyDescent="0.2">
      <c r="AP361" s="1"/>
      <c r="AQ361" s="1"/>
      <c r="AR361" s="1"/>
      <c r="AS361" s="1"/>
      <c r="AT361" s="1"/>
    </row>
    <row r="362" spans="42:46" ht="14.25" customHeight="1" x14ac:dyDescent="0.2">
      <c r="AP362" s="1"/>
      <c r="AQ362" s="1"/>
      <c r="AR362" s="1"/>
      <c r="AS362" s="1"/>
      <c r="AT362" s="1"/>
    </row>
    <row r="363" spans="42:46" ht="14.25" customHeight="1" x14ac:dyDescent="0.2">
      <c r="AP363" s="1"/>
      <c r="AQ363" s="1"/>
      <c r="AR363" s="1"/>
      <c r="AS363" s="1"/>
      <c r="AT363" s="1"/>
    </row>
    <row r="364" spans="42:46" ht="14.25" customHeight="1" x14ac:dyDescent="0.2">
      <c r="AP364" s="1"/>
      <c r="AQ364" s="1"/>
      <c r="AR364" s="1"/>
      <c r="AS364" s="1"/>
      <c r="AT364" s="1"/>
    </row>
    <row r="365" spans="42:46" ht="14.25" customHeight="1" x14ac:dyDescent="0.2">
      <c r="AP365" s="1"/>
      <c r="AQ365" s="1"/>
      <c r="AR365" s="1"/>
      <c r="AS365" s="1"/>
      <c r="AT365" s="1"/>
    </row>
    <row r="366" spans="42:46" ht="14.25" customHeight="1" x14ac:dyDescent="0.2">
      <c r="AP366" s="1"/>
      <c r="AQ366" s="1"/>
      <c r="AR366" s="1"/>
      <c r="AS366" s="1"/>
      <c r="AT366" s="1"/>
    </row>
    <row r="367" spans="42:46" ht="14.25" customHeight="1" x14ac:dyDescent="0.2">
      <c r="AP367" s="1"/>
      <c r="AQ367" s="1"/>
      <c r="AR367" s="1"/>
      <c r="AS367" s="1"/>
      <c r="AT367" s="1"/>
    </row>
    <row r="368" spans="42:46" ht="14.25" customHeight="1" x14ac:dyDescent="0.2">
      <c r="AP368" s="1"/>
      <c r="AQ368" s="1"/>
      <c r="AR368" s="1"/>
      <c r="AS368" s="1"/>
      <c r="AT368" s="1"/>
    </row>
    <row r="369" spans="42:46" ht="14.25" customHeight="1" x14ac:dyDescent="0.2">
      <c r="AP369" s="1"/>
      <c r="AQ369" s="1"/>
      <c r="AR369" s="1"/>
      <c r="AS369" s="1"/>
      <c r="AT369" s="1"/>
    </row>
    <row r="370" spans="42:46" ht="14.25" customHeight="1" x14ac:dyDescent="0.2">
      <c r="AP370" s="1"/>
      <c r="AQ370" s="1"/>
      <c r="AR370" s="1"/>
      <c r="AS370" s="1"/>
      <c r="AT370" s="1"/>
    </row>
    <row r="371" spans="42:46" ht="14.25" customHeight="1" x14ac:dyDescent="0.2">
      <c r="AP371" s="1"/>
      <c r="AQ371" s="1"/>
      <c r="AR371" s="1"/>
      <c r="AS371" s="1"/>
      <c r="AT371" s="1"/>
    </row>
    <row r="372" spans="42:46" ht="14.25" customHeight="1" x14ac:dyDescent="0.2">
      <c r="AP372" s="1"/>
      <c r="AQ372" s="1"/>
      <c r="AR372" s="1"/>
      <c r="AS372" s="1"/>
      <c r="AT372" s="1"/>
    </row>
    <row r="373" spans="42:46" ht="14.25" customHeight="1" x14ac:dyDescent="0.2">
      <c r="AP373" s="1"/>
      <c r="AQ373" s="1"/>
      <c r="AR373" s="1"/>
      <c r="AS373" s="1"/>
      <c r="AT373" s="1"/>
    </row>
    <row r="374" spans="42:46" ht="14.25" customHeight="1" x14ac:dyDescent="0.2">
      <c r="AP374" s="1"/>
      <c r="AQ374" s="1"/>
      <c r="AR374" s="1"/>
      <c r="AS374" s="1"/>
      <c r="AT374" s="1"/>
    </row>
    <row r="375" spans="42:46" ht="14.25" customHeight="1" x14ac:dyDescent="0.2">
      <c r="AP375" s="1"/>
      <c r="AQ375" s="1"/>
      <c r="AR375" s="1"/>
      <c r="AS375" s="1"/>
      <c r="AT375" s="1"/>
    </row>
    <row r="376" spans="42:46" ht="14.25" customHeight="1" x14ac:dyDescent="0.2">
      <c r="AP376" s="1"/>
      <c r="AQ376" s="1"/>
      <c r="AR376" s="1"/>
      <c r="AS376" s="1"/>
      <c r="AT376" s="1"/>
    </row>
    <row r="377" spans="42:46" ht="14.25" customHeight="1" x14ac:dyDescent="0.2">
      <c r="AP377" s="1"/>
      <c r="AQ377" s="1"/>
      <c r="AR377" s="1"/>
      <c r="AS377" s="1"/>
      <c r="AT377" s="1"/>
    </row>
    <row r="378" spans="42:46" ht="14.25" customHeight="1" x14ac:dyDescent="0.2">
      <c r="AP378" s="1"/>
      <c r="AQ378" s="1"/>
      <c r="AR378" s="1"/>
      <c r="AS378" s="1"/>
      <c r="AT378" s="1"/>
    </row>
    <row r="379" spans="42:46" ht="14.25" customHeight="1" x14ac:dyDescent="0.2">
      <c r="AP379" s="1"/>
      <c r="AQ379" s="1"/>
      <c r="AR379" s="1"/>
      <c r="AS379" s="1"/>
      <c r="AT379" s="1"/>
    </row>
    <row r="380" spans="42:46" ht="14.25" customHeight="1" x14ac:dyDescent="0.2">
      <c r="AP380" s="1"/>
      <c r="AQ380" s="1"/>
      <c r="AR380" s="1"/>
      <c r="AS380" s="1"/>
      <c r="AT380" s="1"/>
    </row>
    <row r="381" spans="42:46" ht="14.25" customHeight="1" x14ac:dyDescent="0.2">
      <c r="AP381" s="1"/>
      <c r="AQ381" s="1"/>
      <c r="AR381" s="1"/>
      <c r="AS381" s="1"/>
      <c r="AT381" s="1"/>
    </row>
    <row r="382" spans="42:46" ht="14.25" customHeight="1" x14ac:dyDescent="0.2">
      <c r="AP382" s="1"/>
      <c r="AQ382" s="1"/>
      <c r="AR382" s="1"/>
      <c r="AS382" s="1"/>
      <c r="AT382" s="1"/>
    </row>
    <row r="383" spans="42:46" ht="14.25" customHeight="1" x14ac:dyDescent="0.2">
      <c r="AP383" s="1"/>
      <c r="AQ383" s="1"/>
      <c r="AR383" s="1"/>
      <c r="AS383" s="1"/>
      <c r="AT383" s="1"/>
    </row>
    <row r="384" spans="42:46" ht="14.25" customHeight="1" x14ac:dyDescent="0.2">
      <c r="AP384" s="1"/>
      <c r="AQ384" s="1"/>
      <c r="AR384" s="1"/>
      <c r="AS384" s="1"/>
      <c r="AT384" s="1"/>
    </row>
    <row r="385" spans="42:46" ht="14.25" customHeight="1" x14ac:dyDescent="0.2">
      <c r="AP385" s="1"/>
      <c r="AQ385" s="1"/>
      <c r="AR385" s="1"/>
      <c r="AS385" s="1"/>
      <c r="AT385" s="1"/>
    </row>
    <row r="386" spans="42:46" ht="14.25" customHeight="1" x14ac:dyDescent="0.2">
      <c r="AP386" s="1"/>
      <c r="AQ386" s="1"/>
      <c r="AR386" s="1"/>
      <c r="AS386" s="1"/>
      <c r="AT386" s="1"/>
    </row>
    <row r="387" spans="42:46" ht="14.25" customHeight="1" x14ac:dyDescent="0.2">
      <c r="AP387" s="1"/>
      <c r="AQ387" s="1"/>
      <c r="AR387" s="1"/>
      <c r="AS387" s="1"/>
      <c r="AT387" s="1"/>
    </row>
    <row r="388" spans="42:46" ht="14.25" customHeight="1" x14ac:dyDescent="0.2">
      <c r="AP388" s="1"/>
      <c r="AQ388" s="1"/>
      <c r="AR388" s="1"/>
      <c r="AS388" s="1"/>
      <c r="AT388" s="1"/>
    </row>
    <row r="389" spans="42:46" ht="14.25" customHeight="1" x14ac:dyDescent="0.2">
      <c r="AP389" s="1"/>
      <c r="AQ389" s="1"/>
      <c r="AR389" s="1"/>
      <c r="AS389" s="1"/>
      <c r="AT389" s="1"/>
    </row>
    <row r="390" spans="42:46" ht="14.25" customHeight="1" x14ac:dyDescent="0.2">
      <c r="AP390" s="1"/>
      <c r="AQ390" s="1"/>
      <c r="AR390" s="1"/>
      <c r="AS390" s="1"/>
      <c r="AT390" s="1"/>
    </row>
    <row r="391" spans="42:46" ht="14.25" customHeight="1" x14ac:dyDescent="0.2">
      <c r="AP391" s="1"/>
      <c r="AQ391" s="1"/>
      <c r="AR391" s="1"/>
      <c r="AS391" s="1"/>
      <c r="AT391" s="1"/>
    </row>
    <row r="392" spans="42:46" ht="14.25" customHeight="1" x14ac:dyDescent="0.2">
      <c r="AP392" s="1"/>
      <c r="AQ392" s="1"/>
      <c r="AR392" s="1"/>
      <c r="AS392" s="1"/>
      <c r="AT392" s="1"/>
    </row>
    <row r="393" spans="42:46" ht="14.25" customHeight="1" x14ac:dyDescent="0.2">
      <c r="AP393" s="1"/>
      <c r="AQ393" s="1"/>
      <c r="AR393" s="1"/>
      <c r="AS393" s="1"/>
      <c r="AT393" s="1"/>
    </row>
    <row r="394" spans="42:46" ht="14.25" customHeight="1" x14ac:dyDescent="0.2">
      <c r="AP394" s="1"/>
      <c r="AQ394" s="1"/>
      <c r="AR394" s="1"/>
      <c r="AS394" s="1"/>
      <c r="AT394" s="1"/>
    </row>
    <row r="395" spans="42:46" ht="14.25" customHeight="1" x14ac:dyDescent="0.2">
      <c r="AP395" s="1"/>
      <c r="AQ395" s="1"/>
      <c r="AR395" s="1"/>
      <c r="AS395" s="1"/>
      <c r="AT395" s="1"/>
    </row>
    <row r="396" spans="42:46" ht="14.25" customHeight="1" x14ac:dyDescent="0.2">
      <c r="AP396" s="1"/>
      <c r="AQ396" s="1"/>
      <c r="AR396" s="1"/>
      <c r="AS396" s="1"/>
      <c r="AT396" s="1"/>
    </row>
    <row r="397" spans="42:46" ht="14.25" customHeight="1" x14ac:dyDescent="0.2">
      <c r="AP397" s="1"/>
      <c r="AQ397" s="1"/>
      <c r="AR397" s="1"/>
      <c r="AS397" s="1"/>
      <c r="AT397" s="1"/>
    </row>
    <row r="398" spans="42:46" ht="14.25" customHeight="1" x14ac:dyDescent="0.2">
      <c r="AP398" s="1"/>
      <c r="AQ398" s="1"/>
      <c r="AR398" s="1"/>
      <c r="AS398" s="1"/>
      <c r="AT398" s="1"/>
    </row>
    <row r="399" spans="42:46" ht="14.25" customHeight="1" x14ac:dyDescent="0.2">
      <c r="AP399" s="1"/>
      <c r="AQ399" s="1"/>
      <c r="AR399" s="1"/>
      <c r="AS399" s="1"/>
      <c r="AT399" s="1"/>
    </row>
    <row r="400" spans="42:46" ht="14.25" customHeight="1" x14ac:dyDescent="0.2">
      <c r="AP400" s="1"/>
      <c r="AQ400" s="1"/>
      <c r="AR400" s="1"/>
      <c r="AS400" s="1"/>
      <c r="AT400" s="1"/>
    </row>
    <row r="401" spans="42:46" ht="14.25" customHeight="1" x14ac:dyDescent="0.2">
      <c r="AP401" s="1"/>
      <c r="AQ401" s="1"/>
      <c r="AR401" s="1"/>
      <c r="AS401" s="1"/>
      <c r="AT401" s="1"/>
    </row>
    <row r="402" spans="42:46" ht="14.25" customHeight="1" x14ac:dyDescent="0.2">
      <c r="AP402" s="1"/>
      <c r="AQ402" s="1"/>
      <c r="AR402" s="1"/>
      <c r="AS402" s="1"/>
      <c r="AT402" s="1"/>
    </row>
    <row r="403" spans="42:46" ht="14.25" customHeight="1" x14ac:dyDescent="0.2">
      <c r="AP403" s="1"/>
      <c r="AQ403" s="1"/>
      <c r="AR403" s="1"/>
      <c r="AS403" s="1"/>
      <c r="AT403" s="1"/>
    </row>
    <row r="404" spans="42:46" ht="14.25" customHeight="1" x14ac:dyDescent="0.2">
      <c r="AP404" s="1"/>
      <c r="AQ404" s="1"/>
      <c r="AR404" s="1"/>
      <c r="AS404" s="1"/>
      <c r="AT404" s="1"/>
    </row>
    <row r="405" spans="42:46" ht="14.25" customHeight="1" x14ac:dyDescent="0.2">
      <c r="AP405" s="1"/>
      <c r="AQ405" s="1"/>
      <c r="AR405" s="1"/>
      <c r="AS405" s="1"/>
      <c r="AT405" s="1"/>
    </row>
    <row r="406" spans="42:46" ht="14.25" customHeight="1" x14ac:dyDescent="0.2">
      <c r="AP406" s="1"/>
      <c r="AQ406" s="1"/>
      <c r="AR406" s="1"/>
      <c r="AS406" s="1"/>
      <c r="AT406" s="1"/>
    </row>
    <row r="407" spans="42:46" ht="14.25" customHeight="1" x14ac:dyDescent="0.2">
      <c r="AP407" s="1"/>
      <c r="AQ407" s="1"/>
      <c r="AR407" s="1"/>
      <c r="AS407" s="1"/>
      <c r="AT407" s="1"/>
    </row>
    <row r="408" spans="42:46" ht="14.25" customHeight="1" x14ac:dyDescent="0.2">
      <c r="AP408" s="1"/>
      <c r="AQ408" s="1"/>
      <c r="AR408" s="1"/>
      <c r="AS408" s="1"/>
      <c r="AT408" s="1"/>
    </row>
    <row r="409" spans="42:46" ht="14.25" customHeight="1" x14ac:dyDescent="0.2">
      <c r="AP409" s="1"/>
      <c r="AQ409" s="1"/>
      <c r="AR409" s="1"/>
      <c r="AS409" s="1"/>
      <c r="AT409" s="1"/>
    </row>
    <row r="410" spans="42:46" ht="14.25" customHeight="1" x14ac:dyDescent="0.2">
      <c r="AP410" s="1"/>
      <c r="AQ410" s="1"/>
      <c r="AR410" s="1"/>
      <c r="AS410" s="1"/>
      <c r="AT410" s="1"/>
    </row>
    <row r="411" spans="42:46" ht="14.25" customHeight="1" x14ac:dyDescent="0.2">
      <c r="AP411" s="7"/>
      <c r="AR411" s="10"/>
      <c r="AS411" s="7"/>
      <c r="AT411" s="1"/>
    </row>
    <row r="412" spans="42:46" ht="14.25" customHeight="1" x14ac:dyDescent="0.2">
      <c r="AP412" s="7"/>
      <c r="AR412" s="10"/>
      <c r="AS412" s="7"/>
      <c r="AT412" s="1"/>
    </row>
    <row r="413" spans="42:46" ht="14.25" customHeight="1" x14ac:dyDescent="0.2">
      <c r="AP413" s="7"/>
      <c r="AR413" s="10"/>
      <c r="AS413" s="7"/>
      <c r="AT413" s="1"/>
    </row>
    <row r="414" spans="42:46" ht="14.25" customHeight="1" x14ac:dyDescent="0.2">
      <c r="AP414" s="7"/>
      <c r="AR414" s="10"/>
      <c r="AS414" s="7"/>
      <c r="AT414" s="1"/>
    </row>
    <row r="415" spans="42:46" ht="14.25" customHeight="1" x14ac:dyDescent="0.2">
      <c r="AP415" s="7"/>
      <c r="AR415" s="10"/>
      <c r="AS415" s="7"/>
      <c r="AT415" s="1"/>
    </row>
    <row r="416" spans="42:46" ht="14.25" customHeight="1" x14ac:dyDescent="0.2">
      <c r="AP416" s="7"/>
      <c r="AR416" s="10"/>
      <c r="AS416" s="7"/>
      <c r="AT416" s="1"/>
    </row>
    <row r="417" spans="42:46" ht="14.25" customHeight="1" x14ac:dyDescent="0.2">
      <c r="AP417" s="7"/>
      <c r="AR417" s="10"/>
      <c r="AS417" s="7"/>
      <c r="AT417" s="1"/>
    </row>
    <row r="418" spans="42:46" ht="14.25" customHeight="1" x14ac:dyDescent="0.2">
      <c r="AP418" s="7"/>
      <c r="AR418" s="10"/>
      <c r="AS418" s="7"/>
      <c r="AT418" s="1"/>
    </row>
    <row r="419" spans="42:46" ht="14.25" customHeight="1" x14ac:dyDescent="0.2">
      <c r="AP419" s="7"/>
      <c r="AR419" s="10"/>
      <c r="AS419" s="7"/>
      <c r="AT419" s="1"/>
    </row>
    <row r="420" spans="42:46" ht="14.25" customHeight="1" x14ac:dyDescent="0.2">
      <c r="AP420" s="7"/>
      <c r="AR420" s="10"/>
      <c r="AS420" s="7"/>
      <c r="AT420" s="1"/>
    </row>
    <row r="421" spans="42:46" ht="14.25" customHeight="1" x14ac:dyDescent="0.2">
      <c r="AP421" s="7"/>
      <c r="AR421" s="10"/>
      <c r="AS421" s="7"/>
      <c r="AT421" s="1"/>
    </row>
    <row r="422" spans="42:46" ht="14.25" customHeight="1" x14ac:dyDescent="0.2">
      <c r="AP422" s="7"/>
      <c r="AR422" s="10"/>
      <c r="AS422" s="7"/>
      <c r="AT422" s="1"/>
    </row>
    <row r="423" spans="42:46" ht="14.25" customHeight="1" x14ac:dyDescent="0.2">
      <c r="AP423" s="7"/>
      <c r="AR423" s="10"/>
      <c r="AS423" s="7"/>
      <c r="AT423" s="1"/>
    </row>
    <row r="424" spans="42:46" ht="14.25" customHeight="1" x14ac:dyDescent="0.2">
      <c r="AP424" s="7"/>
      <c r="AR424" s="10"/>
      <c r="AS424" s="7"/>
      <c r="AT424" s="1"/>
    </row>
    <row r="425" spans="42:46" ht="14.25" customHeight="1" x14ac:dyDescent="0.2">
      <c r="AP425" s="7"/>
      <c r="AR425" s="10"/>
      <c r="AS425" s="7"/>
      <c r="AT425" s="1"/>
    </row>
    <row r="426" spans="42:46" ht="14.25" customHeight="1" x14ac:dyDescent="0.2">
      <c r="AP426" s="7"/>
      <c r="AR426" s="10"/>
      <c r="AS426" s="7"/>
      <c r="AT426" s="1"/>
    </row>
    <row r="427" spans="42:46" ht="14.25" customHeight="1" x14ac:dyDescent="0.2">
      <c r="AP427" s="7"/>
      <c r="AR427" s="10"/>
      <c r="AS427" s="7"/>
      <c r="AT427" s="1"/>
    </row>
    <row r="428" spans="42:46" ht="14.25" customHeight="1" x14ac:dyDescent="0.2">
      <c r="AP428" s="7"/>
      <c r="AR428" s="10"/>
      <c r="AS428" s="7"/>
      <c r="AT428" s="1"/>
    </row>
    <row r="429" spans="42:46" ht="14.25" customHeight="1" x14ac:dyDescent="0.2">
      <c r="AP429" s="7"/>
      <c r="AR429" s="10"/>
      <c r="AS429" s="7"/>
      <c r="AT429" s="1"/>
    </row>
    <row r="430" spans="42:46" ht="14.25" customHeight="1" x14ac:dyDescent="0.2">
      <c r="AP430" s="7"/>
      <c r="AR430" s="10"/>
      <c r="AS430" s="7"/>
      <c r="AT430" s="1"/>
    </row>
    <row r="431" spans="42:46" ht="14.25" customHeight="1" x14ac:dyDescent="0.2">
      <c r="AP431" s="7"/>
      <c r="AR431" s="10"/>
      <c r="AS431" s="7"/>
      <c r="AT431" s="1"/>
    </row>
    <row r="432" spans="42:46" ht="14.25" customHeight="1" x14ac:dyDescent="0.2">
      <c r="AP432" s="7"/>
      <c r="AR432" s="10"/>
      <c r="AS432" s="7"/>
      <c r="AT432" s="1"/>
    </row>
    <row r="433" spans="42:46" ht="14.25" customHeight="1" x14ac:dyDescent="0.2">
      <c r="AP433" s="7"/>
      <c r="AR433" s="10"/>
      <c r="AS433" s="7"/>
      <c r="AT433" s="1"/>
    </row>
    <row r="434" spans="42:46" ht="14.25" customHeight="1" x14ac:dyDescent="0.2">
      <c r="AP434" s="7"/>
      <c r="AR434" s="10"/>
      <c r="AS434" s="7"/>
      <c r="AT434" s="1"/>
    </row>
    <row r="435" spans="42:46" ht="14.25" customHeight="1" x14ac:dyDescent="0.2">
      <c r="AP435" s="7"/>
      <c r="AR435" s="10"/>
      <c r="AS435" s="7"/>
      <c r="AT435" s="1"/>
    </row>
    <row r="436" spans="42:46" ht="14.25" customHeight="1" x14ac:dyDescent="0.2">
      <c r="AP436" s="7"/>
      <c r="AR436" s="10"/>
      <c r="AS436" s="7"/>
      <c r="AT436" s="1"/>
    </row>
    <row r="437" spans="42:46" ht="14.25" customHeight="1" x14ac:dyDescent="0.2">
      <c r="AP437" s="7"/>
      <c r="AR437" s="10"/>
      <c r="AS437" s="7"/>
      <c r="AT437" s="1"/>
    </row>
    <row r="438" spans="42:46" ht="14.25" customHeight="1" x14ac:dyDescent="0.2">
      <c r="AP438" s="7"/>
      <c r="AR438" s="10"/>
      <c r="AS438" s="7"/>
      <c r="AT438" s="1"/>
    </row>
    <row r="439" spans="42:46" ht="14.25" customHeight="1" x14ac:dyDescent="0.2">
      <c r="AP439" s="7"/>
      <c r="AR439" s="10"/>
      <c r="AS439" s="7"/>
      <c r="AT439" s="1"/>
    </row>
    <row r="440" spans="42:46" ht="14.25" customHeight="1" x14ac:dyDescent="0.2">
      <c r="AP440" s="7"/>
      <c r="AR440" s="10"/>
      <c r="AS440" s="7"/>
      <c r="AT440" s="1"/>
    </row>
    <row r="441" spans="42:46" ht="14.25" customHeight="1" x14ac:dyDescent="0.2">
      <c r="AP441" s="7"/>
      <c r="AR441" s="10"/>
      <c r="AS441" s="7"/>
      <c r="AT441" s="1"/>
    </row>
    <row r="442" spans="42:46" ht="14.25" customHeight="1" x14ac:dyDescent="0.2">
      <c r="AP442" s="7"/>
      <c r="AR442" s="10"/>
      <c r="AS442" s="7"/>
      <c r="AT442" s="1"/>
    </row>
    <row r="443" spans="42:46" ht="14.25" customHeight="1" x14ac:dyDescent="0.2">
      <c r="AP443" s="7"/>
      <c r="AR443" s="10"/>
      <c r="AS443" s="7"/>
      <c r="AT443" s="1"/>
    </row>
    <row r="444" spans="42:46" ht="14.25" customHeight="1" x14ac:dyDescent="0.2">
      <c r="AP444" s="7"/>
      <c r="AR444" s="10"/>
      <c r="AS444" s="7"/>
      <c r="AT444" s="1"/>
    </row>
    <row r="445" spans="42:46" ht="14.25" customHeight="1" x14ac:dyDescent="0.2">
      <c r="AP445" s="7"/>
      <c r="AR445" s="10"/>
      <c r="AS445" s="7"/>
      <c r="AT445" s="1"/>
    </row>
    <row r="446" spans="42:46" ht="14.25" customHeight="1" x14ac:dyDescent="0.2">
      <c r="AP446" s="7"/>
      <c r="AR446" s="10"/>
      <c r="AS446" s="7"/>
      <c r="AT446" s="1"/>
    </row>
    <row r="447" spans="42:46" ht="14.25" customHeight="1" x14ac:dyDescent="0.2">
      <c r="AP447" s="7"/>
      <c r="AR447" s="10"/>
      <c r="AS447" s="7"/>
      <c r="AT447" s="1"/>
    </row>
    <row r="448" spans="42:46" ht="14.25" customHeight="1" x14ac:dyDescent="0.2">
      <c r="AP448" s="7"/>
      <c r="AR448" s="10"/>
      <c r="AS448" s="7"/>
      <c r="AT448" s="1"/>
    </row>
    <row r="449" spans="42:46" ht="14.25" customHeight="1" x14ac:dyDescent="0.2">
      <c r="AP449" s="7"/>
      <c r="AR449" s="10"/>
      <c r="AS449" s="7"/>
      <c r="AT449" s="1"/>
    </row>
    <row r="450" spans="42:46" ht="14.25" customHeight="1" x14ac:dyDescent="0.2">
      <c r="AP450" s="7"/>
      <c r="AR450" s="10"/>
      <c r="AS450" s="7"/>
      <c r="AT450" s="1"/>
    </row>
    <row r="451" spans="42:46" ht="14.25" customHeight="1" x14ac:dyDescent="0.2">
      <c r="AP451" s="7"/>
      <c r="AR451" s="10"/>
      <c r="AS451" s="7"/>
      <c r="AT451" s="1"/>
    </row>
    <row r="452" spans="42:46" ht="14.25" customHeight="1" x14ac:dyDescent="0.2">
      <c r="AP452" s="7"/>
      <c r="AR452" s="10"/>
      <c r="AS452" s="7"/>
      <c r="AT452" s="1"/>
    </row>
    <row r="453" spans="42:46" ht="14.25" customHeight="1" x14ac:dyDescent="0.2">
      <c r="AP453" s="7"/>
      <c r="AR453" s="10"/>
      <c r="AS453" s="7"/>
      <c r="AT453" s="1"/>
    </row>
    <row r="454" spans="42:46" ht="14.25" customHeight="1" x14ac:dyDescent="0.2">
      <c r="AP454" s="7"/>
      <c r="AR454" s="10"/>
      <c r="AS454" s="7"/>
      <c r="AT454" s="1"/>
    </row>
    <row r="455" spans="42:46" ht="14.25" customHeight="1" x14ac:dyDescent="0.2">
      <c r="AP455" s="7"/>
      <c r="AR455" s="10"/>
      <c r="AS455" s="7"/>
      <c r="AT455" s="1"/>
    </row>
    <row r="456" spans="42:46" ht="14.25" customHeight="1" x14ac:dyDescent="0.2">
      <c r="AP456" s="7"/>
      <c r="AR456" s="10"/>
      <c r="AS456" s="7"/>
      <c r="AT456" s="1"/>
    </row>
    <row r="457" spans="42:46" ht="14.25" customHeight="1" x14ac:dyDescent="0.2">
      <c r="AP457" s="7"/>
      <c r="AR457" s="10"/>
      <c r="AS457" s="7"/>
      <c r="AT457" s="1"/>
    </row>
    <row r="458" spans="42:46" ht="14.25" customHeight="1" x14ac:dyDescent="0.2">
      <c r="AP458" s="7"/>
      <c r="AR458" s="10"/>
      <c r="AS458" s="7"/>
      <c r="AT458" s="1"/>
    </row>
    <row r="459" spans="42:46" ht="14.25" customHeight="1" x14ac:dyDescent="0.2">
      <c r="AP459" s="7"/>
      <c r="AR459" s="10"/>
      <c r="AS459" s="7"/>
      <c r="AT459" s="1"/>
    </row>
    <row r="460" spans="42:46" ht="14.25" customHeight="1" x14ac:dyDescent="0.2">
      <c r="AP460" s="7"/>
      <c r="AR460" s="10"/>
      <c r="AS460" s="7"/>
      <c r="AT460" s="1"/>
    </row>
    <row r="461" spans="42:46" ht="14.25" customHeight="1" x14ac:dyDescent="0.2">
      <c r="AP461" s="7"/>
      <c r="AR461" s="10"/>
      <c r="AS461" s="7"/>
      <c r="AT461" s="1"/>
    </row>
    <row r="462" spans="42:46" ht="14.25" customHeight="1" x14ac:dyDescent="0.2">
      <c r="AP462" s="7"/>
      <c r="AR462" s="10"/>
      <c r="AS462" s="7"/>
      <c r="AT462" s="1"/>
    </row>
    <row r="463" spans="42:46" ht="14.25" customHeight="1" x14ac:dyDescent="0.2">
      <c r="AP463" s="7"/>
      <c r="AR463" s="10"/>
      <c r="AS463" s="7"/>
      <c r="AT463" s="1"/>
    </row>
    <row r="464" spans="42:46" ht="14.25" customHeight="1" x14ac:dyDescent="0.2">
      <c r="AP464" s="7"/>
      <c r="AR464" s="10"/>
      <c r="AS464" s="7"/>
      <c r="AT464" s="1"/>
    </row>
    <row r="465" spans="42:46" ht="14.25" customHeight="1" x14ac:dyDescent="0.2">
      <c r="AP465" s="7"/>
      <c r="AR465" s="10"/>
      <c r="AS465" s="7"/>
      <c r="AT465" s="1"/>
    </row>
    <row r="466" spans="42:46" ht="14.25" customHeight="1" x14ac:dyDescent="0.2">
      <c r="AP466" s="7"/>
      <c r="AR466" s="10"/>
      <c r="AS466" s="7"/>
      <c r="AT466" s="1"/>
    </row>
    <row r="467" spans="42:46" ht="14.25" customHeight="1" x14ac:dyDescent="0.2">
      <c r="AP467" s="7"/>
      <c r="AR467" s="10"/>
      <c r="AS467" s="7"/>
      <c r="AT467" s="1"/>
    </row>
    <row r="468" spans="42:46" ht="14.25" customHeight="1" x14ac:dyDescent="0.2">
      <c r="AP468" s="7"/>
      <c r="AR468" s="10"/>
      <c r="AS468" s="7"/>
      <c r="AT468" s="1"/>
    </row>
    <row r="469" spans="42:46" ht="14.25" customHeight="1" x14ac:dyDescent="0.2">
      <c r="AP469" s="7"/>
      <c r="AR469" s="10"/>
      <c r="AS469" s="7"/>
      <c r="AT469" s="1"/>
    </row>
    <row r="470" spans="42:46" ht="14.25" customHeight="1" x14ac:dyDescent="0.2">
      <c r="AP470" s="7"/>
      <c r="AR470" s="10"/>
      <c r="AS470" s="7"/>
      <c r="AT470" s="1"/>
    </row>
    <row r="471" spans="42:46" ht="14.25" customHeight="1" x14ac:dyDescent="0.2">
      <c r="AP471" s="7"/>
      <c r="AR471" s="10"/>
      <c r="AS471" s="7"/>
      <c r="AT471" s="1"/>
    </row>
    <row r="472" spans="42:46" ht="14.25" customHeight="1" x14ac:dyDescent="0.2">
      <c r="AP472" s="7"/>
      <c r="AR472" s="10"/>
      <c r="AS472" s="7"/>
      <c r="AT472" s="1"/>
    </row>
    <row r="473" spans="42:46" ht="14.25" customHeight="1" x14ac:dyDescent="0.2">
      <c r="AP473" s="7"/>
      <c r="AR473" s="10"/>
      <c r="AS473" s="7"/>
      <c r="AT473" s="1"/>
    </row>
    <row r="474" spans="42:46" ht="14.25" customHeight="1" x14ac:dyDescent="0.2">
      <c r="AP474" s="7"/>
      <c r="AR474" s="10"/>
      <c r="AS474" s="7"/>
      <c r="AT474" s="1"/>
    </row>
    <row r="475" spans="42:46" ht="14.25" customHeight="1" x14ac:dyDescent="0.2">
      <c r="AP475" s="7"/>
      <c r="AR475" s="10"/>
      <c r="AS475" s="7"/>
      <c r="AT475" s="1"/>
    </row>
    <row r="476" spans="42:46" ht="14.25" customHeight="1" x14ac:dyDescent="0.2">
      <c r="AP476" s="7"/>
      <c r="AR476" s="10"/>
      <c r="AS476" s="7"/>
      <c r="AT476" s="1"/>
    </row>
    <row r="477" spans="42:46" ht="14.25" customHeight="1" x14ac:dyDescent="0.2">
      <c r="AP477" s="7"/>
      <c r="AR477" s="10"/>
      <c r="AS477" s="7"/>
      <c r="AT477" s="1"/>
    </row>
    <row r="478" spans="42:46" ht="14.25" customHeight="1" x14ac:dyDescent="0.2">
      <c r="AP478" s="7"/>
      <c r="AR478" s="10"/>
      <c r="AS478" s="7"/>
      <c r="AT478" s="1"/>
    </row>
    <row r="479" spans="42:46" ht="14.25" customHeight="1" x14ac:dyDescent="0.2">
      <c r="AP479" s="7"/>
      <c r="AR479" s="10"/>
      <c r="AS479" s="7"/>
      <c r="AT479" s="1"/>
    </row>
    <row r="480" spans="42:46" ht="14.25" customHeight="1" x14ac:dyDescent="0.2">
      <c r="AP480" s="7"/>
      <c r="AR480" s="10"/>
      <c r="AS480" s="7"/>
      <c r="AT480" s="1"/>
    </row>
    <row r="481" spans="42:46" ht="14.25" customHeight="1" x14ac:dyDescent="0.2">
      <c r="AP481" s="7"/>
      <c r="AR481" s="10"/>
      <c r="AS481" s="7"/>
      <c r="AT481" s="1"/>
    </row>
    <row r="482" spans="42:46" ht="14.25" customHeight="1" x14ac:dyDescent="0.2">
      <c r="AP482" s="7"/>
      <c r="AR482" s="10"/>
      <c r="AS482" s="7"/>
      <c r="AT482" s="1"/>
    </row>
    <row r="483" spans="42:46" ht="14.25" customHeight="1" x14ac:dyDescent="0.2">
      <c r="AP483" s="7"/>
      <c r="AR483" s="10"/>
      <c r="AS483" s="7"/>
      <c r="AT483" s="1"/>
    </row>
    <row r="484" spans="42:46" ht="14.25" customHeight="1" x14ac:dyDescent="0.2">
      <c r="AP484" s="7"/>
      <c r="AR484" s="10"/>
      <c r="AS484" s="7"/>
      <c r="AT484" s="1"/>
    </row>
    <row r="485" spans="42:46" ht="14.25" customHeight="1" x14ac:dyDescent="0.2">
      <c r="AP485" s="7"/>
      <c r="AR485" s="10"/>
      <c r="AS485" s="7"/>
      <c r="AT485" s="1"/>
    </row>
    <row r="486" spans="42:46" ht="14.25" customHeight="1" x14ac:dyDescent="0.2">
      <c r="AP486" s="7"/>
      <c r="AR486" s="10"/>
      <c r="AS486" s="7"/>
      <c r="AT486" s="1"/>
    </row>
    <row r="487" spans="42:46" ht="14.25" customHeight="1" x14ac:dyDescent="0.2">
      <c r="AP487" s="7"/>
      <c r="AR487" s="10"/>
      <c r="AS487" s="7"/>
      <c r="AT487" s="1"/>
    </row>
    <row r="488" spans="42:46" ht="14.25" customHeight="1" x14ac:dyDescent="0.2">
      <c r="AP488" s="7"/>
      <c r="AR488" s="10"/>
      <c r="AS488" s="7"/>
      <c r="AT488" s="1"/>
    </row>
    <row r="489" spans="42:46" ht="14.25" customHeight="1" x14ac:dyDescent="0.2">
      <c r="AP489" s="7"/>
      <c r="AR489" s="10"/>
      <c r="AS489" s="7"/>
      <c r="AT489" s="1"/>
    </row>
    <row r="490" spans="42:46" ht="14.25" customHeight="1" x14ac:dyDescent="0.2">
      <c r="AP490" s="7"/>
      <c r="AR490" s="10"/>
      <c r="AS490" s="7"/>
      <c r="AT490" s="1"/>
    </row>
    <row r="491" spans="42:46" ht="14.25" customHeight="1" x14ac:dyDescent="0.2">
      <c r="AP491" s="7"/>
      <c r="AR491" s="10"/>
      <c r="AS491" s="7"/>
      <c r="AT491" s="1"/>
    </row>
    <row r="492" spans="42:46" ht="14.25" customHeight="1" x14ac:dyDescent="0.2">
      <c r="AP492" s="7"/>
      <c r="AR492" s="10"/>
      <c r="AS492" s="7"/>
      <c r="AT492" s="1"/>
    </row>
    <row r="493" spans="42:46" ht="14.25" customHeight="1" x14ac:dyDescent="0.2">
      <c r="AP493" s="7"/>
      <c r="AR493" s="10"/>
      <c r="AS493" s="7"/>
      <c r="AT493" s="1"/>
    </row>
    <row r="494" spans="42:46" ht="14.25" customHeight="1" x14ac:dyDescent="0.2">
      <c r="AP494" s="7"/>
      <c r="AR494" s="10"/>
      <c r="AS494" s="7"/>
      <c r="AT494" s="1"/>
    </row>
    <row r="495" spans="42:46" ht="14.25" customHeight="1" x14ac:dyDescent="0.2">
      <c r="AP495" s="7"/>
      <c r="AR495" s="10"/>
      <c r="AS495" s="7"/>
      <c r="AT495" s="1"/>
    </row>
    <row r="496" spans="42:46" ht="14.25" customHeight="1" x14ac:dyDescent="0.2">
      <c r="AP496" s="7"/>
      <c r="AR496" s="10"/>
      <c r="AS496" s="7"/>
      <c r="AT496" s="1"/>
    </row>
    <row r="497" spans="42:46" ht="14.25" customHeight="1" x14ac:dyDescent="0.2">
      <c r="AP497" s="7"/>
      <c r="AR497" s="10"/>
      <c r="AS497" s="7"/>
      <c r="AT497" s="1"/>
    </row>
    <row r="498" spans="42:46" ht="14.25" customHeight="1" x14ac:dyDescent="0.2">
      <c r="AP498" s="7"/>
      <c r="AR498" s="10"/>
      <c r="AS498" s="7"/>
      <c r="AT498" s="1"/>
    </row>
    <row r="499" spans="42:46" ht="14.25" customHeight="1" x14ac:dyDescent="0.2">
      <c r="AP499" s="7"/>
      <c r="AR499" s="10"/>
      <c r="AS499" s="7"/>
      <c r="AT499" s="1"/>
    </row>
    <row r="500" spans="42:46" ht="14.25" customHeight="1" x14ac:dyDescent="0.2">
      <c r="AP500" s="7"/>
      <c r="AR500" s="10"/>
      <c r="AS500" s="7"/>
      <c r="AT500" s="1"/>
    </row>
    <row r="501" spans="42:46" ht="14.25" customHeight="1" x14ac:dyDescent="0.2">
      <c r="AP501" s="7"/>
      <c r="AR501" s="10"/>
      <c r="AS501" s="7"/>
      <c r="AT501" s="1"/>
    </row>
    <row r="502" spans="42:46" ht="14.25" customHeight="1" x14ac:dyDescent="0.2">
      <c r="AP502" s="7"/>
      <c r="AR502" s="10"/>
      <c r="AS502" s="7"/>
      <c r="AT502" s="1"/>
    </row>
    <row r="503" spans="42:46" ht="14.25" customHeight="1" x14ac:dyDescent="0.2">
      <c r="AP503" s="7"/>
      <c r="AR503" s="10"/>
      <c r="AS503" s="7"/>
      <c r="AT503" s="1"/>
    </row>
    <row r="504" spans="42:46" ht="14.25" customHeight="1" x14ac:dyDescent="0.2">
      <c r="AP504" s="7"/>
      <c r="AR504" s="10"/>
      <c r="AS504" s="7"/>
      <c r="AT504" s="1"/>
    </row>
    <row r="505" spans="42:46" ht="14.25" customHeight="1" x14ac:dyDescent="0.2">
      <c r="AP505" s="7"/>
      <c r="AR505" s="10"/>
      <c r="AS505" s="7"/>
      <c r="AT505" s="1"/>
    </row>
    <row r="506" spans="42:46" ht="14.25" customHeight="1" x14ac:dyDescent="0.2">
      <c r="AP506" s="7"/>
      <c r="AR506" s="10"/>
      <c r="AS506" s="7"/>
      <c r="AT506" s="1"/>
    </row>
    <row r="507" spans="42:46" ht="14.25" customHeight="1" x14ac:dyDescent="0.2">
      <c r="AP507" s="7"/>
      <c r="AR507" s="10"/>
      <c r="AS507" s="7"/>
      <c r="AT507" s="1"/>
    </row>
    <row r="508" spans="42:46" ht="14.25" customHeight="1" x14ac:dyDescent="0.2">
      <c r="AP508" s="7"/>
      <c r="AR508" s="10"/>
      <c r="AS508" s="7"/>
      <c r="AT508" s="1"/>
    </row>
    <row r="509" spans="42:46" ht="14.25" customHeight="1" x14ac:dyDescent="0.2">
      <c r="AP509" s="7"/>
      <c r="AR509" s="10"/>
      <c r="AS509" s="7"/>
      <c r="AT509" s="1"/>
    </row>
    <row r="510" spans="42:46" ht="14.25" customHeight="1" x14ac:dyDescent="0.2">
      <c r="AP510" s="7"/>
      <c r="AR510" s="10"/>
      <c r="AS510" s="7"/>
      <c r="AT510" s="1"/>
    </row>
    <row r="511" spans="42:46" ht="14.25" customHeight="1" x14ac:dyDescent="0.2">
      <c r="AP511" s="7"/>
      <c r="AR511" s="10"/>
      <c r="AS511" s="7"/>
      <c r="AT511" s="1"/>
    </row>
    <row r="512" spans="42:46" ht="14.25" customHeight="1" x14ac:dyDescent="0.2">
      <c r="AP512" s="7"/>
      <c r="AR512" s="10"/>
      <c r="AS512" s="7"/>
      <c r="AT512" s="1"/>
    </row>
    <row r="513" spans="42:46" ht="14.25" customHeight="1" x14ac:dyDescent="0.2">
      <c r="AP513" s="7"/>
      <c r="AR513" s="10"/>
      <c r="AS513" s="7"/>
      <c r="AT513" s="1"/>
    </row>
    <row r="514" spans="42:46" ht="14.25" customHeight="1" x14ac:dyDescent="0.2">
      <c r="AP514" s="7"/>
      <c r="AR514" s="10"/>
      <c r="AS514" s="7"/>
      <c r="AT514" s="1"/>
    </row>
    <row r="515" spans="42:46" ht="14.25" customHeight="1" x14ac:dyDescent="0.2">
      <c r="AP515" s="7"/>
      <c r="AR515" s="10"/>
      <c r="AS515" s="7"/>
      <c r="AT515" s="1"/>
    </row>
    <row r="516" spans="42:46" ht="14.25" customHeight="1" x14ac:dyDescent="0.2">
      <c r="AP516" s="7"/>
      <c r="AR516" s="10"/>
      <c r="AS516" s="7"/>
      <c r="AT516" s="1"/>
    </row>
    <row r="517" spans="42:46" ht="14.25" customHeight="1" x14ac:dyDescent="0.2">
      <c r="AP517" s="7"/>
      <c r="AR517" s="10"/>
      <c r="AS517" s="7"/>
      <c r="AT517" s="1"/>
    </row>
    <row r="518" spans="42:46" ht="14.25" customHeight="1" x14ac:dyDescent="0.2">
      <c r="AP518" s="7"/>
      <c r="AR518" s="10"/>
      <c r="AS518" s="7"/>
      <c r="AT518" s="1"/>
    </row>
    <row r="519" spans="42:46" ht="14.25" customHeight="1" x14ac:dyDescent="0.2">
      <c r="AP519" s="7"/>
      <c r="AR519" s="10"/>
      <c r="AS519" s="7"/>
      <c r="AT519" s="1"/>
    </row>
    <row r="520" spans="42:46" ht="14.25" customHeight="1" x14ac:dyDescent="0.2">
      <c r="AP520" s="7"/>
      <c r="AR520" s="10"/>
      <c r="AS520" s="7"/>
      <c r="AT520" s="1"/>
    </row>
    <row r="521" spans="42:46" ht="14.25" customHeight="1" x14ac:dyDescent="0.2">
      <c r="AP521" s="7"/>
      <c r="AR521" s="10"/>
      <c r="AS521" s="7"/>
      <c r="AT521" s="1"/>
    </row>
    <row r="522" spans="42:46" ht="14.25" customHeight="1" x14ac:dyDescent="0.2">
      <c r="AP522" s="7"/>
      <c r="AR522" s="10"/>
      <c r="AS522" s="7"/>
      <c r="AT522" s="1"/>
    </row>
    <row r="523" spans="42:46" ht="14.25" customHeight="1" x14ac:dyDescent="0.2">
      <c r="AP523" s="7"/>
      <c r="AR523" s="10"/>
      <c r="AS523" s="7"/>
      <c r="AT523" s="1"/>
    </row>
    <row r="524" spans="42:46" ht="14.25" customHeight="1" x14ac:dyDescent="0.2">
      <c r="AP524" s="7"/>
      <c r="AR524" s="10"/>
      <c r="AS524" s="7"/>
      <c r="AT524" s="1"/>
    </row>
    <row r="525" spans="42:46" ht="14.25" customHeight="1" x14ac:dyDescent="0.2">
      <c r="AP525" s="7"/>
      <c r="AR525" s="10"/>
      <c r="AS525" s="7"/>
      <c r="AT525" s="1"/>
    </row>
    <row r="526" spans="42:46" ht="14.25" customHeight="1" x14ac:dyDescent="0.2">
      <c r="AP526" s="7"/>
      <c r="AR526" s="10"/>
      <c r="AS526" s="7"/>
      <c r="AT526" s="1"/>
    </row>
    <row r="527" spans="42:46" ht="14.25" customHeight="1" x14ac:dyDescent="0.2">
      <c r="AP527" s="7"/>
      <c r="AR527" s="10"/>
      <c r="AS527" s="7"/>
      <c r="AT527" s="1"/>
    </row>
    <row r="528" spans="42:46" ht="14.25" customHeight="1" x14ac:dyDescent="0.2">
      <c r="AP528" s="7"/>
      <c r="AR528" s="10"/>
      <c r="AS528" s="7"/>
      <c r="AT528" s="1"/>
    </row>
    <row r="529" spans="42:46" ht="14.25" customHeight="1" x14ac:dyDescent="0.2">
      <c r="AP529" s="7"/>
      <c r="AR529" s="10"/>
      <c r="AS529" s="7"/>
      <c r="AT529" s="1"/>
    </row>
    <row r="530" spans="42:46" ht="14.25" customHeight="1" x14ac:dyDescent="0.2">
      <c r="AP530" s="7"/>
      <c r="AR530" s="10"/>
      <c r="AS530" s="7"/>
      <c r="AT530" s="1"/>
    </row>
    <row r="531" spans="42:46" ht="14.25" customHeight="1" x14ac:dyDescent="0.2">
      <c r="AP531" s="7"/>
      <c r="AR531" s="10"/>
      <c r="AS531" s="7"/>
      <c r="AT531" s="1"/>
    </row>
    <row r="532" spans="42:46" ht="14.25" customHeight="1" x14ac:dyDescent="0.2">
      <c r="AP532" s="7"/>
      <c r="AR532" s="10"/>
      <c r="AS532" s="7"/>
      <c r="AT532" s="1"/>
    </row>
    <row r="533" spans="42:46" ht="14.25" customHeight="1" x14ac:dyDescent="0.2">
      <c r="AP533" s="7"/>
      <c r="AR533" s="10"/>
      <c r="AS533" s="7"/>
      <c r="AT533" s="1"/>
    </row>
    <row r="534" spans="42:46" ht="14.25" customHeight="1" x14ac:dyDescent="0.2">
      <c r="AP534" s="7"/>
      <c r="AR534" s="10"/>
      <c r="AS534" s="7"/>
      <c r="AT534" s="1"/>
    </row>
    <row r="535" spans="42:46" ht="14.25" customHeight="1" x14ac:dyDescent="0.2">
      <c r="AP535" s="7"/>
      <c r="AR535" s="10"/>
      <c r="AS535" s="7"/>
      <c r="AT535" s="1"/>
    </row>
    <row r="536" spans="42:46" ht="14.25" customHeight="1" x14ac:dyDescent="0.2">
      <c r="AP536" s="7"/>
      <c r="AR536" s="10"/>
      <c r="AS536" s="7"/>
      <c r="AT536" s="1"/>
    </row>
    <row r="537" spans="42:46" ht="14.25" customHeight="1" x14ac:dyDescent="0.2">
      <c r="AP537" s="7"/>
      <c r="AR537" s="10"/>
      <c r="AS537" s="7"/>
      <c r="AT537" s="1"/>
    </row>
    <row r="538" spans="42:46" ht="14.25" customHeight="1" x14ac:dyDescent="0.2">
      <c r="AP538" s="7"/>
      <c r="AR538" s="10"/>
      <c r="AS538" s="7"/>
      <c r="AT538" s="1"/>
    </row>
    <row r="539" spans="42:46" ht="14.25" customHeight="1" x14ac:dyDescent="0.2">
      <c r="AP539" s="7"/>
      <c r="AR539" s="10"/>
      <c r="AS539" s="7"/>
      <c r="AT539" s="1"/>
    </row>
    <row r="540" spans="42:46" ht="14.25" customHeight="1" x14ac:dyDescent="0.2">
      <c r="AP540" s="7"/>
      <c r="AR540" s="10"/>
      <c r="AS540" s="7"/>
      <c r="AT540" s="1"/>
    </row>
    <row r="541" spans="42:46" ht="14.25" customHeight="1" x14ac:dyDescent="0.2">
      <c r="AP541" s="7"/>
      <c r="AR541" s="10"/>
      <c r="AS541" s="7"/>
      <c r="AT541" s="1"/>
    </row>
    <row r="542" spans="42:46" ht="14.25" customHeight="1" x14ac:dyDescent="0.2">
      <c r="AP542" s="7"/>
      <c r="AR542" s="10"/>
      <c r="AS542" s="7"/>
      <c r="AT542" s="1"/>
    </row>
    <row r="543" spans="42:46" ht="14.25" customHeight="1" x14ac:dyDescent="0.2">
      <c r="AP543" s="7"/>
      <c r="AR543" s="10"/>
      <c r="AS543" s="7"/>
      <c r="AT543" s="1"/>
    </row>
    <row r="544" spans="42:46" ht="14.25" customHeight="1" x14ac:dyDescent="0.2">
      <c r="AP544" s="7"/>
      <c r="AR544" s="10"/>
      <c r="AS544" s="7"/>
      <c r="AT544" s="1"/>
    </row>
    <row r="545" spans="42:46" ht="14.25" customHeight="1" x14ac:dyDescent="0.2">
      <c r="AP545" s="7"/>
      <c r="AR545" s="10"/>
      <c r="AS545" s="7"/>
      <c r="AT545" s="1"/>
    </row>
    <row r="546" spans="42:46" ht="14.25" customHeight="1" x14ac:dyDescent="0.2">
      <c r="AP546" s="7"/>
      <c r="AR546" s="10"/>
      <c r="AS546" s="7"/>
      <c r="AT546" s="1"/>
    </row>
    <row r="547" spans="42:46" ht="14.25" customHeight="1" x14ac:dyDescent="0.2">
      <c r="AP547" s="7"/>
      <c r="AR547" s="10"/>
      <c r="AS547" s="7"/>
      <c r="AT547" s="1"/>
    </row>
    <row r="548" spans="42:46" ht="14.25" customHeight="1" x14ac:dyDescent="0.2">
      <c r="AP548" s="7"/>
      <c r="AR548" s="10"/>
      <c r="AS548" s="7"/>
      <c r="AT548" s="1"/>
    </row>
    <row r="549" spans="42:46" ht="14.25" customHeight="1" x14ac:dyDescent="0.2">
      <c r="AP549" s="7"/>
      <c r="AR549" s="10"/>
      <c r="AS549" s="7"/>
      <c r="AT549" s="1"/>
    </row>
    <row r="550" spans="42:46" ht="14.25" customHeight="1" x14ac:dyDescent="0.2">
      <c r="AP550" s="7"/>
      <c r="AR550" s="10"/>
      <c r="AS550" s="7"/>
      <c r="AT550" s="1"/>
    </row>
    <row r="551" spans="42:46" ht="14.25" customHeight="1" x14ac:dyDescent="0.2">
      <c r="AP551" s="7"/>
      <c r="AR551" s="10"/>
      <c r="AS551" s="7"/>
      <c r="AT551" s="1"/>
    </row>
    <row r="552" spans="42:46" ht="14.25" customHeight="1" x14ac:dyDescent="0.2">
      <c r="AP552" s="7"/>
      <c r="AR552" s="10"/>
      <c r="AS552" s="7"/>
      <c r="AT552" s="1"/>
    </row>
    <row r="553" spans="42:46" ht="14.25" customHeight="1" x14ac:dyDescent="0.2">
      <c r="AP553" s="7"/>
      <c r="AR553" s="10"/>
      <c r="AS553" s="7"/>
      <c r="AT553" s="1"/>
    </row>
    <row r="554" spans="42:46" ht="14.25" customHeight="1" x14ac:dyDescent="0.2">
      <c r="AP554" s="7"/>
      <c r="AR554" s="10"/>
      <c r="AS554" s="7"/>
      <c r="AT554" s="1"/>
    </row>
    <row r="555" spans="42:46" ht="14.25" customHeight="1" x14ac:dyDescent="0.2">
      <c r="AP555" s="7"/>
      <c r="AR555" s="10"/>
      <c r="AS555" s="7"/>
      <c r="AT555" s="1"/>
    </row>
    <row r="556" spans="42:46" ht="14.25" customHeight="1" x14ac:dyDescent="0.2">
      <c r="AP556" s="7"/>
      <c r="AR556" s="10"/>
      <c r="AS556" s="7"/>
      <c r="AT556" s="1"/>
    </row>
    <row r="557" spans="42:46" ht="14.25" customHeight="1" x14ac:dyDescent="0.2">
      <c r="AP557" s="7"/>
      <c r="AR557" s="10"/>
      <c r="AS557" s="7"/>
      <c r="AT557" s="1"/>
    </row>
    <row r="558" spans="42:46" ht="14.25" customHeight="1" x14ac:dyDescent="0.2">
      <c r="AP558" s="7"/>
      <c r="AR558" s="10"/>
      <c r="AS558" s="7"/>
      <c r="AT558" s="1"/>
    </row>
    <row r="559" spans="42:46" ht="14.25" customHeight="1" x14ac:dyDescent="0.2">
      <c r="AP559" s="7"/>
      <c r="AR559" s="10"/>
      <c r="AS559" s="7"/>
      <c r="AT559" s="1"/>
    </row>
    <row r="560" spans="42:46" ht="14.25" customHeight="1" x14ac:dyDescent="0.2">
      <c r="AP560" s="7"/>
      <c r="AR560" s="10"/>
      <c r="AS560" s="7"/>
      <c r="AT560" s="1"/>
    </row>
    <row r="561" spans="42:46" ht="14.25" customHeight="1" x14ac:dyDescent="0.2">
      <c r="AP561" s="7"/>
      <c r="AR561" s="10"/>
      <c r="AS561" s="7"/>
      <c r="AT561" s="1"/>
    </row>
    <row r="562" spans="42:46" ht="14.25" customHeight="1" x14ac:dyDescent="0.2">
      <c r="AP562" s="7"/>
      <c r="AR562" s="10"/>
      <c r="AS562" s="7"/>
      <c r="AT562" s="1"/>
    </row>
    <row r="563" spans="42:46" ht="14.25" customHeight="1" x14ac:dyDescent="0.2">
      <c r="AP563" s="7"/>
      <c r="AR563" s="10"/>
      <c r="AS563" s="7"/>
      <c r="AT563" s="1"/>
    </row>
    <row r="564" spans="42:46" ht="14.25" customHeight="1" x14ac:dyDescent="0.2">
      <c r="AP564" s="7"/>
      <c r="AR564" s="10"/>
      <c r="AS564" s="7"/>
      <c r="AT564" s="1"/>
    </row>
    <row r="565" spans="42:46" ht="14.25" customHeight="1" x14ac:dyDescent="0.2">
      <c r="AP565" s="7"/>
      <c r="AR565" s="10"/>
      <c r="AS565" s="7"/>
      <c r="AT565" s="1"/>
    </row>
    <row r="566" spans="42:46" ht="14.25" customHeight="1" x14ac:dyDescent="0.2">
      <c r="AP566" s="7"/>
      <c r="AR566" s="10"/>
      <c r="AS566" s="7"/>
      <c r="AT566" s="1"/>
    </row>
    <row r="567" spans="42:46" ht="14.25" customHeight="1" x14ac:dyDescent="0.2">
      <c r="AP567" s="7"/>
      <c r="AR567" s="10"/>
      <c r="AS567" s="7"/>
      <c r="AT567" s="1"/>
    </row>
    <row r="568" spans="42:46" ht="14.25" customHeight="1" x14ac:dyDescent="0.2">
      <c r="AP568" s="7"/>
      <c r="AR568" s="10"/>
      <c r="AS568" s="7"/>
      <c r="AT568" s="1"/>
    </row>
  </sheetData>
  <mergeCells count="44">
    <mergeCell ref="Q2:Z2"/>
    <mergeCell ref="AA2:AC2"/>
    <mergeCell ref="Q3:R3"/>
    <mergeCell ref="S3:V3"/>
    <mergeCell ref="W3:Z3"/>
    <mergeCell ref="AA3:AC3"/>
    <mergeCell ref="S5:V5"/>
    <mergeCell ref="W5:Z5"/>
    <mergeCell ref="AB5:AC5"/>
    <mergeCell ref="B4:E4"/>
    <mergeCell ref="S4:V4"/>
    <mergeCell ref="W4:Z4"/>
    <mergeCell ref="AB4:AC4"/>
    <mergeCell ref="B10:E10"/>
    <mergeCell ref="G9:H9"/>
    <mergeCell ref="I9:L9"/>
    <mergeCell ref="G3:H3"/>
    <mergeCell ref="G4:H4"/>
    <mergeCell ref="G5:H5"/>
    <mergeCell ref="G6:H6"/>
    <mergeCell ref="G7:H7"/>
    <mergeCell ref="B8:E8"/>
    <mergeCell ref="B7:E7"/>
    <mergeCell ref="B6:E6"/>
    <mergeCell ref="B2:E3"/>
    <mergeCell ref="G2:P2"/>
    <mergeCell ref="M3:P3"/>
    <mergeCell ref="B5:E5"/>
    <mergeCell ref="AD9:AE9"/>
    <mergeCell ref="Q9:Z9"/>
    <mergeCell ref="AD6:AE7"/>
    <mergeCell ref="I3:L3"/>
    <mergeCell ref="I4:L4"/>
    <mergeCell ref="I5:L5"/>
    <mergeCell ref="I6:K6"/>
    <mergeCell ref="I7:K7"/>
    <mergeCell ref="AA9:AC9"/>
    <mergeCell ref="M9:P9"/>
    <mergeCell ref="AB6:AC6"/>
    <mergeCell ref="S7:V7"/>
    <mergeCell ref="W7:Z7"/>
    <mergeCell ref="AB7:AC7"/>
    <mergeCell ref="S6:V6"/>
    <mergeCell ref="W6:Z6"/>
  </mergeCells>
  <phoneticPr fontId="4" type="noConversion"/>
  <conditionalFormatting sqref="G11:AE193">
    <cfRule type="expression" dxfId="8" priority="430">
      <formula>$G11&lt;&gt;$I$6</formula>
    </cfRule>
  </conditionalFormatting>
  <conditionalFormatting sqref="Q11:W193">
    <cfRule type="expression" dxfId="7" priority="419">
      <formula>$R11&gt;0</formula>
    </cfRule>
  </conditionalFormatting>
  <conditionalFormatting sqref="S11:U193 X11:Y193">
    <cfRule type="expression" dxfId="6" priority="422">
      <formula>$T11&gt;0</formula>
    </cfRule>
  </conditionalFormatting>
  <conditionalFormatting sqref="V11:AC193">
    <cfRule type="expression" dxfId="5" priority="429">
      <formula>$V11&gt;0</formula>
    </cfRule>
  </conditionalFormatting>
  <conditionalFormatting sqref="AA4:AA7 AA11:AC193">
    <cfRule type="dataBar" priority="2">
      <dataBar>
        <cfvo type="num" val="$AA$4"/>
        <cfvo type="num" val="$AA$7"/>
        <color theme="2"/>
      </dataBar>
      <extLst>
        <ext xmlns:x14="http://schemas.microsoft.com/office/spreadsheetml/2009/9/main" uri="{B025F937-C7B1-47D3-B67F-A62EFF666E3E}">
          <x14:id>{35C85D43-D7B1-4555-A837-EAF962EF620C}</x14:id>
        </ext>
      </extLst>
    </cfRule>
  </conditionalFormatting>
  <dataValidations count="1">
    <dataValidation type="list" allowBlank="1" showInputMessage="1" showErrorMessage="1" sqref="I6" xr:uid="{B1B7564A-9A79-4B6F-A498-9444D99AA0C2}">
      <formula1>INDIRECT("Lookup_SurveyEpoch[Epoch]")</formula1>
    </dataValidation>
  </dataValidations>
  <printOptions horizontalCentered="1"/>
  <pageMargins left="0.51181102362204722" right="0.51181102362204722" top="0.74803149606299213" bottom="0.74803149606299213" header="0.31496062992125984" footer="0.31496062992125984"/>
  <pageSetup paperSize="139" scale="25" fitToHeight="0" orientation="landscape" horizontalDpi="1200" verticalDpi="1200" r:id="rId1"/>
  <headerFooter scaleWithDoc="0">
    <oddHeader>&amp;L&amp;"-,Regular"Monitoring Table Report&amp;R&amp;"-,Regular"&amp;D</oddHeader>
    <oddFooter>&amp;C&amp;"-,Regular"&amp;F</oddFooter>
  </headerFooter>
  <rowBreaks count="1" manualBreakCount="1">
    <brk id="193" min="6" max="21" man="1"/>
  </rowBreak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7" id="{1D4FC08F-3A94-45E4-9341-532A5C24C0EB}">
            <x14:iconSet iconSet="5Arrows"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B4:B8</xm:sqref>
        </x14:conditionalFormatting>
        <x14:conditionalFormatting xmlns:xm="http://schemas.microsoft.com/office/excel/2006/main">
          <x14:cfRule type="iconSet" priority="6" id="{62D959B6-4D14-4DB5-9B3C-EC1861A219AF}">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R4:R7</xm:sqref>
        </x14:conditionalFormatting>
        <x14:conditionalFormatting xmlns:xm="http://schemas.microsoft.com/office/excel/2006/main">
          <x14:cfRule type="iconSet" priority="451" id="{5D41140A-C5E0-42F0-8AF9-FBB77BFE7BB8}">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R11:R193 T11:T193 V11:V193 X11:X193 Z11:Z193</xm:sqref>
        </x14:conditionalFormatting>
        <x14:conditionalFormatting xmlns:xm="http://schemas.microsoft.com/office/excel/2006/main">
          <x14:cfRule type="dataBar" id="{35C85D43-D7B1-4555-A837-EAF962EF620C}">
            <x14:dataBar minLength="0" maxLength="100" gradient="0">
              <x14:cfvo type="num">
                <xm:f>$AA$4</xm:f>
              </x14:cfvo>
              <x14:cfvo type="num">
                <xm:f>$AA$7</xm:f>
              </x14:cfvo>
              <x14:negativeFillColor theme="2"/>
              <x14:axisColor theme="2"/>
            </x14:dataBar>
          </x14:cfRule>
          <xm:sqref>AA4:AA7 AA11:AC193</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0687A-0CFC-4A56-B677-14BAAE53B081}">
  <sheetPr codeName="Sheet8">
    <tabColor theme="1" tint="0.249977111117893"/>
    <pageSetUpPr fitToPage="1"/>
  </sheetPr>
  <dimension ref="B2:AN407"/>
  <sheetViews>
    <sheetView showGridLines="0" zoomScale="85" zoomScaleNormal="85" workbookViewId="0">
      <pane xSplit="6" ySplit="7" topLeftCell="G8" activePane="bottomRight" state="frozen"/>
      <selection pane="topRight" activeCell="G1" sqref="G1"/>
      <selection pane="bottomLeft" activeCell="A12" sqref="A12"/>
      <selection pane="bottomRight" activeCell="G49" sqref="G49:AB232"/>
    </sheetView>
  </sheetViews>
  <sheetFormatPr defaultColWidth="9.140625" defaultRowHeight="14.25" customHeight="1" x14ac:dyDescent="0.2"/>
  <cols>
    <col min="1" max="1" width="2.85546875" style="1" customWidth="1"/>
    <col min="2" max="2" width="12" style="1" customWidth="1"/>
    <col min="3" max="3" width="14.28515625" style="1" customWidth="1"/>
    <col min="4" max="5" width="10.85546875" style="1" customWidth="1"/>
    <col min="6" max="6" width="2.85546875" style="1" customWidth="1"/>
    <col min="7" max="7" width="18.5703125" style="1" customWidth="1"/>
    <col min="8" max="8" width="18.85546875" style="1" customWidth="1"/>
    <col min="9" max="9" width="11.5703125" style="1" customWidth="1"/>
    <col min="10" max="11" width="15.140625" style="3" customWidth="1"/>
    <col min="12" max="12" width="11.5703125" style="10" customWidth="1"/>
    <col min="13" max="14" width="15.140625" style="7" customWidth="1"/>
    <col min="15" max="15" width="11.5703125" style="10" customWidth="1"/>
    <col min="16" max="16" width="11.42578125" style="7" customWidth="1"/>
    <col min="17" max="17" width="8.5703125" style="7" customWidth="1"/>
    <col min="18" max="18" width="11.42578125" style="10" customWidth="1"/>
    <col min="19" max="19" width="8.5703125" style="10" customWidth="1"/>
    <col min="20" max="20" width="11.42578125" style="10" customWidth="1"/>
    <col min="21" max="21" width="8.5703125" style="10" customWidth="1"/>
    <col min="22" max="24" width="11.42578125" style="10" customWidth="1"/>
    <col min="25" max="25" width="15.7109375" style="10" customWidth="1"/>
    <col min="26" max="26" width="35.42578125" style="10" customWidth="1"/>
    <col min="27" max="27" width="13.28515625" style="78" customWidth="1"/>
    <col min="28" max="28" width="13.28515625" style="10" customWidth="1"/>
    <col min="29" max="31" width="11.5703125" style="10" customWidth="1"/>
    <col min="32" max="32" width="20.7109375" style="10" customWidth="1"/>
    <col min="33" max="34" width="33.140625" style="10" customWidth="1"/>
    <col min="35" max="35" width="12.28515625" style="7" customWidth="1"/>
    <col min="36" max="36" width="18.140625" style="7" bestFit="1" customWidth="1"/>
    <col min="37" max="37" width="32.28515625" style="10" customWidth="1"/>
    <col min="38" max="38" width="19.42578125" style="7" customWidth="1"/>
    <col min="39" max="39" width="39" style="1" bestFit="1" customWidth="1"/>
    <col min="40" max="40" width="16.28515625" style="1" customWidth="1"/>
    <col min="41" max="41" width="13.85546875" style="1" bestFit="1" customWidth="1"/>
    <col min="42" max="42" width="8.7109375" style="1" bestFit="1" customWidth="1"/>
    <col min="43" max="43" width="11.42578125" style="1" bestFit="1" customWidth="1"/>
    <col min="44" max="46" width="12.42578125" style="1" customWidth="1"/>
    <col min="47" max="47" width="2.7109375" style="1" customWidth="1"/>
    <col min="48" max="49" width="9.140625" style="1"/>
    <col min="50" max="50" width="10.28515625" style="1" bestFit="1" customWidth="1"/>
    <col min="51" max="51" width="9.7109375" style="1" bestFit="1" customWidth="1"/>
    <col min="52" max="53" width="9.140625" style="1"/>
    <col min="54" max="54" width="14.42578125" style="1" bestFit="1" customWidth="1"/>
    <col min="55" max="55" width="6.28515625" style="1" bestFit="1" customWidth="1"/>
    <col min="56" max="56" width="11.42578125" style="1" bestFit="1" customWidth="1"/>
    <col min="57" max="57" width="12.5703125" style="1" bestFit="1" customWidth="1"/>
    <col min="58" max="58" width="11" style="1" bestFit="1" customWidth="1"/>
    <col min="59" max="59" width="6.42578125" style="1" bestFit="1" customWidth="1"/>
    <col min="60" max="16384" width="9.140625" style="1"/>
  </cols>
  <sheetData>
    <row r="2" spans="2:40" ht="15" customHeight="1" x14ac:dyDescent="0.2">
      <c r="B2" s="281" t="s">
        <v>62</v>
      </c>
      <c r="C2" s="282"/>
      <c r="D2" s="282"/>
      <c r="E2" s="283"/>
      <c r="G2" s="257" t="s">
        <v>61</v>
      </c>
      <c r="H2" s="257"/>
      <c r="I2" s="257"/>
      <c r="J2" s="257"/>
      <c r="K2" s="257"/>
      <c r="L2" s="257"/>
      <c r="M2" s="257"/>
      <c r="N2" s="257"/>
      <c r="O2" s="257"/>
      <c r="P2" s="257" t="s">
        <v>60</v>
      </c>
      <c r="Q2" s="257"/>
      <c r="R2" s="257"/>
      <c r="S2" s="257"/>
      <c r="T2" s="257"/>
      <c r="U2" s="257"/>
      <c r="V2" s="257" t="s">
        <v>77</v>
      </c>
      <c r="W2" s="257"/>
      <c r="X2" s="257"/>
      <c r="Y2" s="60"/>
      <c r="Z2" s="61"/>
    </row>
    <row r="3" spans="2:40" ht="14.25" customHeight="1" x14ac:dyDescent="0.2">
      <c r="B3" s="284"/>
      <c r="C3" s="285"/>
      <c r="D3" s="285"/>
      <c r="E3" s="286"/>
      <c r="G3" s="293" t="s">
        <v>55</v>
      </c>
      <c r="H3" s="293"/>
      <c r="I3" s="293"/>
      <c r="J3" s="258" t="s">
        <v>18</v>
      </c>
      <c r="K3" s="258"/>
      <c r="L3" s="258"/>
      <c r="M3" s="258"/>
      <c r="N3" s="258"/>
      <c r="O3" s="258"/>
      <c r="P3" s="266" t="s">
        <v>56</v>
      </c>
      <c r="Q3" s="266"/>
      <c r="R3" s="269" t="s">
        <v>57</v>
      </c>
      <c r="S3" s="269"/>
      <c r="T3" s="266" t="s">
        <v>58</v>
      </c>
      <c r="U3" s="266"/>
      <c r="V3" s="266" t="s">
        <v>59</v>
      </c>
      <c r="W3" s="266"/>
      <c r="X3" s="266"/>
      <c r="Y3" s="62"/>
      <c r="Z3" s="63"/>
      <c r="AG3" s="7"/>
      <c r="AH3" s="7"/>
    </row>
    <row r="4" spans="2:40" s="4" customFormat="1" ht="14.25" customHeight="1" x14ac:dyDescent="0.2">
      <c r="B4" s="270" t="s">
        <v>78</v>
      </c>
      <c r="C4" s="271"/>
      <c r="D4" s="271"/>
      <c r="E4" s="272"/>
      <c r="G4" s="293" t="s">
        <v>54</v>
      </c>
      <c r="H4" s="293"/>
      <c r="I4" s="293"/>
      <c r="J4" s="258" t="s">
        <v>19</v>
      </c>
      <c r="K4" s="258"/>
      <c r="L4" s="258"/>
      <c r="M4" s="258"/>
      <c r="N4" s="258"/>
      <c r="O4" s="258"/>
      <c r="P4" s="36">
        <v>1</v>
      </c>
      <c r="Q4" s="36">
        <v>1</v>
      </c>
      <c r="R4" s="268">
        <v>-5.0000000000000001E-3</v>
      </c>
      <c r="S4" s="268"/>
      <c r="T4" s="268">
        <v>5.0000000000000001E-3</v>
      </c>
      <c r="U4" s="268"/>
      <c r="V4" s="37">
        <v>-0.01</v>
      </c>
      <c r="W4" s="267" t="str">
        <f>"less than " &amp; TEXT(V4, "0.000")</f>
        <v>less than -0.010</v>
      </c>
      <c r="X4" s="267"/>
      <c r="Y4" s="62"/>
      <c r="Z4" s="63"/>
      <c r="AA4" s="79"/>
      <c r="AI4" s="7"/>
      <c r="AJ4" s="7"/>
      <c r="AK4" s="10"/>
      <c r="AL4" s="7"/>
    </row>
    <row r="5" spans="2:40" s="4" customFormat="1" ht="14.25" customHeight="1" x14ac:dyDescent="0.2">
      <c r="B5" s="270" t="s">
        <v>63</v>
      </c>
      <c r="C5" s="271"/>
      <c r="D5" s="271"/>
      <c r="E5" s="272"/>
      <c r="G5" s="293" t="s">
        <v>53</v>
      </c>
      <c r="H5" s="293"/>
      <c r="I5" s="293"/>
      <c r="J5" s="258">
        <v>2103743</v>
      </c>
      <c r="K5" s="258"/>
      <c r="L5" s="258"/>
      <c r="M5" s="258"/>
      <c r="N5" s="258"/>
      <c r="O5" s="258"/>
      <c r="P5" s="36">
        <v>2</v>
      </c>
      <c r="Q5" s="36">
        <v>2</v>
      </c>
      <c r="R5" s="268">
        <v>-0.01</v>
      </c>
      <c r="S5" s="268"/>
      <c r="T5" s="268">
        <v>0.01</v>
      </c>
      <c r="U5" s="268"/>
      <c r="V5" s="37">
        <v>-5.0000000000000001E-3</v>
      </c>
      <c r="W5" s="267" t="str">
        <f>"between "  &amp; TEXT(V5,"0.000") &amp; " and 0.000"</f>
        <v>between -0.005 and 0.000</v>
      </c>
      <c r="X5" s="267"/>
      <c r="Y5" s="62"/>
      <c r="Z5" s="63"/>
      <c r="AA5" s="79"/>
      <c r="AJ5" s="7"/>
      <c r="AK5" s="10"/>
      <c r="AL5" s="7"/>
    </row>
    <row r="6" spans="2:40" s="4" customFormat="1" ht="14.25" customHeight="1" x14ac:dyDescent="0.2">
      <c r="B6" s="270" t="s">
        <v>65</v>
      </c>
      <c r="C6" s="271"/>
      <c r="D6" s="271"/>
      <c r="E6" s="272"/>
      <c r="G6" s="293" t="s">
        <v>69</v>
      </c>
      <c r="H6" s="293"/>
      <c r="I6" s="293"/>
      <c r="J6" s="306">
        <v>45391.5625</v>
      </c>
      <c r="K6" s="306"/>
      <c r="L6" s="306"/>
      <c r="M6" s="306"/>
      <c r="N6" s="258" t="str">
        <f>_xlfn.XLOOKUP(J6,Lookup_SurveyEpoch[Epoch], Lookup_SurveyEpoch[Index],"-")</f>
        <v>-</v>
      </c>
      <c r="O6" s="258"/>
      <c r="P6" s="36">
        <v>3</v>
      </c>
      <c r="Q6" s="36">
        <v>3</v>
      </c>
      <c r="R6" s="268">
        <v>-1.4999999999999999E-2</v>
      </c>
      <c r="S6" s="268"/>
      <c r="T6" s="268">
        <v>1.4999999999999999E-2</v>
      </c>
      <c r="U6" s="268"/>
      <c r="V6" s="37">
        <v>5.0000000000000001E-3</v>
      </c>
      <c r="W6" s="267" t="str">
        <f>"between 0.000 and " &amp; TEXT(V6,"0.000")</f>
        <v>between 0.000 and 0.005</v>
      </c>
      <c r="X6" s="267"/>
      <c r="Y6" s="62"/>
      <c r="Z6" s="63"/>
      <c r="AA6" s="79"/>
    </row>
    <row r="7" spans="2:40" s="4" customFormat="1" ht="14.25" customHeight="1" x14ac:dyDescent="0.2">
      <c r="B7" s="270" t="s">
        <v>64</v>
      </c>
      <c r="C7" s="271"/>
      <c r="D7" s="271"/>
      <c r="E7" s="272"/>
      <c r="G7" s="293" t="s">
        <v>70</v>
      </c>
      <c r="H7" s="293"/>
      <c r="I7" s="293"/>
      <c r="J7" s="306" t="e">
        <f>_xlfn.XLOOKUP(N7,Lookup_SurveyEpoch[Index], Lookup_SurveyEpoch[Epoch],"-")</f>
        <v>#VALUE!</v>
      </c>
      <c r="K7" s="306"/>
      <c r="L7" s="306"/>
      <c r="M7" s="306"/>
      <c r="N7" s="258" t="e">
        <f>N6-1</f>
        <v>#VALUE!</v>
      </c>
      <c r="O7" s="258"/>
      <c r="P7" s="36">
        <v>4</v>
      </c>
      <c r="Q7" s="36">
        <v>4</v>
      </c>
      <c r="R7" s="268">
        <v>-1</v>
      </c>
      <c r="S7" s="268"/>
      <c r="T7" s="268">
        <v>1</v>
      </c>
      <c r="U7" s="268"/>
      <c r="V7" s="37">
        <v>0.01</v>
      </c>
      <c r="W7" s="267" t="str">
        <f>"greater than " &amp; TEXT(V7, "0.000")</f>
        <v>greater than 0.010</v>
      </c>
      <c r="X7" s="267"/>
      <c r="Y7" s="64"/>
      <c r="Z7" s="65"/>
      <c r="AA7" s="79"/>
      <c r="AI7" s="7"/>
      <c r="AJ7" s="7"/>
      <c r="AK7" s="10"/>
      <c r="AL7" s="7"/>
    </row>
    <row r="8" spans="2:40" ht="14.25" customHeight="1" x14ac:dyDescent="0.2">
      <c r="AA8" s="80"/>
      <c r="AB8" s="1"/>
      <c r="AC8" s="4"/>
      <c r="AD8" s="4"/>
      <c r="AE8" s="4"/>
      <c r="AF8" s="4"/>
      <c r="AG8" s="1"/>
      <c r="AH8" s="1"/>
      <c r="AI8" s="9"/>
      <c r="AJ8" s="6"/>
      <c r="AK8" s="6"/>
      <c r="AL8" s="6"/>
      <c r="AM8" s="8"/>
      <c r="AN8" s="8"/>
    </row>
    <row r="9" spans="2:40" ht="14.25" customHeight="1" x14ac:dyDescent="0.2">
      <c r="B9" s="273" t="s">
        <v>131</v>
      </c>
      <c r="C9" s="274"/>
      <c r="D9" s="274"/>
      <c r="E9" s="275"/>
      <c r="AA9" s="80"/>
      <c r="AB9" s="1"/>
      <c r="AC9" s="4"/>
      <c r="AD9" s="4"/>
      <c r="AE9" s="4"/>
      <c r="AF9" s="4"/>
      <c r="AG9" s="1"/>
      <c r="AH9" s="1"/>
      <c r="AI9" s="9"/>
      <c r="AJ9" s="6"/>
      <c r="AK9" s="6"/>
      <c r="AL9" s="6"/>
      <c r="AM9" s="8"/>
      <c r="AN9" s="8"/>
    </row>
    <row r="10" spans="2:40" ht="14.25" customHeight="1" x14ac:dyDescent="0.2">
      <c r="B10" s="305" t="s">
        <v>84</v>
      </c>
      <c r="C10" s="305"/>
      <c r="D10" s="307">
        <v>5.0000000000000001E-3</v>
      </c>
      <c r="E10" s="307"/>
      <c r="AA10" s="80"/>
      <c r="AB10" s="1"/>
      <c r="AC10" s="4"/>
      <c r="AD10" s="4"/>
      <c r="AE10" s="4"/>
      <c r="AF10" s="4"/>
      <c r="AG10" s="1"/>
      <c r="AH10" s="1"/>
      <c r="AI10" s="9"/>
      <c r="AJ10" s="6"/>
      <c r="AK10" s="6"/>
      <c r="AL10" s="6"/>
      <c r="AM10" s="8"/>
      <c r="AN10" s="8"/>
    </row>
    <row r="11" spans="2:40" ht="14.25" customHeight="1" x14ac:dyDescent="0.2">
      <c r="B11" s="305" t="s">
        <v>81</v>
      </c>
      <c r="C11" s="305"/>
      <c r="D11" s="307">
        <v>5.0000000000000001E-3</v>
      </c>
      <c r="E11" s="307"/>
      <c r="AA11" s="80"/>
      <c r="AB11" s="1"/>
      <c r="AC11" s="4"/>
      <c r="AD11" s="4"/>
      <c r="AE11" s="4"/>
      <c r="AF11" s="4"/>
      <c r="AG11" s="1"/>
      <c r="AH11" s="1"/>
      <c r="AI11" s="9"/>
      <c r="AJ11" s="6"/>
      <c r="AK11" s="6"/>
      <c r="AL11" s="6"/>
      <c r="AM11" s="8"/>
      <c r="AN11" s="8"/>
    </row>
    <row r="12" spans="2:40" ht="14.25" customHeight="1" x14ac:dyDescent="0.2">
      <c r="B12" s="305" t="s">
        <v>132</v>
      </c>
      <c r="C12" s="305"/>
      <c r="D12" s="308">
        <f>SUBTOTAL(105,ReportSummary___Chart[Diff to BL. East.],ReportSummary___Chart[Diff to BL. North.],ReportSummary___Chart[Diff to BL. Level])</f>
        <v>-1.0000000000012221E-3</v>
      </c>
      <c r="E12" s="308"/>
      <c r="AA12" s="80"/>
      <c r="AB12" s="1"/>
      <c r="AC12" s="4"/>
      <c r="AD12" s="8"/>
      <c r="AE12" s="1"/>
      <c r="AF12" s="1"/>
      <c r="AG12" s="1"/>
      <c r="AH12" s="1"/>
      <c r="AI12" s="1"/>
      <c r="AJ12" s="1"/>
      <c r="AK12" s="1"/>
      <c r="AL12" s="1"/>
    </row>
    <row r="13" spans="2:40" ht="14.25" customHeight="1" x14ac:dyDescent="0.2">
      <c r="B13" s="305" t="s">
        <v>132</v>
      </c>
      <c r="C13" s="305"/>
      <c r="D13" s="308">
        <f>SUBTOTAL(104,ReportSummary___Chart[Diff to BL. East.],ReportSummary___Chart[Diff to BL. North.],ReportSummary___Chart[Diff to BL. Level])</f>
        <v>1.0000000038417056E-3</v>
      </c>
      <c r="E13" s="308"/>
      <c r="AA13" s="80"/>
      <c r="AB13" s="1"/>
      <c r="AC13" s="4"/>
      <c r="AD13" s="8"/>
      <c r="AE13" s="1"/>
      <c r="AF13" s="1"/>
      <c r="AG13" s="1"/>
      <c r="AH13" s="1"/>
      <c r="AI13" s="1"/>
      <c r="AJ13" s="1"/>
      <c r="AK13" s="1"/>
      <c r="AL13" s="1"/>
    </row>
    <row r="14" spans="2:40" ht="14.25" customHeight="1" x14ac:dyDescent="0.2">
      <c r="B14" s="309" t="s">
        <v>80</v>
      </c>
      <c r="C14" s="310"/>
      <c r="D14" s="308">
        <f>_xlfn.LET(
_xlpm.DefaultMin,-1*(Cell_ChartBounds+Cell_ChartPadding),
_xlpm.DefaultMax,(Cell_ChartBounds+Cell_ChartPadding),
_xlpm.DataMin,D12-Cell_ChartPadding,
_xlpm.DataMax,D13+Cell_ChartPadding,
MIN(_xlpm.DataMin, _xlpm.DefaultMin))</f>
        <v>-0.01</v>
      </c>
      <c r="E14" s="308"/>
      <c r="AA14" s="80"/>
      <c r="AB14" s="1"/>
      <c r="AC14" s="4"/>
      <c r="AD14" s="8"/>
      <c r="AE14" s="1"/>
      <c r="AF14" s="1"/>
      <c r="AG14" s="1"/>
      <c r="AH14" s="1"/>
      <c r="AI14" s="1"/>
      <c r="AJ14" s="1"/>
      <c r="AK14" s="1"/>
      <c r="AL14" s="1"/>
    </row>
    <row r="15" spans="2:40" ht="14.25" customHeight="1" x14ac:dyDescent="0.2">
      <c r="B15" s="305" t="s">
        <v>79</v>
      </c>
      <c r="C15" s="305"/>
      <c r="D15" s="308">
        <f>_xlfn.LET(
_xlpm.DefaultMin,-1*(Cell_ChartBounds+Cell_ChartPadding),
_xlpm.DefaultMax,(Cell_ChartBounds+Cell_ChartPadding),
_xlpm.DataMin,D12-Cell_ChartPadding,
_xlpm.DataMax,D13+Cell_ChartPadding,
MAX(_xlpm.DataMax, _xlpm.DefaultMax))</f>
        <v>0.01</v>
      </c>
      <c r="E15" s="308"/>
      <c r="AA15" s="80"/>
      <c r="AB15" s="1"/>
      <c r="AC15" s="4"/>
      <c r="AD15" s="8"/>
      <c r="AE15" s="1"/>
      <c r="AF15" s="1"/>
      <c r="AG15" s="1"/>
      <c r="AH15" s="1"/>
      <c r="AI15" s="1"/>
      <c r="AJ15" s="1"/>
      <c r="AK15" s="1"/>
      <c r="AL15" s="1"/>
    </row>
    <row r="16" spans="2:40" ht="14.25" customHeight="1" x14ac:dyDescent="0.2">
      <c r="AA16" s="80"/>
      <c r="AB16" s="1"/>
      <c r="AC16" s="4"/>
      <c r="AD16" s="8"/>
      <c r="AE16" s="1"/>
      <c r="AF16" s="1"/>
      <c r="AG16" s="1"/>
      <c r="AH16" s="1"/>
      <c r="AI16" s="1"/>
      <c r="AJ16" s="1"/>
      <c r="AK16" s="1"/>
      <c r="AL16" s="1"/>
    </row>
    <row r="17" spans="27:38" ht="14.25" customHeight="1" x14ac:dyDescent="0.2">
      <c r="AA17" s="80"/>
      <c r="AB17" s="1"/>
      <c r="AC17" s="4"/>
      <c r="AD17" s="8"/>
      <c r="AE17" s="1"/>
      <c r="AF17" s="1"/>
      <c r="AG17" s="1"/>
      <c r="AH17" s="1"/>
      <c r="AI17" s="1"/>
      <c r="AJ17" s="1"/>
      <c r="AK17" s="1"/>
      <c r="AL17" s="1"/>
    </row>
    <row r="18" spans="27:38" ht="14.25" customHeight="1" x14ac:dyDescent="0.2">
      <c r="AA18" s="80"/>
      <c r="AB18" s="1"/>
      <c r="AC18" s="4"/>
      <c r="AD18" s="8"/>
      <c r="AE18" s="1"/>
      <c r="AF18" s="1"/>
      <c r="AG18" s="1"/>
      <c r="AH18" s="1"/>
      <c r="AI18" s="1"/>
      <c r="AJ18" s="1"/>
      <c r="AK18" s="1"/>
      <c r="AL18" s="1"/>
    </row>
    <row r="19" spans="27:38" ht="14.25" customHeight="1" x14ac:dyDescent="0.2">
      <c r="AA19" s="80"/>
      <c r="AB19" s="1"/>
      <c r="AC19" s="4"/>
      <c r="AD19" s="8"/>
      <c r="AE19" s="1"/>
      <c r="AF19" s="1"/>
      <c r="AG19" s="1"/>
      <c r="AH19" s="1"/>
      <c r="AI19" s="1"/>
      <c r="AJ19" s="1"/>
      <c r="AK19" s="1"/>
      <c r="AL19" s="1"/>
    </row>
    <row r="20" spans="27:38" ht="14.25" customHeight="1" x14ac:dyDescent="0.2">
      <c r="AA20" s="80"/>
      <c r="AB20" s="1"/>
      <c r="AC20" s="4"/>
      <c r="AD20" s="8"/>
      <c r="AE20" s="1"/>
      <c r="AF20" s="1"/>
      <c r="AG20" s="1"/>
      <c r="AH20" s="1"/>
      <c r="AI20" s="1"/>
      <c r="AJ20" s="1"/>
      <c r="AK20" s="1"/>
      <c r="AL20" s="1"/>
    </row>
    <row r="21" spans="27:38" ht="14.25" customHeight="1" x14ac:dyDescent="0.2">
      <c r="AA21" s="80"/>
      <c r="AB21" s="1"/>
      <c r="AC21" s="4"/>
      <c r="AD21" s="8"/>
      <c r="AE21" s="1"/>
      <c r="AF21" s="1"/>
      <c r="AG21" s="1"/>
      <c r="AH21" s="1"/>
      <c r="AI21" s="1"/>
      <c r="AJ21" s="1"/>
      <c r="AK21" s="1"/>
      <c r="AL21" s="1"/>
    </row>
    <row r="22" spans="27:38" ht="14.25" customHeight="1" x14ac:dyDescent="0.2">
      <c r="AA22" s="80"/>
      <c r="AB22" s="1"/>
      <c r="AC22" s="4"/>
      <c r="AD22" s="8"/>
      <c r="AE22" s="1"/>
      <c r="AF22" s="1"/>
      <c r="AG22" s="1"/>
      <c r="AH22" s="1"/>
      <c r="AI22" s="1"/>
      <c r="AJ22" s="1"/>
      <c r="AK22" s="1"/>
      <c r="AL22" s="1"/>
    </row>
    <row r="23" spans="27:38" ht="14.25" customHeight="1" x14ac:dyDescent="0.2">
      <c r="AA23" s="80"/>
      <c r="AB23" s="1"/>
      <c r="AC23" s="4"/>
      <c r="AD23" s="8"/>
      <c r="AE23" s="1"/>
      <c r="AF23" s="1"/>
      <c r="AG23" s="1"/>
      <c r="AH23" s="1"/>
      <c r="AI23" s="1"/>
      <c r="AJ23" s="1"/>
      <c r="AK23" s="1"/>
      <c r="AL23" s="1"/>
    </row>
    <row r="24" spans="27:38" ht="14.25" customHeight="1" x14ac:dyDescent="0.2">
      <c r="AA24" s="80"/>
      <c r="AB24" s="1"/>
      <c r="AC24" s="4"/>
      <c r="AD24" s="8"/>
      <c r="AE24" s="1"/>
      <c r="AF24" s="1"/>
      <c r="AG24" s="1"/>
      <c r="AH24" s="1"/>
      <c r="AI24" s="1"/>
      <c r="AJ24" s="1"/>
      <c r="AK24" s="1"/>
      <c r="AL24" s="1"/>
    </row>
    <row r="25" spans="27:38" ht="14.25" customHeight="1" x14ac:dyDescent="0.2">
      <c r="AA25" s="80"/>
      <c r="AB25" s="1"/>
      <c r="AC25" s="4"/>
      <c r="AD25" s="8"/>
      <c r="AE25" s="1"/>
      <c r="AF25" s="1"/>
      <c r="AG25" s="1"/>
      <c r="AH25" s="1"/>
      <c r="AI25" s="1"/>
      <c r="AJ25" s="1"/>
      <c r="AK25" s="1"/>
      <c r="AL25" s="1"/>
    </row>
    <row r="26" spans="27:38" ht="14.25" customHeight="1" x14ac:dyDescent="0.2">
      <c r="AA26" s="80"/>
      <c r="AB26" s="1"/>
      <c r="AC26" s="4"/>
      <c r="AD26" s="8"/>
      <c r="AE26" s="1"/>
      <c r="AF26" s="1"/>
      <c r="AG26" s="1"/>
      <c r="AH26" s="1"/>
      <c r="AI26" s="1"/>
      <c r="AJ26" s="1"/>
      <c r="AK26" s="1"/>
      <c r="AL26" s="1"/>
    </row>
    <row r="27" spans="27:38" ht="14.25" customHeight="1" x14ac:dyDescent="0.2">
      <c r="AA27" s="80"/>
      <c r="AB27" s="1"/>
      <c r="AC27" s="4"/>
      <c r="AD27" s="8"/>
      <c r="AE27" s="1"/>
      <c r="AF27" s="1"/>
      <c r="AG27" s="1"/>
      <c r="AH27" s="1"/>
      <c r="AI27" s="1"/>
      <c r="AJ27" s="1"/>
      <c r="AK27" s="1"/>
      <c r="AL27" s="1"/>
    </row>
    <row r="28" spans="27:38" ht="14.25" customHeight="1" x14ac:dyDescent="0.2">
      <c r="AA28" s="80"/>
      <c r="AB28" s="1"/>
      <c r="AC28" s="4"/>
      <c r="AD28" s="8"/>
      <c r="AE28" s="1"/>
      <c r="AF28" s="1"/>
      <c r="AG28" s="1"/>
      <c r="AH28" s="1"/>
      <c r="AI28" s="1"/>
      <c r="AJ28" s="1"/>
      <c r="AK28" s="1"/>
      <c r="AL28" s="1"/>
    </row>
    <row r="29" spans="27:38" ht="14.25" customHeight="1" x14ac:dyDescent="0.2">
      <c r="AA29" s="80"/>
      <c r="AB29" s="1"/>
      <c r="AC29" s="4"/>
      <c r="AD29" s="8"/>
      <c r="AE29" s="1"/>
      <c r="AF29" s="1"/>
      <c r="AG29" s="1"/>
      <c r="AH29" s="1"/>
      <c r="AI29" s="1"/>
      <c r="AJ29" s="1"/>
      <c r="AK29" s="1"/>
      <c r="AL29" s="1"/>
    </row>
    <row r="30" spans="27:38" ht="14.25" customHeight="1" x14ac:dyDescent="0.2">
      <c r="AA30" s="80"/>
      <c r="AB30" s="1"/>
      <c r="AC30" s="4"/>
      <c r="AD30" s="8"/>
      <c r="AE30" s="1"/>
      <c r="AF30" s="1"/>
      <c r="AG30" s="1"/>
      <c r="AH30" s="1"/>
      <c r="AI30" s="1"/>
      <c r="AJ30" s="1"/>
      <c r="AK30" s="1"/>
      <c r="AL30" s="1"/>
    </row>
    <row r="31" spans="27:38" ht="14.25" customHeight="1" x14ac:dyDescent="0.2">
      <c r="AA31" s="80"/>
      <c r="AB31" s="1"/>
      <c r="AC31" s="4"/>
      <c r="AD31" s="8"/>
      <c r="AE31" s="1"/>
      <c r="AF31" s="1"/>
      <c r="AG31" s="1"/>
      <c r="AH31" s="1"/>
      <c r="AI31" s="1"/>
      <c r="AJ31" s="1"/>
      <c r="AK31" s="1"/>
      <c r="AL31" s="1"/>
    </row>
    <row r="32" spans="27:38" ht="14.25" customHeight="1" x14ac:dyDescent="0.2">
      <c r="AA32" s="80"/>
      <c r="AB32" s="1"/>
      <c r="AC32" s="4"/>
      <c r="AD32" s="8"/>
      <c r="AE32" s="1"/>
      <c r="AF32" s="1"/>
      <c r="AG32" s="1"/>
      <c r="AH32" s="1"/>
      <c r="AI32" s="1"/>
      <c r="AJ32" s="1"/>
      <c r="AK32" s="1"/>
      <c r="AL32" s="1"/>
    </row>
    <row r="33" spans="7:40" ht="14.25" customHeight="1" x14ac:dyDescent="0.2">
      <c r="AA33" s="80"/>
      <c r="AB33" s="1"/>
      <c r="AC33" s="4"/>
      <c r="AD33" s="8"/>
      <c r="AE33" s="1"/>
      <c r="AF33" s="1"/>
      <c r="AG33" s="1"/>
      <c r="AH33" s="1"/>
      <c r="AI33" s="1"/>
      <c r="AJ33" s="1"/>
      <c r="AK33" s="1"/>
      <c r="AL33" s="1"/>
    </row>
    <row r="34" spans="7:40" ht="14.25" customHeight="1" x14ac:dyDescent="0.2">
      <c r="AA34" s="80"/>
      <c r="AB34" s="1"/>
      <c r="AC34" s="4"/>
      <c r="AD34" s="8"/>
      <c r="AE34" s="1"/>
      <c r="AF34" s="1"/>
      <c r="AG34" s="1"/>
      <c r="AH34" s="1"/>
      <c r="AI34" s="1"/>
      <c r="AJ34" s="1"/>
      <c r="AK34" s="1"/>
      <c r="AL34" s="1"/>
    </row>
    <row r="35" spans="7:40" ht="14.25" customHeight="1" x14ac:dyDescent="0.2">
      <c r="AA35" s="80"/>
      <c r="AB35" s="1"/>
      <c r="AC35" s="4"/>
      <c r="AD35" s="8"/>
      <c r="AE35" s="1"/>
      <c r="AF35" s="1"/>
      <c r="AG35" s="1"/>
      <c r="AH35" s="1"/>
      <c r="AI35" s="1"/>
      <c r="AJ35" s="1"/>
      <c r="AK35" s="1"/>
      <c r="AL35" s="1"/>
    </row>
    <row r="36" spans="7:40" ht="14.25" customHeight="1" x14ac:dyDescent="0.2">
      <c r="AA36" s="80"/>
      <c r="AB36" s="1"/>
      <c r="AC36" s="4"/>
      <c r="AD36" s="8"/>
      <c r="AE36" s="1"/>
      <c r="AF36" s="1"/>
      <c r="AG36" s="1"/>
      <c r="AH36" s="1"/>
      <c r="AI36" s="1"/>
      <c r="AJ36" s="1"/>
      <c r="AK36" s="1"/>
      <c r="AL36" s="1"/>
    </row>
    <row r="37" spans="7:40" ht="14.25" customHeight="1" x14ac:dyDescent="0.2">
      <c r="AA37" s="80"/>
      <c r="AB37" s="1"/>
      <c r="AC37" s="4"/>
      <c r="AD37" s="8"/>
      <c r="AE37" s="1"/>
      <c r="AF37" s="1"/>
      <c r="AG37" s="1"/>
      <c r="AH37" s="1"/>
      <c r="AI37" s="1"/>
      <c r="AJ37" s="1"/>
      <c r="AK37" s="1"/>
      <c r="AL37" s="1"/>
    </row>
    <row r="38" spans="7:40" ht="14.25" customHeight="1" x14ac:dyDescent="0.2">
      <c r="AA38" s="80"/>
      <c r="AB38" s="1"/>
      <c r="AC38" s="4"/>
      <c r="AD38" s="8"/>
      <c r="AE38" s="1"/>
      <c r="AF38" s="1"/>
      <c r="AG38" s="1"/>
      <c r="AH38" s="1"/>
      <c r="AI38" s="1"/>
      <c r="AJ38" s="1"/>
      <c r="AK38" s="1"/>
      <c r="AL38" s="1"/>
    </row>
    <row r="39" spans="7:40" ht="14.25" customHeight="1" x14ac:dyDescent="0.2">
      <c r="AA39" s="80"/>
      <c r="AB39" s="1"/>
      <c r="AC39" s="4"/>
      <c r="AD39" s="8"/>
      <c r="AE39" s="1"/>
      <c r="AF39" s="1"/>
      <c r="AG39" s="1"/>
      <c r="AH39" s="1"/>
      <c r="AI39" s="1"/>
      <c r="AJ39" s="1"/>
      <c r="AK39" s="1"/>
      <c r="AL39" s="1"/>
    </row>
    <row r="40" spans="7:40" ht="14.25" customHeight="1" x14ac:dyDescent="0.2">
      <c r="AA40" s="80"/>
      <c r="AB40" s="1"/>
      <c r="AC40" s="4"/>
      <c r="AD40" s="8"/>
      <c r="AE40" s="1"/>
      <c r="AF40" s="1"/>
      <c r="AG40" s="1"/>
      <c r="AH40" s="1"/>
      <c r="AI40" s="1"/>
      <c r="AJ40" s="1"/>
      <c r="AK40" s="1"/>
      <c r="AL40" s="1"/>
    </row>
    <row r="41" spans="7:40" ht="14.25" customHeight="1" x14ac:dyDescent="0.2">
      <c r="AA41" s="80"/>
      <c r="AB41" s="1"/>
      <c r="AC41" s="4"/>
      <c r="AD41" s="8"/>
      <c r="AE41" s="1"/>
      <c r="AF41" s="1"/>
      <c r="AG41" s="1"/>
      <c r="AH41" s="1"/>
      <c r="AI41" s="1"/>
      <c r="AJ41" s="1"/>
      <c r="AK41" s="1"/>
      <c r="AL41" s="1"/>
    </row>
    <row r="42" spans="7:40" ht="14.25" customHeight="1" x14ac:dyDescent="0.2">
      <c r="AA42" s="80"/>
      <c r="AB42" s="1"/>
      <c r="AC42" s="4"/>
      <c r="AD42" s="4"/>
      <c r="AE42" s="4"/>
      <c r="AF42" s="4"/>
      <c r="AG42" s="1"/>
      <c r="AH42" s="1"/>
      <c r="AI42" s="9"/>
      <c r="AJ42" s="6"/>
      <c r="AK42" s="6"/>
      <c r="AL42" s="6"/>
      <c r="AM42" s="8"/>
      <c r="AN42" s="8"/>
    </row>
    <row r="43" spans="7:40" ht="14.25" customHeight="1" x14ac:dyDescent="0.2">
      <c r="AA43" s="80"/>
      <c r="AB43" s="1"/>
      <c r="AC43" s="4"/>
      <c r="AD43" s="4"/>
      <c r="AE43" s="4"/>
      <c r="AF43" s="4"/>
      <c r="AG43" s="1"/>
      <c r="AH43" s="1"/>
      <c r="AI43" s="9"/>
      <c r="AJ43" s="6"/>
      <c r="AK43" s="6"/>
      <c r="AL43" s="6"/>
      <c r="AM43" s="8"/>
      <c r="AN43" s="8"/>
    </row>
    <row r="44" spans="7:40" ht="14.25" customHeight="1" x14ac:dyDescent="0.2">
      <c r="AA44" s="80"/>
      <c r="AB44" s="1"/>
      <c r="AC44" s="4"/>
      <c r="AD44" s="4"/>
      <c r="AE44" s="4"/>
      <c r="AF44" s="4"/>
      <c r="AG44" s="1"/>
      <c r="AH44" s="1"/>
      <c r="AI44" s="9"/>
      <c r="AJ44" s="6"/>
      <c r="AK44" s="6"/>
      <c r="AL44" s="6"/>
      <c r="AM44" s="8"/>
      <c r="AN44" s="8"/>
    </row>
    <row r="45" spans="7:40" ht="14.25" customHeight="1" x14ac:dyDescent="0.2">
      <c r="AA45" s="80"/>
      <c r="AB45" s="1"/>
      <c r="AC45" s="4"/>
      <c r="AD45" s="4"/>
      <c r="AE45" s="4"/>
      <c r="AF45" s="4"/>
      <c r="AG45" s="1"/>
      <c r="AH45" s="1"/>
      <c r="AI45" s="9"/>
      <c r="AJ45" s="6"/>
      <c r="AK45" s="6"/>
      <c r="AL45" s="6"/>
      <c r="AM45" s="8"/>
      <c r="AN45" s="8"/>
    </row>
    <row r="46" spans="7:40" ht="14.25" customHeight="1" x14ac:dyDescent="0.2">
      <c r="AA46" s="80"/>
      <c r="AB46" s="1"/>
      <c r="AC46" s="4"/>
      <c r="AD46" s="4"/>
      <c r="AE46" s="4"/>
      <c r="AF46" s="4"/>
      <c r="AG46" s="1"/>
      <c r="AH46" s="1"/>
      <c r="AI46" s="9"/>
      <c r="AJ46" s="6"/>
      <c r="AK46" s="6"/>
      <c r="AL46" s="6"/>
      <c r="AM46" s="8"/>
      <c r="AN46" s="8"/>
    </row>
    <row r="47" spans="7:40" ht="14.25" customHeight="1" x14ac:dyDescent="0.2">
      <c r="AA47" s="80"/>
      <c r="AB47" s="1"/>
      <c r="AC47" s="4"/>
      <c r="AD47" s="4"/>
      <c r="AE47" s="4"/>
      <c r="AF47" s="4"/>
      <c r="AG47" s="1"/>
      <c r="AH47" s="1"/>
      <c r="AI47" s="9"/>
      <c r="AJ47" s="6"/>
      <c r="AK47" s="6"/>
      <c r="AL47" s="6"/>
      <c r="AM47" s="8"/>
      <c r="AN47" s="8"/>
    </row>
    <row r="48" spans="7:40" ht="23.25" customHeight="1" x14ac:dyDescent="0.2">
      <c r="G48" s="265" t="s">
        <v>67</v>
      </c>
      <c r="H48" s="265"/>
      <c r="I48" s="265"/>
      <c r="J48" s="277" t="s">
        <v>20</v>
      </c>
      <c r="K48" s="277"/>
      <c r="L48" s="277"/>
      <c r="M48" s="276" t="s">
        <v>21</v>
      </c>
      <c r="N48" s="276"/>
      <c r="O48" s="276"/>
      <c r="P48" s="265" t="s">
        <v>22</v>
      </c>
      <c r="Q48" s="265"/>
      <c r="R48" s="265"/>
      <c r="S48" s="265"/>
      <c r="T48" s="265"/>
      <c r="U48" s="265"/>
      <c r="V48" s="265" t="s">
        <v>51</v>
      </c>
      <c r="W48" s="265"/>
      <c r="X48" s="265"/>
      <c r="Y48" s="265" t="s">
        <v>52</v>
      </c>
      <c r="Z48" s="265"/>
      <c r="AA48" s="80"/>
      <c r="AB48" s="1"/>
      <c r="AC48" s="4"/>
      <c r="AD48" s="4"/>
      <c r="AE48" s="4"/>
      <c r="AF48" s="4"/>
      <c r="AG48" s="1"/>
      <c r="AH48" s="1"/>
      <c r="AI48" s="9"/>
      <c r="AJ48" s="6"/>
      <c r="AK48" s="6"/>
      <c r="AL48" s="6"/>
      <c r="AM48" s="8"/>
      <c r="AN48" s="8"/>
    </row>
    <row r="49" spans="7:40" ht="30" customHeight="1" x14ac:dyDescent="0.2">
      <c r="G49" s="67" t="s">
        <v>6</v>
      </c>
      <c r="H49" s="68" t="s">
        <v>2</v>
      </c>
      <c r="I49" s="68" t="s">
        <v>148</v>
      </c>
      <c r="J49" s="69" t="s">
        <v>149</v>
      </c>
      <c r="K49" s="69" t="s">
        <v>150</v>
      </c>
      <c r="L49" s="69" t="s">
        <v>151</v>
      </c>
      <c r="M49" s="70" t="s">
        <v>152</v>
      </c>
      <c r="N49" s="70" t="s">
        <v>153</v>
      </c>
      <c r="O49" s="70" t="s">
        <v>154</v>
      </c>
      <c r="P49" s="71" t="s">
        <v>155</v>
      </c>
      <c r="Q49" s="71" t="s">
        <v>72</v>
      </c>
      <c r="R49" s="71" t="s">
        <v>156</v>
      </c>
      <c r="S49" s="71" t="s">
        <v>73</v>
      </c>
      <c r="T49" s="71" t="s">
        <v>157</v>
      </c>
      <c r="U49" s="71" t="s">
        <v>56</v>
      </c>
      <c r="V49" s="72" t="s">
        <v>74</v>
      </c>
      <c r="W49" s="72" t="s">
        <v>75</v>
      </c>
      <c r="X49" s="72" t="s">
        <v>76</v>
      </c>
      <c r="Y49" s="68" t="s">
        <v>9</v>
      </c>
      <c r="Z49" s="68" t="s">
        <v>160</v>
      </c>
      <c r="AA49" s="81" t="s">
        <v>83</v>
      </c>
      <c r="AB49" s="113" t="s">
        <v>82</v>
      </c>
      <c r="AC49" s="4"/>
      <c r="AD49" s="4"/>
      <c r="AE49" s="4"/>
      <c r="AF49" s="4"/>
      <c r="AG49" s="1"/>
      <c r="AH49" s="1"/>
      <c r="AI49" s="9"/>
      <c r="AJ49" s="6"/>
      <c r="AK49" s="6"/>
      <c r="AL49" s="6"/>
      <c r="AM49" s="8"/>
      <c r="AN49" s="8"/>
    </row>
    <row r="50" spans="7:40" ht="14.25" customHeight="1" x14ac:dyDescent="0.2">
      <c r="G50" s="74">
        <v>45776.284722222219</v>
      </c>
      <c r="H50" s="107" t="s">
        <v>172</v>
      </c>
      <c r="I50" s="107"/>
      <c r="J50" s="116">
        <v>51885.34</v>
      </c>
      <c r="K50" s="116">
        <v>159195.739</v>
      </c>
      <c r="L50" s="116">
        <v>18.782</v>
      </c>
      <c r="M50" s="75">
        <v>51885.339</v>
      </c>
      <c r="N50" s="75">
        <v>159195.73800000001</v>
      </c>
      <c r="O50" s="75">
        <v>18.780999999999999</v>
      </c>
      <c r="P50" s="76">
        <v>-9.9999999656574801E-4</v>
      </c>
      <c r="Q50" s="109" cm="1">
        <f t="array" ref="Q5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0" s="76">
        <v>-9.9999998928979039E-4</v>
      </c>
      <c r="S50" s="77" cm="1">
        <f t="array" ref="S5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0" s="76">
        <v>-1.0000000000012221E-3</v>
      </c>
      <c r="U50" s="77" cm="1">
        <f t="array" ref="U5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0" s="107" t="s">
        <v>86</v>
      </c>
      <c r="Z50" s="107"/>
      <c r="AA50" s="126">
        <f>SUBTOTAL(105,ReportSummary___Chart[Diff to BL. East.],ReportSummary___Chart[Diff to BL. North.],ReportSummary___Chart[Diff to BL. Level])</f>
        <v>-1.0000000000012221E-3</v>
      </c>
      <c r="AB50" s="114">
        <f>SUBTOTAL(104,ReportSummary___Chart[Diff to BL. East.],ReportSummary___Chart[Diff to BL. North.],ReportSummary___Chart[Diff to BL. Level])</f>
        <v>1.0000000038417056E-3</v>
      </c>
      <c r="AC50" s="4"/>
      <c r="AD50" s="4"/>
      <c r="AE50" s="4"/>
      <c r="AF50" s="4"/>
      <c r="AG50" s="1"/>
      <c r="AH50" s="1"/>
      <c r="AI50" s="9"/>
      <c r="AJ50" s="6"/>
      <c r="AK50" s="6"/>
      <c r="AL50" s="6"/>
      <c r="AM50" s="8"/>
      <c r="AN50" s="8"/>
    </row>
    <row r="51" spans="7:40" ht="14.25" hidden="1" customHeight="1" x14ac:dyDescent="0.2">
      <c r="G51" s="74">
        <v>45776.284722222219</v>
      </c>
      <c r="H51" s="107" t="s">
        <v>171</v>
      </c>
      <c r="I51" s="107"/>
      <c r="J51" s="116">
        <v>51884.958899999998</v>
      </c>
      <c r="K51" s="116">
        <v>159194.47070000001</v>
      </c>
      <c r="L51" s="116">
        <v>18.778099999999998</v>
      </c>
      <c r="M51" s="75">
        <v>51884.957999999999</v>
      </c>
      <c r="N51" s="75">
        <v>159194.47099999999</v>
      </c>
      <c r="O51" s="75">
        <v>18.777000000000001</v>
      </c>
      <c r="P51" s="76">
        <v>-8.9999999909196049E-4</v>
      </c>
      <c r="Q51" s="109" cm="1">
        <f t="array" ref="Q5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1" s="76">
        <v>2.9999998514540493E-4</v>
      </c>
      <c r="S51" s="77" cm="1">
        <f t="array" ref="S5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1" s="76">
        <v>-1.0999999999974364E-3</v>
      </c>
      <c r="U51" s="77" cm="1">
        <f t="array" ref="U5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1" s="107" t="s">
        <v>86</v>
      </c>
      <c r="Z51" s="107"/>
      <c r="AA51" s="126">
        <f>SUBTOTAL(105,ReportSummary___Chart[Diff to BL. East.],ReportSummary___Chart[Diff to BL. North.],ReportSummary___Chart[Diff to BL. Level])</f>
        <v>-1.0000000000012221E-3</v>
      </c>
      <c r="AB51" s="114">
        <f>SUBTOTAL(104,ReportSummary___Chart[Diff to BL. East.],ReportSummary___Chart[Diff to BL. North.],ReportSummary___Chart[Diff to BL. Level])</f>
        <v>1.0000000038417056E-3</v>
      </c>
      <c r="AC51" s="4"/>
      <c r="AD51" s="4"/>
      <c r="AE51" s="4"/>
      <c r="AF51" s="4"/>
      <c r="AG51" s="1"/>
      <c r="AH51" s="1"/>
      <c r="AI51" s="9"/>
      <c r="AJ51" s="6"/>
      <c r="AK51" s="6"/>
      <c r="AL51" s="6"/>
      <c r="AM51" s="8"/>
      <c r="AN51" s="8"/>
    </row>
    <row r="52" spans="7:40" ht="14.25" hidden="1" customHeight="1" x14ac:dyDescent="0.2">
      <c r="G52" s="74">
        <v>45776.284722222219</v>
      </c>
      <c r="H52" s="107" t="s">
        <v>174</v>
      </c>
      <c r="I52" s="107"/>
      <c r="J52" s="116">
        <v>51888.117700000003</v>
      </c>
      <c r="K52" s="116">
        <v>159194.94529999999</v>
      </c>
      <c r="L52" s="116">
        <v>18.7788</v>
      </c>
      <c r="M52" s="75">
        <v>51888.116999999998</v>
      </c>
      <c r="N52" s="75">
        <v>159194.94500000001</v>
      </c>
      <c r="O52" s="75">
        <v>18.777000000000001</v>
      </c>
      <c r="P52" s="76">
        <v>-7.0000000414438546E-4</v>
      </c>
      <c r="Q52" s="109" cm="1">
        <f t="array" ref="Q5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2" s="76">
        <v>-2.9999998514540493E-4</v>
      </c>
      <c r="S52" s="77" cm="1">
        <f t="array" ref="S5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2" s="76">
        <v>-1.7999999999993577E-3</v>
      </c>
      <c r="U52" s="77" cm="1">
        <f t="array" ref="U5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2" s="107" t="s">
        <v>86</v>
      </c>
      <c r="Z52" s="107"/>
      <c r="AA52" s="126">
        <f>SUBTOTAL(105,ReportSummary___Chart[Diff to BL. East.],ReportSummary___Chart[Diff to BL. North.],ReportSummary___Chart[Diff to BL. Level])</f>
        <v>-1.0000000000012221E-3</v>
      </c>
      <c r="AB52" s="114">
        <f>SUBTOTAL(104,ReportSummary___Chart[Diff to BL. East.],ReportSummary___Chart[Diff to BL. North.],ReportSummary___Chart[Diff to BL. Level])</f>
        <v>1.0000000038417056E-3</v>
      </c>
      <c r="AC52" s="4"/>
      <c r="AD52" s="4"/>
      <c r="AE52" s="4"/>
      <c r="AF52" s="4"/>
      <c r="AG52" s="1"/>
      <c r="AH52" s="1"/>
      <c r="AI52" s="9"/>
      <c r="AJ52" s="6"/>
      <c r="AK52" s="6"/>
      <c r="AL52" s="6"/>
      <c r="AM52" s="8"/>
      <c r="AN52" s="8"/>
    </row>
    <row r="53" spans="7:40" ht="14.25" hidden="1" customHeight="1" x14ac:dyDescent="0.2">
      <c r="G53" s="74">
        <v>45776.284722222219</v>
      </c>
      <c r="H53" s="107" t="s">
        <v>173</v>
      </c>
      <c r="I53" s="107"/>
      <c r="J53" s="116">
        <v>51887.805099999998</v>
      </c>
      <c r="K53" s="116">
        <v>159193.65710000001</v>
      </c>
      <c r="L53" s="116">
        <v>18.778500000000001</v>
      </c>
      <c r="M53" s="75">
        <v>51887.803999999996</v>
      </c>
      <c r="N53" s="75">
        <v>159193.65700000001</v>
      </c>
      <c r="O53" s="75">
        <v>18.777000000000001</v>
      </c>
      <c r="P53" s="76">
        <v>-1.1000000013154931E-3</v>
      </c>
      <c r="Q53" s="109" cm="1">
        <f t="array" ref="Q5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3" s="76">
        <v>-1.0000000474974513E-4</v>
      </c>
      <c r="S53" s="77" cm="1">
        <f t="array" ref="S5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3" s="76">
        <v>-1.5000000000000568E-3</v>
      </c>
      <c r="U53" s="77" cm="1">
        <f t="array" ref="U5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3" s="107" t="s">
        <v>86</v>
      </c>
      <c r="Z53" s="107"/>
      <c r="AA53" s="126">
        <f>SUBTOTAL(105,ReportSummary___Chart[Diff to BL. East.],ReportSummary___Chart[Diff to BL. North.],ReportSummary___Chart[Diff to BL. Level])</f>
        <v>-1.0000000000012221E-3</v>
      </c>
      <c r="AB53" s="114">
        <f>SUBTOTAL(104,ReportSummary___Chart[Diff to BL. East.],ReportSummary___Chart[Diff to BL. North.],ReportSummary___Chart[Diff to BL. Level])</f>
        <v>1.0000000038417056E-3</v>
      </c>
      <c r="AC53" s="4"/>
      <c r="AD53" s="4"/>
      <c r="AE53" s="4"/>
      <c r="AF53" s="4"/>
      <c r="AG53" s="1"/>
      <c r="AH53" s="1"/>
      <c r="AI53" s="9"/>
      <c r="AJ53" s="6"/>
      <c r="AK53" s="6"/>
      <c r="AL53" s="6"/>
      <c r="AM53" s="8"/>
      <c r="AN53" s="8"/>
    </row>
    <row r="54" spans="7:40" ht="14.25" hidden="1" customHeight="1" x14ac:dyDescent="0.2">
      <c r="G54" s="74">
        <v>45776.284722222219</v>
      </c>
      <c r="H54" s="107" t="s">
        <v>176</v>
      </c>
      <c r="I54" s="107"/>
      <c r="J54" s="116">
        <v>51890.969100000002</v>
      </c>
      <c r="K54" s="116">
        <v>159194.1177</v>
      </c>
      <c r="L54" s="116">
        <v>18.779</v>
      </c>
      <c r="M54" s="75">
        <v>51890.968000000001</v>
      </c>
      <c r="N54" s="75">
        <v>159194.11799999999</v>
      </c>
      <c r="O54" s="75">
        <v>18.777999999999999</v>
      </c>
      <c r="P54" s="76">
        <v>-1.1000000013154931E-3</v>
      </c>
      <c r="Q54" s="109" cm="1">
        <f t="array" ref="Q5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4" s="76">
        <v>2.9999998514540493E-4</v>
      </c>
      <c r="S54" s="77" cm="1">
        <f t="array" ref="S5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4" s="76">
        <v>-1.0000000000012221E-3</v>
      </c>
      <c r="U54" s="77" cm="1">
        <f t="array" ref="U5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4" s="107" t="s">
        <v>86</v>
      </c>
      <c r="Z54" s="107"/>
      <c r="AA54" s="126">
        <f>SUBTOTAL(105,ReportSummary___Chart[Diff to BL. East.],ReportSummary___Chart[Diff to BL. North.],ReportSummary___Chart[Diff to BL. Level])</f>
        <v>-1.0000000000012221E-3</v>
      </c>
      <c r="AB54" s="114">
        <f>SUBTOTAL(104,ReportSummary___Chart[Diff to BL. East.],ReportSummary___Chart[Diff to BL. North.],ReportSummary___Chart[Diff to BL. Level])</f>
        <v>1.0000000038417056E-3</v>
      </c>
      <c r="AC54" s="4"/>
      <c r="AD54" s="4"/>
      <c r="AE54" s="4"/>
      <c r="AF54" s="4"/>
      <c r="AG54" s="1"/>
      <c r="AH54" s="1"/>
      <c r="AI54" s="9"/>
      <c r="AJ54" s="6"/>
      <c r="AK54" s="6"/>
      <c r="AL54" s="6"/>
      <c r="AM54" s="8"/>
      <c r="AN54" s="8"/>
    </row>
    <row r="55" spans="7:40" ht="14.25" hidden="1" customHeight="1" x14ac:dyDescent="0.2">
      <c r="G55" s="74">
        <v>45776.284722222219</v>
      </c>
      <c r="H55" s="107" t="s">
        <v>175</v>
      </c>
      <c r="I55" s="107"/>
      <c r="J55" s="116">
        <v>51890.606800000001</v>
      </c>
      <c r="K55" s="116">
        <v>159192.86069999999</v>
      </c>
      <c r="L55" s="116">
        <v>18.771999999999998</v>
      </c>
      <c r="M55" s="75">
        <v>51890.606</v>
      </c>
      <c r="N55" s="75">
        <v>159192.861</v>
      </c>
      <c r="O55" s="75">
        <v>18.771000000000001</v>
      </c>
      <c r="P55" s="76">
        <v>-8.0000000161817297E-4</v>
      </c>
      <c r="Q55" s="109" cm="1">
        <f t="array" ref="Q5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5" s="76">
        <v>3.0000001424923539E-4</v>
      </c>
      <c r="S55" s="77" cm="1">
        <f t="array" ref="S5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5" s="76">
        <v>-9.9999999999766942E-4</v>
      </c>
      <c r="U55" s="77" cm="1">
        <f t="array" ref="U5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5" s="107" t="s">
        <v>86</v>
      </c>
      <c r="Z55" s="107"/>
      <c r="AA55" s="126">
        <f>SUBTOTAL(105,ReportSummary___Chart[Diff to BL. East.],ReportSummary___Chart[Diff to BL. North.],ReportSummary___Chart[Diff to BL. Level])</f>
        <v>-1.0000000000012221E-3</v>
      </c>
      <c r="AB55" s="114">
        <f>SUBTOTAL(104,ReportSummary___Chart[Diff to BL. East.],ReportSummary___Chart[Diff to BL. North.],ReportSummary___Chart[Diff to BL. Level])</f>
        <v>1.0000000038417056E-3</v>
      </c>
      <c r="AC55" s="4"/>
      <c r="AD55" s="4"/>
      <c r="AE55" s="4"/>
      <c r="AF55" s="4"/>
      <c r="AG55" s="1"/>
      <c r="AH55" s="1"/>
      <c r="AI55" s="9"/>
      <c r="AJ55" s="6"/>
      <c r="AK55" s="6"/>
      <c r="AL55" s="6"/>
      <c r="AM55" s="8"/>
      <c r="AN55" s="8"/>
    </row>
    <row r="56" spans="7:40" ht="14.25" hidden="1" customHeight="1" x14ac:dyDescent="0.2">
      <c r="G56" s="74">
        <v>45776.284722222219</v>
      </c>
      <c r="H56" s="107" t="s">
        <v>178</v>
      </c>
      <c r="I56" s="107"/>
      <c r="J56" s="116">
        <v>51893.758699999998</v>
      </c>
      <c r="K56" s="116">
        <v>159193.3144</v>
      </c>
      <c r="L56" s="116">
        <v>18.774100000000001</v>
      </c>
      <c r="M56" s="75">
        <v>51893.758000000002</v>
      </c>
      <c r="N56" s="75">
        <v>159193.315</v>
      </c>
      <c r="O56" s="75">
        <v>18.773</v>
      </c>
      <c r="P56" s="76">
        <v>-6.9999999686842784E-4</v>
      </c>
      <c r="Q56" s="109" cm="1">
        <f t="array" ref="Q5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6" s="76">
        <v>5.9999999939464033E-4</v>
      </c>
      <c r="S56" s="77" cm="1">
        <f t="array" ref="S5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6" s="76">
        <v>-1.1000000000009891E-3</v>
      </c>
      <c r="U56" s="77" cm="1">
        <f t="array" ref="U5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6" s="107" t="s">
        <v>86</v>
      </c>
      <c r="Z56" s="107"/>
      <c r="AA56" s="126">
        <f>SUBTOTAL(105,ReportSummary___Chart[Diff to BL. East.],ReportSummary___Chart[Diff to BL. North.],ReportSummary___Chart[Diff to BL. Level])</f>
        <v>-1.0000000000012221E-3</v>
      </c>
      <c r="AB56" s="114">
        <f>SUBTOTAL(104,ReportSummary___Chart[Diff to BL. East.],ReportSummary___Chart[Diff to BL. North.],ReportSummary___Chart[Diff to BL. Level])</f>
        <v>1.0000000038417056E-3</v>
      </c>
      <c r="AC56" s="4"/>
      <c r="AD56" s="4"/>
      <c r="AE56" s="4"/>
      <c r="AF56" s="4"/>
      <c r="AG56" s="1"/>
      <c r="AH56" s="1"/>
      <c r="AI56" s="1"/>
      <c r="AJ56" s="1"/>
      <c r="AK56" s="1"/>
      <c r="AL56" s="1"/>
    </row>
    <row r="57" spans="7:40" ht="14.25" hidden="1" customHeight="1" x14ac:dyDescent="0.2">
      <c r="G57" s="74">
        <v>45776.284722222219</v>
      </c>
      <c r="H57" s="107" t="s">
        <v>177</v>
      </c>
      <c r="I57" s="107"/>
      <c r="J57" s="116">
        <v>51893.441299999999</v>
      </c>
      <c r="K57" s="116">
        <v>159192.04019999999</v>
      </c>
      <c r="L57" s="116">
        <v>18.7683</v>
      </c>
      <c r="M57" s="75">
        <v>51893.440000000002</v>
      </c>
      <c r="N57" s="75">
        <v>159192.041</v>
      </c>
      <c r="O57" s="75">
        <v>18.768000000000001</v>
      </c>
      <c r="P57" s="76">
        <v>-1.2999999962630682E-3</v>
      </c>
      <c r="Q57" s="109" cm="1">
        <f t="array" ref="Q5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7" s="76">
        <v>8.0000000889413059E-4</v>
      </c>
      <c r="S57" s="77" cm="1">
        <f t="array" ref="S5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7" s="76">
        <v>-2.9999999999930083E-4</v>
      </c>
      <c r="U57" s="77" cm="1">
        <f t="array" ref="U5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7" s="107" t="s">
        <v>86</v>
      </c>
      <c r="Z57" s="107"/>
      <c r="AA57" s="126">
        <f>SUBTOTAL(105,ReportSummary___Chart[Diff to BL. East.],ReportSummary___Chart[Diff to BL. North.],ReportSummary___Chart[Diff to BL. Level])</f>
        <v>-1.0000000000012221E-3</v>
      </c>
      <c r="AB57" s="114">
        <f>SUBTOTAL(104,ReportSummary___Chart[Diff to BL. East.],ReportSummary___Chart[Diff to BL. North.],ReportSummary___Chart[Diff to BL. Level])</f>
        <v>1.0000000038417056E-3</v>
      </c>
      <c r="AC57" s="4"/>
      <c r="AD57" s="4"/>
      <c r="AE57" s="4"/>
      <c r="AF57" s="4"/>
      <c r="AG57" s="1"/>
      <c r="AH57" s="1"/>
      <c r="AI57" s="1"/>
      <c r="AJ57" s="1"/>
      <c r="AK57" s="1"/>
      <c r="AL57" s="1"/>
    </row>
    <row r="58" spans="7:40" ht="14.25" hidden="1" customHeight="1" x14ac:dyDescent="0.2">
      <c r="G58" s="74">
        <v>45776.284722222219</v>
      </c>
      <c r="H58" s="107" t="s">
        <v>180</v>
      </c>
      <c r="I58" s="107"/>
      <c r="J58" s="116">
        <v>51896.633300000001</v>
      </c>
      <c r="K58" s="116">
        <v>159192.48449999999</v>
      </c>
      <c r="L58" s="116">
        <v>18.7776</v>
      </c>
      <c r="M58" s="75">
        <v>51896.633000000002</v>
      </c>
      <c r="N58" s="75">
        <v>159192.48499999999</v>
      </c>
      <c r="O58" s="75">
        <v>18.777000000000001</v>
      </c>
      <c r="P58" s="76">
        <v>-2.9999999969732016E-4</v>
      </c>
      <c r="Q58" s="109" cm="1">
        <f t="array" ref="Q5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8" s="76">
        <v>4.999999946448952E-4</v>
      </c>
      <c r="S58" s="77" cm="1">
        <f t="array" ref="S5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8" s="76">
        <v>-5.9999999999860165E-4</v>
      </c>
      <c r="U58" s="77" cm="1">
        <f t="array" ref="U5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8" s="107" t="s">
        <v>86</v>
      </c>
      <c r="Z58" s="107"/>
      <c r="AA58" s="126">
        <f>SUBTOTAL(105,ReportSummary___Chart[Diff to BL. East.],ReportSummary___Chart[Diff to BL. North.],ReportSummary___Chart[Diff to BL. Level])</f>
        <v>-1.0000000000012221E-3</v>
      </c>
      <c r="AB58" s="114">
        <f>SUBTOTAL(104,ReportSummary___Chart[Diff to BL. East.],ReportSummary___Chart[Diff to BL. North.],ReportSummary___Chart[Diff to BL. Level])</f>
        <v>1.0000000038417056E-3</v>
      </c>
      <c r="AC58" s="1"/>
      <c r="AD58" s="1"/>
      <c r="AE58" s="1"/>
      <c r="AF58" s="4"/>
      <c r="AG58" s="4"/>
      <c r="AH58" s="4"/>
      <c r="AI58" s="4"/>
      <c r="AJ58" s="1"/>
      <c r="AK58" s="1"/>
      <c r="AL58" s="1"/>
    </row>
    <row r="59" spans="7:40" ht="14.25" hidden="1" customHeight="1" x14ac:dyDescent="0.2">
      <c r="G59" s="74">
        <v>45776.284722222219</v>
      </c>
      <c r="H59" s="107" t="s">
        <v>179</v>
      </c>
      <c r="I59" s="107"/>
      <c r="J59" s="116">
        <v>51896.249799999998</v>
      </c>
      <c r="K59" s="116">
        <v>159191.22630000001</v>
      </c>
      <c r="L59" s="116">
        <v>18.7698</v>
      </c>
      <c r="M59" s="75">
        <v>51896.249000000003</v>
      </c>
      <c r="N59" s="75">
        <v>159191.226</v>
      </c>
      <c r="O59" s="75">
        <v>18.768999999999998</v>
      </c>
      <c r="P59" s="76">
        <v>-7.9999999434221536E-4</v>
      </c>
      <c r="Q59" s="109" cm="1">
        <f t="array" ref="Q5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59" s="76">
        <v>-3.0000001424923539E-4</v>
      </c>
      <c r="S59" s="77" cm="1">
        <f t="array" ref="S5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59" s="76">
        <v>-8.0000000000168825E-4</v>
      </c>
      <c r="U59" s="77" cm="1">
        <f t="array" ref="U5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5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5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5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59" s="107" t="s">
        <v>86</v>
      </c>
      <c r="Z59" s="107"/>
      <c r="AA59" s="126">
        <f>SUBTOTAL(105,ReportSummary___Chart[Diff to BL. East.],ReportSummary___Chart[Diff to BL. North.],ReportSummary___Chart[Diff to BL. Level])</f>
        <v>-1.0000000000012221E-3</v>
      </c>
      <c r="AB59" s="114">
        <f>SUBTOTAL(104,ReportSummary___Chart[Diff to BL. East.],ReportSummary___Chart[Diff to BL. North.],ReportSummary___Chart[Diff to BL. Level])</f>
        <v>1.0000000038417056E-3</v>
      </c>
      <c r="AC59" s="1"/>
      <c r="AD59" s="1"/>
      <c r="AE59" s="1"/>
      <c r="AF59" s="4"/>
      <c r="AG59" s="4"/>
      <c r="AH59" s="4"/>
      <c r="AI59" s="4"/>
      <c r="AJ59" s="1"/>
      <c r="AK59" s="1"/>
      <c r="AL59" s="1"/>
    </row>
    <row r="60" spans="7:40" ht="14.25" hidden="1" customHeight="1" x14ac:dyDescent="0.2">
      <c r="G60" s="74">
        <v>45776.284722222219</v>
      </c>
      <c r="H60" s="107" t="s">
        <v>182</v>
      </c>
      <c r="I60" s="107"/>
      <c r="J60" s="116">
        <v>51899.398699999998</v>
      </c>
      <c r="K60" s="116">
        <v>159191.69760000001</v>
      </c>
      <c r="L60" s="116">
        <v>18.777999999999999</v>
      </c>
      <c r="M60" s="75">
        <v>51899.398000000001</v>
      </c>
      <c r="N60" s="75">
        <v>159191.698</v>
      </c>
      <c r="O60" s="75">
        <v>18.777000000000001</v>
      </c>
      <c r="P60" s="76">
        <v>-6.9999999686842784E-4</v>
      </c>
      <c r="Q60" s="109" cm="1">
        <f t="array" ref="Q6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0" s="76">
        <v>3.9999998989515007E-4</v>
      </c>
      <c r="S60" s="77" cm="1">
        <f t="array" ref="S6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0" s="76">
        <v>-9.9999999999766942E-4</v>
      </c>
      <c r="U60" s="77" cm="1">
        <f t="array" ref="U6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0" s="107" t="s">
        <v>86</v>
      </c>
      <c r="Z60" s="107"/>
      <c r="AA60" s="126">
        <f>SUBTOTAL(105,ReportSummary___Chart[Diff to BL. East.],ReportSummary___Chart[Diff to BL. North.],ReportSummary___Chart[Diff to BL. Level])</f>
        <v>-1.0000000000012221E-3</v>
      </c>
      <c r="AB60" s="114">
        <f>SUBTOTAL(104,ReportSummary___Chart[Diff to BL. East.],ReportSummary___Chart[Diff to BL. North.],ReportSummary___Chart[Diff to BL. Level])</f>
        <v>1.0000000038417056E-3</v>
      </c>
      <c r="AC60" s="1"/>
      <c r="AD60" s="1"/>
      <c r="AE60" s="1"/>
      <c r="AF60" s="4"/>
      <c r="AG60" s="4"/>
      <c r="AH60" s="4"/>
      <c r="AI60" s="4"/>
      <c r="AJ60" s="1"/>
      <c r="AK60" s="1"/>
      <c r="AL60" s="1"/>
    </row>
    <row r="61" spans="7:40" ht="14.25" hidden="1" customHeight="1" x14ac:dyDescent="0.2">
      <c r="G61" s="74">
        <v>45776.284722222219</v>
      </c>
      <c r="H61" s="107" t="s">
        <v>181</v>
      </c>
      <c r="I61" s="107"/>
      <c r="J61" s="116">
        <v>51899.041100000002</v>
      </c>
      <c r="K61" s="116">
        <v>159190.43340000001</v>
      </c>
      <c r="L61" s="116">
        <v>18.771100000000001</v>
      </c>
      <c r="M61" s="75">
        <v>51899.040000000001</v>
      </c>
      <c r="N61" s="75">
        <v>159190.43400000001</v>
      </c>
      <c r="O61" s="75">
        <v>18.77</v>
      </c>
      <c r="P61" s="76">
        <v>-1.1000000013154931E-3</v>
      </c>
      <c r="Q61" s="109" cm="1">
        <f t="array" ref="Q6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1" s="76">
        <v>5.9999999939464033E-4</v>
      </c>
      <c r="S61" s="77" cm="1">
        <f t="array" ref="S6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1" s="76">
        <v>-1.1000000000009891E-3</v>
      </c>
      <c r="U61" s="77" cm="1">
        <f t="array" ref="U6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1" s="107" t="s">
        <v>86</v>
      </c>
      <c r="Z61" s="107"/>
      <c r="AA61" s="126">
        <f>SUBTOTAL(105,ReportSummary___Chart[Diff to BL. East.],ReportSummary___Chart[Diff to BL. North.],ReportSummary___Chart[Diff to BL. Level])</f>
        <v>-1.0000000000012221E-3</v>
      </c>
      <c r="AB61" s="114">
        <f>SUBTOTAL(104,ReportSummary___Chart[Diff to BL. East.],ReportSummary___Chart[Diff to BL. North.],ReportSummary___Chart[Diff to BL. Level])</f>
        <v>1.0000000038417056E-3</v>
      </c>
      <c r="AC61" s="1"/>
      <c r="AD61" s="1"/>
      <c r="AE61" s="1"/>
      <c r="AF61" s="4"/>
      <c r="AG61" s="4"/>
      <c r="AH61" s="4"/>
      <c r="AI61" s="4"/>
      <c r="AJ61" s="1"/>
      <c r="AK61" s="1"/>
      <c r="AL61" s="1"/>
    </row>
    <row r="62" spans="7:40" ht="14.25" hidden="1" customHeight="1" x14ac:dyDescent="0.2">
      <c r="G62" s="74">
        <v>45776.284722222219</v>
      </c>
      <c r="H62" s="107" t="s">
        <v>184</v>
      </c>
      <c r="I62" s="107"/>
      <c r="J62" s="116">
        <v>51902.292699999998</v>
      </c>
      <c r="K62" s="116">
        <v>159190.88459999999</v>
      </c>
      <c r="L62" s="116">
        <v>18.779</v>
      </c>
      <c r="M62" s="75">
        <v>51902.292000000001</v>
      </c>
      <c r="N62" s="75">
        <v>159190.88500000001</v>
      </c>
      <c r="O62" s="75">
        <v>18.777999999999999</v>
      </c>
      <c r="P62" s="76">
        <v>-6.9999999686842784E-4</v>
      </c>
      <c r="Q62" s="109" cm="1">
        <f t="array" ref="Q6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2" s="76">
        <v>4.0000001899898052E-4</v>
      </c>
      <c r="S62" s="77" cm="1">
        <f t="array" ref="S6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2" s="76">
        <v>-1.0000000000012221E-3</v>
      </c>
      <c r="U62" s="77" cm="1">
        <f t="array" ref="U6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2" s="107" t="s">
        <v>86</v>
      </c>
      <c r="Z62" s="107"/>
      <c r="AA62" s="126">
        <f>SUBTOTAL(105,ReportSummary___Chart[Diff to BL. East.],ReportSummary___Chart[Diff to BL. North.],ReportSummary___Chart[Diff to BL. Level])</f>
        <v>-1.0000000000012221E-3</v>
      </c>
      <c r="AB62" s="114">
        <f>SUBTOTAL(104,ReportSummary___Chart[Diff to BL. East.],ReportSummary___Chart[Diff to BL. North.],ReportSummary___Chart[Diff to BL. Level])</f>
        <v>1.0000000038417056E-3</v>
      </c>
      <c r="AC62" s="1"/>
      <c r="AD62" s="1"/>
      <c r="AE62" s="1"/>
      <c r="AF62" s="4"/>
      <c r="AG62" s="4"/>
      <c r="AH62" s="4"/>
      <c r="AI62" s="4"/>
      <c r="AJ62" s="1"/>
      <c r="AK62" s="1"/>
      <c r="AL62" s="1"/>
    </row>
    <row r="63" spans="7:40" ht="14.25" hidden="1" customHeight="1" x14ac:dyDescent="0.2">
      <c r="G63" s="74">
        <v>45776.284722222219</v>
      </c>
      <c r="H63" s="107" t="s">
        <v>183</v>
      </c>
      <c r="I63" s="107"/>
      <c r="J63" s="116">
        <v>51901.989200000004</v>
      </c>
      <c r="K63" s="116">
        <v>159189.60260000001</v>
      </c>
      <c r="L63" s="116">
        <v>18.770099999999999</v>
      </c>
      <c r="M63" s="75">
        <v>51901.987999999998</v>
      </c>
      <c r="N63" s="75">
        <v>159189.60399999999</v>
      </c>
      <c r="O63" s="75">
        <v>18.768999999999998</v>
      </c>
      <c r="P63" s="76">
        <v>-1.2000000060652383E-3</v>
      </c>
      <c r="Q63" s="109" cm="1">
        <f t="array" ref="Q6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3" s="76">
        <v>1.3999999791849405E-3</v>
      </c>
      <c r="S63" s="77" cm="1">
        <f t="array" ref="S6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3" s="76">
        <v>-1.1000000000009891E-3</v>
      </c>
      <c r="U63" s="77" cm="1">
        <f t="array" ref="U6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3" s="107" t="s">
        <v>86</v>
      </c>
      <c r="Z63" s="107"/>
      <c r="AA63" s="126">
        <f>SUBTOTAL(105,ReportSummary___Chart[Diff to BL. East.],ReportSummary___Chart[Diff to BL. North.],ReportSummary___Chart[Diff to BL. Level])</f>
        <v>-1.0000000000012221E-3</v>
      </c>
      <c r="AB63" s="114">
        <f>SUBTOTAL(104,ReportSummary___Chart[Diff to BL. East.],ReportSummary___Chart[Diff to BL. North.],ReportSummary___Chart[Diff to BL. Level])</f>
        <v>1.0000000038417056E-3</v>
      </c>
      <c r="AC63" s="1"/>
      <c r="AD63" s="1"/>
      <c r="AE63" s="1"/>
      <c r="AF63" s="4"/>
      <c r="AG63" s="4"/>
      <c r="AH63" s="4"/>
      <c r="AI63" s="4"/>
      <c r="AJ63" s="1"/>
      <c r="AK63" s="1"/>
      <c r="AL63" s="1"/>
    </row>
    <row r="64" spans="7:40" ht="14.25" hidden="1" customHeight="1" x14ac:dyDescent="0.2">
      <c r="G64" s="74">
        <v>45776.284722222219</v>
      </c>
      <c r="H64" s="107" t="s">
        <v>186</v>
      </c>
      <c r="I64" s="107"/>
      <c r="J64" s="116">
        <v>51905.196199999998</v>
      </c>
      <c r="K64" s="116">
        <v>159190.09460000001</v>
      </c>
      <c r="L64" s="116">
        <v>18.780899999999999</v>
      </c>
      <c r="M64" s="75">
        <v>51905.195</v>
      </c>
      <c r="N64" s="75">
        <v>159190.095</v>
      </c>
      <c r="O64" s="75">
        <v>18.78</v>
      </c>
      <c r="P64" s="76">
        <v>-1.1999999987892807E-3</v>
      </c>
      <c r="Q64" s="109" cm="1">
        <f t="array" ref="Q6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4" s="76">
        <v>3.9999998989515007E-4</v>
      </c>
      <c r="S64" s="77" cm="1">
        <f t="array" ref="S6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4" s="76">
        <v>-8.9999999999790248E-4</v>
      </c>
      <c r="U64" s="77" cm="1">
        <f t="array" ref="U6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4" s="107" t="s">
        <v>86</v>
      </c>
      <c r="Z64" s="107"/>
      <c r="AA64" s="126">
        <f>SUBTOTAL(105,ReportSummary___Chart[Diff to BL. East.],ReportSummary___Chart[Diff to BL. North.],ReportSummary___Chart[Diff to BL. Level])</f>
        <v>-1.0000000000012221E-3</v>
      </c>
      <c r="AB64" s="114">
        <f>SUBTOTAL(104,ReportSummary___Chart[Diff to BL. East.],ReportSummary___Chart[Diff to BL. North.],ReportSummary___Chart[Diff to BL. Level])</f>
        <v>1.0000000038417056E-3</v>
      </c>
      <c r="AC64" s="1"/>
      <c r="AD64" s="1"/>
      <c r="AE64" s="1"/>
      <c r="AF64" s="4"/>
      <c r="AG64" s="4"/>
      <c r="AH64" s="4"/>
      <c r="AI64" s="4"/>
      <c r="AJ64" s="1"/>
      <c r="AK64" s="1"/>
      <c r="AL64" s="1"/>
    </row>
    <row r="65" spans="7:38" ht="14.25" hidden="1" customHeight="1" x14ac:dyDescent="0.2">
      <c r="G65" s="74">
        <v>45776.284722222219</v>
      </c>
      <c r="H65" s="107" t="s">
        <v>185</v>
      </c>
      <c r="I65" s="107"/>
      <c r="J65" s="116">
        <v>51904.885600000001</v>
      </c>
      <c r="K65" s="116">
        <v>159188.8046</v>
      </c>
      <c r="L65" s="116">
        <v>18.773099999999999</v>
      </c>
      <c r="M65" s="75">
        <v>51904.883999999998</v>
      </c>
      <c r="N65" s="75">
        <v>159188.80600000001</v>
      </c>
      <c r="O65" s="75">
        <v>18.773</v>
      </c>
      <c r="P65" s="76">
        <v>-1.6000000032363459E-3</v>
      </c>
      <c r="Q65" s="109" cm="1">
        <f t="array" ref="Q6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5" s="76">
        <v>1.4000000082887709E-3</v>
      </c>
      <c r="S65" s="77" cm="1">
        <f t="array" ref="S6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5" s="76">
        <v>-9.9999999999766942E-5</v>
      </c>
      <c r="U65" s="77" cm="1">
        <f t="array" ref="U6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5" s="107" t="s">
        <v>86</v>
      </c>
      <c r="Z65" s="107"/>
      <c r="AA65" s="126">
        <f>SUBTOTAL(105,ReportSummary___Chart[Diff to BL. East.],ReportSummary___Chart[Diff to BL. North.],ReportSummary___Chart[Diff to BL. Level])</f>
        <v>-1.0000000000012221E-3</v>
      </c>
      <c r="AB65" s="114">
        <f>SUBTOTAL(104,ReportSummary___Chart[Diff to BL. East.],ReportSummary___Chart[Diff to BL. North.],ReportSummary___Chart[Diff to BL. Level])</f>
        <v>1.0000000038417056E-3</v>
      </c>
      <c r="AC65" s="1"/>
      <c r="AD65" s="1"/>
      <c r="AE65" s="1"/>
      <c r="AF65" s="4"/>
      <c r="AG65" s="4"/>
      <c r="AH65" s="4"/>
      <c r="AI65" s="4"/>
      <c r="AJ65" s="1"/>
      <c r="AK65" s="1"/>
      <c r="AL65" s="1"/>
    </row>
    <row r="66" spans="7:38" ht="14.25" hidden="1" customHeight="1" x14ac:dyDescent="0.2">
      <c r="G66" s="74">
        <v>45776.284722222219</v>
      </c>
      <c r="H66" s="107" t="s">
        <v>188</v>
      </c>
      <c r="I66" s="107"/>
      <c r="J66" s="116">
        <v>51907.9522</v>
      </c>
      <c r="K66" s="116">
        <v>159189.36230000001</v>
      </c>
      <c r="L66" s="116">
        <v>18.786000000000001</v>
      </c>
      <c r="M66" s="75">
        <v>51907.951999999997</v>
      </c>
      <c r="N66" s="75">
        <v>159189.36300000001</v>
      </c>
      <c r="O66" s="75">
        <v>18.785</v>
      </c>
      <c r="P66" s="76">
        <v>-2.0000000222353265E-4</v>
      </c>
      <c r="Q66" s="109" cm="1">
        <f t="array" ref="Q6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6" s="76">
        <v>7.0000000414438546E-4</v>
      </c>
      <c r="S66" s="77" cm="1">
        <f t="array" ref="S6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6" s="76">
        <v>-1.0000000000012221E-3</v>
      </c>
      <c r="U66" s="77" cm="1">
        <f t="array" ref="U6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6" s="107" t="s">
        <v>86</v>
      </c>
      <c r="Z66" s="107"/>
      <c r="AA66" s="126">
        <f>SUBTOTAL(105,ReportSummary___Chart[Diff to BL. East.],ReportSummary___Chart[Diff to BL. North.],ReportSummary___Chart[Diff to BL. Level])</f>
        <v>-1.0000000000012221E-3</v>
      </c>
      <c r="AB66" s="114">
        <f>SUBTOTAL(104,ReportSummary___Chart[Diff to BL. East.],ReportSummary___Chart[Diff to BL. North.],ReportSummary___Chart[Diff to BL. Level])</f>
        <v>1.0000000038417056E-3</v>
      </c>
      <c r="AC66" s="1"/>
      <c r="AD66" s="1"/>
      <c r="AE66" s="1"/>
      <c r="AF66" s="4"/>
      <c r="AG66" s="4"/>
      <c r="AH66" s="4"/>
      <c r="AI66" s="4"/>
      <c r="AJ66" s="1"/>
      <c r="AK66" s="1"/>
      <c r="AL66" s="1"/>
    </row>
    <row r="67" spans="7:38" ht="14.25" hidden="1" customHeight="1" x14ac:dyDescent="0.2">
      <c r="G67" s="74">
        <v>45776.284722222219</v>
      </c>
      <c r="H67" s="107" t="s">
        <v>187</v>
      </c>
      <c r="I67" s="107"/>
      <c r="J67" s="116">
        <v>51907.578699999998</v>
      </c>
      <c r="K67" s="116">
        <v>159188.09770000001</v>
      </c>
      <c r="L67" s="116">
        <v>18.776</v>
      </c>
      <c r="M67" s="75">
        <v>51907.578000000001</v>
      </c>
      <c r="N67" s="75">
        <v>159188.09899999999</v>
      </c>
      <c r="O67" s="75">
        <v>18.774999999999999</v>
      </c>
      <c r="P67" s="76">
        <v>-6.9999999686842784E-4</v>
      </c>
      <c r="Q67" s="109" cm="1">
        <f t="array" ref="Q6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7" s="76">
        <v>1.2999999744351953E-3</v>
      </c>
      <c r="S67" s="77" cm="1">
        <f t="array" ref="S6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7" s="76">
        <v>-1.0000000000012221E-3</v>
      </c>
      <c r="U67" s="77" cm="1">
        <f t="array" ref="U6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7" s="107" t="s">
        <v>86</v>
      </c>
      <c r="Z67" s="107"/>
      <c r="AA67" s="126">
        <f>SUBTOTAL(105,ReportSummary___Chart[Diff to BL. East.],ReportSummary___Chart[Diff to BL. North.],ReportSummary___Chart[Diff to BL. Level])</f>
        <v>-1.0000000000012221E-3</v>
      </c>
      <c r="AB67" s="114">
        <f>SUBTOTAL(104,ReportSummary___Chart[Diff to BL. East.],ReportSummary___Chart[Diff to BL. North.],ReportSummary___Chart[Diff to BL. Level])</f>
        <v>1.0000000038417056E-3</v>
      </c>
      <c r="AC67" s="1"/>
      <c r="AD67" s="1"/>
      <c r="AE67" s="1"/>
      <c r="AF67" s="4"/>
      <c r="AG67" s="4"/>
      <c r="AH67" s="4"/>
      <c r="AI67" s="4"/>
      <c r="AJ67" s="1"/>
      <c r="AK67" s="1"/>
      <c r="AL67" s="1"/>
    </row>
    <row r="68" spans="7:38" ht="14.25" hidden="1" customHeight="1" x14ac:dyDescent="0.2">
      <c r="G68" s="74">
        <v>45776.284722222219</v>
      </c>
      <c r="H68" s="107" t="s">
        <v>190</v>
      </c>
      <c r="I68" s="107"/>
      <c r="J68" s="116">
        <v>51910.962800000001</v>
      </c>
      <c r="K68" s="116">
        <v>159188.60079999999</v>
      </c>
      <c r="L68" s="116">
        <v>18.794599999999999</v>
      </c>
      <c r="M68" s="75">
        <v>51910.962</v>
      </c>
      <c r="N68" s="75">
        <v>159188.601</v>
      </c>
      <c r="O68" s="75">
        <v>18.794</v>
      </c>
      <c r="P68" s="76">
        <v>-8.0000000161817297E-4</v>
      </c>
      <c r="Q68" s="109" cm="1">
        <f t="array" ref="Q6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8" s="76">
        <v>2.0000000949949026E-4</v>
      </c>
      <c r="S68" s="77" cm="1">
        <f t="array" ref="S6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8" s="76">
        <v>-5.9999999999860165E-4</v>
      </c>
      <c r="U68" s="77" cm="1">
        <f t="array" ref="U6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8" s="107" t="s">
        <v>86</v>
      </c>
      <c r="Z68" s="107"/>
      <c r="AA68" s="126">
        <f>SUBTOTAL(105,ReportSummary___Chart[Diff to BL. East.],ReportSummary___Chart[Diff to BL. North.],ReportSummary___Chart[Diff to BL. Level])</f>
        <v>-1.0000000000012221E-3</v>
      </c>
      <c r="AB68" s="114">
        <f>SUBTOTAL(104,ReportSummary___Chart[Diff to BL. East.],ReportSummary___Chart[Diff to BL. North.],ReportSummary___Chart[Diff to BL. Level])</f>
        <v>1.0000000038417056E-3</v>
      </c>
      <c r="AC68" s="1"/>
      <c r="AD68" s="1"/>
      <c r="AE68" s="1"/>
      <c r="AF68" s="4"/>
      <c r="AG68" s="4"/>
      <c r="AH68" s="4"/>
      <c r="AI68" s="4"/>
      <c r="AJ68" s="1"/>
      <c r="AK68" s="1"/>
      <c r="AL68" s="1"/>
    </row>
    <row r="69" spans="7:38" ht="14.25" hidden="1" customHeight="1" x14ac:dyDescent="0.2">
      <c r="G69" s="74">
        <v>45776.284722222219</v>
      </c>
      <c r="H69" s="107" t="s">
        <v>189</v>
      </c>
      <c r="I69" s="107"/>
      <c r="J69" s="116">
        <v>51910.640099999997</v>
      </c>
      <c r="K69" s="116">
        <v>159187.3223</v>
      </c>
      <c r="L69" s="116">
        <v>18.7836</v>
      </c>
      <c r="M69" s="75">
        <v>51910.639000000003</v>
      </c>
      <c r="N69" s="75">
        <v>159187.323</v>
      </c>
      <c r="O69" s="75">
        <v>18.783000000000001</v>
      </c>
      <c r="P69" s="76">
        <v>-1.0999999940395355E-3</v>
      </c>
      <c r="Q69" s="109" cm="1">
        <f t="array" ref="Q6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69" s="76">
        <v>7.0000000414438546E-4</v>
      </c>
      <c r="S69" s="77" cm="1">
        <f t="array" ref="S6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69" s="76">
        <v>-5.9999999999860165E-4</v>
      </c>
      <c r="U69" s="77" cm="1">
        <f t="array" ref="U6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6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6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6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69" s="107" t="s">
        <v>86</v>
      </c>
      <c r="Z69" s="107"/>
      <c r="AA69" s="126">
        <f>SUBTOTAL(105,ReportSummary___Chart[Diff to BL. East.],ReportSummary___Chart[Diff to BL. North.],ReportSummary___Chart[Diff to BL. Level])</f>
        <v>-1.0000000000012221E-3</v>
      </c>
      <c r="AB69" s="114">
        <f>SUBTOTAL(104,ReportSummary___Chart[Diff to BL. East.],ReportSummary___Chart[Diff to BL. North.],ReportSummary___Chart[Diff to BL. Level])</f>
        <v>1.0000000038417056E-3</v>
      </c>
      <c r="AC69" s="1"/>
      <c r="AD69" s="1"/>
      <c r="AE69" s="1"/>
      <c r="AF69" s="4"/>
      <c r="AG69" s="4"/>
      <c r="AH69" s="4"/>
      <c r="AI69" s="4"/>
      <c r="AJ69" s="1"/>
      <c r="AK69" s="1"/>
      <c r="AL69" s="1"/>
    </row>
    <row r="70" spans="7:38" ht="14.25" hidden="1" customHeight="1" x14ac:dyDescent="0.2">
      <c r="G70" s="74">
        <v>45776.284722222219</v>
      </c>
      <c r="H70" s="107" t="s">
        <v>192</v>
      </c>
      <c r="I70" s="107"/>
      <c r="J70" s="116">
        <v>51913.751100000001</v>
      </c>
      <c r="K70" s="116">
        <v>159187.9178</v>
      </c>
      <c r="L70" s="116">
        <v>18.809000000000001</v>
      </c>
      <c r="M70" s="75">
        <v>51913.75</v>
      </c>
      <c r="N70" s="75">
        <v>159187.91800000001</v>
      </c>
      <c r="O70" s="75">
        <v>18.808</v>
      </c>
      <c r="P70" s="76">
        <v>-1.1000000013154931E-3</v>
      </c>
      <c r="Q70" s="109" cm="1">
        <f t="array" ref="Q7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0" s="76">
        <v>2.0000000949949026E-4</v>
      </c>
      <c r="S70" s="77" cm="1">
        <f t="array" ref="S7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0" s="76">
        <v>-1.0000000000012221E-3</v>
      </c>
      <c r="U70" s="77" cm="1">
        <f t="array" ref="U7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0" s="107" t="s">
        <v>86</v>
      </c>
      <c r="Z70" s="107"/>
      <c r="AA70" s="126">
        <f>SUBTOTAL(105,ReportSummary___Chart[Diff to BL. East.],ReportSummary___Chart[Diff to BL. North.],ReportSummary___Chart[Diff to BL. Level])</f>
        <v>-1.0000000000012221E-3</v>
      </c>
      <c r="AB70" s="114">
        <f>SUBTOTAL(104,ReportSummary___Chart[Diff to BL. East.],ReportSummary___Chart[Diff to BL. North.],ReportSummary___Chart[Diff to BL. Level])</f>
        <v>1.0000000038417056E-3</v>
      </c>
      <c r="AC70" s="1"/>
      <c r="AD70" s="1"/>
      <c r="AE70" s="1"/>
      <c r="AF70" s="4"/>
      <c r="AG70" s="4"/>
      <c r="AH70" s="4"/>
      <c r="AI70" s="4"/>
      <c r="AJ70" s="1"/>
      <c r="AK70" s="1"/>
      <c r="AL70" s="1"/>
    </row>
    <row r="71" spans="7:38" ht="14.25" hidden="1" customHeight="1" x14ac:dyDescent="0.2">
      <c r="G71" s="74">
        <v>45776.284722222219</v>
      </c>
      <c r="H71" s="107" t="s">
        <v>191</v>
      </c>
      <c r="I71" s="107"/>
      <c r="J71" s="116">
        <v>51913.421499999997</v>
      </c>
      <c r="K71" s="116">
        <v>159186.63630000001</v>
      </c>
      <c r="L71" s="116">
        <v>18.794899999999998</v>
      </c>
      <c r="M71" s="75">
        <v>51913.42</v>
      </c>
      <c r="N71" s="75">
        <v>159186.63699999999</v>
      </c>
      <c r="O71" s="75">
        <v>18.794</v>
      </c>
      <c r="P71" s="76">
        <v>-1.4999999984866008E-3</v>
      </c>
      <c r="Q71" s="109" cm="1">
        <f t="array" ref="Q7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1" s="76">
        <v>6.99999975040555E-4</v>
      </c>
      <c r="S71" s="77" cm="1">
        <f t="array" ref="S7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1" s="76">
        <v>-8.9999999999790248E-4</v>
      </c>
      <c r="U71" s="77" cm="1">
        <f t="array" ref="U7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1" s="107" t="s">
        <v>86</v>
      </c>
      <c r="Z71" s="107"/>
      <c r="AA71" s="126">
        <f>SUBTOTAL(105,ReportSummary___Chart[Diff to BL. East.],ReportSummary___Chart[Diff to BL. North.],ReportSummary___Chart[Diff to BL. Level])</f>
        <v>-1.0000000000012221E-3</v>
      </c>
      <c r="AB71" s="114">
        <f>SUBTOTAL(104,ReportSummary___Chart[Diff to BL. East.],ReportSummary___Chart[Diff to BL. North.],ReportSummary___Chart[Diff to BL. Level])</f>
        <v>1.0000000038417056E-3</v>
      </c>
      <c r="AC71" s="1"/>
      <c r="AD71" s="1"/>
      <c r="AE71" s="1"/>
      <c r="AF71" s="4"/>
      <c r="AG71" s="4"/>
      <c r="AH71" s="4"/>
      <c r="AI71" s="4"/>
      <c r="AJ71" s="1"/>
      <c r="AK71" s="1"/>
      <c r="AL71" s="1"/>
    </row>
    <row r="72" spans="7:38" ht="14.25" hidden="1" customHeight="1" x14ac:dyDescent="0.2">
      <c r="G72" s="74">
        <v>45776.284722222219</v>
      </c>
      <c r="H72" s="107" t="s">
        <v>165</v>
      </c>
      <c r="I72" s="107"/>
      <c r="J72" s="116">
        <v>51884.538999999997</v>
      </c>
      <c r="K72" s="116">
        <v>159193.38269999999</v>
      </c>
      <c r="L72" s="116">
        <v>19.331700000000001</v>
      </c>
      <c r="M72" s="75">
        <v>51884.538999999997</v>
      </c>
      <c r="N72" s="75">
        <v>159193.38200000001</v>
      </c>
      <c r="O72" s="75">
        <v>19.329999999999998</v>
      </c>
      <c r="P72" s="76">
        <v>0</v>
      </c>
      <c r="Q72" s="109" cm="1">
        <f t="array" ref="Q7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2" s="76">
        <v>-6.99999975040555E-4</v>
      </c>
      <c r="S72" s="77" cm="1">
        <f t="array" ref="S7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2" s="76">
        <v>-1.7000000000031434E-3</v>
      </c>
      <c r="U72" s="77" cm="1">
        <f t="array" ref="U7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2" s="107" t="s">
        <v>86</v>
      </c>
      <c r="Z72" s="107"/>
      <c r="AA72" s="126">
        <f>SUBTOTAL(105,ReportSummary___Chart[Diff to BL. East.],ReportSummary___Chart[Diff to BL. North.],ReportSummary___Chart[Diff to BL. Level])</f>
        <v>-1.0000000000012221E-3</v>
      </c>
      <c r="AB72" s="114">
        <f>SUBTOTAL(104,ReportSummary___Chart[Diff to BL. East.],ReportSummary___Chart[Diff to BL. North.],ReportSummary___Chart[Diff to BL. Level])</f>
        <v>1.0000000038417056E-3</v>
      </c>
      <c r="AC72" s="1"/>
      <c r="AD72" s="1"/>
      <c r="AE72" s="1"/>
      <c r="AF72" s="4"/>
      <c r="AG72" s="4"/>
      <c r="AH72" s="4"/>
      <c r="AI72" s="4"/>
      <c r="AJ72" s="1"/>
      <c r="AK72" s="1"/>
      <c r="AL72" s="1"/>
    </row>
    <row r="73" spans="7:38" ht="14.25" hidden="1" customHeight="1" x14ac:dyDescent="0.2">
      <c r="G73" s="74">
        <v>45776.284722222219</v>
      </c>
      <c r="H73" s="107" t="s">
        <v>166</v>
      </c>
      <c r="I73" s="107"/>
      <c r="J73" s="116">
        <v>51890.2863</v>
      </c>
      <c r="K73" s="116">
        <v>159191.73069999999</v>
      </c>
      <c r="L73" s="116">
        <v>19.321999999999999</v>
      </c>
      <c r="M73" s="75">
        <v>51890.286</v>
      </c>
      <c r="N73" s="75">
        <v>159191.73000000001</v>
      </c>
      <c r="O73" s="75">
        <v>19.321000000000002</v>
      </c>
      <c r="P73" s="76">
        <v>-2.9999999969732016E-4</v>
      </c>
      <c r="Q73" s="109" cm="1">
        <f t="array" ref="Q7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3" s="76">
        <v>-6.99999975040555E-4</v>
      </c>
      <c r="S73" s="77" cm="1">
        <f t="array" ref="S7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3" s="76">
        <v>-9.9999999999766942E-4</v>
      </c>
      <c r="U73" s="77" cm="1">
        <f t="array" ref="U7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3" s="107" t="s">
        <v>86</v>
      </c>
      <c r="Z73" s="107"/>
      <c r="AA73" s="126">
        <f>SUBTOTAL(105,ReportSummary___Chart[Diff to BL. East.],ReportSummary___Chart[Diff to BL. North.],ReportSummary___Chart[Diff to BL. Level])</f>
        <v>-1.0000000000012221E-3</v>
      </c>
      <c r="AB73" s="114">
        <f>SUBTOTAL(104,ReportSummary___Chart[Diff to BL. East.],ReportSummary___Chart[Diff to BL. North.],ReportSummary___Chart[Diff to BL. Level])</f>
        <v>1.0000000038417056E-3</v>
      </c>
      <c r="AC73" s="1"/>
      <c r="AD73" s="1"/>
      <c r="AE73" s="1"/>
      <c r="AF73" s="4"/>
      <c r="AG73" s="4"/>
      <c r="AH73" s="4"/>
      <c r="AI73" s="4"/>
      <c r="AJ73" s="1"/>
      <c r="AK73" s="1"/>
      <c r="AL73" s="1"/>
    </row>
    <row r="74" spans="7:38" ht="14.25" hidden="1" customHeight="1" x14ac:dyDescent="0.2">
      <c r="G74" s="74">
        <v>45776.284722222219</v>
      </c>
      <c r="H74" s="107" t="s">
        <v>167</v>
      </c>
      <c r="I74" s="107"/>
      <c r="J74" s="116">
        <v>51895.920700000002</v>
      </c>
      <c r="K74" s="116">
        <v>159190.1</v>
      </c>
      <c r="L74" s="116">
        <v>19.334</v>
      </c>
      <c r="M74" s="75">
        <v>51895.921000000002</v>
      </c>
      <c r="N74" s="75">
        <v>159190.1</v>
      </c>
      <c r="O74" s="75">
        <v>19.332999999999998</v>
      </c>
      <c r="P74" s="76">
        <v>2.9999999969732016E-4</v>
      </c>
      <c r="Q74" s="109" cm="1">
        <f t="array" ref="Q7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4" s="76">
        <v>0</v>
      </c>
      <c r="S74" s="77" cm="1">
        <f t="array" ref="S7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4" s="76">
        <v>-1.0000000000012221E-3</v>
      </c>
      <c r="U74" s="77" cm="1">
        <f t="array" ref="U7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4" s="107" t="s">
        <v>86</v>
      </c>
      <c r="Z74" s="107"/>
      <c r="AA74" s="126">
        <f>SUBTOTAL(105,ReportSummary___Chart[Diff to BL. East.],ReportSummary___Chart[Diff to BL. North.],ReportSummary___Chart[Diff to BL. Level])</f>
        <v>-1.0000000000012221E-3</v>
      </c>
      <c r="AB74" s="114">
        <f>SUBTOTAL(104,ReportSummary___Chart[Diff to BL. East.],ReportSummary___Chart[Diff to BL. North.],ReportSummary___Chart[Diff to BL. Level])</f>
        <v>1.0000000038417056E-3</v>
      </c>
      <c r="AC74" s="1"/>
      <c r="AD74" s="1"/>
      <c r="AE74" s="1"/>
      <c r="AF74" s="4"/>
      <c r="AG74" s="4"/>
      <c r="AH74" s="4"/>
      <c r="AI74" s="4"/>
      <c r="AJ74" s="1"/>
      <c r="AK74" s="1"/>
      <c r="AL74" s="1"/>
    </row>
    <row r="75" spans="7:38" ht="14.25" hidden="1" customHeight="1" x14ac:dyDescent="0.2">
      <c r="G75" s="74">
        <v>45776.284722222219</v>
      </c>
      <c r="H75" s="107" t="s">
        <v>168</v>
      </c>
      <c r="I75" s="107"/>
      <c r="J75" s="116">
        <v>51899.7667</v>
      </c>
      <c r="K75" s="116">
        <v>159188.9933</v>
      </c>
      <c r="L75" s="116">
        <v>19.344999999999999</v>
      </c>
      <c r="M75" s="75">
        <v>51899.767</v>
      </c>
      <c r="N75" s="75">
        <v>159188.99299999999</v>
      </c>
      <c r="O75" s="75">
        <v>19.344000000000001</v>
      </c>
      <c r="P75" s="76">
        <v>2.9999999969732016E-4</v>
      </c>
      <c r="Q75" s="109" cm="1">
        <f t="array" ref="Q7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5" s="76">
        <v>-3.0000001424923539E-4</v>
      </c>
      <c r="S75" s="77" cm="1">
        <f t="array" ref="S7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5" s="76">
        <v>-9.9999999999766942E-4</v>
      </c>
      <c r="U75" s="77" cm="1">
        <f t="array" ref="U7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5" s="107" t="s">
        <v>86</v>
      </c>
      <c r="Z75" s="107"/>
      <c r="AA75" s="126">
        <f>SUBTOTAL(105,ReportSummary___Chart[Diff to BL. East.],ReportSummary___Chart[Diff to BL. North.],ReportSummary___Chart[Diff to BL. Level])</f>
        <v>-1.0000000000012221E-3</v>
      </c>
      <c r="AB75" s="114">
        <f>SUBTOTAL(104,ReportSummary___Chart[Diff to BL. East.],ReportSummary___Chart[Diff to BL. North.],ReportSummary___Chart[Diff to BL. Level])</f>
        <v>1.0000000038417056E-3</v>
      </c>
      <c r="AC75" s="1"/>
      <c r="AD75" s="1"/>
      <c r="AE75" s="1"/>
      <c r="AF75" s="4"/>
      <c r="AG75" s="4"/>
      <c r="AH75" s="4"/>
      <c r="AI75" s="4"/>
      <c r="AJ75" s="1"/>
      <c r="AK75" s="1"/>
      <c r="AL75" s="1"/>
    </row>
    <row r="76" spans="7:38" ht="14.25" hidden="1" customHeight="1" x14ac:dyDescent="0.2">
      <c r="G76" s="74">
        <v>45776.284722222219</v>
      </c>
      <c r="H76" s="107" t="s">
        <v>169</v>
      </c>
      <c r="I76" s="107"/>
      <c r="J76" s="116">
        <v>51903.6083</v>
      </c>
      <c r="K76" s="116">
        <v>159187.88200000001</v>
      </c>
      <c r="L76" s="116">
        <v>19.356999999999999</v>
      </c>
      <c r="M76" s="75">
        <v>51903.608</v>
      </c>
      <c r="N76" s="75">
        <v>159187.88200000001</v>
      </c>
      <c r="O76" s="75">
        <v>19.356000000000002</v>
      </c>
      <c r="P76" s="76">
        <v>-2.9999999969732016E-4</v>
      </c>
      <c r="Q76" s="109" cm="1">
        <f t="array" ref="Q7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6" s="76">
        <v>0</v>
      </c>
      <c r="S76" s="77" cm="1">
        <f t="array" ref="S7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6" s="76">
        <v>-9.9999999999766942E-4</v>
      </c>
      <c r="U76" s="77" cm="1">
        <f t="array" ref="U7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6" s="107" t="s">
        <v>86</v>
      </c>
      <c r="Z76" s="107"/>
      <c r="AA76" s="126">
        <f>SUBTOTAL(105,ReportSummary___Chart[Diff to BL. East.],ReportSummary___Chart[Diff to BL. North.],ReportSummary___Chart[Diff to BL. Level])</f>
        <v>-1.0000000000012221E-3</v>
      </c>
      <c r="AB76" s="114">
        <f>SUBTOTAL(104,ReportSummary___Chart[Diff to BL. East.],ReportSummary___Chart[Diff to BL. North.],ReportSummary___Chart[Diff to BL. Level])</f>
        <v>1.0000000038417056E-3</v>
      </c>
      <c r="AC76" s="1"/>
      <c r="AD76" s="1"/>
      <c r="AE76" s="1"/>
      <c r="AF76" s="4"/>
      <c r="AG76" s="4"/>
      <c r="AH76" s="4"/>
      <c r="AI76" s="4"/>
      <c r="AJ76" s="1"/>
      <c r="AK76" s="1"/>
      <c r="AL76" s="1"/>
    </row>
    <row r="77" spans="7:38" ht="14.25" hidden="1" customHeight="1" x14ac:dyDescent="0.2">
      <c r="G77" s="74">
        <v>45776.284722222219</v>
      </c>
      <c r="H77" s="107" t="s">
        <v>170</v>
      </c>
      <c r="I77" s="107"/>
      <c r="J77" s="116">
        <v>51910.065000000002</v>
      </c>
      <c r="K77" s="116">
        <v>159186.02369999999</v>
      </c>
      <c r="L77" s="116">
        <v>19.356999999999999</v>
      </c>
      <c r="M77" s="75">
        <v>51910.065000000002</v>
      </c>
      <c r="N77" s="75">
        <v>159186.02299999999</v>
      </c>
      <c r="O77" s="75">
        <v>19.356999999999999</v>
      </c>
      <c r="P77" s="76">
        <v>0</v>
      </c>
      <c r="Q77" s="109" cm="1">
        <f t="array" ref="Q7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7" s="76">
        <v>-7.0000000414438546E-4</v>
      </c>
      <c r="S77" s="77" cm="1">
        <f t="array" ref="S7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7" s="76">
        <v>0</v>
      </c>
      <c r="U77" s="77" cm="1">
        <f t="array" ref="U7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7" s="107" t="s">
        <v>86</v>
      </c>
      <c r="Z77" s="107"/>
      <c r="AA77" s="126">
        <f>SUBTOTAL(105,ReportSummary___Chart[Diff to BL. East.],ReportSummary___Chart[Diff to BL. North.],ReportSummary___Chart[Diff to BL. Level])</f>
        <v>-1.0000000000012221E-3</v>
      </c>
      <c r="AB77" s="114">
        <f>SUBTOTAL(104,ReportSummary___Chart[Diff to BL. East.],ReportSummary___Chart[Diff to BL. North.],ReportSummary___Chart[Diff to BL. Level])</f>
        <v>1.0000000038417056E-3</v>
      </c>
      <c r="AC77" s="1"/>
      <c r="AD77" s="1"/>
      <c r="AE77" s="1"/>
      <c r="AF77" s="4"/>
      <c r="AG77" s="4"/>
      <c r="AH77" s="4"/>
      <c r="AI77" s="4"/>
      <c r="AJ77" s="1"/>
      <c r="AK77" s="1"/>
      <c r="AL77" s="1"/>
    </row>
    <row r="78" spans="7:38" ht="14.25" customHeight="1" x14ac:dyDescent="0.2">
      <c r="G78" s="74">
        <v>45775.28125</v>
      </c>
      <c r="H78" s="107" t="s">
        <v>172</v>
      </c>
      <c r="I78" s="107"/>
      <c r="J78" s="116">
        <v>51885.34</v>
      </c>
      <c r="K78" s="116">
        <v>159195.739</v>
      </c>
      <c r="L78" s="116">
        <v>18.782</v>
      </c>
      <c r="M78" s="75">
        <v>51885.34</v>
      </c>
      <c r="N78" s="75">
        <v>159195.739</v>
      </c>
      <c r="O78" s="75">
        <v>18.783000000000001</v>
      </c>
      <c r="P78" s="76">
        <v>0</v>
      </c>
      <c r="Q78" s="109" cm="1">
        <f t="array" ref="Q7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8" s="76">
        <v>0</v>
      </c>
      <c r="S78" s="77" cm="1">
        <f t="array" ref="S7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8" s="76">
        <v>1.0000000000012221E-3</v>
      </c>
      <c r="U78" s="77" cm="1">
        <f t="array" ref="U7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8" s="107" t="s">
        <v>86</v>
      </c>
      <c r="Z78" s="107"/>
      <c r="AA78" s="126">
        <f>SUBTOTAL(105,ReportSummary___Chart[Diff to BL. East.],ReportSummary___Chart[Diff to BL. North.],ReportSummary___Chart[Diff to BL. Level])</f>
        <v>-1.0000000000012221E-3</v>
      </c>
      <c r="AB78" s="114">
        <f>SUBTOTAL(104,ReportSummary___Chart[Diff to BL. East.],ReportSummary___Chart[Diff to BL. North.],ReportSummary___Chart[Diff to BL. Level])</f>
        <v>1.0000000038417056E-3</v>
      </c>
      <c r="AC78" s="1"/>
      <c r="AD78" s="1"/>
      <c r="AE78" s="1"/>
      <c r="AF78" s="4"/>
      <c r="AG78" s="4"/>
      <c r="AH78" s="4"/>
      <c r="AI78" s="4"/>
      <c r="AJ78" s="1"/>
      <c r="AK78" s="1"/>
      <c r="AL78" s="1"/>
    </row>
    <row r="79" spans="7:38" ht="14.25" hidden="1" customHeight="1" x14ac:dyDescent="0.2">
      <c r="G79" s="74">
        <v>45775.28125</v>
      </c>
      <c r="H79" s="107" t="s">
        <v>171</v>
      </c>
      <c r="I79" s="107"/>
      <c r="J79" s="116">
        <v>51884.958899999998</v>
      </c>
      <c r="K79" s="116">
        <v>159194.47070000001</v>
      </c>
      <c r="L79" s="116">
        <v>18.778099999999998</v>
      </c>
      <c r="M79" s="75">
        <v>51884.959000000003</v>
      </c>
      <c r="N79" s="75">
        <v>159194.47099999999</v>
      </c>
      <c r="O79" s="75">
        <v>18.779</v>
      </c>
      <c r="P79" s="76">
        <v>1.0000000474974513E-4</v>
      </c>
      <c r="Q79" s="109" cm="1">
        <f t="array" ref="Q7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79" s="76">
        <v>2.9999998514540493E-4</v>
      </c>
      <c r="S79" s="77" cm="1">
        <f t="array" ref="S7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79" s="76">
        <v>9.0000000000145519E-4</v>
      </c>
      <c r="U79" s="77" cm="1">
        <f t="array" ref="U7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7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7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7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79" s="107" t="s">
        <v>86</v>
      </c>
      <c r="Z79" s="107"/>
      <c r="AA79" s="126">
        <f>SUBTOTAL(105,ReportSummary___Chart[Diff to BL. East.],ReportSummary___Chart[Diff to BL. North.],ReportSummary___Chart[Diff to BL. Level])</f>
        <v>-1.0000000000012221E-3</v>
      </c>
      <c r="AB79" s="114">
        <f>SUBTOTAL(104,ReportSummary___Chart[Diff to BL. East.],ReportSummary___Chart[Diff to BL. North.],ReportSummary___Chart[Diff to BL. Level])</f>
        <v>1.0000000038417056E-3</v>
      </c>
      <c r="AC79" s="1"/>
      <c r="AD79" s="1"/>
      <c r="AE79" s="1"/>
      <c r="AF79" s="4"/>
      <c r="AG79" s="4"/>
      <c r="AH79" s="4"/>
      <c r="AI79" s="4"/>
      <c r="AJ79" s="1"/>
      <c r="AK79" s="1"/>
      <c r="AL79" s="1"/>
    </row>
    <row r="80" spans="7:38" ht="14.25" hidden="1" customHeight="1" x14ac:dyDescent="0.2">
      <c r="G80" s="74">
        <v>45775.28125</v>
      </c>
      <c r="H80" s="107" t="s">
        <v>174</v>
      </c>
      <c r="I80" s="107"/>
      <c r="J80" s="116">
        <v>51888.117700000003</v>
      </c>
      <c r="K80" s="116">
        <v>159194.94529999999</v>
      </c>
      <c r="L80" s="116">
        <v>18.7788</v>
      </c>
      <c r="M80" s="75">
        <v>51888.116999999998</v>
      </c>
      <c r="N80" s="75">
        <v>159194.946</v>
      </c>
      <c r="O80" s="75">
        <v>18.779</v>
      </c>
      <c r="P80" s="76">
        <v>-7.0000000414438546E-4</v>
      </c>
      <c r="Q80" s="109" cm="1">
        <f t="array" ref="Q8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0" s="76">
        <v>7.0000000414438546E-4</v>
      </c>
      <c r="S80" s="77" cm="1">
        <f t="array" ref="S8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0" s="76">
        <v>1.9999999999953388E-4</v>
      </c>
      <c r="U80" s="77" cm="1">
        <f t="array" ref="U8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0" s="107" t="s">
        <v>86</v>
      </c>
      <c r="Z80" s="107"/>
      <c r="AA80" s="126">
        <f>SUBTOTAL(105,ReportSummary___Chart[Diff to BL. East.],ReportSummary___Chart[Diff to BL. North.],ReportSummary___Chart[Diff to BL. Level])</f>
        <v>-1.0000000000012221E-3</v>
      </c>
      <c r="AB80" s="114">
        <f>SUBTOTAL(104,ReportSummary___Chart[Diff to BL. East.],ReportSummary___Chart[Diff to BL. North.],ReportSummary___Chart[Diff to BL. Level])</f>
        <v>1.0000000038417056E-3</v>
      </c>
      <c r="AC80" s="1"/>
      <c r="AD80" s="1"/>
      <c r="AE80" s="1"/>
      <c r="AF80" s="4"/>
      <c r="AG80" s="4"/>
      <c r="AH80" s="4"/>
      <c r="AI80" s="4"/>
      <c r="AJ80" s="1"/>
      <c r="AK80" s="1"/>
      <c r="AL80" s="1"/>
    </row>
    <row r="81" spans="7:38" ht="14.25" hidden="1" customHeight="1" x14ac:dyDescent="0.2">
      <c r="G81" s="74">
        <v>45775.28125</v>
      </c>
      <c r="H81" s="107" t="s">
        <v>173</v>
      </c>
      <c r="I81" s="107"/>
      <c r="J81" s="116">
        <v>51887.805099999998</v>
      </c>
      <c r="K81" s="116">
        <v>159193.65710000001</v>
      </c>
      <c r="L81" s="116">
        <v>18.778500000000001</v>
      </c>
      <c r="M81" s="75">
        <v>51887.805</v>
      </c>
      <c r="N81" s="75">
        <v>159193.658</v>
      </c>
      <c r="O81" s="75">
        <v>18.779</v>
      </c>
      <c r="P81" s="76">
        <v>-9.9999997473787516E-5</v>
      </c>
      <c r="Q81" s="109" cm="1">
        <f t="array" ref="Q8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1" s="76">
        <v>8.9999998454004526E-4</v>
      </c>
      <c r="S81" s="77" cm="1">
        <f t="array" ref="S8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1" s="76">
        <v>4.9999999999883471E-4</v>
      </c>
      <c r="U81" s="77" cm="1">
        <f t="array" ref="U8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1" s="107" t="s">
        <v>86</v>
      </c>
      <c r="Z81" s="107"/>
      <c r="AA81" s="126">
        <f>SUBTOTAL(105,ReportSummary___Chart[Diff to BL. East.],ReportSummary___Chart[Diff to BL. North.],ReportSummary___Chart[Diff to BL. Level])</f>
        <v>-1.0000000000012221E-3</v>
      </c>
      <c r="AB81" s="114">
        <f>SUBTOTAL(104,ReportSummary___Chart[Diff to BL. East.],ReportSummary___Chart[Diff to BL. North.],ReportSummary___Chart[Diff to BL. Level])</f>
        <v>1.0000000038417056E-3</v>
      </c>
      <c r="AC81" s="1"/>
      <c r="AD81" s="1"/>
      <c r="AE81" s="1"/>
      <c r="AF81" s="4"/>
      <c r="AG81" s="4"/>
      <c r="AH81" s="4"/>
      <c r="AI81" s="4"/>
      <c r="AJ81" s="1"/>
      <c r="AK81" s="1"/>
      <c r="AL81" s="1"/>
    </row>
    <row r="82" spans="7:38" ht="14.25" hidden="1" customHeight="1" x14ac:dyDescent="0.2">
      <c r="G82" s="74">
        <v>45775.28125</v>
      </c>
      <c r="H82" s="107" t="s">
        <v>176</v>
      </c>
      <c r="I82" s="107"/>
      <c r="J82" s="116">
        <v>51890.969100000002</v>
      </c>
      <c r="K82" s="116">
        <v>159194.1177</v>
      </c>
      <c r="L82" s="116">
        <v>18.779</v>
      </c>
      <c r="M82" s="75">
        <v>51890.968999999997</v>
      </c>
      <c r="N82" s="75">
        <v>159194.11799999999</v>
      </c>
      <c r="O82" s="75">
        <v>18.78</v>
      </c>
      <c r="P82" s="76">
        <v>-1.0000000474974513E-4</v>
      </c>
      <c r="Q82" s="109" cm="1">
        <f t="array" ref="Q8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2" s="76">
        <v>2.9999998514540493E-4</v>
      </c>
      <c r="S82" s="77" cm="1">
        <f t="array" ref="S8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2" s="76">
        <v>1.0000000000012221E-3</v>
      </c>
      <c r="U82" s="77" cm="1">
        <f t="array" ref="U8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2" s="107" t="s">
        <v>86</v>
      </c>
      <c r="Z82" s="107"/>
      <c r="AA82" s="126">
        <f>SUBTOTAL(105,ReportSummary___Chart[Diff to BL. East.],ReportSummary___Chart[Diff to BL. North.],ReportSummary___Chart[Diff to BL. Level])</f>
        <v>-1.0000000000012221E-3</v>
      </c>
      <c r="AB82" s="114">
        <f>SUBTOTAL(104,ReportSummary___Chart[Diff to BL. East.],ReportSummary___Chart[Diff to BL. North.],ReportSummary___Chart[Diff to BL. Level])</f>
        <v>1.0000000038417056E-3</v>
      </c>
      <c r="AC82" s="1"/>
      <c r="AD82" s="1"/>
      <c r="AE82" s="1"/>
      <c r="AF82" s="4"/>
      <c r="AG82" s="4"/>
      <c r="AH82" s="4"/>
      <c r="AI82" s="4"/>
      <c r="AJ82" s="1"/>
      <c r="AK82" s="1"/>
      <c r="AL82" s="1"/>
    </row>
    <row r="83" spans="7:38" ht="14.25" hidden="1" customHeight="1" x14ac:dyDescent="0.2">
      <c r="G83" s="74">
        <v>45775.28125</v>
      </c>
      <c r="H83" s="107" t="s">
        <v>175</v>
      </c>
      <c r="I83" s="107"/>
      <c r="J83" s="116">
        <v>51890.606800000001</v>
      </c>
      <c r="K83" s="116">
        <v>159192.86069999999</v>
      </c>
      <c r="L83" s="116">
        <v>18.771999999999998</v>
      </c>
      <c r="M83" s="75">
        <v>51890.606</v>
      </c>
      <c r="N83" s="75">
        <v>159192.86199999999</v>
      </c>
      <c r="O83" s="75">
        <v>18.773</v>
      </c>
      <c r="P83" s="76">
        <v>-8.0000000161817297E-4</v>
      </c>
      <c r="Q83" s="109" cm="1">
        <f t="array" ref="Q8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3" s="76">
        <v>1.3000000035390258E-3</v>
      </c>
      <c r="S83" s="77" cm="1">
        <f t="array" ref="S8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3" s="76">
        <v>1.0000000000012221E-3</v>
      </c>
      <c r="U83" s="77" cm="1">
        <f t="array" ref="U8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3" s="107" t="s">
        <v>86</v>
      </c>
      <c r="Z83" s="107"/>
      <c r="AA83" s="126">
        <f>SUBTOTAL(105,ReportSummary___Chart[Diff to BL. East.],ReportSummary___Chart[Diff to BL. North.],ReportSummary___Chart[Diff to BL. Level])</f>
        <v>-1.0000000000012221E-3</v>
      </c>
      <c r="AB83" s="114">
        <f>SUBTOTAL(104,ReportSummary___Chart[Diff to BL. East.],ReportSummary___Chart[Diff to BL. North.],ReportSummary___Chart[Diff to BL. Level])</f>
        <v>1.0000000038417056E-3</v>
      </c>
      <c r="AC83" s="1"/>
      <c r="AD83" s="1"/>
      <c r="AE83" s="1"/>
      <c r="AF83" s="4"/>
      <c r="AG83" s="4"/>
      <c r="AH83" s="4"/>
      <c r="AI83" s="4"/>
      <c r="AJ83" s="1"/>
      <c r="AK83" s="1"/>
      <c r="AL83" s="1"/>
    </row>
    <row r="84" spans="7:38" ht="14.25" hidden="1" customHeight="1" x14ac:dyDescent="0.2">
      <c r="G84" s="74">
        <v>45775.28125</v>
      </c>
      <c r="H84" s="107" t="s">
        <v>178</v>
      </c>
      <c r="I84" s="107"/>
      <c r="J84" s="116">
        <v>51893.758699999998</v>
      </c>
      <c r="K84" s="116">
        <v>159193.3144</v>
      </c>
      <c r="L84" s="116">
        <v>18.774100000000001</v>
      </c>
      <c r="M84" s="75">
        <v>51893.758000000002</v>
      </c>
      <c r="N84" s="75">
        <v>159193.315</v>
      </c>
      <c r="O84" s="75">
        <v>18.774999999999999</v>
      </c>
      <c r="P84" s="76">
        <v>-6.9999999686842784E-4</v>
      </c>
      <c r="Q84" s="109" cm="1">
        <f t="array" ref="Q8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4" s="76">
        <v>5.9999999939464033E-4</v>
      </c>
      <c r="S84" s="77" cm="1">
        <f t="array" ref="S8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4" s="76">
        <v>8.9999999999790248E-4</v>
      </c>
      <c r="U84" s="77" cm="1">
        <f t="array" ref="U8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4" s="107" t="s">
        <v>86</v>
      </c>
      <c r="Z84" s="107"/>
      <c r="AA84" s="126">
        <f>SUBTOTAL(105,ReportSummary___Chart[Diff to BL. East.],ReportSummary___Chart[Diff to BL. North.],ReportSummary___Chart[Diff to BL. Level])</f>
        <v>-1.0000000000012221E-3</v>
      </c>
      <c r="AB84" s="114">
        <f>SUBTOTAL(104,ReportSummary___Chart[Diff to BL. East.],ReportSummary___Chart[Diff to BL. North.],ReportSummary___Chart[Diff to BL. Level])</f>
        <v>1.0000000038417056E-3</v>
      </c>
      <c r="AC84" s="1"/>
      <c r="AD84" s="1"/>
      <c r="AE84" s="1"/>
      <c r="AF84" s="4"/>
      <c r="AG84" s="4"/>
      <c r="AH84" s="4"/>
      <c r="AI84" s="4"/>
      <c r="AJ84" s="1"/>
      <c r="AK84" s="1"/>
      <c r="AL84" s="1"/>
    </row>
    <row r="85" spans="7:38" ht="14.25" hidden="1" customHeight="1" x14ac:dyDescent="0.2">
      <c r="G85" s="74">
        <v>45775.28125</v>
      </c>
      <c r="H85" s="107" t="s">
        <v>177</v>
      </c>
      <c r="I85" s="107"/>
      <c r="J85" s="116">
        <v>51893.441299999999</v>
      </c>
      <c r="K85" s="116">
        <v>159192.04019999999</v>
      </c>
      <c r="L85" s="116">
        <v>18.7683</v>
      </c>
      <c r="M85" s="75">
        <v>51893.440999999999</v>
      </c>
      <c r="N85" s="75">
        <v>159192.041</v>
      </c>
      <c r="O85" s="75">
        <v>18.77</v>
      </c>
      <c r="P85" s="76">
        <v>-2.9999999969732016E-4</v>
      </c>
      <c r="Q85" s="109" cm="1">
        <f t="array" ref="Q8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5" s="76">
        <v>8.0000000889413059E-4</v>
      </c>
      <c r="S85" s="77" cm="1">
        <f t="array" ref="S8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5" s="76">
        <v>1.6999999999995907E-3</v>
      </c>
      <c r="U85" s="77" cm="1">
        <f t="array" ref="U8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5" s="107" t="s">
        <v>86</v>
      </c>
      <c r="Z85" s="107"/>
      <c r="AA85" s="126">
        <f>SUBTOTAL(105,ReportSummary___Chart[Diff to BL. East.],ReportSummary___Chart[Diff to BL. North.],ReportSummary___Chart[Diff to BL. Level])</f>
        <v>-1.0000000000012221E-3</v>
      </c>
      <c r="AB85" s="114">
        <f>SUBTOTAL(104,ReportSummary___Chart[Diff to BL. East.],ReportSummary___Chart[Diff to BL. North.],ReportSummary___Chart[Diff to BL. Level])</f>
        <v>1.0000000038417056E-3</v>
      </c>
      <c r="AC85" s="1"/>
      <c r="AD85" s="1"/>
      <c r="AE85" s="1"/>
      <c r="AF85" s="4"/>
      <c r="AG85" s="4"/>
      <c r="AH85" s="4"/>
      <c r="AI85" s="4"/>
      <c r="AJ85" s="1"/>
      <c r="AK85" s="1"/>
      <c r="AL85" s="1"/>
    </row>
    <row r="86" spans="7:38" ht="14.25" hidden="1" customHeight="1" x14ac:dyDescent="0.2">
      <c r="G86" s="74">
        <v>45775.28125</v>
      </c>
      <c r="H86" s="107" t="s">
        <v>180</v>
      </c>
      <c r="I86" s="107"/>
      <c r="J86" s="116">
        <v>51896.633300000001</v>
      </c>
      <c r="K86" s="116">
        <v>159192.48449999999</v>
      </c>
      <c r="L86" s="116">
        <v>18.7776</v>
      </c>
      <c r="M86" s="75">
        <v>51896.633000000002</v>
      </c>
      <c r="N86" s="75">
        <v>159192.48499999999</v>
      </c>
      <c r="O86" s="75">
        <v>18.777999999999999</v>
      </c>
      <c r="P86" s="76">
        <v>-2.9999999969732016E-4</v>
      </c>
      <c r="Q86" s="109" cm="1">
        <f t="array" ref="Q8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6" s="76">
        <v>4.999999946448952E-4</v>
      </c>
      <c r="S86" s="77" cm="1">
        <f t="array" ref="S8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6" s="76">
        <v>3.9999999999906777E-4</v>
      </c>
      <c r="U86" s="77" cm="1">
        <f t="array" ref="U8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6" s="107" t="s">
        <v>86</v>
      </c>
      <c r="Z86" s="107"/>
      <c r="AA86" s="126">
        <f>SUBTOTAL(105,ReportSummary___Chart[Diff to BL. East.],ReportSummary___Chart[Diff to BL. North.],ReportSummary___Chart[Diff to BL. Level])</f>
        <v>-1.0000000000012221E-3</v>
      </c>
      <c r="AB86" s="114">
        <f>SUBTOTAL(104,ReportSummary___Chart[Diff to BL. East.],ReportSummary___Chart[Diff to BL. North.],ReportSummary___Chart[Diff to BL. Level])</f>
        <v>1.0000000038417056E-3</v>
      </c>
      <c r="AC86" s="1"/>
      <c r="AD86" s="1"/>
      <c r="AE86" s="1"/>
      <c r="AF86" s="4"/>
      <c r="AG86" s="4"/>
      <c r="AH86" s="4"/>
      <c r="AI86" s="4"/>
      <c r="AJ86" s="1"/>
      <c r="AK86" s="1"/>
      <c r="AL86" s="1"/>
    </row>
    <row r="87" spans="7:38" ht="14.25" hidden="1" customHeight="1" x14ac:dyDescent="0.2">
      <c r="G87" s="74">
        <v>45775.28125</v>
      </c>
      <c r="H87" s="107" t="s">
        <v>179</v>
      </c>
      <c r="I87" s="107"/>
      <c r="J87" s="116">
        <v>51896.249799999998</v>
      </c>
      <c r="K87" s="116">
        <v>159191.22630000001</v>
      </c>
      <c r="L87" s="116">
        <v>18.7698</v>
      </c>
      <c r="M87" s="75">
        <v>51896.249000000003</v>
      </c>
      <c r="N87" s="75">
        <v>159191.22700000001</v>
      </c>
      <c r="O87" s="75">
        <v>18.771000000000001</v>
      </c>
      <c r="P87" s="76">
        <v>-7.9999999434221536E-4</v>
      </c>
      <c r="Q87" s="109" cm="1">
        <f t="array" ref="Q8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7" s="76">
        <v>7.0000000414438546E-4</v>
      </c>
      <c r="S87" s="77" cm="1">
        <f t="array" ref="S8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7" s="76">
        <v>1.200000000000756E-3</v>
      </c>
      <c r="U87" s="77" cm="1">
        <f t="array" ref="U8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7" s="107" t="s">
        <v>86</v>
      </c>
      <c r="Z87" s="107"/>
      <c r="AA87" s="126">
        <f>SUBTOTAL(105,ReportSummary___Chart[Diff to BL. East.],ReportSummary___Chart[Diff to BL. North.],ReportSummary___Chart[Diff to BL. Level])</f>
        <v>-1.0000000000012221E-3</v>
      </c>
      <c r="AB87" s="114">
        <f>SUBTOTAL(104,ReportSummary___Chart[Diff to BL. East.],ReportSummary___Chart[Diff to BL. North.],ReportSummary___Chart[Diff to BL. Level])</f>
        <v>1.0000000038417056E-3</v>
      </c>
      <c r="AC87" s="1"/>
      <c r="AD87" s="1"/>
      <c r="AE87" s="1"/>
      <c r="AF87" s="4"/>
      <c r="AG87" s="4"/>
      <c r="AH87" s="4"/>
      <c r="AI87" s="4"/>
      <c r="AJ87" s="1"/>
      <c r="AK87" s="1"/>
      <c r="AL87" s="1"/>
    </row>
    <row r="88" spans="7:38" ht="14.25" hidden="1" customHeight="1" x14ac:dyDescent="0.2">
      <c r="G88" s="74">
        <v>45775.28125</v>
      </c>
      <c r="H88" s="107" t="s">
        <v>182</v>
      </c>
      <c r="I88" s="107"/>
      <c r="J88" s="116">
        <v>51899.398699999998</v>
      </c>
      <c r="K88" s="116">
        <v>159191.69760000001</v>
      </c>
      <c r="L88" s="116">
        <v>18.777999999999999</v>
      </c>
      <c r="M88" s="75">
        <v>51899.398000000001</v>
      </c>
      <c r="N88" s="75">
        <v>159191.698</v>
      </c>
      <c r="O88" s="75">
        <v>18.779</v>
      </c>
      <c r="P88" s="76">
        <v>-6.9999999686842784E-4</v>
      </c>
      <c r="Q88" s="109" cm="1">
        <f t="array" ref="Q8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8" s="76">
        <v>3.9999998989515007E-4</v>
      </c>
      <c r="S88" s="77" cm="1">
        <f t="array" ref="S8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8" s="76">
        <v>1.0000000000012221E-3</v>
      </c>
      <c r="U88" s="77" cm="1">
        <f t="array" ref="U8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8" s="107" t="s">
        <v>86</v>
      </c>
      <c r="Z88" s="107"/>
      <c r="AA88" s="126">
        <f>SUBTOTAL(105,ReportSummary___Chart[Diff to BL. East.],ReportSummary___Chart[Diff to BL. North.],ReportSummary___Chart[Diff to BL. Level])</f>
        <v>-1.0000000000012221E-3</v>
      </c>
      <c r="AB88" s="114">
        <f>SUBTOTAL(104,ReportSummary___Chart[Diff to BL. East.],ReportSummary___Chart[Diff to BL. North.],ReportSummary___Chart[Diff to BL. Level])</f>
        <v>1.0000000038417056E-3</v>
      </c>
      <c r="AC88" s="1"/>
      <c r="AD88" s="1"/>
      <c r="AE88" s="1"/>
      <c r="AF88" s="4"/>
      <c r="AG88" s="4"/>
      <c r="AH88" s="4"/>
      <c r="AI88" s="4"/>
      <c r="AJ88" s="1"/>
      <c r="AK88" s="1"/>
      <c r="AL88" s="1"/>
    </row>
    <row r="89" spans="7:38" ht="14.25" hidden="1" customHeight="1" x14ac:dyDescent="0.2">
      <c r="G89" s="74">
        <v>45775.28125</v>
      </c>
      <c r="H89" s="107" t="s">
        <v>181</v>
      </c>
      <c r="I89" s="107"/>
      <c r="J89" s="116">
        <v>51899.041100000002</v>
      </c>
      <c r="K89" s="116">
        <v>159190.43340000001</v>
      </c>
      <c r="L89" s="116">
        <v>18.771100000000001</v>
      </c>
      <c r="M89" s="75">
        <v>51899.040000000001</v>
      </c>
      <c r="N89" s="75">
        <v>159190.435</v>
      </c>
      <c r="O89" s="75">
        <v>18.771999999999998</v>
      </c>
      <c r="P89" s="76">
        <v>-1.1000000013154931E-3</v>
      </c>
      <c r="Q89" s="109" cm="1">
        <f t="array" ref="Q8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89" s="76">
        <v>1.5999999886844307E-3</v>
      </c>
      <c r="S89" s="77" cm="1">
        <f t="array" ref="S8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89" s="76">
        <v>8.9999999999790248E-4</v>
      </c>
      <c r="U89" s="77" cm="1">
        <f t="array" ref="U8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8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8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8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89" s="107" t="s">
        <v>86</v>
      </c>
      <c r="Z89" s="107"/>
      <c r="AA89" s="126">
        <f>SUBTOTAL(105,ReportSummary___Chart[Diff to BL. East.],ReportSummary___Chart[Diff to BL. North.],ReportSummary___Chart[Diff to BL. Level])</f>
        <v>-1.0000000000012221E-3</v>
      </c>
      <c r="AB89" s="114">
        <f>SUBTOTAL(104,ReportSummary___Chart[Diff to BL. East.],ReportSummary___Chart[Diff to BL. North.],ReportSummary___Chart[Diff to BL. Level])</f>
        <v>1.0000000038417056E-3</v>
      </c>
      <c r="AC89" s="1"/>
      <c r="AD89" s="1"/>
      <c r="AE89" s="1"/>
      <c r="AF89" s="4"/>
      <c r="AG89" s="4"/>
      <c r="AH89" s="4"/>
      <c r="AI89" s="4"/>
      <c r="AJ89" s="1"/>
      <c r="AK89" s="1"/>
      <c r="AL89" s="1"/>
    </row>
    <row r="90" spans="7:38" ht="14.25" hidden="1" customHeight="1" x14ac:dyDescent="0.2">
      <c r="G90" s="74">
        <v>45775.28125</v>
      </c>
      <c r="H90" s="107" t="s">
        <v>184</v>
      </c>
      <c r="I90" s="107"/>
      <c r="J90" s="116">
        <v>51902.292699999998</v>
      </c>
      <c r="K90" s="116">
        <v>159190.88459999999</v>
      </c>
      <c r="L90" s="116">
        <v>18.779</v>
      </c>
      <c r="M90" s="75">
        <v>51902.292999999998</v>
      </c>
      <c r="N90" s="75">
        <v>159190.886</v>
      </c>
      <c r="O90" s="75">
        <v>18.779</v>
      </c>
      <c r="P90" s="76">
        <v>2.9999999969732016E-4</v>
      </c>
      <c r="Q90" s="109" cm="1">
        <f t="array" ref="Q9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0" s="76">
        <v>1.4000000082887709E-3</v>
      </c>
      <c r="S90" s="77" cm="1">
        <f t="array" ref="S9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0" s="76">
        <v>0</v>
      </c>
      <c r="U90" s="77" cm="1">
        <f t="array" ref="U9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0" s="107" t="s">
        <v>86</v>
      </c>
      <c r="Z90" s="107"/>
      <c r="AA90" s="126">
        <f>SUBTOTAL(105,ReportSummary___Chart[Diff to BL. East.],ReportSummary___Chart[Diff to BL. North.],ReportSummary___Chart[Diff to BL. Level])</f>
        <v>-1.0000000000012221E-3</v>
      </c>
      <c r="AB90" s="114">
        <f>SUBTOTAL(104,ReportSummary___Chart[Diff to BL. East.],ReportSummary___Chart[Diff to BL. North.],ReportSummary___Chart[Diff to BL. Level])</f>
        <v>1.0000000038417056E-3</v>
      </c>
      <c r="AC90" s="1"/>
      <c r="AD90" s="1"/>
      <c r="AE90" s="1"/>
      <c r="AF90" s="4"/>
      <c r="AG90" s="4"/>
      <c r="AH90" s="4"/>
      <c r="AI90" s="4"/>
      <c r="AJ90" s="1"/>
      <c r="AK90" s="1"/>
      <c r="AL90" s="1"/>
    </row>
    <row r="91" spans="7:38" ht="14.25" hidden="1" customHeight="1" x14ac:dyDescent="0.2">
      <c r="G91" s="74">
        <v>45775.28125</v>
      </c>
      <c r="H91" s="107" t="s">
        <v>183</v>
      </c>
      <c r="I91" s="107"/>
      <c r="J91" s="116">
        <v>51901.989200000004</v>
      </c>
      <c r="K91" s="116">
        <v>159189.60260000001</v>
      </c>
      <c r="L91" s="116">
        <v>18.770099999999999</v>
      </c>
      <c r="M91" s="75">
        <v>51901.989000000001</v>
      </c>
      <c r="N91" s="75">
        <v>159189.60399999999</v>
      </c>
      <c r="O91" s="75">
        <v>18.771000000000001</v>
      </c>
      <c r="P91" s="76">
        <v>-2.0000000222353265E-4</v>
      </c>
      <c r="Q91" s="109" cm="1">
        <f t="array" ref="Q9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1" s="76">
        <v>1.3999999791849405E-3</v>
      </c>
      <c r="S91" s="77" cm="1">
        <f t="array" ref="S9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1" s="76">
        <v>9.0000000000145519E-4</v>
      </c>
      <c r="U91" s="77" cm="1">
        <f t="array" ref="U9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1" s="107" t="s">
        <v>86</v>
      </c>
      <c r="Z91" s="107"/>
      <c r="AA91" s="126">
        <f>SUBTOTAL(105,ReportSummary___Chart[Diff to BL. East.],ReportSummary___Chart[Diff to BL. North.],ReportSummary___Chart[Diff to BL. Level])</f>
        <v>-1.0000000000012221E-3</v>
      </c>
      <c r="AB91" s="114">
        <f>SUBTOTAL(104,ReportSummary___Chart[Diff to BL. East.],ReportSummary___Chart[Diff to BL. North.],ReportSummary___Chart[Diff to BL. Level])</f>
        <v>1.0000000038417056E-3</v>
      </c>
      <c r="AC91" s="1"/>
      <c r="AD91" s="1"/>
      <c r="AE91" s="1"/>
      <c r="AF91" s="4"/>
      <c r="AG91" s="4"/>
      <c r="AH91" s="4"/>
      <c r="AI91" s="4"/>
      <c r="AJ91" s="1"/>
      <c r="AK91" s="1"/>
      <c r="AL91" s="1"/>
    </row>
    <row r="92" spans="7:38" ht="14.25" hidden="1" customHeight="1" x14ac:dyDescent="0.2">
      <c r="G92" s="74">
        <v>45775.28125</v>
      </c>
      <c r="H92" s="107" t="s">
        <v>186</v>
      </c>
      <c r="I92" s="107"/>
      <c r="J92" s="116">
        <v>51905.196199999998</v>
      </c>
      <c r="K92" s="116">
        <v>159190.09460000001</v>
      </c>
      <c r="L92" s="116">
        <v>18.780899999999999</v>
      </c>
      <c r="M92" s="75">
        <v>51905.196000000004</v>
      </c>
      <c r="N92" s="75">
        <v>159190.09599999999</v>
      </c>
      <c r="O92" s="75">
        <v>18.780999999999999</v>
      </c>
      <c r="P92" s="76">
        <v>-1.9999999494757503E-4</v>
      </c>
      <c r="Q92" s="109" cm="1">
        <f t="array" ref="Q9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2" s="76">
        <v>1.3999999791849405E-3</v>
      </c>
      <c r="S92" s="77" cm="1">
        <f t="array" ref="S9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2" s="76">
        <v>9.9999999999766942E-5</v>
      </c>
      <c r="U92" s="77" cm="1">
        <f t="array" ref="U9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2" s="107" t="s">
        <v>86</v>
      </c>
      <c r="Z92" s="107"/>
      <c r="AA92" s="126">
        <f>SUBTOTAL(105,ReportSummary___Chart[Diff to BL. East.],ReportSummary___Chart[Diff to BL. North.],ReportSummary___Chart[Diff to BL. Level])</f>
        <v>-1.0000000000012221E-3</v>
      </c>
      <c r="AB92" s="114">
        <f>SUBTOTAL(104,ReportSummary___Chart[Diff to BL. East.],ReportSummary___Chart[Diff to BL. North.],ReportSummary___Chart[Diff to BL. Level])</f>
        <v>1.0000000038417056E-3</v>
      </c>
      <c r="AC92" s="1"/>
      <c r="AD92" s="1"/>
      <c r="AE92" s="1"/>
      <c r="AF92" s="4"/>
      <c r="AG92" s="4"/>
      <c r="AH92" s="4"/>
      <c r="AI92" s="4"/>
      <c r="AJ92" s="1"/>
      <c r="AK92" s="1"/>
      <c r="AL92" s="1"/>
    </row>
    <row r="93" spans="7:38" ht="14.25" hidden="1" customHeight="1" x14ac:dyDescent="0.2">
      <c r="G93" s="74">
        <v>45775.28125</v>
      </c>
      <c r="H93" s="107" t="s">
        <v>185</v>
      </c>
      <c r="I93" s="107"/>
      <c r="J93" s="116">
        <v>51904.885600000001</v>
      </c>
      <c r="K93" s="116">
        <v>159188.8046</v>
      </c>
      <c r="L93" s="116">
        <v>18.773099999999999</v>
      </c>
      <c r="M93" s="75">
        <v>51904.885000000002</v>
      </c>
      <c r="N93" s="75">
        <v>159188.80600000001</v>
      </c>
      <c r="O93" s="75">
        <v>18.774000000000001</v>
      </c>
      <c r="P93" s="76">
        <v>-5.9999999939464033E-4</v>
      </c>
      <c r="Q93" s="109" cm="1">
        <f t="array" ref="Q9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3" s="76">
        <v>1.4000000082887709E-3</v>
      </c>
      <c r="S93" s="77" cm="1">
        <f t="array" ref="S9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3" s="76">
        <v>9.0000000000145519E-4</v>
      </c>
      <c r="U93" s="77" cm="1">
        <f t="array" ref="U9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3" s="107" t="s">
        <v>86</v>
      </c>
      <c r="Z93" s="107"/>
      <c r="AA93" s="126">
        <f>SUBTOTAL(105,ReportSummary___Chart[Diff to BL. East.],ReportSummary___Chart[Diff to BL. North.],ReportSummary___Chart[Diff to BL. Level])</f>
        <v>-1.0000000000012221E-3</v>
      </c>
      <c r="AB93" s="114">
        <f>SUBTOTAL(104,ReportSummary___Chart[Diff to BL. East.],ReportSummary___Chart[Diff to BL. North.],ReportSummary___Chart[Diff to BL. Level])</f>
        <v>1.0000000038417056E-3</v>
      </c>
      <c r="AC93" s="1"/>
      <c r="AD93" s="1"/>
      <c r="AE93" s="1"/>
      <c r="AF93" s="4"/>
      <c r="AG93" s="4"/>
      <c r="AH93" s="4"/>
      <c r="AI93" s="4"/>
      <c r="AJ93" s="1"/>
      <c r="AK93" s="1"/>
      <c r="AL93" s="1"/>
    </row>
    <row r="94" spans="7:38" ht="14.25" hidden="1" customHeight="1" x14ac:dyDescent="0.2">
      <c r="G94" s="74">
        <v>45775.28125</v>
      </c>
      <c r="H94" s="107" t="s">
        <v>188</v>
      </c>
      <c r="I94" s="107"/>
      <c r="J94" s="116">
        <v>51907.9522</v>
      </c>
      <c r="K94" s="116">
        <v>159189.36230000001</v>
      </c>
      <c r="L94" s="116">
        <v>18.786000000000001</v>
      </c>
      <c r="M94" s="75">
        <v>51907.951999999997</v>
      </c>
      <c r="N94" s="75">
        <v>159189.364</v>
      </c>
      <c r="O94" s="75">
        <v>18.786000000000001</v>
      </c>
      <c r="P94" s="76">
        <v>-2.0000000222353265E-4</v>
      </c>
      <c r="Q94" s="109" cm="1">
        <f t="array" ref="Q9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4" s="76">
        <v>1.6999999934341758E-3</v>
      </c>
      <c r="S94" s="77" cm="1">
        <f t="array" ref="S9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4" s="76">
        <v>0</v>
      </c>
      <c r="U94" s="77" cm="1">
        <f t="array" ref="U9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4" s="107" t="s">
        <v>86</v>
      </c>
      <c r="Z94" s="107"/>
      <c r="AA94" s="126">
        <f>SUBTOTAL(105,ReportSummary___Chart[Diff to BL. East.],ReportSummary___Chart[Diff to BL. North.],ReportSummary___Chart[Diff to BL. Level])</f>
        <v>-1.0000000000012221E-3</v>
      </c>
      <c r="AB94" s="114">
        <f>SUBTOTAL(104,ReportSummary___Chart[Diff to BL. East.],ReportSummary___Chart[Diff to BL. North.],ReportSummary___Chart[Diff to BL. Level])</f>
        <v>1.0000000038417056E-3</v>
      </c>
      <c r="AC94" s="1"/>
      <c r="AD94" s="1"/>
      <c r="AE94" s="1"/>
      <c r="AF94" s="4"/>
      <c r="AG94" s="4"/>
      <c r="AH94" s="4"/>
      <c r="AI94" s="4"/>
      <c r="AJ94" s="1"/>
      <c r="AK94" s="1"/>
      <c r="AL94" s="1"/>
    </row>
    <row r="95" spans="7:38" ht="14.25" hidden="1" customHeight="1" x14ac:dyDescent="0.2">
      <c r="G95" s="74">
        <v>45775.28125</v>
      </c>
      <c r="H95" s="107" t="s">
        <v>187</v>
      </c>
      <c r="I95" s="107"/>
      <c r="J95" s="116">
        <v>51907.578699999998</v>
      </c>
      <c r="K95" s="116">
        <v>159188.09770000001</v>
      </c>
      <c r="L95" s="116">
        <v>18.776</v>
      </c>
      <c r="M95" s="75">
        <v>51907.578000000001</v>
      </c>
      <c r="N95" s="75">
        <v>159188.1</v>
      </c>
      <c r="O95" s="75">
        <v>18.776</v>
      </c>
      <c r="P95" s="76">
        <v>-6.9999999686842784E-4</v>
      </c>
      <c r="Q95" s="109" cm="1">
        <f t="array" ref="Q9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5" s="76">
        <v>2.2999999928288162E-3</v>
      </c>
      <c r="S95" s="77" cm="1">
        <f t="array" ref="S9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5" s="76">
        <v>0</v>
      </c>
      <c r="U95" s="77" cm="1">
        <f t="array" ref="U9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5" s="107" t="s">
        <v>86</v>
      </c>
      <c r="Z95" s="107"/>
      <c r="AA95" s="126">
        <f>SUBTOTAL(105,ReportSummary___Chart[Diff to BL. East.],ReportSummary___Chart[Diff to BL. North.],ReportSummary___Chart[Diff to BL. Level])</f>
        <v>-1.0000000000012221E-3</v>
      </c>
      <c r="AB95" s="114">
        <f>SUBTOTAL(104,ReportSummary___Chart[Diff to BL. East.],ReportSummary___Chart[Diff to BL. North.],ReportSummary___Chart[Diff to BL. Level])</f>
        <v>1.0000000038417056E-3</v>
      </c>
      <c r="AC95" s="1"/>
      <c r="AD95" s="1"/>
      <c r="AE95" s="1"/>
      <c r="AF95" s="4"/>
      <c r="AG95" s="4"/>
      <c r="AH95" s="4"/>
      <c r="AI95" s="4"/>
      <c r="AJ95" s="1"/>
      <c r="AK95" s="1"/>
      <c r="AL95" s="1"/>
    </row>
    <row r="96" spans="7:38" ht="14.25" hidden="1" customHeight="1" x14ac:dyDescent="0.2">
      <c r="G96" s="74">
        <v>45775.28125</v>
      </c>
      <c r="H96" s="107" t="s">
        <v>190</v>
      </c>
      <c r="I96" s="107"/>
      <c r="J96" s="116">
        <v>51910.962800000001</v>
      </c>
      <c r="K96" s="116">
        <v>159188.60079999999</v>
      </c>
      <c r="L96" s="116">
        <v>18.794599999999999</v>
      </c>
      <c r="M96" s="75">
        <v>51910.962</v>
      </c>
      <c r="N96" s="75">
        <v>159188.60200000001</v>
      </c>
      <c r="O96" s="75">
        <v>18.795000000000002</v>
      </c>
      <c r="P96" s="76">
        <v>-8.0000000161817297E-4</v>
      </c>
      <c r="Q96" s="109" cm="1">
        <f t="array" ref="Q9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6" s="76">
        <v>1.2000000278931111E-3</v>
      </c>
      <c r="S96" s="77" cm="1">
        <f t="array" ref="S9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6" s="76">
        <v>4.0000000000262048E-4</v>
      </c>
      <c r="U96" s="77" cm="1">
        <f t="array" ref="U9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6" s="107" t="s">
        <v>86</v>
      </c>
      <c r="Z96" s="107"/>
      <c r="AA96" s="126">
        <f>SUBTOTAL(105,ReportSummary___Chart[Diff to BL. East.],ReportSummary___Chart[Diff to BL. North.],ReportSummary___Chart[Diff to BL. Level])</f>
        <v>-1.0000000000012221E-3</v>
      </c>
      <c r="AB96" s="114">
        <f>SUBTOTAL(104,ReportSummary___Chart[Diff to BL. East.],ReportSummary___Chart[Diff to BL. North.],ReportSummary___Chart[Diff to BL. Level])</f>
        <v>1.0000000038417056E-3</v>
      </c>
      <c r="AC96" s="1"/>
      <c r="AD96" s="1"/>
      <c r="AE96" s="1"/>
      <c r="AF96" s="4"/>
      <c r="AG96" s="4"/>
      <c r="AH96" s="4"/>
      <c r="AI96" s="4"/>
      <c r="AJ96" s="1"/>
      <c r="AK96" s="1"/>
      <c r="AL96" s="1"/>
    </row>
    <row r="97" spans="7:38" ht="14.25" hidden="1" customHeight="1" x14ac:dyDescent="0.2">
      <c r="G97" s="74">
        <v>45775.28125</v>
      </c>
      <c r="H97" s="107" t="s">
        <v>189</v>
      </c>
      <c r="I97" s="107"/>
      <c r="J97" s="116">
        <v>51910.640099999997</v>
      </c>
      <c r="K97" s="116">
        <v>159187.3223</v>
      </c>
      <c r="L97" s="116">
        <v>18.7836</v>
      </c>
      <c r="M97" s="75">
        <v>51910.639000000003</v>
      </c>
      <c r="N97" s="75">
        <v>159187.32399999999</v>
      </c>
      <c r="O97" s="75">
        <v>18.783999999999999</v>
      </c>
      <c r="P97" s="76">
        <v>-1.0999999940395355E-3</v>
      </c>
      <c r="Q97" s="109" cm="1">
        <f t="array" ref="Q9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7" s="76">
        <v>1.6999999934341758E-3</v>
      </c>
      <c r="S97" s="77" cm="1">
        <f t="array" ref="S9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7" s="76">
        <v>3.9999999999906777E-4</v>
      </c>
      <c r="U97" s="77" cm="1">
        <f t="array" ref="U9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7" s="107" t="s">
        <v>86</v>
      </c>
      <c r="Z97" s="107"/>
      <c r="AA97" s="126">
        <f>SUBTOTAL(105,ReportSummary___Chart[Diff to BL. East.],ReportSummary___Chart[Diff to BL. North.],ReportSummary___Chart[Diff to BL. Level])</f>
        <v>-1.0000000000012221E-3</v>
      </c>
      <c r="AB97" s="114">
        <f>SUBTOTAL(104,ReportSummary___Chart[Diff to BL. East.],ReportSummary___Chart[Diff to BL. North.],ReportSummary___Chart[Diff to BL. Level])</f>
        <v>1.0000000038417056E-3</v>
      </c>
      <c r="AC97" s="1"/>
      <c r="AD97" s="1"/>
      <c r="AE97" s="1"/>
      <c r="AF97" s="4"/>
      <c r="AG97" s="4"/>
      <c r="AH97" s="4"/>
      <c r="AI97" s="4"/>
      <c r="AJ97" s="1"/>
      <c r="AK97" s="1"/>
      <c r="AL97" s="1"/>
    </row>
    <row r="98" spans="7:38" ht="14.25" hidden="1" customHeight="1" x14ac:dyDescent="0.2">
      <c r="G98" s="74">
        <v>45775.28125</v>
      </c>
      <c r="H98" s="107" t="s">
        <v>192</v>
      </c>
      <c r="I98" s="107"/>
      <c r="J98" s="116">
        <v>51913.751100000001</v>
      </c>
      <c r="K98" s="116">
        <v>159187.9178</v>
      </c>
      <c r="L98" s="116">
        <v>18.809000000000001</v>
      </c>
      <c r="M98" s="75">
        <v>51913.75</v>
      </c>
      <c r="N98" s="75">
        <v>159187.91899999999</v>
      </c>
      <c r="O98" s="75">
        <v>18.809000000000001</v>
      </c>
      <c r="P98" s="76">
        <v>-1.1000000013154931E-3</v>
      </c>
      <c r="Q98" s="109" cm="1">
        <f t="array" ref="Q9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8" s="76">
        <v>1.1999999987892807E-3</v>
      </c>
      <c r="S98" s="77" cm="1">
        <f t="array" ref="S9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8" s="76">
        <v>0</v>
      </c>
      <c r="U98" s="77" cm="1">
        <f t="array" ref="U9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8" s="107" t="s">
        <v>86</v>
      </c>
      <c r="Z98" s="107"/>
      <c r="AA98" s="126">
        <f>SUBTOTAL(105,ReportSummary___Chart[Diff to BL. East.],ReportSummary___Chart[Diff to BL. North.],ReportSummary___Chart[Diff to BL. Level])</f>
        <v>-1.0000000000012221E-3</v>
      </c>
      <c r="AB98" s="114">
        <f>SUBTOTAL(104,ReportSummary___Chart[Diff to BL. East.],ReportSummary___Chart[Diff to BL. North.],ReportSummary___Chart[Diff to BL. Level])</f>
        <v>1.0000000038417056E-3</v>
      </c>
      <c r="AC98" s="1"/>
      <c r="AD98" s="1"/>
      <c r="AE98" s="1"/>
      <c r="AF98" s="4"/>
      <c r="AG98" s="4"/>
      <c r="AH98" s="4"/>
      <c r="AI98" s="4"/>
      <c r="AJ98" s="1"/>
      <c r="AK98" s="1"/>
      <c r="AL98" s="1"/>
    </row>
    <row r="99" spans="7:38" ht="14.25" hidden="1" customHeight="1" x14ac:dyDescent="0.2">
      <c r="G99" s="74">
        <v>45775.28125</v>
      </c>
      <c r="H99" s="107" t="s">
        <v>191</v>
      </c>
      <c r="I99" s="107"/>
      <c r="J99" s="116">
        <v>51913.421499999997</v>
      </c>
      <c r="K99" s="116">
        <v>159186.63630000001</v>
      </c>
      <c r="L99" s="116">
        <v>18.794899999999998</v>
      </c>
      <c r="M99" s="75">
        <v>51913.421000000002</v>
      </c>
      <c r="N99" s="75">
        <v>159186.63800000001</v>
      </c>
      <c r="O99" s="75">
        <v>18.795000000000002</v>
      </c>
      <c r="P99" s="76">
        <v>-4.999999946448952E-4</v>
      </c>
      <c r="Q99" s="109" cm="1">
        <f t="array" ref="Q9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99" s="76">
        <v>1.6999999934341758E-3</v>
      </c>
      <c r="S99" s="77" cm="1">
        <f t="array" ref="S9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99" s="76">
        <v>1.0000000000331966E-4</v>
      </c>
      <c r="U99" s="77" cm="1">
        <f t="array" ref="U9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9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9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9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99" s="107" t="s">
        <v>86</v>
      </c>
      <c r="Z99" s="107"/>
      <c r="AA99" s="126">
        <f>SUBTOTAL(105,ReportSummary___Chart[Diff to BL. East.],ReportSummary___Chart[Diff to BL. North.],ReportSummary___Chart[Diff to BL. Level])</f>
        <v>-1.0000000000012221E-3</v>
      </c>
      <c r="AB99" s="114">
        <f>SUBTOTAL(104,ReportSummary___Chart[Diff to BL. East.],ReportSummary___Chart[Diff to BL. North.],ReportSummary___Chart[Diff to BL. Level])</f>
        <v>1.0000000038417056E-3</v>
      </c>
      <c r="AC99" s="1"/>
      <c r="AD99" s="1"/>
      <c r="AE99" s="1"/>
      <c r="AF99" s="4"/>
      <c r="AG99" s="4"/>
      <c r="AH99" s="4"/>
      <c r="AI99" s="4"/>
      <c r="AJ99" s="1"/>
      <c r="AK99" s="1"/>
      <c r="AL99" s="1"/>
    </row>
    <row r="100" spans="7:38" ht="14.25" hidden="1" customHeight="1" x14ac:dyDescent="0.2">
      <c r="G100" s="74">
        <v>45775.28125</v>
      </c>
      <c r="H100" s="107" t="s">
        <v>165</v>
      </c>
      <c r="I100" s="107"/>
      <c r="J100" s="116">
        <v>51884.538999999997</v>
      </c>
      <c r="K100" s="116">
        <v>159193.38269999999</v>
      </c>
      <c r="L100" s="116">
        <v>19.331700000000001</v>
      </c>
      <c r="M100" s="75">
        <v>51884.538999999997</v>
      </c>
      <c r="N100" s="75">
        <v>159193.383</v>
      </c>
      <c r="O100" s="75">
        <v>19.332000000000001</v>
      </c>
      <c r="P100" s="76">
        <v>0</v>
      </c>
      <c r="Q100" s="109" cm="1">
        <f t="array" ref="Q10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0" s="76">
        <v>3.0000001424923539E-4</v>
      </c>
      <c r="S100" s="77" cm="1">
        <f t="array" ref="S10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0" s="76">
        <v>2.9999999999930083E-4</v>
      </c>
      <c r="U100" s="77" cm="1">
        <f t="array" ref="U10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0" s="107" t="s">
        <v>86</v>
      </c>
      <c r="Z100" s="107"/>
      <c r="AA100" s="126">
        <f>SUBTOTAL(105,ReportSummary___Chart[Diff to BL. East.],ReportSummary___Chart[Diff to BL. North.],ReportSummary___Chart[Diff to BL. Level])</f>
        <v>-1.0000000000012221E-3</v>
      </c>
      <c r="AB100" s="114">
        <f>SUBTOTAL(104,ReportSummary___Chart[Diff to BL. East.],ReportSummary___Chart[Diff to BL. North.],ReportSummary___Chart[Diff to BL. Level])</f>
        <v>1.0000000038417056E-3</v>
      </c>
      <c r="AC100" s="1"/>
      <c r="AD100" s="1"/>
      <c r="AE100" s="1"/>
      <c r="AF100" s="4"/>
      <c r="AG100" s="4"/>
      <c r="AH100" s="4"/>
      <c r="AI100" s="4"/>
      <c r="AJ100" s="1"/>
      <c r="AK100" s="1"/>
      <c r="AL100" s="1"/>
    </row>
    <row r="101" spans="7:38" ht="14.25" hidden="1" customHeight="1" x14ac:dyDescent="0.2">
      <c r="G101" s="74">
        <v>45775.28125</v>
      </c>
      <c r="H101" s="107" t="s">
        <v>166</v>
      </c>
      <c r="I101" s="107"/>
      <c r="J101" s="116">
        <v>51890.2863</v>
      </c>
      <c r="K101" s="116">
        <v>159191.73069999999</v>
      </c>
      <c r="L101" s="116">
        <v>19.321999999999999</v>
      </c>
      <c r="M101" s="75">
        <v>51890.286999999997</v>
      </c>
      <c r="N101" s="75">
        <v>159191.731</v>
      </c>
      <c r="O101" s="75">
        <v>19.321999999999999</v>
      </c>
      <c r="P101" s="76">
        <v>6.9999999686842784E-4</v>
      </c>
      <c r="Q101" s="109" cm="1">
        <f t="array" ref="Q10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1" s="76">
        <v>3.0000001424923539E-4</v>
      </c>
      <c r="S101" s="77" cm="1">
        <f t="array" ref="S10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1" s="76">
        <v>0</v>
      </c>
      <c r="U101" s="77" cm="1">
        <f t="array" ref="U10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1" s="107" t="s">
        <v>86</v>
      </c>
      <c r="Z101" s="107"/>
      <c r="AA101" s="126">
        <f>SUBTOTAL(105,ReportSummary___Chart[Diff to BL. East.],ReportSummary___Chart[Diff to BL. North.],ReportSummary___Chart[Diff to BL. Level])</f>
        <v>-1.0000000000012221E-3</v>
      </c>
      <c r="AB101" s="114">
        <f>SUBTOTAL(104,ReportSummary___Chart[Diff to BL. East.],ReportSummary___Chart[Diff to BL. North.],ReportSummary___Chart[Diff to BL. Level])</f>
        <v>1.0000000038417056E-3</v>
      </c>
      <c r="AC101" s="1"/>
      <c r="AD101" s="1"/>
      <c r="AE101" s="1"/>
      <c r="AF101" s="4"/>
      <c r="AG101" s="4"/>
      <c r="AH101" s="4"/>
      <c r="AI101" s="4"/>
      <c r="AJ101" s="1"/>
      <c r="AK101" s="1"/>
      <c r="AL101" s="1"/>
    </row>
    <row r="102" spans="7:38" ht="14.25" hidden="1" customHeight="1" x14ac:dyDescent="0.2">
      <c r="G102" s="74">
        <v>45775.28125</v>
      </c>
      <c r="H102" s="107" t="s">
        <v>167</v>
      </c>
      <c r="I102" s="107"/>
      <c r="J102" s="116">
        <v>51895.920700000002</v>
      </c>
      <c r="K102" s="116">
        <v>159190.1</v>
      </c>
      <c r="L102" s="116">
        <v>19.334</v>
      </c>
      <c r="M102" s="75">
        <v>51895.921000000002</v>
      </c>
      <c r="N102" s="75">
        <v>159190.1</v>
      </c>
      <c r="O102" s="75">
        <v>19.335000000000001</v>
      </c>
      <c r="P102" s="76">
        <v>2.9999999969732016E-4</v>
      </c>
      <c r="Q102" s="109" cm="1">
        <f t="array" ref="Q10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2" s="76">
        <v>0</v>
      </c>
      <c r="S102" s="77" cm="1">
        <f t="array" ref="S10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2" s="76">
        <v>1.0000000000012221E-3</v>
      </c>
      <c r="U102" s="77" cm="1">
        <f t="array" ref="U10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2" s="107" t="s">
        <v>86</v>
      </c>
      <c r="Z102" s="107"/>
      <c r="AA102" s="126">
        <f>SUBTOTAL(105,ReportSummary___Chart[Diff to BL. East.],ReportSummary___Chart[Diff to BL. North.],ReportSummary___Chart[Diff to BL. Level])</f>
        <v>-1.0000000000012221E-3</v>
      </c>
      <c r="AB102" s="114">
        <f>SUBTOTAL(104,ReportSummary___Chart[Diff to BL. East.],ReportSummary___Chart[Diff to BL. North.],ReportSummary___Chart[Diff to BL. Level])</f>
        <v>1.0000000038417056E-3</v>
      </c>
      <c r="AC102" s="1"/>
      <c r="AD102" s="1"/>
      <c r="AE102" s="1"/>
      <c r="AF102" s="4"/>
      <c r="AG102" s="4"/>
      <c r="AH102" s="4"/>
      <c r="AI102" s="4"/>
      <c r="AJ102" s="1"/>
      <c r="AK102" s="1"/>
      <c r="AL102" s="1"/>
    </row>
    <row r="103" spans="7:38" ht="14.25" hidden="1" customHeight="1" x14ac:dyDescent="0.2">
      <c r="G103" s="74">
        <v>45775.28125</v>
      </c>
      <c r="H103" s="107" t="s">
        <v>168</v>
      </c>
      <c r="I103" s="107"/>
      <c r="J103" s="116">
        <v>51899.7667</v>
      </c>
      <c r="K103" s="116">
        <v>159188.9933</v>
      </c>
      <c r="L103" s="116">
        <v>19.344999999999999</v>
      </c>
      <c r="M103" s="75">
        <v>51899.767999999996</v>
      </c>
      <c r="N103" s="75">
        <v>159188.99400000001</v>
      </c>
      <c r="O103" s="75">
        <v>19.346</v>
      </c>
      <c r="P103" s="76">
        <v>1.2999999962630682E-3</v>
      </c>
      <c r="Q103" s="109" cm="1">
        <f t="array" ref="Q10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3" s="76">
        <v>7.0000000414438546E-4</v>
      </c>
      <c r="S103" s="77" cm="1">
        <f t="array" ref="S10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3" s="76">
        <v>1.0000000000012221E-3</v>
      </c>
      <c r="U103" s="77" cm="1">
        <f t="array" ref="U10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3" s="107" t="s">
        <v>86</v>
      </c>
      <c r="Z103" s="107"/>
      <c r="AA103" s="126">
        <f>SUBTOTAL(105,ReportSummary___Chart[Diff to BL. East.],ReportSummary___Chart[Diff to BL. North.],ReportSummary___Chart[Diff to BL. Level])</f>
        <v>-1.0000000000012221E-3</v>
      </c>
      <c r="AB103" s="114">
        <f>SUBTOTAL(104,ReportSummary___Chart[Diff to BL. East.],ReportSummary___Chart[Diff to BL. North.],ReportSummary___Chart[Diff to BL. Level])</f>
        <v>1.0000000038417056E-3</v>
      </c>
      <c r="AC103" s="1"/>
      <c r="AD103" s="1"/>
      <c r="AE103" s="1"/>
      <c r="AF103" s="4"/>
      <c r="AG103" s="4"/>
      <c r="AH103" s="4"/>
      <c r="AI103" s="4"/>
      <c r="AJ103" s="1"/>
      <c r="AK103" s="1"/>
      <c r="AL103" s="1"/>
    </row>
    <row r="104" spans="7:38" ht="14.25" hidden="1" customHeight="1" x14ac:dyDescent="0.2">
      <c r="G104" s="74">
        <v>45775.28125</v>
      </c>
      <c r="H104" s="107" t="s">
        <v>169</v>
      </c>
      <c r="I104" s="107"/>
      <c r="J104" s="116">
        <v>51903.6083</v>
      </c>
      <c r="K104" s="116">
        <v>159187.88200000001</v>
      </c>
      <c r="L104" s="116">
        <v>19.356999999999999</v>
      </c>
      <c r="M104" s="75">
        <v>51903.608999999997</v>
      </c>
      <c r="N104" s="75">
        <v>159187.88200000001</v>
      </c>
      <c r="O104" s="75">
        <v>19.356999999999999</v>
      </c>
      <c r="P104" s="76">
        <v>6.9999999686842784E-4</v>
      </c>
      <c r="Q104" s="109" cm="1">
        <f t="array" ref="Q10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4" s="76">
        <v>0</v>
      </c>
      <c r="S104" s="77" cm="1">
        <f t="array" ref="S10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4" s="76">
        <v>0</v>
      </c>
      <c r="U104" s="77" cm="1">
        <f t="array" ref="U10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4" s="107" t="s">
        <v>86</v>
      </c>
      <c r="Z104" s="107"/>
      <c r="AA104" s="126">
        <f>SUBTOTAL(105,ReportSummary___Chart[Diff to BL. East.],ReportSummary___Chart[Diff to BL. North.],ReportSummary___Chart[Diff to BL. Level])</f>
        <v>-1.0000000000012221E-3</v>
      </c>
      <c r="AB104" s="114">
        <f>SUBTOTAL(104,ReportSummary___Chart[Diff to BL. East.],ReportSummary___Chart[Diff to BL. North.],ReportSummary___Chart[Diff to BL. Level])</f>
        <v>1.0000000038417056E-3</v>
      </c>
      <c r="AC104" s="1"/>
      <c r="AD104" s="1"/>
      <c r="AE104" s="1"/>
      <c r="AF104" s="4"/>
      <c r="AG104" s="4"/>
      <c r="AH104" s="4"/>
      <c r="AI104" s="4"/>
      <c r="AJ104" s="1"/>
      <c r="AK104" s="1"/>
      <c r="AL104" s="1"/>
    </row>
    <row r="105" spans="7:38" ht="14.25" hidden="1" customHeight="1" x14ac:dyDescent="0.2">
      <c r="G105" s="74">
        <v>45775.28125</v>
      </c>
      <c r="H105" s="107" t="s">
        <v>170</v>
      </c>
      <c r="I105" s="107"/>
      <c r="J105" s="116">
        <v>51910.065000000002</v>
      </c>
      <c r="K105" s="116">
        <v>159186.02369999999</v>
      </c>
      <c r="L105" s="116">
        <v>19.356999999999999</v>
      </c>
      <c r="M105" s="75">
        <v>51910.065000000002</v>
      </c>
      <c r="N105" s="75">
        <v>159186.024</v>
      </c>
      <c r="O105" s="75">
        <v>19.356999999999999</v>
      </c>
      <c r="P105" s="76">
        <v>0</v>
      </c>
      <c r="Q105" s="109" cm="1">
        <f t="array" ref="Q10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5" s="76">
        <v>3.0000001424923539E-4</v>
      </c>
      <c r="S105" s="77" cm="1">
        <f t="array" ref="S10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5" s="76">
        <v>0</v>
      </c>
      <c r="U105" s="77" cm="1">
        <f t="array" ref="U10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5" s="107" t="s">
        <v>86</v>
      </c>
      <c r="Z105" s="107"/>
      <c r="AA105" s="126">
        <f>SUBTOTAL(105,ReportSummary___Chart[Diff to BL. East.],ReportSummary___Chart[Diff to BL. North.],ReportSummary___Chart[Diff to BL. Level])</f>
        <v>-1.0000000000012221E-3</v>
      </c>
      <c r="AB105" s="114">
        <f>SUBTOTAL(104,ReportSummary___Chart[Diff to BL. East.],ReportSummary___Chart[Diff to BL. North.],ReportSummary___Chart[Diff to BL. Level])</f>
        <v>1.0000000038417056E-3</v>
      </c>
      <c r="AC105" s="1"/>
      <c r="AD105" s="1"/>
      <c r="AE105" s="1"/>
      <c r="AF105" s="4"/>
      <c r="AG105" s="4"/>
      <c r="AH105" s="4"/>
      <c r="AI105" s="4"/>
      <c r="AJ105" s="1"/>
      <c r="AK105" s="1"/>
      <c r="AL105" s="1"/>
    </row>
    <row r="106" spans="7:38" ht="14.25" customHeight="1" x14ac:dyDescent="0.2">
      <c r="G106" s="74">
        <v>45750.28125</v>
      </c>
      <c r="H106" s="107" t="s">
        <v>172</v>
      </c>
      <c r="I106" s="107"/>
      <c r="J106" s="116">
        <v>51885.34</v>
      </c>
      <c r="K106" s="116">
        <v>159195.739</v>
      </c>
      <c r="L106" s="116">
        <v>18.782</v>
      </c>
      <c r="M106" s="75">
        <v>51885.339</v>
      </c>
      <c r="N106" s="75">
        <v>159195.73800000001</v>
      </c>
      <c r="O106" s="75">
        <v>18.782</v>
      </c>
      <c r="P106" s="76">
        <v>-9.9999999656574801E-4</v>
      </c>
      <c r="Q106" s="109" cm="1">
        <f t="array" ref="Q10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6" s="76">
        <v>-9.9999998928979039E-4</v>
      </c>
      <c r="S106" s="77" cm="1">
        <f t="array" ref="S10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6" s="76">
        <v>0</v>
      </c>
      <c r="U106" s="77" cm="1">
        <f t="array" ref="U10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6" s="107" t="s">
        <v>85</v>
      </c>
      <c r="Z106" s="107"/>
      <c r="AA106" s="126">
        <f>SUBTOTAL(105,ReportSummary___Chart[Diff to BL. East.],ReportSummary___Chart[Diff to BL. North.],ReportSummary___Chart[Diff to BL. Level])</f>
        <v>-1.0000000000012221E-3</v>
      </c>
      <c r="AB106" s="114">
        <f>SUBTOTAL(104,ReportSummary___Chart[Diff to BL. East.],ReportSummary___Chart[Diff to BL. North.],ReportSummary___Chart[Diff to BL. Level])</f>
        <v>1.0000000038417056E-3</v>
      </c>
      <c r="AC106" s="1"/>
      <c r="AD106" s="1"/>
      <c r="AE106" s="1"/>
      <c r="AF106" s="4"/>
      <c r="AG106" s="4"/>
      <c r="AH106" s="4"/>
      <c r="AI106" s="4"/>
      <c r="AJ106" s="1"/>
      <c r="AK106" s="1"/>
      <c r="AL106" s="1"/>
    </row>
    <row r="107" spans="7:38" ht="14.25" hidden="1" customHeight="1" x14ac:dyDescent="0.2">
      <c r="G107" s="74">
        <v>45750.28125</v>
      </c>
      <c r="H107" s="107" t="s">
        <v>171</v>
      </c>
      <c r="I107" s="107"/>
      <c r="J107" s="116">
        <v>51884.958899999998</v>
      </c>
      <c r="K107" s="116">
        <v>159194.47070000001</v>
      </c>
      <c r="L107" s="116">
        <v>18.778099999999998</v>
      </c>
      <c r="M107" s="75">
        <v>51884.959000000003</v>
      </c>
      <c r="N107" s="75">
        <v>159194.47099999999</v>
      </c>
      <c r="O107" s="75">
        <v>18.779</v>
      </c>
      <c r="P107" s="76">
        <v>1.0000000474974513E-4</v>
      </c>
      <c r="Q107" s="109" cm="1">
        <f t="array" ref="Q10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7" s="76">
        <v>2.9999998514540493E-4</v>
      </c>
      <c r="S107" s="77" cm="1">
        <f t="array" ref="S10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7" s="76">
        <v>9.0000000000145519E-4</v>
      </c>
      <c r="U107" s="77" cm="1">
        <f t="array" ref="U10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7" s="107" t="s">
        <v>85</v>
      </c>
      <c r="Z107" s="107"/>
      <c r="AA107" s="126">
        <f>SUBTOTAL(105,ReportSummary___Chart[Diff to BL. East.],ReportSummary___Chart[Diff to BL. North.],ReportSummary___Chart[Diff to BL. Level])</f>
        <v>-1.0000000000012221E-3</v>
      </c>
      <c r="AB107" s="114">
        <f>SUBTOTAL(104,ReportSummary___Chart[Diff to BL. East.],ReportSummary___Chart[Diff to BL. North.],ReportSummary___Chart[Diff to BL. Level])</f>
        <v>1.0000000038417056E-3</v>
      </c>
      <c r="AC107" s="1"/>
      <c r="AD107" s="1"/>
      <c r="AE107" s="1"/>
      <c r="AF107" s="4"/>
      <c r="AG107" s="4"/>
      <c r="AH107" s="4"/>
      <c r="AI107" s="4"/>
      <c r="AJ107" s="1"/>
      <c r="AK107" s="1"/>
      <c r="AL107" s="1"/>
    </row>
    <row r="108" spans="7:38" ht="14.25" hidden="1" customHeight="1" x14ac:dyDescent="0.2">
      <c r="G108" s="74">
        <v>45750.28125</v>
      </c>
      <c r="H108" s="107" t="s">
        <v>174</v>
      </c>
      <c r="I108" s="107"/>
      <c r="J108" s="116">
        <v>51888.117700000003</v>
      </c>
      <c r="K108" s="116">
        <v>159194.94529999999</v>
      </c>
      <c r="L108" s="116">
        <v>18.7788</v>
      </c>
      <c r="M108" s="75">
        <v>51888.116999999998</v>
      </c>
      <c r="N108" s="75">
        <v>159194.94500000001</v>
      </c>
      <c r="O108" s="75">
        <v>18.779</v>
      </c>
      <c r="P108" s="76">
        <v>-7.0000000414438546E-4</v>
      </c>
      <c r="Q108" s="109" cm="1">
        <f t="array" ref="Q10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8" s="76">
        <v>-2.9999998514540493E-4</v>
      </c>
      <c r="S108" s="77" cm="1">
        <f t="array" ref="S10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8" s="76">
        <v>1.9999999999953388E-4</v>
      </c>
      <c r="U108" s="77" cm="1">
        <f t="array" ref="U10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8" s="107" t="s">
        <v>85</v>
      </c>
      <c r="Z108" s="107"/>
      <c r="AA108" s="126">
        <f>SUBTOTAL(105,ReportSummary___Chart[Diff to BL. East.],ReportSummary___Chart[Diff to BL. North.],ReportSummary___Chart[Diff to BL. Level])</f>
        <v>-1.0000000000012221E-3</v>
      </c>
      <c r="AB108" s="114">
        <f>SUBTOTAL(104,ReportSummary___Chart[Diff to BL. East.],ReportSummary___Chart[Diff to BL. North.],ReportSummary___Chart[Diff to BL. Level])</f>
        <v>1.0000000038417056E-3</v>
      </c>
      <c r="AC108" s="1"/>
      <c r="AD108" s="1"/>
      <c r="AE108" s="1"/>
      <c r="AF108" s="4"/>
      <c r="AG108" s="4"/>
      <c r="AH108" s="4"/>
      <c r="AI108" s="4"/>
      <c r="AJ108" s="1"/>
      <c r="AK108" s="1"/>
      <c r="AL108" s="1"/>
    </row>
    <row r="109" spans="7:38" ht="14.25" hidden="1" customHeight="1" x14ac:dyDescent="0.2">
      <c r="G109" s="74">
        <v>45750.28125</v>
      </c>
      <c r="H109" s="107" t="s">
        <v>173</v>
      </c>
      <c r="I109" s="107"/>
      <c r="J109" s="116">
        <v>51887.805099999998</v>
      </c>
      <c r="K109" s="116">
        <v>159193.65710000001</v>
      </c>
      <c r="L109" s="116">
        <v>18.778500000000001</v>
      </c>
      <c r="M109" s="75">
        <v>51887.803999999996</v>
      </c>
      <c r="N109" s="75">
        <v>159193.65700000001</v>
      </c>
      <c r="O109" s="75">
        <v>18.779</v>
      </c>
      <c r="P109" s="76">
        <v>-1.1000000013154931E-3</v>
      </c>
      <c r="Q109" s="109" cm="1">
        <f t="array" ref="Q10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09" s="76">
        <v>-1.0000000474974513E-4</v>
      </c>
      <c r="S109" s="77" cm="1">
        <f t="array" ref="S10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09" s="76">
        <v>4.9999999999883471E-4</v>
      </c>
      <c r="U109" s="77" cm="1">
        <f t="array" ref="U10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0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0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0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09" s="107" t="s">
        <v>85</v>
      </c>
      <c r="Z109" s="107"/>
      <c r="AA109" s="126">
        <f>SUBTOTAL(105,ReportSummary___Chart[Diff to BL. East.],ReportSummary___Chart[Diff to BL. North.],ReportSummary___Chart[Diff to BL. Level])</f>
        <v>-1.0000000000012221E-3</v>
      </c>
      <c r="AB109" s="114">
        <f>SUBTOTAL(104,ReportSummary___Chart[Diff to BL. East.],ReportSummary___Chart[Diff to BL. North.],ReportSummary___Chart[Diff to BL. Level])</f>
        <v>1.0000000038417056E-3</v>
      </c>
      <c r="AC109" s="1"/>
      <c r="AD109" s="1"/>
      <c r="AE109" s="1"/>
      <c r="AF109" s="4"/>
      <c r="AG109" s="4"/>
      <c r="AH109" s="4"/>
      <c r="AI109" s="4"/>
      <c r="AJ109" s="1"/>
      <c r="AK109" s="1"/>
      <c r="AL109" s="1"/>
    </row>
    <row r="110" spans="7:38" ht="14.25" hidden="1" customHeight="1" x14ac:dyDescent="0.2">
      <c r="G110" s="74">
        <v>45750.28125</v>
      </c>
      <c r="H110" s="107" t="s">
        <v>176</v>
      </c>
      <c r="I110" s="107"/>
      <c r="J110" s="116">
        <v>51890.969100000002</v>
      </c>
      <c r="K110" s="116">
        <v>159194.1177</v>
      </c>
      <c r="L110" s="116">
        <v>18.779</v>
      </c>
      <c r="M110" s="75">
        <v>51890.968000000001</v>
      </c>
      <c r="N110" s="75">
        <v>159194.117</v>
      </c>
      <c r="O110" s="75">
        <v>18.779</v>
      </c>
      <c r="P110" s="76">
        <v>-1.1000000013154931E-3</v>
      </c>
      <c r="Q110" s="109" cm="1">
        <f t="array" ref="Q11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0" s="76">
        <v>-7.0000000414438546E-4</v>
      </c>
      <c r="S110" s="77" cm="1">
        <f t="array" ref="S11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0" s="76">
        <v>0</v>
      </c>
      <c r="U110" s="77" cm="1">
        <f t="array" ref="U11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0" s="107" t="s">
        <v>85</v>
      </c>
      <c r="Z110" s="107"/>
      <c r="AA110" s="126">
        <f>SUBTOTAL(105,ReportSummary___Chart[Diff to BL. East.],ReportSummary___Chart[Diff to BL. North.],ReportSummary___Chart[Diff to BL. Level])</f>
        <v>-1.0000000000012221E-3</v>
      </c>
      <c r="AB110" s="114">
        <f>SUBTOTAL(104,ReportSummary___Chart[Diff to BL. East.],ReportSummary___Chart[Diff to BL. North.],ReportSummary___Chart[Diff to BL. Level])</f>
        <v>1.0000000038417056E-3</v>
      </c>
      <c r="AC110" s="1"/>
      <c r="AD110" s="1"/>
      <c r="AE110" s="1"/>
      <c r="AF110" s="4"/>
      <c r="AG110" s="4"/>
      <c r="AH110" s="4"/>
      <c r="AI110" s="4"/>
      <c r="AJ110" s="1"/>
      <c r="AK110" s="1"/>
      <c r="AL110" s="1"/>
    </row>
    <row r="111" spans="7:38" ht="14.25" hidden="1" customHeight="1" x14ac:dyDescent="0.2">
      <c r="G111" s="74">
        <v>45750.28125</v>
      </c>
      <c r="H111" s="107" t="s">
        <v>175</v>
      </c>
      <c r="I111" s="107"/>
      <c r="J111" s="116">
        <v>51890.606800000001</v>
      </c>
      <c r="K111" s="116">
        <v>159192.86069999999</v>
      </c>
      <c r="L111" s="116">
        <v>18.771999999999998</v>
      </c>
      <c r="M111" s="75">
        <v>51890.606</v>
      </c>
      <c r="N111" s="75">
        <v>159192.861</v>
      </c>
      <c r="O111" s="75">
        <v>18.771999999999998</v>
      </c>
      <c r="P111" s="76">
        <v>-8.0000000161817297E-4</v>
      </c>
      <c r="Q111" s="109" cm="1">
        <f t="array" ref="Q11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1" s="76">
        <v>3.0000001424923539E-4</v>
      </c>
      <c r="S111" s="77" cm="1">
        <f t="array" ref="S11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1" s="76">
        <v>0</v>
      </c>
      <c r="U111" s="77" cm="1">
        <f t="array" ref="U11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1" s="107" t="s">
        <v>85</v>
      </c>
      <c r="Z111" s="107"/>
      <c r="AA111" s="126">
        <f>SUBTOTAL(105,ReportSummary___Chart[Diff to BL. East.],ReportSummary___Chart[Diff to BL. North.],ReportSummary___Chart[Diff to BL. Level])</f>
        <v>-1.0000000000012221E-3</v>
      </c>
      <c r="AB111" s="114">
        <f>SUBTOTAL(104,ReportSummary___Chart[Diff to BL. East.],ReportSummary___Chart[Diff to BL. North.],ReportSummary___Chart[Diff to BL. Level])</f>
        <v>1.0000000038417056E-3</v>
      </c>
      <c r="AC111" s="1"/>
      <c r="AD111" s="1"/>
      <c r="AE111" s="1"/>
      <c r="AF111" s="4"/>
      <c r="AG111" s="4"/>
      <c r="AH111" s="4"/>
      <c r="AI111" s="4"/>
      <c r="AJ111" s="1"/>
      <c r="AK111" s="1"/>
      <c r="AL111" s="1"/>
    </row>
    <row r="112" spans="7:38" ht="14.25" hidden="1" customHeight="1" x14ac:dyDescent="0.2">
      <c r="G112" s="74">
        <v>45750.28125</v>
      </c>
      <c r="H112" s="107" t="s">
        <v>178</v>
      </c>
      <c r="I112" s="107"/>
      <c r="J112" s="116">
        <v>51893.758699999998</v>
      </c>
      <c r="K112" s="116">
        <v>159193.3144</v>
      </c>
      <c r="L112" s="116">
        <v>18.774100000000001</v>
      </c>
      <c r="M112" s="75">
        <v>51893.758000000002</v>
      </c>
      <c r="N112" s="75">
        <v>159193.31400000001</v>
      </c>
      <c r="O112" s="75">
        <v>18.774000000000001</v>
      </c>
      <c r="P112" s="76">
        <v>-6.9999999686842784E-4</v>
      </c>
      <c r="Q112" s="109" cm="1">
        <f t="array" ref="Q11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2" s="76">
        <v>-3.9999998989515007E-4</v>
      </c>
      <c r="S112" s="77" cm="1">
        <f t="array" ref="S11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2" s="76">
        <v>-9.9999999999766942E-5</v>
      </c>
      <c r="U112" s="77" cm="1">
        <f t="array" ref="U11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2" s="107" t="s">
        <v>85</v>
      </c>
      <c r="Z112" s="107"/>
      <c r="AA112" s="126">
        <f>SUBTOTAL(105,ReportSummary___Chart[Diff to BL. East.],ReportSummary___Chart[Diff to BL. North.],ReportSummary___Chart[Diff to BL. Level])</f>
        <v>-1.0000000000012221E-3</v>
      </c>
      <c r="AB112" s="114">
        <f>SUBTOTAL(104,ReportSummary___Chart[Diff to BL. East.],ReportSummary___Chart[Diff to BL. North.],ReportSummary___Chart[Diff to BL. Level])</f>
        <v>1.0000000038417056E-3</v>
      </c>
      <c r="AC112" s="1"/>
      <c r="AD112" s="1"/>
      <c r="AE112" s="1"/>
      <c r="AF112" s="4"/>
      <c r="AG112" s="4"/>
      <c r="AH112" s="4"/>
      <c r="AI112" s="4"/>
      <c r="AJ112" s="1"/>
      <c r="AK112" s="1"/>
      <c r="AL112" s="1"/>
    </row>
    <row r="113" spans="7:38" ht="14.25" hidden="1" customHeight="1" x14ac:dyDescent="0.2">
      <c r="G113" s="74">
        <v>45750.28125</v>
      </c>
      <c r="H113" s="107" t="s">
        <v>177</v>
      </c>
      <c r="I113" s="107"/>
      <c r="J113" s="116">
        <v>51893.441299999999</v>
      </c>
      <c r="K113" s="116">
        <v>159192.04019999999</v>
      </c>
      <c r="L113" s="116">
        <v>18.7683</v>
      </c>
      <c r="M113" s="75">
        <v>51893.440999999999</v>
      </c>
      <c r="N113" s="75">
        <v>159192.04</v>
      </c>
      <c r="O113" s="75">
        <v>18.768999999999998</v>
      </c>
      <c r="P113" s="76">
        <v>-2.9999999969732016E-4</v>
      </c>
      <c r="Q113" s="109" cm="1">
        <f t="array" ref="Q11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3" s="76">
        <v>-1.999999803956598E-4</v>
      </c>
      <c r="S113" s="77" cm="1">
        <f t="array" ref="S11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3" s="76">
        <v>6.9999999999836859E-4</v>
      </c>
      <c r="U113" s="77" cm="1">
        <f t="array" ref="U11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3" s="107" t="s">
        <v>85</v>
      </c>
      <c r="Z113" s="107"/>
      <c r="AA113" s="126">
        <f>SUBTOTAL(105,ReportSummary___Chart[Diff to BL. East.],ReportSummary___Chart[Diff to BL. North.],ReportSummary___Chart[Diff to BL. Level])</f>
        <v>-1.0000000000012221E-3</v>
      </c>
      <c r="AB113" s="114">
        <f>SUBTOTAL(104,ReportSummary___Chart[Diff to BL. East.],ReportSummary___Chart[Diff to BL. North.],ReportSummary___Chart[Diff to BL. Level])</f>
        <v>1.0000000038417056E-3</v>
      </c>
      <c r="AC113" s="1"/>
      <c r="AD113" s="1"/>
      <c r="AE113" s="1"/>
      <c r="AF113" s="4"/>
      <c r="AG113" s="4"/>
      <c r="AH113" s="4"/>
      <c r="AI113" s="4"/>
      <c r="AJ113" s="1"/>
      <c r="AK113" s="1"/>
      <c r="AL113" s="1"/>
    </row>
    <row r="114" spans="7:38" ht="14.25" hidden="1" customHeight="1" x14ac:dyDescent="0.2">
      <c r="G114" s="74">
        <v>45750.28125</v>
      </c>
      <c r="H114" s="107" t="s">
        <v>180</v>
      </c>
      <c r="I114" s="107"/>
      <c r="J114" s="116">
        <v>51896.633300000001</v>
      </c>
      <c r="K114" s="116">
        <v>159192.48449999999</v>
      </c>
      <c r="L114" s="116">
        <v>18.7776</v>
      </c>
      <c r="M114" s="75">
        <v>51896.633000000002</v>
      </c>
      <c r="N114" s="75">
        <v>159192.484</v>
      </c>
      <c r="O114" s="75">
        <v>18.777999999999999</v>
      </c>
      <c r="P114" s="76">
        <v>-2.9999999969732016E-4</v>
      </c>
      <c r="Q114" s="109" cm="1">
        <f t="array" ref="Q11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4" s="76">
        <v>-4.999999946448952E-4</v>
      </c>
      <c r="S114" s="77" cm="1">
        <f t="array" ref="S11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4" s="76">
        <v>3.9999999999906777E-4</v>
      </c>
      <c r="U114" s="77" cm="1">
        <f t="array" ref="U11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4" s="107" t="s">
        <v>85</v>
      </c>
      <c r="Z114" s="107"/>
      <c r="AA114" s="126">
        <f>SUBTOTAL(105,ReportSummary___Chart[Diff to BL. East.],ReportSummary___Chart[Diff to BL. North.],ReportSummary___Chart[Diff to BL. Level])</f>
        <v>-1.0000000000012221E-3</v>
      </c>
      <c r="AB114" s="114">
        <f>SUBTOTAL(104,ReportSummary___Chart[Diff to BL. East.],ReportSummary___Chart[Diff to BL. North.],ReportSummary___Chart[Diff to BL. Level])</f>
        <v>1.0000000038417056E-3</v>
      </c>
      <c r="AC114" s="1"/>
      <c r="AD114" s="1"/>
      <c r="AE114" s="1"/>
      <c r="AF114" s="4"/>
      <c r="AG114" s="4"/>
      <c r="AH114" s="4"/>
      <c r="AI114" s="4"/>
      <c r="AJ114" s="1"/>
      <c r="AK114" s="1"/>
      <c r="AL114" s="1"/>
    </row>
    <row r="115" spans="7:38" ht="14.25" hidden="1" customHeight="1" x14ac:dyDescent="0.2">
      <c r="G115" s="74">
        <v>45750.28125</v>
      </c>
      <c r="H115" s="107" t="s">
        <v>179</v>
      </c>
      <c r="I115" s="107"/>
      <c r="J115" s="116">
        <v>51896.249799999998</v>
      </c>
      <c r="K115" s="116">
        <v>159191.22630000001</v>
      </c>
      <c r="L115" s="116">
        <v>18.7698</v>
      </c>
      <c r="M115" s="75">
        <v>51896.249000000003</v>
      </c>
      <c r="N115" s="75">
        <v>159191.226</v>
      </c>
      <c r="O115" s="75">
        <v>18.77</v>
      </c>
      <c r="P115" s="76">
        <v>-7.9999999434221536E-4</v>
      </c>
      <c r="Q115" s="109" cm="1">
        <f t="array" ref="Q11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5" s="76">
        <v>-3.0000001424923539E-4</v>
      </c>
      <c r="S115" s="77" cm="1">
        <f t="array" ref="S11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5" s="76">
        <v>1.9999999999953388E-4</v>
      </c>
      <c r="U115" s="77" cm="1">
        <f t="array" ref="U11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5" s="107" t="s">
        <v>85</v>
      </c>
      <c r="Z115" s="107"/>
      <c r="AA115" s="126">
        <f>SUBTOTAL(105,ReportSummary___Chart[Diff to BL. East.],ReportSummary___Chart[Diff to BL. North.],ReportSummary___Chart[Diff to BL. Level])</f>
        <v>-1.0000000000012221E-3</v>
      </c>
      <c r="AB115" s="114">
        <f>SUBTOTAL(104,ReportSummary___Chart[Diff to BL. East.],ReportSummary___Chart[Diff to BL. North.],ReportSummary___Chart[Diff to BL. Level])</f>
        <v>1.0000000038417056E-3</v>
      </c>
      <c r="AC115" s="1"/>
      <c r="AD115" s="1"/>
      <c r="AE115" s="1"/>
      <c r="AF115" s="4"/>
      <c r="AG115" s="4"/>
      <c r="AH115" s="4"/>
      <c r="AI115" s="4"/>
      <c r="AJ115" s="1"/>
      <c r="AK115" s="1"/>
      <c r="AL115" s="1"/>
    </row>
    <row r="116" spans="7:38" ht="14.25" hidden="1" customHeight="1" x14ac:dyDescent="0.2">
      <c r="G116" s="74">
        <v>45750.28125</v>
      </c>
      <c r="H116" s="107" t="s">
        <v>182</v>
      </c>
      <c r="I116" s="107"/>
      <c r="J116" s="116">
        <v>51899.398699999998</v>
      </c>
      <c r="K116" s="116">
        <v>159191.69760000001</v>
      </c>
      <c r="L116" s="116">
        <v>18.777999999999999</v>
      </c>
      <c r="M116" s="75">
        <v>51899.398000000001</v>
      </c>
      <c r="N116" s="75">
        <v>159191.698</v>
      </c>
      <c r="O116" s="75">
        <v>18.777999999999999</v>
      </c>
      <c r="P116" s="76">
        <v>-6.9999999686842784E-4</v>
      </c>
      <c r="Q116" s="109" cm="1">
        <f t="array" ref="Q11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6" s="76">
        <v>3.9999998989515007E-4</v>
      </c>
      <c r="S116" s="77" cm="1">
        <f t="array" ref="S11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6" s="76">
        <v>0</v>
      </c>
      <c r="U116" s="77" cm="1">
        <f t="array" ref="U11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6" s="107" t="s">
        <v>85</v>
      </c>
      <c r="Z116" s="107"/>
      <c r="AA116" s="126">
        <f>SUBTOTAL(105,ReportSummary___Chart[Diff to BL. East.],ReportSummary___Chart[Diff to BL. North.],ReportSummary___Chart[Diff to BL. Level])</f>
        <v>-1.0000000000012221E-3</v>
      </c>
      <c r="AB116" s="114">
        <f>SUBTOTAL(104,ReportSummary___Chart[Diff to BL. East.],ReportSummary___Chart[Diff to BL. North.],ReportSummary___Chart[Diff to BL. Level])</f>
        <v>1.0000000038417056E-3</v>
      </c>
      <c r="AC116" s="1"/>
      <c r="AD116" s="1"/>
      <c r="AE116" s="1"/>
      <c r="AF116" s="4"/>
      <c r="AG116" s="4"/>
      <c r="AH116" s="4"/>
      <c r="AI116" s="4"/>
      <c r="AJ116" s="1"/>
      <c r="AK116" s="1"/>
      <c r="AL116" s="1"/>
    </row>
    <row r="117" spans="7:38" ht="14.25" hidden="1" customHeight="1" x14ac:dyDescent="0.2">
      <c r="G117" s="74">
        <v>45750.28125</v>
      </c>
      <c r="H117" s="107" t="s">
        <v>181</v>
      </c>
      <c r="I117" s="107"/>
      <c r="J117" s="116">
        <v>51899.041100000002</v>
      </c>
      <c r="K117" s="116">
        <v>159190.43340000001</v>
      </c>
      <c r="L117" s="116">
        <v>18.771100000000001</v>
      </c>
      <c r="M117" s="75">
        <v>51899.040000000001</v>
      </c>
      <c r="N117" s="75">
        <v>159190.43400000001</v>
      </c>
      <c r="O117" s="75">
        <v>18.771000000000001</v>
      </c>
      <c r="P117" s="76">
        <v>-1.1000000013154931E-3</v>
      </c>
      <c r="Q117" s="109" cm="1">
        <f t="array" ref="Q11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7" s="76">
        <v>5.9999999939464033E-4</v>
      </c>
      <c r="S117" s="77" cm="1">
        <f t="array" ref="S11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7" s="76">
        <v>-9.9999999999766942E-5</v>
      </c>
      <c r="U117" s="77" cm="1">
        <f t="array" ref="U11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7" s="107" t="s">
        <v>85</v>
      </c>
      <c r="Z117" s="107"/>
      <c r="AA117" s="126">
        <f>SUBTOTAL(105,ReportSummary___Chart[Diff to BL. East.],ReportSummary___Chart[Diff to BL. North.],ReportSummary___Chart[Diff to BL. Level])</f>
        <v>-1.0000000000012221E-3</v>
      </c>
      <c r="AB117" s="114">
        <f>SUBTOTAL(104,ReportSummary___Chart[Diff to BL. East.],ReportSummary___Chart[Diff to BL. North.],ReportSummary___Chart[Diff to BL. Level])</f>
        <v>1.0000000038417056E-3</v>
      </c>
      <c r="AC117" s="1"/>
      <c r="AD117" s="1"/>
      <c r="AE117" s="1"/>
      <c r="AF117" s="4"/>
      <c r="AG117" s="4"/>
      <c r="AH117" s="4"/>
      <c r="AI117" s="4"/>
      <c r="AJ117" s="1"/>
      <c r="AK117" s="1"/>
      <c r="AL117" s="1"/>
    </row>
    <row r="118" spans="7:38" ht="14.25" hidden="1" customHeight="1" x14ac:dyDescent="0.2">
      <c r="G118" s="74">
        <v>45750.28125</v>
      </c>
      <c r="H118" s="107" t="s">
        <v>184</v>
      </c>
      <c r="I118" s="107"/>
      <c r="J118" s="116">
        <v>51902.292699999998</v>
      </c>
      <c r="K118" s="116">
        <v>159190.88459999999</v>
      </c>
      <c r="L118" s="116">
        <v>18.779</v>
      </c>
      <c r="M118" s="75">
        <v>51902.292000000001</v>
      </c>
      <c r="N118" s="75">
        <v>159190.88500000001</v>
      </c>
      <c r="O118" s="75">
        <v>18.779</v>
      </c>
      <c r="P118" s="76">
        <v>-6.9999999686842784E-4</v>
      </c>
      <c r="Q118" s="109" cm="1">
        <f t="array" ref="Q11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8" s="76">
        <v>4.0000001899898052E-4</v>
      </c>
      <c r="S118" s="77" cm="1">
        <f t="array" ref="S11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8" s="76">
        <v>0</v>
      </c>
      <c r="U118" s="77" cm="1">
        <f t="array" ref="U11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8" s="107" t="s">
        <v>85</v>
      </c>
      <c r="Z118" s="107"/>
      <c r="AA118" s="126">
        <f>SUBTOTAL(105,ReportSummary___Chart[Diff to BL. East.],ReportSummary___Chart[Diff to BL. North.],ReportSummary___Chart[Diff to BL. Level])</f>
        <v>-1.0000000000012221E-3</v>
      </c>
      <c r="AB118" s="114">
        <f>SUBTOTAL(104,ReportSummary___Chart[Diff to BL. East.],ReportSummary___Chart[Diff to BL. North.],ReportSummary___Chart[Diff to BL. Level])</f>
        <v>1.0000000038417056E-3</v>
      </c>
      <c r="AC118" s="1"/>
      <c r="AD118" s="1"/>
      <c r="AE118" s="1"/>
      <c r="AF118" s="4"/>
      <c r="AG118" s="4"/>
      <c r="AH118" s="4"/>
      <c r="AI118" s="4"/>
      <c r="AJ118" s="1"/>
      <c r="AK118" s="1"/>
      <c r="AL118" s="1"/>
    </row>
    <row r="119" spans="7:38" ht="14.25" hidden="1" customHeight="1" x14ac:dyDescent="0.2">
      <c r="G119" s="74">
        <v>45750.28125</v>
      </c>
      <c r="H119" s="107" t="s">
        <v>183</v>
      </c>
      <c r="I119" s="107"/>
      <c r="J119" s="116">
        <v>51901.989200000004</v>
      </c>
      <c r="K119" s="116">
        <v>159189.60260000001</v>
      </c>
      <c r="L119" s="116">
        <v>18.770099999999999</v>
      </c>
      <c r="M119" s="75">
        <v>51901.989000000001</v>
      </c>
      <c r="N119" s="75">
        <v>159189.603</v>
      </c>
      <c r="O119" s="75">
        <v>18.77</v>
      </c>
      <c r="P119" s="76">
        <v>-2.0000000222353265E-4</v>
      </c>
      <c r="Q119" s="109" cm="1">
        <f t="array" ref="Q11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19" s="76">
        <v>3.9999998989515007E-4</v>
      </c>
      <c r="S119" s="77" cm="1">
        <f t="array" ref="S11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19" s="76">
        <v>-9.9999999999766942E-5</v>
      </c>
      <c r="U119" s="77" cm="1">
        <f t="array" ref="U11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1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1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1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19" s="107" t="s">
        <v>85</v>
      </c>
      <c r="Z119" s="107"/>
      <c r="AA119" s="126">
        <f>SUBTOTAL(105,ReportSummary___Chart[Diff to BL. East.],ReportSummary___Chart[Diff to BL. North.],ReportSummary___Chart[Diff to BL. Level])</f>
        <v>-1.0000000000012221E-3</v>
      </c>
      <c r="AB119" s="114">
        <f>SUBTOTAL(104,ReportSummary___Chart[Diff to BL. East.],ReportSummary___Chart[Diff to BL. North.],ReportSummary___Chart[Diff to BL. Level])</f>
        <v>1.0000000038417056E-3</v>
      </c>
      <c r="AC119" s="1"/>
      <c r="AD119" s="1"/>
      <c r="AE119" s="1"/>
      <c r="AF119" s="4"/>
      <c r="AG119" s="4"/>
      <c r="AH119" s="4"/>
      <c r="AI119" s="4"/>
      <c r="AJ119" s="1"/>
      <c r="AK119" s="1"/>
      <c r="AL119" s="1"/>
    </row>
    <row r="120" spans="7:38" ht="14.25" hidden="1" customHeight="1" x14ac:dyDescent="0.2">
      <c r="G120" s="74">
        <v>45750.28125</v>
      </c>
      <c r="H120" s="107" t="s">
        <v>186</v>
      </c>
      <c r="I120" s="107"/>
      <c r="J120" s="116">
        <v>51905.196199999998</v>
      </c>
      <c r="K120" s="116">
        <v>159190.09460000001</v>
      </c>
      <c r="L120" s="116">
        <v>18.780899999999999</v>
      </c>
      <c r="M120" s="75">
        <v>51905.196000000004</v>
      </c>
      <c r="N120" s="75">
        <v>159190.095</v>
      </c>
      <c r="O120" s="75">
        <v>18.780999999999999</v>
      </c>
      <c r="P120" s="76">
        <v>-1.9999999494757503E-4</v>
      </c>
      <c r="Q120" s="109" cm="1">
        <f t="array" ref="Q12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0" s="76">
        <v>3.9999998989515007E-4</v>
      </c>
      <c r="S120" s="77" cm="1">
        <f t="array" ref="S12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0" s="76">
        <v>9.9999999999766942E-5</v>
      </c>
      <c r="U120" s="77" cm="1">
        <f t="array" ref="U12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0" s="107" t="s">
        <v>85</v>
      </c>
      <c r="Z120" s="107"/>
      <c r="AA120" s="126">
        <f>SUBTOTAL(105,ReportSummary___Chart[Diff to BL. East.],ReportSummary___Chart[Diff to BL. North.],ReportSummary___Chart[Diff to BL. Level])</f>
        <v>-1.0000000000012221E-3</v>
      </c>
      <c r="AB120" s="114">
        <f>SUBTOTAL(104,ReportSummary___Chart[Diff to BL. East.],ReportSummary___Chart[Diff to BL. North.],ReportSummary___Chart[Diff to BL. Level])</f>
        <v>1.0000000038417056E-3</v>
      </c>
      <c r="AC120" s="1"/>
      <c r="AD120" s="1"/>
      <c r="AE120" s="1"/>
      <c r="AF120" s="4"/>
      <c r="AG120" s="4"/>
      <c r="AH120" s="4"/>
      <c r="AI120" s="4"/>
      <c r="AJ120" s="1"/>
      <c r="AK120" s="1"/>
      <c r="AL120" s="1"/>
    </row>
    <row r="121" spans="7:38" ht="14.25" hidden="1" customHeight="1" x14ac:dyDescent="0.2">
      <c r="G121" s="74">
        <v>45750.28125</v>
      </c>
      <c r="H121" s="107" t="s">
        <v>185</v>
      </c>
      <c r="I121" s="107"/>
      <c r="J121" s="116">
        <v>51904.885600000001</v>
      </c>
      <c r="K121" s="116">
        <v>159188.8046</v>
      </c>
      <c r="L121" s="116">
        <v>18.773099999999999</v>
      </c>
      <c r="M121" s="75">
        <v>51904.885000000002</v>
      </c>
      <c r="N121" s="75">
        <v>159188.80499999999</v>
      </c>
      <c r="O121" s="75">
        <v>18.773</v>
      </c>
      <c r="P121" s="76">
        <v>-5.9999999939464033E-4</v>
      </c>
      <c r="Q121" s="109" cm="1">
        <f t="array" ref="Q12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1" s="76">
        <v>3.9999998989515007E-4</v>
      </c>
      <c r="S121" s="77" cm="1">
        <f t="array" ref="S12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1" s="76">
        <v>-9.9999999999766942E-5</v>
      </c>
      <c r="U121" s="77" cm="1">
        <f t="array" ref="U12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1" s="107" t="s">
        <v>85</v>
      </c>
      <c r="Z121" s="107"/>
      <c r="AA121" s="126">
        <f>SUBTOTAL(105,ReportSummary___Chart[Diff to BL. East.],ReportSummary___Chart[Diff to BL. North.],ReportSummary___Chart[Diff to BL. Level])</f>
        <v>-1.0000000000012221E-3</v>
      </c>
      <c r="AB121" s="114">
        <f>SUBTOTAL(104,ReportSummary___Chart[Diff to BL. East.],ReportSummary___Chart[Diff to BL. North.],ReportSummary___Chart[Diff to BL. Level])</f>
        <v>1.0000000038417056E-3</v>
      </c>
      <c r="AC121" s="1"/>
      <c r="AD121" s="1"/>
      <c r="AE121" s="1"/>
      <c r="AF121" s="4"/>
      <c r="AG121" s="4"/>
      <c r="AH121" s="4"/>
      <c r="AI121" s="4"/>
      <c r="AJ121" s="1"/>
      <c r="AK121" s="1"/>
      <c r="AL121" s="1"/>
    </row>
    <row r="122" spans="7:38" ht="14.25" hidden="1" customHeight="1" x14ac:dyDescent="0.2">
      <c r="G122" s="74">
        <v>45750.28125</v>
      </c>
      <c r="H122" s="107" t="s">
        <v>188</v>
      </c>
      <c r="I122" s="107"/>
      <c r="J122" s="116">
        <v>51907.9522</v>
      </c>
      <c r="K122" s="116">
        <v>159189.36230000001</v>
      </c>
      <c r="L122" s="116">
        <v>18.786000000000001</v>
      </c>
      <c r="M122" s="75">
        <v>51907.951999999997</v>
      </c>
      <c r="N122" s="75">
        <v>159189.36300000001</v>
      </c>
      <c r="O122" s="75">
        <v>18.786000000000001</v>
      </c>
      <c r="P122" s="76">
        <v>-2.0000000222353265E-4</v>
      </c>
      <c r="Q122" s="109" cm="1">
        <f t="array" ref="Q12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2" s="76">
        <v>7.0000000414438546E-4</v>
      </c>
      <c r="S122" s="77" cm="1">
        <f t="array" ref="S12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2" s="76">
        <v>0</v>
      </c>
      <c r="U122" s="77" cm="1">
        <f t="array" ref="U12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2" s="107" t="s">
        <v>85</v>
      </c>
      <c r="Z122" s="107"/>
      <c r="AA122" s="126">
        <f>SUBTOTAL(105,ReportSummary___Chart[Diff to BL. East.],ReportSummary___Chart[Diff to BL. North.],ReportSummary___Chart[Diff to BL. Level])</f>
        <v>-1.0000000000012221E-3</v>
      </c>
      <c r="AB122" s="114">
        <f>SUBTOTAL(104,ReportSummary___Chart[Diff to BL. East.],ReportSummary___Chart[Diff to BL. North.],ReportSummary___Chart[Diff to BL. Level])</f>
        <v>1.0000000038417056E-3</v>
      </c>
      <c r="AC122" s="1"/>
      <c r="AD122" s="1"/>
      <c r="AE122" s="1"/>
      <c r="AF122" s="4"/>
      <c r="AG122" s="4"/>
      <c r="AH122" s="4"/>
      <c r="AI122" s="4"/>
      <c r="AJ122" s="1"/>
      <c r="AK122" s="1"/>
      <c r="AL122" s="1"/>
    </row>
    <row r="123" spans="7:38" ht="14.25" hidden="1" customHeight="1" x14ac:dyDescent="0.2">
      <c r="G123" s="74">
        <v>45750.28125</v>
      </c>
      <c r="H123" s="107" t="s">
        <v>187</v>
      </c>
      <c r="I123" s="107"/>
      <c r="J123" s="116">
        <v>51907.578699999998</v>
      </c>
      <c r="K123" s="116">
        <v>159188.09770000001</v>
      </c>
      <c r="L123" s="116">
        <v>18.776</v>
      </c>
      <c r="M123" s="75">
        <v>51907.578000000001</v>
      </c>
      <c r="N123" s="75">
        <v>159188.098</v>
      </c>
      <c r="O123" s="75">
        <v>18.776</v>
      </c>
      <c r="P123" s="76">
        <v>-6.9999999686842784E-4</v>
      </c>
      <c r="Q123" s="109" cm="1">
        <f t="array" ref="Q12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3" s="76">
        <v>2.9999998514540493E-4</v>
      </c>
      <c r="S123" s="77" cm="1">
        <f t="array" ref="S12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3" s="76">
        <v>0</v>
      </c>
      <c r="U123" s="77" cm="1">
        <f t="array" ref="U12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3" s="107" t="s">
        <v>85</v>
      </c>
      <c r="Z123" s="107"/>
      <c r="AA123" s="126">
        <f>SUBTOTAL(105,ReportSummary___Chart[Diff to BL. East.],ReportSummary___Chart[Diff to BL. North.],ReportSummary___Chart[Diff to BL. Level])</f>
        <v>-1.0000000000012221E-3</v>
      </c>
      <c r="AB123" s="114">
        <f>SUBTOTAL(104,ReportSummary___Chart[Diff to BL. East.],ReportSummary___Chart[Diff to BL. North.],ReportSummary___Chart[Diff to BL. Level])</f>
        <v>1.0000000038417056E-3</v>
      </c>
      <c r="AC123" s="1"/>
      <c r="AD123" s="1"/>
      <c r="AE123" s="1"/>
      <c r="AF123" s="4"/>
      <c r="AG123" s="4"/>
      <c r="AH123" s="4"/>
      <c r="AI123" s="4"/>
      <c r="AJ123" s="1"/>
      <c r="AK123" s="1"/>
      <c r="AL123" s="1"/>
    </row>
    <row r="124" spans="7:38" ht="14.25" hidden="1" customHeight="1" x14ac:dyDescent="0.2">
      <c r="G124" s="74">
        <v>45750.28125</v>
      </c>
      <c r="H124" s="107" t="s">
        <v>190</v>
      </c>
      <c r="I124" s="107"/>
      <c r="J124" s="116">
        <v>51910.962800000001</v>
      </c>
      <c r="K124" s="116">
        <v>159188.60079999999</v>
      </c>
      <c r="L124" s="116">
        <v>18.794599999999999</v>
      </c>
      <c r="M124" s="75">
        <v>51910.962</v>
      </c>
      <c r="N124" s="75">
        <v>159188.601</v>
      </c>
      <c r="O124" s="75">
        <v>18.795000000000002</v>
      </c>
      <c r="P124" s="76">
        <v>-8.0000000161817297E-4</v>
      </c>
      <c r="Q124" s="109" cm="1">
        <f t="array" ref="Q12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4" s="76">
        <v>2.0000000949949026E-4</v>
      </c>
      <c r="S124" s="77" cm="1">
        <f t="array" ref="S12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4" s="76">
        <v>4.0000000000262048E-4</v>
      </c>
      <c r="U124" s="77" cm="1">
        <f t="array" ref="U12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4" s="107" t="s">
        <v>85</v>
      </c>
      <c r="Z124" s="107"/>
      <c r="AA124" s="126">
        <f>SUBTOTAL(105,ReportSummary___Chart[Diff to BL. East.],ReportSummary___Chart[Diff to BL. North.],ReportSummary___Chart[Diff to BL. Level])</f>
        <v>-1.0000000000012221E-3</v>
      </c>
      <c r="AB124" s="114">
        <f>SUBTOTAL(104,ReportSummary___Chart[Diff to BL. East.],ReportSummary___Chart[Diff to BL. North.],ReportSummary___Chart[Diff to BL. Level])</f>
        <v>1.0000000038417056E-3</v>
      </c>
      <c r="AC124" s="1"/>
      <c r="AD124" s="1"/>
      <c r="AE124" s="1"/>
      <c r="AF124" s="4"/>
      <c r="AG124" s="4"/>
      <c r="AH124" s="4"/>
      <c r="AI124" s="4"/>
      <c r="AJ124" s="1"/>
      <c r="AK124" s="1"/>
      <c r="AL124" s="1"/>
    </row>
    <row r="125" spans="7:38" ht="14.25" hidden="1" customHeight="1" x14ac:dyDescent="0.2">
      <c r="G125" s="74">
        <v>45750.28125</v>
      </c>
      <c r="H125" s="107" t="s">
        <v>189</v>
      </c>
      <c r="I125" s="107"/>
      <c r="J125" s="116">
        <v>51910.640099999997</v>
      </c>
      <c r="K125" s="116">
        <v>159187.3223</v>
      </c>
      <c r="L125" s="116">
        <v>18.7836</v>
      </c>
      <c r="M125" s="75">
        <v>51910.639000000003</v>
      </c>
      <c r="N125" s="75">
        <v>159187.323</v>
      </c>
      <c r="O125" s="75">
        <v>18.783999999999999</v>
      </c>
      <c r="P125" s="76">
        <v>-1.0999999940395355E-3</v>
      </c>
      <c r="Q125" s="109" cm="1">
        <f t="array" ref="Q12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5" s="76">
        <v>7.0000000414438546E-4</v>
      </c>
      <c r="S125" s="77" cm="1">
        <f t="array" ref="S12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5" s="76">
        <v>3.9999999999906777E-4</v>
      </c>
      <c r="U125" s="77" cm="1">
        <f t="array" ref="U12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5" s="107" t="s">
        <v>85</v>
      </c>
      <c r="Z125" s="107"/>
      <c r="AA125" s="126">
        <f>SUBTOTAL(105,ReportSummary___Chart[Diff to BL. East.],ReportSummary___Chart[Diff to BL. North.],ReportSummary___Chart[Diff to BL. Level])</f>
        <v>-1.0000000000012221E-3</v>
      </c>
      <c r="AB125" s="114">
        <f>SUBTOTAL(104,ReportSummary___Chart[Diff to BL. East.],ReportSummary___Chart[Diff to BL. North.],ReportSummary___Chart[Diff to BL. Level])</f>
        <v>1.0000000038417056E-3</v>
      </c>
      <c r="AC125" s="1"/>
      <c r="AD125" s="1"/>
      <c r="AE125" s="1"/>
      <c r="AF125" s="4"/>
      <c r="AG125" s="4"/>
      <c r="AH125" s="4"/>
      <c r="AI125" s="4"/>
      <c r="AJ125" s="1"/>
      <c r="AK125" s="1"/>
      <c r="AL125" s="1"/>
    </row>
    <row r="126" spans="7:38" ht="14.25" hidden="1" customHeight="1" x14ac:dyDescent="0.2">
      <c r="G126" s="74">
        <v>45750.28125</v>
      </c>
      <c r="H126" s="107" t="s">
        <v>192</v>
      </c>
      <c r="I126" s="107"/>
      <c r="J126" s="116">
        <v>51913.751100000001</v>
      </c>
      <c r="K126" s="116">
        <v>159187.9178</v>
      </c>
      <c r="L126" s="116">
        <v>18.809000000000001</v>
      </c>
      <c r="M126" s="75">
        <v>51913.75</v>
      </c>
      <c r="N126" s="75">
        <v>159187.91800000001</v>
      </c>
      <c r="O126" s="75">
        <v>18.809000000000001</v>
      </c>
      <c r="P126" s="76">
        <v>-1.1000000013154931E-3</v>
      </c>
      <c r="Q126" s="109" cm="1">
        <f t="array" ref="Q12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6" s="76">
        <v>2.0000000949949026E-4</v>
      </c>
      <c r="S126" s="77" cm="1">
        <f t="array" ref="S12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6" s="76">
        <v>0</v>
      </c>
      <c r="U126" s="77" cm="1">
        <f t="array" ref="U12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6" s="107" t="s">
        <v>85</v>
      </c>
      <c r="Z126" s="107"/>
      <c r="AA126" s="126">
        <f>SUBTOTAL(105,ReportSummary___Chart[Diff to BL. East.],ReportSummary___Chart[Diff to BL. North.],ReportSummary___Chart[Diff to BL. Level])</f>
        <v>-1.0000000000012221E-3</v>
      </c>
      <c r="AB126" s="114">
        <f>SUBTOTAL(104,ReportSummary___Chart[Diff to BL. East.],ReportSummary___Chart[Diff to BL. North.],ReportSummary___Chart[Diff to BL. Level])</f>
        <v>1.0000000038417056E-3</v>
      </c>
      <c r="AC126" s="1"/>
      <c r="AD126" s="1"/>
      <c r="AE126" s="1"/>
      <c r="AF126" s="4"/>
      <c r="AG126" s="4"/>
      <c r="AH126" s="4"/>
      <c r="AI126" s="4"/>
      <c r="AJ126" s="1"/>
      <c r="AK126" s="1"/>
      <c r="AL126" s="1"/>
    </row>
    <row r="127" spans="7:38" ht="14.25" hidden="1" customHeight="1" x14ac:dyDescent="0.2">
      <c r="G127" s="74">
        <v>45750.28125</v>
      </c>
      <c r="H127" s="107" t="s">
        <v>191</v>
      </c>
      <c r="I127" s="107"/>
      <c r="J127" s="116">
        <v>51913.421499999997</v>
      </c>
      <c r="K127" s="116">
        <v>159186.63630000001</v>
      </c>
      <c r="L127" s="116">
        <v>18.794899999999998</v>
      </c>
      <c r="M127" s="75">
        <v>51913.421000000002</v>
      </c>
      <c r="N127" s="75">
        <v>159186.63699999999</v>
      </c>
      <c r="O127" s="75">
        <v>18.795000000000002</v>
      </c>
      <c r="P127" s="76">
        <v>-4.999999946448952E-4</v>
      </c>
      <c r="Q127" s="109" cm="1">
        <f t="array" ref="Q12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7" s="76">
        <v>6.99999975040555E-4</v>
      </c>
      <c r="S127" s="77" cm="1">
        <f t="array" ref="S12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7" s="76">
        <v>1.0000000000331966E-4</v>
      </c>
      <c r="U127" s="77" cm="1">
        <f t="array" ref="U12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7" s="107" t="s">
        <v>85</v>
      </c>
      <c r="Z127" s="107"/>
      <c r="AA127" s="126">
        <f>SUBTOTAL(105,ReportSummary___Chart[Diff to BL. East.],ReportSummary___Chart[Diff to BL. North.],ReportSummary___Chart[Diff to BL. Level])</f>
        <v>-1.0000000000012221E-3</v>
      </c>
      <c r="AB127" s="114">
        <f>SUBTOTAL(104,ReportSummary___Chart[Diff to BL. East.],ReportSummary___Chart[Diff to BL. North.],ReportSummary___Chart[Diff to BL. Level])</f>
        <v>1.0000000038417056E-3</v>
      </c>
      <c r="AC127" s="1"/>
      <c r="AD127" s="1"/>
      <c r="AE127" s="1"/>
      <c r="AF127" s="4"/>
      <c r="AG127" s="4"/>
      <c r="AH127" s="4"/>
      <c r="AI127" s="4"/>
      <c r="AJ127" s="1"/>
      <c r="AK127" s="1"/>
      <c r="AL127" s="1"/>
    </row>
    <row r="128" spans="7:38" ht="14.25" hidden="1" customHeight="1" x14ac:dyDescent="0.2">
      <c r="G128" s="74">
        <v>45750.28125</v>
      </c>
      <c r="H128" s="107" t="s">
        <v>165</v>
      </c>
      <c r="I128" s="107"/>
      <c r="J128" s="116">
        <v>51884.538999999997</v>
      </c>
      <c r="K128" s="116">
        <v>159193.38269999999</v>
      </c>
      <c r="L128" s="116">
        <v>19.331700000000001</v>
      </c>
      <c r="M128" s="75">
        <v>51884.538999999997</v>
      </c>
      <c r="N128" s="75">
        <v>159193.38200000001</v>
      </c>
      <c r="O128" s="75">
        <v>19.332000000000001</v>
      </c>
      <c r="P128" s="76">
        <v>0</v>
      </c>
      <c r="Q128" s="109" cm="1">
        <f t="array" ref="Q12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8" s="76">
        <v>-6.99999975040555E-4</v>
      </c>
      <c r="S128" s="77" cm="1">
        <f t="array" ref="S12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8" s="76">
        <v>2.9999999999930083E-4</v>
      </c>
      <c r="U128" s="77" cm="1">
        <f t="array" ref="U12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8" s="107" t="s">
        <v>85</v>
      </c>
      <c r="Z128" s="107"/>
      <c r="AA128" s="126">
        <f>SUBTOTAL(105,ReportSummary___Chart[Diff to BL. East.],ReportSummary___Chart[Diff to BL. North.],ReportSummary___Chart[Diff to BL. Level])</f>
        <v>-1.0000000000012221E-3</v>
      </c>
      <c r="AB128" s="114">
        <f>SUBTOTAL(104,ReportSummary___Chart[Diff to BL. East.],ReportSummary___Chart[Diff to BL. North.],ReportSummary___Chart[Diff to BL. Level])</f>
        <v>1.0000000038417056E-3</v>
      </c>
      <c r="AC128" s="1"/>
      <c r="AD128" s="1"/>
      <c r="AE128" s="1"/>
      <c r="AF128" s="4"/>
      <c r="AG128" s="4"/>
      <c r="AH128" s="4"/>
      <c r="AI128" s="4"/>
      <c r="AJ128" s="1"/>
      <c r="AK128" s="1"/>
      <c r="AL128" s="1"/>
    </row>
    <row r="129" spans="7:38" ht="14.25" hidden="1" customHeight="1" x14ac:dyDescent="0.2">
      <c r="G129" s="74">
        <v>45750.28125</v>
      </c>
      <c r="H129" s="107" t="s">
        <v>166</v>
      </c>
      <c r="I129" s="107"/>
      <c r="J129" s="116">
        <v>51890.2863</v>
      </c>
      <c r="K129" s="116">
        <v>159191.73069999999</v>
      </c>
      <c r="L129" s="116">
        <v>19.321999999999999</v>
      </c>
      <c r="M129" s="75">
        <v>51890.286</v>
      </c>
      <c r="N129" s="75">
        <v>159191.73000000001</v>
      </c>
      <c r="O129" s="75">
        <v>19.321999999999999</v>
      </c>
      <c r="P129" s="76">
        <v>-2.9999999969732016E-4</v>
      </c>
      <c r="Q129" s="109" cm="1">
        <f t="array" ref="Q12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29" s="76">
        <v>-6.99999975040555E-4</v>
      </c>
      <c r="S129" s="77" cm="1">
        <f t="array" ref="S12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29" s="76">
        <v>0</v>
      </c>
      <c r="U129" s="77" cm="1">
        <f t="array" ref="U12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2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2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2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29" s="107" t="s">
        <v>85</v>
      </c>
      <c r="Z129" s="107"/>
      <c r="AA129" s="126">
        <f>SUBTOTAL(105,ReportSummary___Chart[Diff to BL. East.],ReportSummary___Chart[Diff to BL. North.],ReportSummary___Chart[Diff to BL. Level])</f>
        <v>-1.0000000000012221E-3</v>
      </c>
      <c r="AB129" s="114">
        <f>SUBTOTAL(104,ReportSummary___Chart[Diff to BL. East.],ReportSummary___Chart[Diff to BL. North.],ReportSummary___Chart[Diff to BL. Level])</f>
        <v>1.0000000038417056E-3</v>
      </c>
      <c r="AC129" s="1"/>
      <c r="AD129" s="1"/>
      <c r="AE129" s="1"/>
      <c r="AF129" s="4"/>
      <c r="AG129" s="4"/>
      <c r="AH129" s="4"/>
      <c r="AI129" s="4"/>
      <c r="AJ129" s="1"/>
      <c r="AK129" s="1"/>
      <c r="AL129" s="1"/>
    </row>
    <row r="130" spans="7:38" ht="14.25" hidden="1" customHeight="1" x14ac:dyDescent="0.2">
      <c r="G130" s="74">
        <v>45750.28125</v>
      </c>
      <c r="H130" s="107" t="s">
        <v>167</v>
      </c>
      <c r="I130" s="107"/>
      <c r="J130" s="116">
        <v>51895.920700000002</v>
      </c>
      <c r="K130" s="116">
        <v>159190.1</v>
      </c>
      <c r="L130" s="116">
        <v>19.334</v>
      </c>
      <c r="M130" s="75">
        <v>51895.921000000002</v>
      </c>
      <c r="N130" s="75">
        <v>159190.1</v>
      </c>
      <c r="O130" s="75">
        <v>19.334</v>
      </c>
      <c r="P130" s="76">
        <v>2.9999999969732016E-4</v>
      </c>
      <c r="Q130" s="109" cm="1">
        <f t="array" ref="Q13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0" s="76">
        <v>0</v>
      </c>
      <c r="S130" s="77" cm="1">
        <f t="array" ref="S13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0" s="76">
        <v>0</v>
      </c>
      <c r="U130" s="77" cm="1">
        <f t="array" ref="U13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0" s="107" t="s">
        <v>85</v>
      </c>
      <c r="Z130" s="107"/>
      <c r="AA130" s="126">
        <f>SUBTOTAL(105,ReportSummary___Chart[Diff to BL. East.],ReportSummary___Chart[Diff to BL. North.],ReportSummary___Chart[Diff to BL. Level])</f>
        <v>-1.0000000000012221E-3</v>
      </c>
      <c r="AB130" s="114">
        <f>SUBTOTAL(104,ReportSummary___Chart[Diff to BL. East.],ReportSummary___Chart[Diff to BL. North.],ReportSummary___Chart[Diff to BL. Level])</f>
        <v>1.0000000038417056E-3</v>
      </c>
      <c r="AC130" s="1"/>
      <c r="AD130" s="1"/>
      <c r="AE130" s="1"/>
      <c r="AF130" s="4"/>
      <c r="AG130" s="4"/>
      <c r="AH130" s="4"/>
      <c r="AI130" s="4"/>
      <c r="AJ130" s="1"/>
      <c r="AK130" s="1"/>
      <c r="AL130" s="1"/>
    </row>
    <row r="131" spans="7:38" ht="14.25" hidden="1" customHeight="1" x14ac:dyDescent="0.2">
      <c r="G131" s="74">
        <v>45750.28125</v>
      </c>
      <c r="H131" s="107" t="s">
        <v>168</v>
      </c>
      <c r="I131" s="107"/>
      <c r="J131" s="116">
        <v>51899.7667</v>
      </c>
      <c r="K131" s="116">
        <v>159188.9933</v>
      </c>
      <c r="L131" s="116">
        <v>19.344999999999999</v>
      </c>
      <c r="M131" s="75">
        <v>51899.767</v>
      </c>
      <c r="N131" s="75">
        <v>159188.99299999999</v>
      </c>
      <c r="O131" s="75">
        <v>19.344999999999999</v>
      </c>
      <c r="P131" s="76">
        <v>2.9999999969732016E-4</v>
      </c>
      <c r="Q131" s="109" cm="1">
        <f t="array" ref="Q13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1" s="76">
        <v>-3.0000001424923539E-4</v>
      </c>
      <c r="S131" s="77" cm="1">
        <f t="array" ref="S13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1" s="76">
        <v>0</v>
      </c>
      <c r="U131" s="77" cm="1">
        <f t="array" ref="U13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1" s="107" t="s">
        <v>85</v>
      </c>
      <c r="Z131" s="107"/>
      <c r="AA131" s="126">
        <f>SUBTOTAL(105,ReportSummary___Chart[Diff to BL. East.],ReportSummary___Chart[Diff to BL. North.],ReportSummary___Chart[Diff to BL. Level])</f>
        <v>-1.0000000000012221E-3</v>
      </c>
      <c r="AB131" s="114">
        <f>SUBTOTAL(104,ReportSummary___Chart[Diff to BL. East.],ReportSummary___Chart[Diff to BL. North.],ReportSummary___Chart[Diff to BL. Level])</f>
        <v>1.0000000038417056E-3</v>
      </c>
      <c r="AC131" s="1"/>
      <c r="AD131" s="1"/>
      <c r="AE131" s="1"/>
      <c r="AF131" s="4"/>
      <c r="AG131" s="4"/>
      <c r="AH131" s="4"/>
      <c r="AI131" s="4"/>
      <c r="AJ131" s="1"/>
      <c r="AK131" s="1"/>
      <c r="AL131" s="1"/>
    </row>
    <row r="132" spans="7:38" ht="14.25" hidden="1" customHeight="1" x14ac:dyDescent="0.2">
      <c r="G132" s="74">
        <v>45750.28125</v>
      </c>
      <c r="H132" s="107" t="s">
        <v>169</v>
      </c>
      <c r="I132" s="107"/>
      <c r="J132" s="116">
        <v>51903.6083</v>
      </c>
      <c r="K132" s="116">
        <v>159187.88200000001</v>
      </c>
      <c r="L132" s="116">
        <v>19.356999999999999</v>
      </c>
      <c r="M132" s="75">
        <v>51903.608999999997</v>
      </c>
      <c r="N132" s="75">
        <v>159187.88200000001</v>
      </c>
      <c r="O132" s="75">
        <v>19.356999999999999</v>
      </c>
      <c r="P132" s="76">
        <v>6.9999999686842784E-4</v>
      </c>
      <c r="Q132" s="109" cm="1">
        <f t="array" ref="Q13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2" s="76">
        <v>0</v>
      </c>
      <c r="S132" s="77" cm="1">
        <f t="array" ref="S13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2" s="76">
        <v>0</v>
      </c>
      <c r="U132" s="77" cm="1">
        <f t="array" ref="U13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2" s="107" t="s">
        <v>85</v>
      </c>
      <c r="Z132" s="107"/>
      <c r="AA132" s="126">
        <f>SUBTOTAL(105,ReportSummary___Chart[Diff to BL. East.],ReportSummary___Chart[Diff to BL. North.],ReportSummary___Chart[Diff to BL. Level])</f>
        <v>-1.0000000000012221E-3</v>
      </c>
      <c r="AB132" s="114">
        <f>SUBTOTAL(104,ReportSummary___Chart[Diff to BL. East.],ReportSummary___Chart[Diff to BL. North.],ReportSummary___Chart[Diff to BL. Level])</f>
        <v>1.0000000038417056E-3</v>
      </c>
      <c r="AC132" s="1"/>
      <c r="AD132" s="1"/>
      <c r="AE132" s="1"/>
      <c r="AF132" s="4"/>
      <c r="AG132" s="4"/>
      <c r="AH132" s="4"/>
      <c r="AI132" s="4"/>
      <c r="AJ132" s="1"/>
      <c r="AK132" s="1"/>
      <c r="AL132" s="1"/>
    </row>
    <row r="133" spans="7:38" ht="14.25" hidden="1" customHeight="1" x14ac:dyDescent="0.2">
      <c r="G133" s="74">
        <v>45750.28125</v>
      </c>
      <c r="H133" s="107" t="s">
        <v>170</v>
      </c>
      <c r="I133" s="107"/>
      <c r="J133" s="116">
        <v>51910.065000000002</v>
      </c>
      <c r="K133" s="116">
        <v>159186.02369999999</v>
      </c>
      <c r="L133" s="116">
        <v>19.356999999999999</v>
      </c>
      <c r="M133" s="75">
        <v>51910.065000000002</v>
      </c>
      <c r="N133" s="75">
        <v>159186.02299999999</v>
      </c>
      <c r="O133" s="75">
        <v>19.356999999999999</v>
      </c>
      <c r="P133" s="76">
        <v>0</v>
      </c>
      <c r="Q133" s="109" cm="1">
        <f t="array" ref="Q13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3" s="76">
        <v>-7.0000000414438546E-4</v>
      </c>
      <c r="S133" s="77" cm="1">
        <f t="array" ref="S13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3" s="76">
        <v>0</v>
      </c>
      <c r="U133" s="77" cm="1">
        <f t="array" ref="U13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3" s="107" t="s">
        <v>85</v>
      </c>
      <c r="Z133" s="107"/>
      <c r="AA133" s="126">
        <f>SUBTOTAL(105,ReportSummary___Chart[Diff to BL. East.],ReportSummary___Chart[Diff to BL. North.],ReportSummary___Chart[Diff to BL. Level])</f>
        <v>-1.0000000000012221E-3</v>
      </c>
      <c r="AB133" s="114">
        <f>SUBTOTAL(104,ReportSummary___Chart[Diff to BL. East.],ReportSummary___Chart[Diff to BL. North.],ReportSummary___Chart[Diff to BL. Level])</f>
        <v>1.0000000038417056E-3</v>
      </c>
      <c r="AC133" s="1"/>
      <c r="AD133" s="1"/>
      <c r="AE133" s="1"/>
      <c r="AF133" s="4"/>
      <c r="AG133" s="4"/>
      <c r="AH133" s="4"/>
      <c r="AI133" s="4"/>
      <c r="AJ133" s="1"/>
      <c r="AK133" s="1"/>
      <c r="AL133" s="1"/>
    </row>
    <row r="134" spans="7:38" ht="14.25" customHeight="1" x14ac:dyDescent="0.2">
      <c r="G134" s="74">
        <v>45743.493055555555</v>
      </c>
      <c r="H134" s="107" t="s">
        <v>172</v>
      </c>
      <c r="I134" s="107"/>
      <c r="J134" s="116">
        <v>51885.34</v>
      </c>
      <c r="K134" s="116">
        <v>159195.739</v>
      </c>
      <c r="L134" s="116">
        <v>18.782</v>
      </c>
      <c r="M134" s="75">
        <v>51885.339</v>
      </c>
      <c r="N134" s="75">
        <v>159195.73800000001</v>
      </c>
      <c r="O134" s="75">
        <v>18.782</v>
      </c>
      <c r="P134" s="76">
        <v>-9.9999999656574801E-4</v>
      </c>
      <c r="Q134" s="109" cm="1">
        <f t="array" ref="Q13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4" s="76">
        <v>-9.9999998928979039E-4</v>
      </c>
      <c r="S134" s="77" cm="1">
        <f t="array" ref="S13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4" s="76">
        <v>0</v>
      </c>
      <c r="U134" s="77" cm="1">
        <f t="array" ref="U13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4" s="107" t="s">
        <v>85</v>
      </c>
      <c r="Z134" s="107"/>
      <c r="AA134" s="126">
        <f>SUBTOTAL(105,ReportSummary___Chart[Diff to BL. East.],ReportSummary___Chart[Diff to BL. North.],ReportSummary___Chart[Diff to BL. Level])</f>
        <v>-1.0000000000012221E-3</v>
      </c>
      <c r="AB134" s="114">
        <f>SUBTOTAL(104,ReportSummary___Chart[Diff to BL. East.],ReportSummary___Chart[Diff to BL. North.],ReportSummary___Chart[Diff to BL. Level])</f>
        <v>1.0000000038417056E-3</v>
      </c>
      <c r="AC134" s="1"/>
      <c r="AD134" s="1"/>
      <c r="AE134" s="1"/>
      <c r="AF134" s="4"/>
      <c r="AG134" s="4"/>
      <c r="AH134" s="4"/>
      <c r="AI134" s="4"/>
      <c r="AJ134" s="1"/>
      <c r="AK134" s="1"/>
      <c r="AL134" s="1"/>
    </row>
    <row r="135" spans="7:38" ht="14.25" hidden="1" customHeight="1" x14ac:dyDescent="0.2">
      <c r="G135" s="74">
        <v>45743.493055555555</v>
      </c>
      <c r="H135" s="107" t="s">
        <v>171</v>
      </c>
      <c r="I135" s="107"/>
      <c r="J135" s="116">
        <v>51884.958899999998</v>
      </c>
      <c r="K135" s="116">
        <v>159194.47070000001</v>
      </c>
      <c r="L135" s="116">
        <v>18.778099999999998</v>
      </c>
      <c r="M135" s="75">
        <v>51884.959000000003</v>
      </c>
      <c r="N135" s="75">
        <v>159194.47</v>
      </c>
      <c r="O135" s="75">
        <v>18.777999999999999</v>
      </c>
      <c r="P135" s="76">
        <v>1.0000000474974513E-4</v>
      </c>
      <c r="Q135" s="109" cm="1">
        <f t="array" ref="Q13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5" s="76">
        <v>-7.0000000414438546E-4</v>
      </c>
      <c r="S135" s="77" cm="1">
        <f t="array" ref="S13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5" s="76">
        <v>-9.9999999999766942E-5</v>
      </c>
      <c r="U135" s="77" cm="1">
        <f t="array" ref="U13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5" s="107" t="s">
        <v>85</v>
      </c>
      <c r="Z135" s="107"/>
      <c r="AA135" s="126">
        <f>SUBTOTAL(105,ReportSummary___Chart[Diff to BL. East.],ReportSummary___Chart[Diff to BL. North.],ReportSummary___Chart[Diff to BL. Level])</f>
        <v>-1.0000000000012221E-3</v>
      </c>
      <c r="AB135" s="114">
        <f>SUBTOTAL(104,ReportSummary___Chart[Diff to BL. East.],ReportSummary___Chart[Diff to BL. North.],ReportSummary___Chart[Diff to BL. Level])</f>
        <v>1.0000000038417056E-3</v>
      </c>
      <c r="AC135" s="1"/>
      <c r="AD135" s="1"/>
      <c r="AE135" s="1"/>
      <c r="AF135" s="4"/>
      <c r="AG135" s="4"/>
      <c r="AH135" s="4"/>
      <c r="AI135" s="4"/>
      <c r="AJ135" s="1"/>
      <c r="AK135" s="1"/>
      <c r="AL135" s="1"/>
    </row>
    <row r="136" spans="7:38" ht="14.25" hidden="1" customHeight="1" x14ac:dyDescent="0.2">
      <c r="G136" s="74">
        <v>45743.493055555555</v>
      </c>
      <c r="H136" s="107" t="s">
        <v>174</v>
      </c>
      <c r="I136" s="107"/>
      <c r="J136" s="116">
        <v>51888.117700000003</v>
      </c>
      <c r="K136" s="116">
        <v>159194.94529999999</v>
      </c>
      <c r="L136" s="116">
        <v>18.7788</v>
      </c>
      <c r="M136" s="75">
        <v>51888.116999999998</v>
      </c>
      <c r="N136" s="75">
        <v>159194.94500000001</v>
      </c>
      <c r="O136" s="75">
        <v>18.779</v>
      </c>
      <c r="P136" s="76">
        <v>-7.0000000414438546E-4</v>
      </c>
      <c r="Q136" s="109" cm="1">
        <f t="array" ref="Q13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6" s="76">
        <v>-2.9999998514540493E-4</v>
      </c>
      <c r="S136" s="77" cm="1">
        <f t="array" ref="S13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6" s="76">
        <v>1.9999999999953388E-4</v>
      </c>
      <c r="U136" s="77" cm="1">
        <f t="array" ref="U13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6" s="107" t="s">
        <v>85</v>
      </c>
      <c r="Z136" s="107"/>
      <c r="AA136" s="126">
        <f>SUBTOTAL(105,ReportSummary___Chart[Diff to BL. East.],ReportSummary___Chart[Diff to BL. North.],ReportSummary___Chart[Diff to BL. Level])</f>
        <v>-1.0000000000012221E-3</v>
      </c>
      <c r="AB136" s="114">
        <f>SUBTOTAL(104,ReportSummary___Chart[Diff to BL. East.],ReportSummary___Chart[Diff to BL. North.],ReportSummary___Chart[Diff to BL. Level])</f>
        <v>1.0000000038417056E-3</v>
      </c>
      <c r="AC136" s="1"/>
      <c r="AD136" s="1"/>
      <c r="AE136" s="1"/>
      <c r="AF136" s="4"/>
      <c r="AG136" s="4"/>
      <c r="AH136" s="4"/>
      <c r="AI136" s="4"/>
      <c r="AJ136" s="1"/>
      <c r="AK136" s="1"/>
      <c r="AL136" s="1"/>
    </row>
    <row r="137" spans="7:38" ht="14.25" hidden="1" customHeight="1" x14ac:dyDescent="0.2">
      <c r="G137" s="74">
        <v>45743.493055555555</v>
      </c>
      <c r="H137" s="107" t="s">
        <v>173</v>
      </c>
      <c r="I137" s="107"/>
      <c r="J137" s="116">
        <v>51887.805099999998</v>
      </c>
      <c r="K137" s="116">
        <v>159193.65710000001</v>
      </c>
      <c r="L137" s="116">
        <v>18.778500000000001</v>
      </c>
      <c r="M137" s="75">
        <v>51887.803999999996</v>
      </c>
      <c r="N137" s="75">
        <v>159193.65700000001</v>
      </c>
      <c r="O137" s="75">
        <v>18.779</v>
      </c>
      <c r="P137" s="76">
        <v>-1.1000000013154931E-3</v>
      </c>
      <c r="Q137" s="109" cm="1">
        <f t="array" ref="Q13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7" s="76">
        <v>-1.0000000474974513E-4</v>
      </c>
      <c r="S137" s="77" cm="1">
        <f t="array" ref="S13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7" s="76">
        <v>4.9999999999883471E-4</v>
      </c>
      <c r="U137" s="77" cm="1">
        <f t="array" ref="U13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7" s="107" t="s">
        <v>85</v>
      </c>
      <c r="Z137" s="107"/>
      <c r="AA137" s="126">
        <f>SUBTOTAL(105,ReportSummary___Chart[Diff to BL. East.],ReportSummary___Chart[Diff to BL. North.],ReportSummary___Chart[Diff to BL. Level])</f>
        <v>-1.0000000000012221E-3</v>
      </c>
      <c r="AB137" s="114">
        <f>SUBTOTAL(104,ReportSummary___Chart[Diff to BL. East.],ReportSummary___Chart[Diff to BL. North.],ReportSummary___Chart[Diff to BL. Level])</f>
        <v>1.0000000038417056E-3</v>
      </c>
      <c r="AC137" s="1"/>
      <c r="AD137" s="1"/>
      <c r="AE137" s="1"/>
      <c r="AF137" s="4"/>
      <c r="AG137" s="4"/>
      <c r="AH137" s="4"/>
      <c r="AI137" s="4"/>
      <c r="AJ137" s="1"/>
      <c r="AK137" s="1"/>
      <c r="AL137" s="1"/>
    </row>
    <row r="138" spans="7:38" ht="14.25" hidden="1" customHeight="1" x14ac:dyDescent="0.2">
      <c r="G138" s="74">
        <v>45743.493055555555</v>
      </c>
      <c r="H138" s="107" t="s">
        <v>176</v>
      </c>
      <c r="I138" s="107"/>
      <c r="J138" s="116">
        <v>51890.969100000002</v>
      </c>
      <c r="K138" s="116">
        <v>159194.1177</v>
      </c>
      <c r="L138" s="116">
        <v>18.779</v>
      </c>
      <c r="M138" s="75">
        <v>51890.968000000001</v>
      </c>
      <c r="N138" s="75">
        <v>159194.117</v>
      </c>
      <c r="O138" s="75">
        <v>18.779</v>
      </c>
      <c r="P138" s="76">
        <v>-1.1000000013154931E-3</v>
      </c>
      <c r="Q138" s="109" cm="1">
        <f t="array" ref="Q13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8" s="76">
        <v>-7.0000000414438546E-4</v>
      </c>
      <c r="S138" s="77" cm="1">
        <f t="array" ref="S13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8" s="76">
        <v>0</v>
      </c>
      <c r="U138" s="77" cm="1">
        <f t="array" ref="U13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8" s="107" t="s">
        <v>85</v>
      </c>
      <c r="Z138" s="107"/>
      <c r="AA138" s="126">
        <f>SUBTOTAL(105,ReportSummary___Chart[Diff to BL. East.],ReportSummary___Chart[Diff to BL. North.],ReportSummary___Chart[Diff to BL. Level])</f>
        <v>-1.0000000000012221E-3</v>
      </c>
      <c r="AB138" s="114">
        <f>SUBTOTAL(104,ReportSummary___Chart[Diff to BL. East.],ReportSummary___Chart[Diff to BL. North.],ReportSummary___Chart[Diff to BL. Level])</f>
        <v>1.0000000038417056E-3</v>
      </c>
      <c r="AC138" s="1"/>
      <c r="AD138" s="1"/>
      <c r="AE138" s="1"/>
      <c r="AF138" s="4"/>
      <c r="AG138" s="4"/>
      <c r="AH138" s="4"/>
      <c r="AI138" s="4"/>
      <c r="AJ138" s="1"/>
      <c r="AK138" s="1"/>
      <c r="AL138" s="1"/>
    </row>
    <row r="139" spans="7:38" ht="14.25" hidden="1" customHeight="1" x14ac:dyDescent="0.2">
      <c r="G139" s="74">
        <v>45743.493055555555</v>
      </c>
      <c r="H139" s="107" t="s">
        <v>175</v>
      </c>
      <c r="I139" s="107"/>
      <c r="J139" s="116">
        <v>51890.606800000001</v>
      </c>
      <c r="K139" s="116">
        <v>159192.86069999999</v>
      </c>
      <c r="L139" s="116">
        <v>18.771999999999998</v>
      </c>
      <c r="M139" s="75">
        <v>51890.606</v>
      </c>
      <c r="N139" s="75">
        <v>159192.861</v>
      </c>
      <c r="O139" s="75">
        <v>18.771999999999998</v>
      </c>
      <c r="P139" s="76">
        <v>-8.0000000161817297E-4</v>
      </c>
      <c r="Q139" s="109" cm="1">
        <f t="array" ref="Q13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39" s="76">
        <v>3.0000001424923539E-4</v>
      </c>
      <c r="S139" s="77" cm="1">
        <f t="array" ref="S13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39" s="76">
        <v>0</v>
      </c>
      <c r="U139" s="77" cm="1">
        <f t="array" ref="U13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3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3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3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39" s="107" t="s">
        <v>85</v>
      </c>
      <c r="Z139" s="107"/>
      <c r="AA139" s="126">
        <f>SUBTOTAL(105,ReportSummary___Chart[Diff to BL. East.],ReportSummary___Chart[Diff to BL. North.],ReportSummary___Chart[Diff to BL. Level])</f>
        <v>-1.0000000000012221E-3</v>
      </c>
      <c r="AB139" s="114">
        <f>SUBTOTAL(104,ReportSummary___Chart[Diff to BL. East.],ReportSummary___Chart[Diff to BL. North.],ReportSummary___Chart[Diff to BL. Level])</f>
        <v>1.0000000038417056E-3</v>
      </c>
      <c r="AC139" s="1"/>
      <c r="AD139" s="1"/>
      <c r="AE139" s="1"/>
      <c r="AF139" s="4"/>
      <c r="AG139" s="4"/>
      <c r="AH139" s="4"/>
      <c r="AI139" s="4"/>
      <c r="AJ139" s="1"/>
      <c r="AK139" s="1"/>
      <c r="AL139" s="1"/>
    </row>
    <row r="140" spans="7:38" ht="14.25" hidden="1" customHeight="1" x14ac:dyDescent="0.2">
      <c r="G140" s="74">
        <v>45743.493055555555</v>
      </c>
      <c r="H140" s="107" t="s">
        <v>178</v>
      </c>
      <c r="I140" s="107"/>
      <c r="J140" s="116">
        <v>51893.758699999998</v>
      </c>
      <c r="K140" s="116">
        <v>159193.3144</v>
      </c>
      <c r="L140" s="116">
        <v>18.774100000000001</v>
      </c>
      <c r="M140" s="75">
        <v>51893.758000000002</v>
      </c>
      <c r="N140" s="75">
        <v>159193.31400000001</v>
      </c>
      <c r="O140" s="75">
        <v>18.774000000000001</v>
      </c>
      <c r="P140" s="76">
        <v>-6.9999999686842784E-4</v>
      </c>
      <c r="Q140" s="109" cm="1">
        <f t="array" ref="Q14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0" s="76">
        <v>-3.9999998989515007E-4</v>
      </c>
      <c r="S140" s="77" cm="1">
        <f t="array" ref="S14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0" s="76">
        <v>-9.9999999999766942E-5</v>
      </c>
      <c r="U140" s="77" cm="1">
        <f t="array" ref="U14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0" s="107" t="s">
        <v>85</v>
      </c>
      <c r="Z140" s="107"/>
      <c r="AA140" s="126">
        <f>SUBTOTAL(105,ReportSummary___Chart[Diff to BL. East.],ReportSummary___Chart[Diff to BL. North.],ReportSummary___Chart[Diff to BL. Level])</f>
        <v>-1.0000000000012221E-3</v>
      </c>
      <c r="AB140" s="114">
        <f>SUBTOTAL(104,ReportSummary___Chart[Diff to BL. East.],ReportSummary___Chart[Diff to BL. North.],ReportSummary___Chart[Diff to BL. Level])</f>
        <v>1.0000000038417056E-3</v>
      </c>
      <c r="AC140" s="1"/>
      <c r="AD140" s="1"/>
      <c r="AE140" s="1"/>
      <c r="AF140" s="4"/>
      <c r="AG140" s="4"/>
      <c r="AH140" s="4"/>
      <c r="AI140" s="4"/>
      <c r="AJ140" s="1"/>
      <c r="AK140" s="1"/>
      <c r="AL140" s="1"/>
    </row>
    <row r="141" spans="7:38" ht="14.25" hidden="1" customHeight="1" x14ac:dyDescent="0.2">
      <c r="G141" s="74">
        <v>45743.493055555555</v>
      </c>
      <c r="H141" s="107" t="s">
        <v>177</v>
      </c>
      <c r="I141" s="107"/>
      <c r="J141" s="116">
        <v>51893.441299999999</v>
      </c>
      <c r="K141" s="116">
        <v>159192.04019999999</v>
      </c>
      <c r="L141" s="116">
        <v>18.7683</v>
      </c>
      <c r="M141" s="75">
        <v>51893.440999999999</v>
      </c>
      <c r="N141" s="75">
        <v>159192.04</v>
      </c>
      <c r="O141" s="75">
        <v>18.768999999999998</v>
      </c>
      <c r="P141" s="76">
        <v>-2.9999999969732016E-4</v>
      </c>
      <c r="Q141" s="109" cm="1">
        <f t="array" ref="Q14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1" s="76">
        <v>-1.999999803956598E-4</v>
      </c>
      <c r="S141" s="77" cm="1">
        <f t="array" ref="S14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1" s="76">
        <v>6.9999999999836859E-4</v>
      </c>
      <c r="U141" s="77" cm="1">
        <f t="array" ref="U14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1" s="107" t="s">
        <v>85</v>
      </c>
      <c r="Z141" s="107"/>
      <c r="AA141" s="126">
        <f>SUBTOTAL(105,ReportSummary___Chart[Diff to BL. East.],ReportSummary___Chart[Diff to BL. North.],ReportSummary___Chart[Diff to BL. Level])</f>
        <v>-1.0000000000012221E-3</v>
      </c>
      <c r="AB141" s="114">
        <f>SUBTOTAL(104,ReportSummary___Chart[Diff to BL. East.],ReportSummary___Chart[Diff to BL. North.],ReportSummary___Chart[Diff to BL. Level])</f>
        <v>1.0000000038417056E-3</v>
      </c>
      <c r="AC141" s="1"/>
      <c r="AD141" s="1"/>
      <c r="AE141" s="1"/>
      <c r="AF141" s="4"/>
      <c r="AG141" s="4"/>
      <c r="AH141" s="4"/>
      <c r="AI141" s="4"/>
      <c r="AJ141" s="1"/>
      <c r="AK141" s="1"/>
      <c r="AL141" s="1"/>
    </row>
    <row r="142" spans="7:38" ht="14.25" hidden="1" customHeight="1" x14ac:dyDescent="0.2">
      <c r="G142" s="74">
        <v>45743.493055555555</v>
      </c>
      <c r="H142" s="107" t="s">
        <v>180</v>
      </c>
      <c r="I142" s="107"/>
      <c r="J142" s="116">
        <v>51896.633300000001</v>
      </c>
      <c r="K142" s="116">
        <v>159192.48449999999</v>
      </c>
      <c r="L142" s="116">
        <v>18.7776</v>
      </c>
      <c r="M142" s="75">
        <v>51896.633000000002</v>
      </c>
      <c r="N142" s="75">
        <v>159192.484</v>
      </c>
      <c r="O142" s="75">
        <v>18.777000000000001</v>
      </c>
      <c r="P142" s="76">
        <v>-2.9999999969732016E-4</v>
      </c>
      <c r="Q142" s="109" cm="1">
        <f t="array" ref="Q14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2" s="76">
        <v>-4.999999946448952E-4</v>
      </c>
      <c r="S142" s="77" cm="1">
        <f t="array" ref="S14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2" s="76">
        <v>-5.9999999999860165E-4</v>
      </c>
      <c r="U142" s="77" cm="1">
        <f t="array" ref="U14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2" s="107" t="s">
        <v>85</v>
      </c>
      <c r="Z142" s="107"/>
      <c r="AA142" s="126">
        <f>SUBTOTAL(105,ReportSummary___Chart[Diff to BL. East.],ReportSummary___Chart[Diff to BL. North.],ReportSummary___Chart[Diff to BL. Level])</f>
        <v>-1.0000000000012221E-3</v>
      </c>
      <c r="AB142" s="114">
        <f>SUBTOTAL(104,ReportSummary___Chart[Diff to BL. East.],ReportSummary___Chart[Diff to BL. North.],ReportSummary___Chart[Diff to BL. Level])</f>
        <v>1.0000000038417056E-3</v>
      </c>
      <c r="AC142" s="1"/>
      <c r="AD142" s="1"/>
      <c r="AE142" s="1"/>
      <c r="AF142" s="4"/>
      <c r="AG142" s="4"/>
      <c r="AH142" s="4"/>
      <c r="AI142" s="4"/>
      <c r="AJ142" s="1"/>
      <c r="AK142" s="1"/>
      <c r="AL142" s="1"/>
    </row>
    <row r="143" spans="7:38" ht="14.25" hidden="1" customHeight="1" x14ac:dyDescent="0.2">
      <c r="G143" s="74">
        <v>45743.493055555555</v>
      </c>
      <c r="H143" s="107" t="s">
        <v>179</v>
      </c>
      <c r="I143" s="107"/>
      <c r="J143" s="116">
        <v>51896.249799999998</v>
      </c>
      <c r="K143" s="116">
        <v>159191.22630000001</v>
      </c>
      <c r="L143" s="116">
        <v>18.7698</v>
      </c>
      <c r="M143" s="75">
        <v>51896.249000000003</v>
      </c>
      <c r="N143" s="75">
        <v>159191.226</v>
      </c>
      <c r="O143" s="75">
        <v>18.77</v>
      </c>
      <c r="P143" s="76">
        <v>-7.9999999434221536E-4</v>
      </c>
      <c r="Q143" s="109" cm="1">
        <f t="array" ref="Q14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3" s="76">
        <v>-3.0000001424923539E-4</v>
      </c>
      <c r="S143" s="77" cm="1">
        <f t="array" ref="S14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3" s="76">
        <v>1.9999999999953388E-4</v>
      </c>
      <c r="U143" s="77" cm="1">
        <f t="array" ref="U14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3" s="107" t="s">
        <v>85</v>
      </c>
      <c r="Z143" s="107"/>
      <c r="AA143" s="126">
        <f>SUBTOTAL(105,ReportSummary___Chart[Diff to BL. East.],ReportSummary___Chart[Diff to BL. North.],ReportSummary___Chart[Diff to BL. Level])</f>
        <v>-1.0000000000012221E-3</v>
      </c>
      <c r="AB143" s="114">
        <f>SUBTOTAL(104,ReportSummary___Chart[Diff to BL. East.],ReportSummary___Chart[Diff to BL. North.],ReportSummary___Chart[Diff to BL. Level])</f>
        <v>1.0000000038417056E-3</v>
      </c>
      <c r="AC143" s="1"/>
      <c r="AD143" s="1"/>
      <c r="AE143" s="1"/>
      <c r="AF143" s="4"/>
      <c r="AG143" s="4"/>
      <c r="AH143" s="4"/>
      <c r="AI143" s="4"/>
      <c r="AJ143" s="1"/>
      <c r="AK143" s="1"/>
      <c r="AL143" s="1"/>
    </row>
    <row r="144" spans="7:38" ht="14.25" hidden="1" customHeight="1" x14ac:dyDescent="0.2">
      <c r="G144" s="74">
        <v>45743.493055555555</v>
      </c>
      <c r="H144" s="107" t="s">
        <v>182</v>
      </c>
      <c r="I144" s="107"/>
      <c r="J144" s="116">
        <v>51899.398699999998</v>
      </c>
      <c r="K144" s="116">
        <v>159191.69760000001</v>
      </c>
      <c r="L144" s="116">
        <v>18.777999999999999</v>
      </c>
      <c r="M144" s="75">
        <v>51899.398000000001</v>
      </c>
      <c r="N144" s="75">
        <v>159191.698</v>
      </c>
      <c r="O144" s="75">
        <v>18.777999999999999</v>
      </c>
      <c r="P144" s="76">
        <v>-6.9999999686842784E-4</v>
      </c>
      <c r="Q144" s="109" cm="1">
        <f t="array" ref="Q14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4" s="76">
        <v>3.9999998989515007E-4</v>
      </c>
      <c r="S144" s="77" cm="1">
        <f t="array" ref="S14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4" s="76">
        <v>0</v>
      </c>
      <c r="U144" s="77" cm="1">
        <f t="array" ref="U14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4" s="107" t="s">
        <v>85</v>
      </c>
      <c r="Z144" s="107"/>
      <c r="AA144" s="126">
        <f>SUBTOTAL(105,ReportSummary___Chart[Diff to BL. East.],ReportSummary___Chart[Diff to BL. North.],ReportSummary___Chart[Diff to BL. Level])</f>
        <v>-1.0000000000012221E-3</v>
      </c>
      <c r="AB144" s="114">
        <f>SUBTOTAL(104,ReportSummary___Chart[Diff to BL. East.],ReportSummary___Chart[Diff to BL. North.],ReportSummary___Chart[Diff to BL. Level])</f>
        <v>1.0000000038417056E-3</v>
      </c>
      <c r="AC144" s="1"/>
      <c r="AD144" s="1"/>
      <c r="AE144" s="1"/>
      <c r="AF144" s="4"/>
      <c r="AG144" s="4"/>
      <c r="AH144" s="4"/>
      <c r="AI144" s="4"/>
      <c r="AJ144" s="1"/>
      <c r="AK144" s="1"/>
      <c r="AL144" s="1"/>
    </row>
    <row r="145" spans="7:38" ht="14.25" hidden="1" customHeight="1" x14ac:dyDescent="0.2">
      <c r="G145" s="74">
        <v>45743.493055555555</v>
      </c>
      <c r="H145" s="107" t="s">
        <v>181</v>
      </c>
      <c r="I145" s="107"/>
      <c r="J145" s="116">
        <v>51899.041100000002</v>
      </c>
      <c r="K145" s="116">
        <v>159190.43340000001</v>
      </c>
      <c r="L145" s="116">
        <v>18.771100000000001</v>
      </c>
      <c r="M145" s="75">
        <v>51899.040000000001</v>
      </c>
      <c r="N145" s="75">
        <v>159190.43400000001</v>
      </c>
      <c r="O145" s="75">
        <v>18.771000000000001</v>
      </c>
      <c r="P145" s="76">
        <v>-1.1000000013154931E-3</v>
      </c>
      <c r="Q145" s="109" cm="1">
        <f t="array" ref="Q14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5" s="76">
        <v>5.9999999939464033E-4</v>
      </c>
      <c r="S145" s="77" cm="1">
        <f t="array" ref="S14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5" s="76">
        <v>-9.9999999999766942E-5</v>
      </c>
      <c r="U145" s="77" cm="1">
        <f t="array" ref="U14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5" s="107" t="s">
        <v>85</v>
      </c>
      <c r="Z145" s="107"/>
      <c r="AA145" s="126">
        <f>SUBTOTAL(105,ReportSummary___Chart[Diff to BL. East.],ReportSummary___Chart[Diff to BL. North.],ReportSummary___Chart[Diff to BL. Level])</f>
        <v>-1.0000000000012221E-3</v>
      </c>
      <c r="AB145" s="114">
        <f>SUBTOTAL(104,ReportSummary___Chart[Diff to BL. East.],ReportSummary___Chart[Diff to BL. North.],ReportSummary___Chart[Diff to BL. Level])</f>
        <v>1.0000000038417056E-3</v>
      </c>
      <c r="AC145" s="1"/>
      <c r="AD145" s="1"/>
      <c r="AE145" s="1"/>
      <c r="AF145" s="4"/>
      <c r="AG145" s="4"/>
      <c r="AH145" s="4"/>
      <c r="AI145" s="4"/>
      <c r="AJ145" s="1"/>
      <c r="AK145" s="1"/>
      <c r="AL145" s="1"/>
    </row>
    <row r="146" spans="7:38" ht="14.25" hidden="1" customHeight="1" x14ac:dyDescent="0.2">
      <c r="G146" s="74">
        <v>45743.493055555555</v>
      </c>
      <c r="H146" s="107" t="s">
        <v>184</v>
      </c>
      <c r="I146" s="107"/>
      <c r="J146" s="116">
        <v>51902.292699999998</v>
      </c>
      <c r="K146" s="116">
        <v>159190.88459999999</v>
      </c>
      <c r="L146" s="116">
        <v>18.779</v>
      </c>
      <c r="M146" s="75">
        <v>51902.292000000001</v>
      </c>
      <c r="N146" s="75">
        <v>159190.88500000001</v>
      </c>
      <c r="O146" s="75">
        <v>18.779</v>
      </c>
      <c r="P146" s="76">
        <v>-6.9999999686842784E-4</v>
      </c>
      <c r="Q146" s="109" cm="1">
        <f t="array" ref="Q14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6" s="76">
        <v>4.0000001899898052E-4</v>
      </c>
      <c r="S146" s="77" cm="1">
        <f t="array" ref="S14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6" s="76">
        <v>0</v>
      </c>
      <c r="U146" s="77" cm="1">
        <f t="array" ref="U14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6" s="107" t="s">
        <v>85</v>
      </c>
      <c r="Z146" s="107"/>
      <c r="AA146" s="126">
        <f>SUBTOTAL(105,ReportSummary___Chart[Diff to BL. East.],ReportSummary___Chart[Diff to BL. North.],ReportSummary___Chart[Diff to BL. Level])</f>
        <v>-1.0000000000012221E-3</v>
      </c>
      <c r="AB146" s="114">
        <f>SUBTOTAL(104,ReportSummary___Chart[Diff to BL. East.],ReportSummary___Chart[Diff to BL. North.],ReportSummary___Chart[Diff to BL. Level])</f>
        <v>1.0000000038417056E-3</v>
      </c>
      <c r="AC146" s="1"/>
      <c r="AD146" s="1"/>
      <c r="AE146" s="1"/>
      <c r="AF146" s="4"/>
      <c r="AG146" s="4"/>
      <c r="AH146" s="4"/>
      <c r="AI146" s="4"/>
      <c r="AJ146" s="1"/>
      <c r="AK146" s="1"/>
      <c r="AL146" s="1"/>
    </row>
    <row r="147" spans="7:38" ht="14.25" hidden="1" customHeight="1" x14ac:dyDescent="0.2">
      <c r="G147" s="74">
        <v>45743.493055555555</v>
      </c>
      <c r="H147" s="107" t="s">
        <v>183</v>
      </c>
      <c r="I147" s="107"/>
      <c r="J147" s="116">
        <v>51901.989200000004</v>
      </c>
      <c r="K147" s="116">
        <v>159189.60260000001</v>
      </c>
      <c r="L147" s="116">
        <v>18.770099999999999</v>
      </c>
      <c r="M147" s="75">
        <v>51901.987999999998</v>
      </c>
      <c r="N147" s="75">
        <v>159189.603</v>
      </c>
      <c r="O147" s="75">
        <v>18.77</v>
      </c>
      <c r="P147" s="76">
        <v>-1.2000000060652383E-3</v>
      </c>
      <c r="Q147" s="109" cm="1">
        <f t="array" ref="Q14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7" s="76">
        <v>3.9999998989515007E-4</v>
      </c>
      <c r="S147" s="77" cm="1">
        <f t="array" ref="S14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7" s="76">
        <v>-9.9999999999766942E-5</v>
      </c>
      <c r="U147" s="77" cm="1">
        <f t="array" ref="U14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7" s="107" t="s">
        <v>85</v>
      </c>
      <c r="Z147" s="107"/>
      <c r="AA147" s="126">
        <f>SUBTOTAL(105,ReportSummary___Chart[Diff to BL. East.],ReportSummary___Chart[Diff to BL. North.],ReportSummary___Chart[Diff to BL. Level])</f>
        <v>-1.0000000000012221E-3</v>
      </c>
      <c r="AB147" s="114">
        <f>SUBTOTAL(104,ReportSummary___Chart[Diff to BL. East.],ReportSummary___Chart[Diff to BL. North.],ReportSummary___Chart[Diff to BL. Level])</f>
        <v>1.0000000038417056E-3</v>
      </c>
      <c r="AC147" s="1"/>
      <c r="AD147" s="1"/>
      <c r="AE147" s="1"/>
      <c r="AF147" s="4"/>
      <c r="AG147" s="4"/>
      <c r="AH147" s="4"/>
      <c r="AI147" s="4"/>
      <c r="AJ147" s="1"/>
      <c r="AK147" s="1"/>
      <c r="AL147" s="1"/>
    </row>
    <row r="148" spans="7:38" ht="14.25" hidden="1" customHeight="1" x14ac:dyDescent="0.2">
      <c r="G148" s="74">
        <v>45743.493055555555</v>
      </c>
      <c r="H148" s="107" t="s">
        <v>186</v>
      </c>
      <c r="I148" s="107"/>
      <c r="J148" s="116">
        <v>51905.196199999998</v>
      </c>
      <c r="K148" s="116">
        <v>159190.09460000001</v>
      </c>
      <c r="L148" s="116">
        <v>18.780899999999999</v>
      </c>
      <c r="M148" s="75">
        <v>51905.196000000004</v>
      </c>
      <c r="N148" s="75">
        <v>159190.095</v>
      </c>
      <c r="O148" s="75">
        <v>18.780999999999999</v>
      </c>
      <c r="P148" s="76">
        <v>-1.9999999494757503E-4</v>
      </c>
      <c r="Q148" s="109" cm="1">
        <f t="array" ref="Q14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8" s="76">
        <v>3.9999998989515007E-4</v>
      </c>
      <c r="S148" s="77" cm="1">
        <f t="array" ref="S14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8" s="76">
        <v>9.9999999999766942E-5</v>
      </c>
      <c r="U148" s="77" cm="1">
        <f t="array" ref="U14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8" s="107" t="s">
        <v>85</v>
      </c>
      <c r="Z148" s="107"/>
      <c r="AA148" s="126">
        <f>SUBTOTAL(105,ReportSummary___Chart[Diff to BL. East.],ReportSummary___Chart[Diff to BL. North.],ReportSummary___Chart[Diff to BL. Level])</f>
        <v>-1.0000000000012221E-3</v>
      </c>
      <c r="AB148" s="114">
        <f>SUBTOTAL(104,ReportSummary___Chart[Diff to BL. East.],ReportSummary___Chart[Diff to BL. North.],ReportSummary___Chart[Diff to BL. Level])</f>
        <v>1.0000000038417056E-3</v>
      </c>
      <c r="AC148" s="1"/>
      <c r="AD148" s="1"/>
      <c r="AE148" s="1"/>
      <c r="AF148" s="4"/>
      <c r="AG148" s="4"/>
      <c r="AH148" s="4"/>
      <c r="AI148" s="4"/>
      <c r="AJ148" s="1"/>
      <c r="AK148" s="1"/>
      <c r="AL148" s="1"/>
    </row>
    <row r="149" spans="7:38" ht="14.25" hidden="1" customHeight="1" x14ac:dyDescent="0.2">
      <c r="G149" s="74">
        <v>45743.493055555555</v>
      </c>
      <c r="H149" s="107" t="s">
        <v>185</v>
      </c>
      <c r="I149" s="107"/>
      <c r="J149" s="116">
        <v>51904.885600000001</v>
      </c>
      <c r="K149" s="116">
        <v>159188.8046</v>
      </c>
      <c r="L149" s="116">
        <v>18.773099999999999</v>
      </c>
      <c r="M149" s="75">
        <v>51904.885000000002</v>
      </c>
      <c r="N149" s="75">
        <v>159188.80499999999</v>
      </c>
      <c r="O149" s="75">
        <v>18.773</v>
      </c>
      <c r="P149" s="76">
        <v>-5.9999999939464033E-4</v>
      </c>
      <c r="Q149" s="109" cm="1">
        <f t="array" ref="Q14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49" s="76">
        <v>3.9999998989515007E-4</v>
      </c>
      <c r="S149" s="77" cm="1">
        <f t="array" ref="S14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49" s="76">
        <v>-9.9999999999766942E-5</v>
      </c>
      <c r="U149" s="77" cm="1">
        <f t="array" ref="U14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4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4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4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49" s="107" t="s">
        <v>85</v>
      </c>
      <c r="Z149" s="107"/>
      <c r="AA149" s="126">
        <f>SUBTOTAL(105,ReportSummary___Chart[Diff to BL. East.],ReportSummary___Chart[Diff to BL. North.],ReportSummary___Chart[Diff to BL. Level])</f>
        <v>-1.0000000000012221E-3</v>
      </c>
      <c r="AB149" s="114">
        <f>SUBTOTAL(104,ReportSummary___Chart[Diff to BL. East.],ReportSummary___Chart[Diff to BL. North.],ReportSummary___Chart[Diff to BL. Level])</f>
        <v>1.0000000038417056E-3</v>
      </c>
      <c r="AC149" s="1"/>
      <c r="AD149" s="1"/>
      <c r="AE149" s="1"/>
      <c r="AF149" s="1"/>
      <c r="AG149" s="1"/>
      <c r="AH149" s="1"/>
      <c r="AI149" s="1"/>
      <c r="AJ149" s="1"/>
      <c r="AK149" s="1"/>
      <c r="AL149" s="1"/>
    </row>
    <row r="150" spans="7:38" ht="14.25" hidden="1" customHeight="1" x14ac:dyDescent="0.2">
      <c r="G150" s="74">
        <v>45743.493055555555</v>
      </c>
      <c r="H150" s="107" t="s">
        <v>188</v>
      </c>
      <c r="I150" s="107"/>
      <c r="J150" s="116">
        <v>51907.9522</v>
      </c>
      <c r="K150" s="116">
        <v>159189.36230000001</v>
      </c>
      <c r="L150" s="116">
        <v>18.786000000000001</v>
      </c>
      <c r="M150" s="75">
        <v>51907.951999999997</v>
      </c>
      <c r="N150" s="75">
        <v>159189.36300000001</v>
      </c>
      <c r="O150" s="75">
        <v>18.786000000000001</v>
      </c>
      <c r="P150" s="76">
        <v>-2.0000000222353265E-4</v>
      </c>
      <c r="Q150" s="109" cm="1">
        <f t="array" ref="Q15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0" s="76">
        <v>7.0000000414438546E-4</v>
      </c>
      <c r="S150" s="77" cm="1">
        <f t="array" ref="S15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0" s="76">
        <v>0</v>
      </c>
      <c r="U150" s="77" cm="1">
        <f t="array" ref="U15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0" s="107" t="s">
        <v>85</v>
      </c>
      <c r="Z150" s="107"/>
      <c r="AA150" s="126">
        <f>SUBTOTAL(105,ReportSummary___Chart[Diff to BL. East.],ReportSummary___Chart[Diff to BL. North.],ReportSummary___Chart[Diff to BL. Level])</f>
        <v>-1.0000000000012221E-3</v>
      </c>
      <c r="AB150" s="114">
        <f>SUBTOTAL(104,ReportSummary___Chart[Diff to BL. East.],ReportSummary___Chart[Diff to BL. North.],ReportSummary___Chart[Diff to BL. Level])</f>
        <v>1.0000000038417056E-3</v>
      </c>
      <c r="AC150" s="1"/>
      <c r="AD150" s="1"/>
      <c r="AE150" s="1"/>
      <c r="AF150" s="1"/>
      <c r="AG150" s="1"/>
      <c r="AH150" s="1"/>
      <c r="AI150" s="1"/>
      <c r="AJ150" s="1"/>
      <c r="AK150" s="1"/>
      <c r="AL150" s="1"/>
    </row>
    <row r="151" spans="7:38" ht="14.25" hidden="1" customHeight="1" x14ac:dyDescent="0.2">
      <c r="G151" s="74">
        <v>45743.493055555555</v>
      </c>
      <c r="H151" s="107" t="s">
        <v>187</v>
      </c>
      <c r="I151" s="107"/>
      <c r="J151" s="116">
        <v>51907.578699999998</v>
      </c>
      <c r="K151" s="116">
        <v>159188.09770000001</v>
      </c>
      <c r="L151" s="116">
        <v>18.776</v>
      </c>
      <c r="M151" s="75">
        <v>51907.578000000001</v>
      </c>
      <c r="N151" s="75">
        <v>159188.09899999999</v>
      </c>
      <c r="O151" s="75">
        <v>18.776</v>
      </c>
      <c r="P151" s="76">
        <v>-6.9999999686842784E-4</v>
      </c>
      <c r="Q151" s="109" cm="1">
        <f t="array" ref="Q15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1" s="76">
        <v>1.2999999744351953E-3</v>
      </c>
      <c r="S151" s="77" cm="1">
        <f t="array" ref="S15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1" s="76">
        <v>0</v>
      </c>
      <c r="U151" s="77" cm="1">
        <f t="array" ref="U15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1" s="107" t="s">
        <v>85</v>
      </c>
      <c r="Z151" s="107"/>
      <c r="AA151" s="126">
        <f>SUBTOTAL(105,ReportSummary___Chart[Diff to BL. East.],ReportSummary___Chart[Diff to BL. North.],ReportSummary___Chart[Diff to BL. Level])</f>
        <v>-1.0000000000012221E-3</v>
      </c>
      <c r="AB151" s="114">
        <f>SUBTOTAL(104,ReportSummary___Chart[Diff to BL. East.],ReportSummary___Chart[Diff to BL. North.],ReportSummary___Chart[Diff to BL. Level])</f>
        <v>1.0000000038417056E-3</v>
      </c>
      <c r="AC151" s="1"/>
      <c r="AD151" s="1"/>
      <c r="AE151" s="1"/>
      <c r="AF151" s="1"/>
      <c r="AG151" s="1"/>
      <c r="AH151" s="1"/>
      <c r="AI151" s="1"/>
      <c r="AJ151" s="1"/>
      <c r="AK151" s="1"/>
      <c r="AL151" s="1"/>
    </row>
    <row r="152" spans="7:38" ht="14.25" hidden="1" customHeight="1" x14ac:dyDescent="0.2">
      <c r="G152" s="74">
        <v>45743.493055555555</v>
      </c>
      <c r="H152" s="107" t="s">
        <v>190</v>
      </c>
      <c r="I152" s="107"/>
      <c r="J152" s="116">
        <v>51910.962800000001</v>
      </c>
      <c r="K152" s="116">
        <v>159188.60079999999</v>
      </c>
      <c r="L152" s="116">
        <v>18.794599999999999</v>
      </c>
      <c r="M152" s="75">
        <v>51910.962</v>
      </c>
      <c r="N152" s="75">
        <v>159188.601</v>
      </c>
      <c r="O152" s="75">
        <v>18.795000000000002</v>
      </c>
      <c r="P152" s="76">
        <v>-8.0000000161817297E-4</v>
      </c>
      <c r="Q152" s="109" cm="1">
        <f t="array" ref="Q15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2" s="76">
        <v>2.0000000949949026E-4</v>
      </c>
      <c r="S152" s="77" cm="1">
        <f t="array" ref="S15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2" s="76">
        <v>4.0000000000262048E-4</v>
      </c>
      <c r="U152" s="77" cm="1">
        <f t="array" ref="U15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2" s="107" t="s">
        <v>85</v>
      </c>
      <c r="Z152" s="107"/>
      <c r="AA152" s="126">
        <f>SUBTOTAL(105,ReportSummary___Chart[Diff to BL. East.],ReportSummary___Chart[Diff to BL. North.],ReportSummary___Chart[Diff to BL. Level])</f>
        <v>-1.0000000000012221E-3</v>
      </c>
      <c r="AB152" s="114">
        <f>SUBTOTAL(104,ReportSummary___Chart[Diff to BL. East.],ReportSummary___Chart[Diff to BL. North.],ReportSummary___Chart[Diff to BL. Level])</f>
        <v>1.0000000038417056E-3</v>
      </c>
      <c r="AC152" s="1"/>
      <c r="AD152" s="1"/>
      <c r="AE152" s="1"/>
      <c r="AF152" s="1"/>
      <c r="AG152" s="1"/>
      <c r="AH152" s="1"/>
      <c r="AI152" s="1"/>
      <c r="AJ152" s="1"/>
      <c r="AK152" s="1"/>
      <c r="AL152" s="1"/>
    </row>
    <row r="153" spans="7:38" ht="14.25" hidden="1" customHeight="1" x14ac:dyDescent="0.2">
      <c r="G153" s="74">
        <v>45743.493055555555</v>
      </c>
      <c r="H153" s="107" t="s">
        <v>189</v>
      </c>
      <c r="I153" s="107"/>
      <c r="J153" s="116">
        <v>51910.640099999997</v>
      </c>
      <c r="K153" s="116">
        <v>159187.3223</v>
      </c>
      <c r="L153" s="116">
        <v>18.7836</v>
      </c>
      <c r="M153" s="75">
        <v>51910.639000000003</v>
      </c>
      <c r="N153" s="75">
        <v>159187.323</v>
      </c>
      <c r="O153" s="75">
        <v>18.783000000000001</v>
      </c>
      <c r="P153" s="76">
        <v>-1.0999999940395355E-3</v>
      </c>
      <c r="Q153" s="109" cm="1">
        <f t="array" ref="Q15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3" s="76">
        <v>7.0000000414438546E-4</v>
      </c>
      <c r="S153" s="77" cm="1">
        <f t="array" ref="S15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3" s="76">
        <v>-5.9999999999860165E-4</v>
      </c>
      <c r="U153" s="77" cm="1">
        <f t="array" ref="U15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3" s="107" t="s">
        <v>85</v>
      </c>
      <c r="Z153" s="107"/>
      <c r="AA153" s="126">
        <f>SUBTOTAL(105,ReportSummary___Chart[Diff to BL. East.],ReportSummary___Chart[Diff to BL. North.],ReportSummary___Chart[Diff to BL. Level])</f>
        <v>-1.0000000000012221E-3</v>
      </c>
      <c r="AB153" s="114">
        <f>SUBTOTAL(104,ReportSummary___Chart[Diff to BL. East.],ReportSummary___Chart[Diff to BL. North.],ReportSummary___Chart[Diff to BL. Level])</f>
        <v>1.0000000038417056E-3</v>
      </c>
      <c r="AC153" s="1"/>
      <c r="AD153" s="1"/>
      <c r="AE153" s="1"/>
      <c r="AF153" s="1"/>
      <c r="AG153" s="1"/>
      <c r="AH153" s="1"/>
      <c r="AI153" s="1"/>
      <c r="AJ153" s="1"/>
      <c r="AK153" s="1"/>
      <c r="AL153" s="1"/>
    </row>
    <row r="154" spans="7:38" ht="14.25" hidden="1" customHeight="1" x14ac:dyDescent="0.2">
      <c r="G154" s="74">
        <v>45743.493055555555</v>
      </c>
      <c r="H154" s="107" t="s">
        <v>192</v>
      </c>
      <c r="I154" s="107"/>
      <c r="J154" s="116">
        <v>51913.751100000001</v>
      </c>
      <c r="K154" s="116">
        <v>159187.9178</v>
      </c>
      <c r="L154" s="116">
        <v>18.809000000000001</v>
      </c>
      <c r="M154" s="75">
        <v>51913.75</v>
      </c>
      <c r="N154" s="75">
        <v>159187.91800000001</v>
      </c>
      <c r="O154" s="75">
        <v>18.809000000000001</v>
      </c>
      <c r="P154" s="76">
        <v>-1.1000000013154931E-3</v>
      </c>
      <c r="Q154" s="109" cm="1">
        <f t="array" ref="Q15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4" s="76">
        <v>2.0000000949949026E-4</v>
      </c>
      <c r="S154" s="77" cm="1">
        <f t="array" ref="S15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4" s="76">
        <v>0</v>
      </c>
      <c r="U154" s="77" cm="1">
        <f t="array" ref="U15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4" s="107" t="s">
        <v>85</v>
      </c>
      <c r="Z154" s="107"/>
      <c r="AA154" s="126">
        <f>SUBTOTAL(105,ReportSummary___Chart[Diff to BL. East.],ReportSummary___Chart[Diff to BL. North.],ReportSummary___Chart[Diff to BL. Level])</f>
        <v>-1.0000000000012221E-3</v>
      </c>
      <c r="AB154" s="114">
        <f>SUBTOTAL(104,ReportSummary___Chart[Diff to BL. East.],ReportSummary___Chart[Diff to BL. North.],ReportSummary___Chart[Diff to BL. Level])</f>
        <v>1.0000000038417056E-3</v>
      </c>
      <c r="AC154" s="1"/>
      <c r="AD154" s="1"/>
      <c r="AE154" s="1"/>
      <c r="AF154" s="1"/>
      <c r="AG154" s="1"/>
      <c r="AH154" s="1"/>
      <c r="AI154" s="1"/>
      <c r="AJ154" s="1"/>
      <c r="AK154" s="1"/>
      <c r="AL154" s="1"/>
    </row>
    <row r="155" spans="7:38" ht="14.25" hidden="1" customHeight="1" x14ac:dyDescent="0.2">
      <c r="G155" s="74">
        <v>45743.493055555555</v>
      </c>
      <c r="H155" s="107" t="s">
        <v>191</v>
      </c>
      <c r="I155" s="107"/>
      <c r="J155" s="116">
        <v>51913.421499999997</v>
      </c>
      <c r="K155" s="116">
        <v>159186.63630000001</v>
      </c>
      <c r="L155" s="116">
        <v>18.794899999999998</v>
      </c>
      <c r="M155" s="75">
        <v>51913.42</v>
      </c>
      <c r="N155" s="75">
        <v>159186.63699999999</v>
      </c>
      <c r="O155" s="75">
        <v>18.795000000000002</v>
      </c>
      <c r="P155" s="76">
        <v>-1.4999999984866008E-3</v>
      </c>
      <c r="Q155" s="109" cm="1">
        <f t="array" ref="Q15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5" s="76">
        <v>6.99999975040555E-4</v>
      </c>
      <c r="S155" s="77" cm="1">
        <f t="array" ref="S15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5" s="76">
        <v>1.0000000000331966E-4</v>
      </c>
      <c r="U155" s="77" cm="1">
        <f t="array" ref="U15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5" s="107" t="s">
        <v>85</v>
      </c>
      <c r="Z155" s="107"/>
      <c r="AA155" s="126">
        <f>SUBTOTAL(105,ReportSummary___Chart[Diff to BL. East.],ReportSummary___Chart[Diff to BL. North.],ReportSummary___Chart[Diff to BL. Level])</f>
        <v>-1.0000000000012221E-3</v>
      </c>
      <c r="AB155" s="114">
        <f>SUBTOTAL(104,ReportSummary___Chart[Diff to BL. East.],ReportSummary___Chart[Diff to BL. North.],ReportSummary___Chart[Diff to BL. Level])</f>
        <v>1.0000000038417056E-3</v>
      </c>
      <c r="AC155" s="1"/>
      <c r="AD155" s="1"/>
      <c r="AE155" s="1"/>
      <c r="AF155" s="1"/>
      <c r="AG155" s="1"/>
      <c r="AH155" s="1"/>
      <c r="AI155" s="1"/>
      <c r="AJ155" s="1"/>
      <c r="AK155" s="1"/>
      <c r="AL155" s="1"/>
    </row>
    <row r="156" spans="7:38" ht="14.25" hidden="1" customHeight="1" x14ac:dyDescent="0.2">
      <c r="G156" s="74">
        <v>45743.493055555555</v>
      </c>
      <c r="H156" s="107" t="s">
        <v>165</v>
      </c>
      <c r="I156" s="107"/>
      <c r="J156" s="116">
        <v>51884.538999999997</v>
      </c>
      <c r="K156" s="116">
        <v>159193.38269999999</v>
      </c>
      <c r="L156" s="116">
        <v>19.331700000000001</v>
      </c>
      <c r="M156" s="75">
        <v>51884.538999999997</v>
      </c>
      <c r="N156" s="75">
        <v>159193.38200000001</v>
      </c>
      <c r="O156" s="75">
        <v>19.331</v>
      </c>
      <c r="P156" s="76">
        <v>0</v>
      </c>
      <c r="Q156" s="109" cm="1">
        <f t="array" ref="Q15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6" s="76">
        <v>-6.99999975040555E-4</v>
      </c>
      <c r="S156" s="77" cm="1">
        <f t="array" ref="S15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6" s="76">
        <v>-7.0000000000192131E-4</v>
      </c>
      <c r="U156" s="77" cm="1">
        <f t="array" ref="U15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6" s="107" t="s">
        <v>85</v>
      </c>
      <c r="Z156" s="107"/>
      <c r="AA156" s="126">
        <f>SUBTOTAL(105,ReportSummary___Chart[Diff to BL. East.],ReportSummary___Chart[Diff to BL. North.],ReportSummary___Chart[Diff to BL. Level])</f>
        <v>-1.0000000000012221E-3</v>
      </c>
      <c r="AB156" s="114">
        <f>SUBTOTAL(104,ReportSummary___Chart[Diff to BL. East.],ReportSummary___Chart[Diff to BL. North.],ReportSummary___Chart[Diff to BL. Level])</f>
        <v>1.0000000038417056E-3</v>
      </c>
      <c r="AC156" s="1"/>
      <c r="AD156" s="1"/>
      <c r="AE156" s="1"/>
      <c r="AF156" s="1"/>
      <c r="AG156" s="1"/>
      <c r="AH156" s="1"/>
      <c r="AI156" s="1"/>
      <c r="AJ156" s="1"/>
      <c r="AK156" s="1"/>
      <c r="AL156" s="1"/>
    </row>
    <row r="157" spans="7:38" ht="14.25" hidden="1" customHeight="1" x14ac:dyDescent="0.2">
      <c r="G157" s="74">
        <v>45743.493055555555</v>
      </c>
      <c r="H157" s="107" t="s">
        <v>166</v>
      </c>
      <c r="I157" s="107"/>
      <c r="J157" s="116">
        <v>51890.2863</v>
      </c>
      <c r="K157" s="116">
        <v>159191.73069999999</v>
      </c>
      <c r="L157" s="116">
        <v>19.321999999999999</v>
      </c>
      <c r="M157" s="75">
        <v>51890.286</v>
      </c>
      <c r="N157" s="75">
        <v>159191.73000000001</v>
      </c>
      <c r="O157" s="75">
        <v>19.321999999999999</v>
      </c>
      <c r="P157" s="76">
        <v>-2.9999999969732016E-4</v>
      </c>
      <c r="Q157" s="109" cm="1">
        <f t="array" ref="Q15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7" s="76">
        <v>-6.99999975040555E-4</v>
      </c>
      <c r="S157" s="77" cm="1">
        <f t="array" ref="S15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7" s="76">
        <v>0</v>
      </c>
      <c r="U157" s="77" cm="1">
        <f t="array" ref="U15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7" s="107" t="s">
        <v>85</v>
      </c>
      <c r="Z157" s="107"/>
      <c r="AA157" s="126">
        <f>SUBTOTAL(105,ReportSummary___Chart[Diff to BL. East.],ReportSummary___Chart[Diff to BL. North.],ReportSummary___Chart[Diff to BL. Level])</f>
        <v>-1.0000000000012221E-3</v>
      </c>
      <c r="AB157" s="114">
        <f>SUBTOTAL(104,ReportSummary___Chart[Diff to BL. East.],ReportSummary___Chart[Diff to BL. North.],ReportSummary___Chart[Diff to BL. Level])</f>
        <v>1.0000000038417056E-3</v>
      </c>
      <c r="AC157" s="1"/>
      <c r="AD157" s="1"/>
      <c r="AE157" s="1"/>
      <c r="AF157" s="1"/>
      <c r="AG157" s="1"/>
      <c r="AH157" s="1"/>
      <c r="AI157" s="1"/>
      <c r="AJ157" s="1"/>
      <c r="AK157" s="1"/>
      <c r="AL157" s="1"/>
    </row>
    <row r="158" spans="7:38" ht="14.25" hidden="1" customHeight="1" x14ac:dyDescent="0.2">
      <c r="G158" s="74">
        <v>45743.493055555555</v>
      </c>
      <c r="H158" s="107" t="s">
        <v>167</v>
      </c>
      <c r="I158" s="107"/>
      <c r="J158" s="116">
        <v>51895.920700000002</v>
      </c>
      <c r="K158" s="116">
        <v>159190.1</v>
      </c>
      <c r="L158" s="116">
        <v>19.334</v>
      </c>
      <c r="M158" s="75">
        <v>51895.921000000002</v>
      </c>
      <c r="N158" s="75">
        <v>159190.1</v>
      </c>
      <c r="O158" s="75">
        <v>19.334</v>
      </c>
      <c r="P158" s="76">
        <v>2.9999999969732016E-4</v>
      </c>
      <c r="Q158" s="109" cm="1">
        <f t="array" ref="Q15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8" s="76">
        <v>0</v>
      </c>
      <c r="S158" s="77" cm="1">
        <f t="array" ref="S15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8" s="76">
        <v>0</v>
      </c>
      <c r="U158" s="77" cm="1">
        <f t="array" ref="U15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8" s="107" t="s">
        <v>85</v>
      </c>
      <c r="Z158" s="107"/>
      <c r="AA158" s="126">
        <f>SUBTOTAL(105,ReportSummary___Chart[Diff to BL. East.],ReportSummary___Chart[Diff to BL. North.],ReportSummary___Chart[Diff to BL. Level])</f>
        <v>-1.0000000000012221E-3</v>
      </c>
      <c r="AB158" s="114">
        <f>SUBTOTAL(104,ReportSummary___Chart[Diff to BL. East.],ReportSummary___Chart[Diff to BL. North.],ReportSummary___Chart[Diff to BL. Level])</f>
        <v>1.0000000038417056E-3</v>
      </c>
      <c r="AC158" s="1"/>
      <c r="AD158" s="1"/>
      <c r="AE158" s="1"/>
      <c r="AF158" s="1"/>
      <c r="AG158" s="1"/>
      <c r="AH158" s="1"/>
      <c r="AI158" s="1"/>
      <c r="AJ158" s="1"/>
      <c r="AK158" s="1"/>
      <c r="AL158" s="1"/>
    </row>
    <row r="159" spans="7:38" ht="14.25" hidden="1" customHeight="1" x14ac:dyDescent="0.2">
      <c r="G159" s="74">
        <v>45743.493055555555</v>
      </c>
      <c r="H159" s="107" t="s">
        <v>168</v>
      </c>
      <c r="I159" s="107"/>
      <c r="J159" s="116">
        <v>51899.7667</v>
      </c>
      <c r="K159" s="116">
        <v>159188.9933</v>
      </c>
      <c r="L159" s="116">
        <v>19.344999999999999</v>
      </c>
      <c r="M159" s="75">
        <v>51899.767</v>
      </c>
      <c r="N159" s="75">
        <v>159188.99299999999</v>
      </c>
      <c r="O159" s="75">
        <v>19.344999999999999</v>
      </c>
      <c r="P159" s="76">
        <v>2.9999999969732016E-4</v>
      </c>
      <c r="Q159" s="109" cm="1">
        <f t="array" ref="Q15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59" s="76">
        <v>-3.0000001424923539E-4</v>
      </c>
      <c r="S159" s="77" cm="1">
        <f t="array" ref="S15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59" s="76">
        <v>0</v>
      </c>
      <c r="U159" s="77" cm="1">
        <f t="array" ref="U15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5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5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5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59" s="107" t="s">
        <v>85</v>
      </c>
      <c r="Z159" s="107"/>
      <c r="AA159" s="126">
        <f>SUBTOTAL(105,ReportSummary___Chart[Diff to BL. East.],ReportSummary___Chart[Diff to BL. North.],ReportSummary___Chart[Diff to BL. Level])</f>
        <v>-1.0000000000012221E-3</v>
      </c>
      <c r="AB159" s="114">
        <f>SUBTOTAL(104,ReportSummary___Chart[Diff to BL. East.],ReportSummary___Chart[Diff to BL. North.],ReportSummary___Chart[Diff to BL. Level])</f>
        <v>1.0000000038417056E-3</v>
      </c>
      <c r="AC159" s="1"/>
      <c r="AD159" s="1"/>
      <c r="AE159" s="1"/>
      <c r="AF159" s="1"/>
      <c r="AG159" s="1"/>
      <c r="AH159" s="1"/>
      <c r="AI159" s="1"/>
      <c r="AJ159" s="1"/>
      <c r="AK159" s="1"/>
      <c r="AL159" s="1"/>
    </row>
    <row r="160" spans="7:38" ht="14.25" hidden="1" customHeight="1" x14ac:dyDescent="0.2">
      <c r="G160" s="74">
        <v>45743.493055555555</v>
      </c>
      <c r="H160" s="107" t="s">
        <v>169</v>
      </c>
      <c r="I160" s="107"/>
      <c r="J160" s="116">
        <v>51903.6083</v>
      </c>
      <c r="K160" s="116">
        <v>159187.88200000001</v>
      </c>
      <c r="L160" s="116">
        <v>19.356999999999999</v>
      </c>
      <c r="M160" s="75">
        <v>51903.608</v>
      </c>
      <c r="N160" s="75">
        <v>159187.88200000001</v>
      </c>
      <c r="O160" s="75">
        <v>19.356999999999999</v>
      </c>
      <c r="P160" s="76">
        <v>-2.9999999969732016E-4</v>
      </c>
      <c r="Q160" s="109" cm="1">
        <f t="array" ref="Q16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0" s="76">
        <v>0</v>
      </c>
      <c r="S160" s="77" cm="1">
        <f t="array" ref="S16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0" s="76">
        <v>0</v>
      </c>
      <c r="U160" s="77" cm="1">
        <f t="array" ref="U16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0" s="107" t="s">
        <v>85</v>
      </c>
      <c r="Z160" s="107"/>
      <c r="AA160" s="126">
        <f>SUBTOTAL(105,ReportSummary___Chart[Diff to BL. East.],ReportSummary___Chart[Diff to BL. North.],ReportSummary___Chart[Diff to BL. Level])</f>
        <v>-1.0000000000012221E-3</v>
      </c>
      <c r="AB160" s="114">
        <f>SUBTOTAL(104,ReportSummary___Chart[Diff to BL. East.],ReportSummary___Chart[Diff to BL. North.],ReportSummary___Chart[Diff to BL. Level])</f>
        <v>1.0000000038417056E-3</v>
      </c>
      <c r="AC160" s="1"/>
      <c r="AD160" s="1"/>
      <c r="AE160" s="1"/>
      <c r="AF160" s="1"/>
      <c r="AG160" s="1"/>
      <c r="AH160" s="1"/>
      <c r="AI160" s="1"/>
      <c r="AJ160" s="1"/>
      <c r="AK160" s="1"/>
      <c r="AL160" s="1"/>
    </row>
    <row r="161" spans="7:38" ht="14.25" hidden="1" customHeight="1" x14ac:dyDescent="0.2">
      <c r="G161" s="74">
        <v>45743.493055555555</v>
      </c>
      <c r="H161" s="107" t="s">
        <v>170</v>
      </c>
      <c r="I161" s="107"/>
      <c r="J161" s="116">
        <v>51910.065000000002</v>
      </c>
      <c r="K161" s="116">
        <v>159186.02369999999</v>
      </c>
      <c r="L161" s="116">
        <v>19.356999999999999</v>
      </c>
      <c r="M161" s="75">
        <v>51910.065000000002</v>
      </c>
      <c r="N161" s="75">
        <v>159186.024</v>
      </c>
      <c r="O161" s="75">
        <v>19.356999999999999</v>
      </c>
      <c r="P161" s="76">
        <v>0</v>
      </c>
      <c r="Q161" s="109" cm="1">
        <f t="array" ref="Q16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1" s="76">
        <v>3.0000001424923539E-4</v>
      </c>
      <c r="S161" s="77" cm="1">
        <f t="array" ref="S16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1" s="76">
        <v>0</v>
      </c>
      <c r="U161" s="77" cm="1">
        <f t="array" ref="U16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1" s="107" t="s">
        <v>85</v>
      </c>
      <c r="Z161" s="107"/>
      <c r="AA161" s="126">
        <f>SUBTOTAL(105,ReportSummary___Chart[Diff to BL. East.],ReportSummary___Chart[Diff to BL. North.],ReportSummary___Chart[Diff to BL. Level])</f>
        <v>-1.0000000000012221E-3</v>
      </c>
      <c r="AB161" s="114">
        <f>SUBTOTAL(104,ReportSummary___Chart[Diff to BL. East.],ReportSummary___Chart[Diff to BL. North.],ReportSummary___Chart[Diff to BL. Level])</f>
        <v>1.0000000038417056E-3</v>
      </c>
      <c r="AC161" s="1"/>
      <c r="AD161" s="1"/>
      <c r="AE161" s="1"/>
      <c r="AF161" s="1"/>
      <c r="AG161" s="1"/>
      <c r="AH161" s="1"/>
      <c r="AI161" s="1"/>
      <c r="AJ161" s="1"/>
      <c r="AK161" s="1"/>
      <c r="AL161" s="1"/>
    </row>
    <row r="162" spans="7:38" ht="14.25" hidden="1" customHeight="1" x14ac:dyDescent="0.2">
      <c r="G162" s="74">
        <v>45733.840277777781</v>
      </c>
      <c r="H162" s="107" t="s">
        <v>171</v>
      </c>
      <c r="I162" s="107"/>
      <c r="J162" s="116">
        <v>51884.958899999998</v>
      </c>
      <c r="K162" s="116">
        <v>159194.47070000001</v>
      </c>
      <c r="L162" s="116">
        <v>18.778099999999998</v>
      </c>
      <c r="M162" s="75">
        <v>51884.958700000003</v>
      </c>
      <c r="N162" s="75">
        <v>159194.47</v>
      </c>
      <c r="O162" s="75">
        <v>18.778300000000002</v>
      </c>
      <c r="P162" s="76">
        <v>-1.9999999494757503E-4</v>
      </c>
      <c r="Q162" s="109" cm="1">
        <f t="array" ref="Q16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2" s="76">
        <v>-7.0000000414438546E-4</v>
      </c>
      <c r="S162" s="77" cm="1">
        <f t="array" ref="S16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2" s="76">
        <v>2.000000000030866E-4</v>
      </c>
      <c r="U162" s="77" cm="1">
        <f t="array" ref="U16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2" s="107" t="s">
        <v>85</v>
      </c>
      <c r="Z162" s="107"/>
      <c r="AA162" s="126">
        <f>SUBTOTAL(105,ReportSummary___Chart[Diff to BL. East.],ReportSummary___Chart[Diff to BL. North.],ReportSummary___Chart[Diff to BL. Level])</f>
        <v>-1.0000000000012221E-3</v>
      </c>
      <c r="AB162" s="114">
        <f>SUBTOTAL(104,ReportSummary___Chart[Diff to BL. East.],ReportSummary___Chart[Diff to BL. North.],ReportSummary___Chart[Diff to BL. Level])</f>
        <v>1.0000000038417056E-3</v>
      </c>
      <c r="AC162" s="1"/>
      <c r="AD162" s="1"/>
      <c r="AE162" s="1"/>
      <c r="AF162" s="1"/>
      <c r="AG162" s="1"/>
      <c r="AH162" s="1"/>
      <c r="AI162" s="1"/>
      <c r="AJ162" s="1"/>
      <c r="AK162" s="1"/>
      <c r="AL162" s="1"/>
    </row>
    <row r="163" spans="7:38" ht="14.25" hidden="1" customHeight="1" x14ac:dyDescent="0.2">
      <c r="G163" s="74">
        <v>45733.840277777781</v>
      </c>
      <c r="H163" s="107" t="s">
        <v>174</v>
      </c>
      <c r="I163" s="107"/>
      <c r="J163" s="116">
        <v>51888.117700000003</v>
      </c>
      <c r="K163" s="116">
        <v>159194.94529999999</v>
      </c>
      <c r="L163" s="116">
        <v>18.7788</v>
      </c>
      <c r="M163" s="75">
        <v>51888.117200000001</v>
      </c>
      <c r="N163" s="75">
        <v>159194.9448</v>
      </c>
      <c r="O163" s="75">
        <v>18.778400000000001</v>
      </c>
      <c r="P163" s="76">
        <v>-5.0000000192085281E-4</v>
      </c>
      <c r="Q163" s="109" cm="1">
        <f t="array" ref="Q16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3" s="76">
        <v>-4.999999946448952E-4</v>
      </c>
      <c r="S163" s="77" cm="1">
        <f t="array" ref="S16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3" s="76">
        <v>-3.9999999999906777E-4</v>
      </c>
      <c r="U163" s="77" cm="1">
        <f t="array" ref="U16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3" s="107" t="s">
        <v>85</v>
      </c>
      <c r="Z163" s="107"/>
      <c r="AA163" s="126">
        <f>SUBTOTAL(105,ReportSummary___Chart[Diff to BL. East.],ReportSummary___Chart[Diff to BL. North.],ReportSummary___Chart[Diff to BL. Level])</f>
        <v>-1.0000000000012221E-3</v>
      </c>
      <c r="AB163" s="114">
        <f>SUBTOTAL(104,ReportSummary___Chart[Diff to BL. East.],ReportSummary___Chart[Diff to BL. North.],ReportSummary___Chart[Diff to BL. Level])</f>
        <v>1.0000000038417056E-3</v>
      </c>
      <c r="AC163" s="1"/>
      <c r="AD163" s="1"/>
      <c r="AE163" s="1"/>
      <c r="AF163" s="1"/>
      <c r="AG163" s="1"/>
      <c r="AH163" s="1"/>
      <c r="AI163" s="1"/>
      <c r="AJ163" s="1"/>
      <c r="AK163" s="1"/>
      <c r="AL163" s="1"/>
    </row>
    <row r="164" spans="7:38" ht="14.25" hidden="1" customHeight="1" x14ac:dyDescent="0.2">
      <c r="G164" s="74">
        <v>45733.840277777781</v>
      </c>
      <c r="H164" s="107" t="s">
        <v>173</v>
      </c>
      <c r="I164" s="107"/>
      <c r="J164" s="116">
        <v>51887.805099999998</v>
      </c>
      <c r="K164" s="116">
        <v>159193.65710000001</v>
      </c>
      <c r="L164" s="116">
        <v>18.778500000000001</v>
      </c>
      <c r="M164" s="75">
        <v>51887.804300000003</v>
      </c>
      <c r="N164" s="75">
        <v>159193.65640000001</v>
      </c>
      <c r="O164" s="75">
        <v>18.778500000000001</v>
      </c>
      <c r="P164" s="76">
        <v>-7.9999999434221536E-4</v>
      </c>
      <c r="Q164" s="109" cm="1">
        <f t="array" ref="Q16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4" s="76">
        <v>-7.0000000414438546E-4</v>
      </c>
      <c r="S164" s="77" cm="1">
        <f t="array" ref="S16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4" s="76">
        <v>0</v>
      </c>
      <c r="U164" s="77" cm="1">
        <f t="array" ref="U16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4" s="107" t="s">
        <v>85</v>
      </c>
      <c r="Z164" s="107"/>
      <c r="AA164" s="126">
        <f>SUBTOTAL(105,ReportSummary___Chart[Diff to BL. East.],ReportSummary___Chart[Diff to BL. North.],ReportSummary___Chart[Diff to BL. Level])</f>
        <v>-1.0000000000012221E-3</v>
      </c>
      <c r="AB164" s="114">
        <f>SUBTOTAL(104,ReportSummary___Chart[Diff to BL. East.],ReportSummary___Chart[Diff to BL. North.],ReportSummary___Chart[Diff to BL. Level])</f>
        <v>1.0000000038417056E-3</v>
      </c>
      <c r="AC164" s="1"/>
      <c r="AD164" s="1"/>
      <c r="AE164" s="1"/>
      <c r="AF164" s="1"/>
      <c r="AG164" s="1"/>
      <c r="AH164" s="1"/>
      <c r="AI164" s="1"/>
      <c r="AJ164" s="1"/>
      <c r="AK164" s="1"/>
      <c r="AL164" s="1"/>
    </row>
    <row r="165" spans="7:38" ht="14.25" hidden="1" customHeight="1" x14ac:dyDescent="0.2">
      <c r="G165" s="74">
        <v>45733.840277777781</v>
      </c>
      <c r="H165" s="107" t="s">
        <v>176</v>
      </c>
      <c r="I165" s="107"/>
      <c r="J165" s="116">
        <v>51890.969100000002</v>
      </c>
      <c r="K165" s="116">
        <v>159194.1177</v>
      </c>
      <c r="L165" s="116">
        <v>18.779</v>
      </c>
      <c r="M165" s="75">
        <v>51890.968200000003</v>
      </c>
      <c r="N165" s="75">
        <v>159194.11720000001</v>
      </c>
      <c r="O165" s="75">
        <v>18.779</v>
      </c>
      <c r="P165" s="76">
        <v>-8.9999999909196049E-4</v>
      </c>
      <c r="Q165" s="109" cm="1">
        <f t="array" ref="Q16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5" s="76">
        <v>-4.999999946448952E-4</v>
      </c>
      <c r="S165" s="77" cm="1">
        <f t="array" ref="S16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5" s="76">
        <v>0</v>
      </c>
      <c r="U165" s="77" cm="1">
        <f t="array" ref="U16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5" s="107" t="s">
        <v>85</v>
      </c>
      <c r="Z165" s="107"/>
      <c r="AA165" s="126">
        <f>SUBTOTAL(105,ReportSummary___Chart[Diff to BL. East.],ReportSummary___Chart[Diff to BL. North.],ReportSummary___Chart[Diff to BL. Level])</f>
        <v>-1.0000000000012221E-3</v>
      </c>
      <c r="AB165" s="114">
        <f>SUBTOTAL(104,ReportSummary___Chart[Diff to BL. East.],ReportSummary___Chart[Diff to BL. North.],ReportSummary___Chart[Diff to BL. Level])</f>
        <v>1.0000000038417056E-3</v>
      </c>
      <c r="AC165" s="1"/>
      <c r="AD165" s="1"/>
      <c r="AE165" s="1"/>
      <c r="AF165" s="1"/>
      <c r="AG165" s="1"/>
      <c r="AH165" s="1"/>
      <c r="AI165" s="1"/>
      <c r="AJ165" s="1"/>
      <c r="AK165" s="1"/>
      <c r="AL165" s="1"/>
    </row>
    <row r="166" spans="7:38" ht="14.25" hidden="1" customHeight="1" x14ac:dyDescent="0.2">
      <c r="G166" s="74">
        <v>45733.840277777781</v>
      </c>
      <c r="H166" s="107" t="s">
        <v>175</v>
      </c>
      <c r="I166" s="107"/>
      <c r="J166" s="116">
        <v>51890.606800000001</v>
      </c>
      <c r="K166" s="116">
        <v>159192.86069999999</v>
      </c>
      <c r="L166" s="116">
        <v>18.771999999999998</v>
      </c>
      <c r="M166" s="75">
        <v>51890.606399999997</v>
      </c>
      <c r="N166" s="75">
        <v>159192.8602</v>
      </c>
      <c r="O166" s="75">
        <v>18.771999999999998</v>
      </c>
      <c r="P166" s="76">
        <v>-4.0000000444706529E-4</v>
      </c>
      <c r="Q166" s="109" cm="1">
        <f t="array" ref="Q16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6" s="76">
        <v>-4.999999946448952E-4</v>
      </c>
      <c r="S166" s="77" cm="1">
        <f t="array" ref="S16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6" s="76">
        <v>0</v>
      </c>
      <c r="U166" s="77" cm="1">
        <f t="array" ref="U16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6" s="107" t="s">
        <v>85</v>
      </c>
      <c r="Z166" s="107"/>
      <c r="AA166" s="126">
        <f>SUBTOTAL(105,ReportSummary___Chart[Diff to BL. East.],ReportSummary___Chart[Diff to BL. North.],ReportSummary___Chart[Diff to BL. Level])</f>
        <v>-1.0000000000012221E-3</v>
      </c>
      <c r="AB166" s="114">
        <f>SUBTOTAL(104,ReportSummary___Chart[Diff to BL. East.],ReportSummary___Chart[Diff to BL. North.],ReportSummary___Chart[Diff to BL. Level])</f>
        <v>1.0000000038417056E-3</v>
      </c>
      <c r="AC166" s="1"/>
      <c r="AD166" s="1"/>
      <c r="AE166" s="1"/>
      <c r="AF166" s="1"/>
      <c r="AG166" s="1"/>
      <c r="AH166" s="1"/>
      <c r="AI166" s="1"/>
      <c r="AJ166" s="1"/>
      <c r="AK166" s="1"/>
      <c r="AL166" s="1"/>
    </row>
    <row r="167" spans="7:38" ht="14.25" hidden="1" customHeight="1" x14ac:dyDescent="0.2">
      <c r="G167" s="74">
        <v>45733.840277777781</v>
      </c>
      <c r="H167" s="107" t="s">
        <v>178</v>
      </c>
      <c r="I167" s="107"/>
      <c r="J167" s="116">
        <v>51893.758699999998</v>
      </c>
      <c r="K167" s="116">
        <v>159193.3144</v>
      </c>
      <c r="L167" s="116">
        <v>18.774100000000001</v>
      </c>
      <c r="M167" s="75">
        <v>51893.758199999997</v>
      </c>
      <c r="N167" s="75">
        <v>159193.31419999999</v>
      </c>
      <c r="O167" s="75">
        <v>18.7744</v>
      </c>
      <c r="P167" s="76">
        <v>-5.0000000192085281E-4</v>
      </c>
      <c r="Q167" s="109" cm="1">
        <f t="array" ref="Q16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7" s="76">
        <v>-2.0000000949949026E-4</v>
      </c>
      <c r="S167" s="77" cm="1">
        <f t="array" ref="S16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7" s="76">
        <v>2.9999999999930083E-4</v>
      </c>
      <c r="U167" s="77" cm="1">
        <f t="array" ref="U16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7" s="107" t="s">
        <v>85</v>
      </c>
      <c r="Z167" s="107"/>
      <c r="AA167" s="126">
        <f>SUBTOTAL(105,ReportSummary___Chart[Diff to BL. East.],ReportSummary___Chart[Diff to BL. North.],ReportSummary___Chart[Diff to BL. Level])</f>
        <v>-1.0000000000012221E-3</v>
      </c>
      <c r="AB167" s="114">
        <f>SUBTOTAL(104,ReportSummary___Chart[Diff to BL. East.],ReportSummary___Chart[Diff to BL. North.],ReportSummary___Chart[Diff to BL. Level])</f>
        <v>1.0000000038417056E-3</v>
      </c>
      <c r="AC167" s="1"/>
      <c r="AD167" s="1"/>
      <c r="AE167" s="1"/>
      <c r="AF167" s="1"/>
      <c r="AG167" s="1"/>
      <c r="AH167" s="1"/>
      <c r="AI167" s="1"/>
      <c r="AJ167" s="1"/>
      <c r="AK167" s="1"/>
      <c r="AL167" s="1"/>
    </row>
    <row r="168" spans="7:38" ht="14.25" hidden="1" customHeight="1" x14ac:dyDescent="0.2">
      <c r="G168" s="74">
        <v>45733.840277777781</v>
      </c>
      <c r="H168" s="107" t="s">
        <v>177</v>
      </c>
      <c r="I168" s="107"/>
      <c r="J168" s="116">
        <v>51893.441299999999</v>
      </c>
      <c r="K168" s="116">
        <v>159192.04019999999</v>
      </c>
      <c r="L168" s="116">
        <v>18.7683</v>
      </c>
      <c r="M168" s="75">
        <v>51893.440900000001</v>
      </c>
      <c r="N168" s="75">
        <v>159192.03969999999</v>
      </c>
      <c r="O168" s="75">
        <v>18.768999999999998</v>
      </c>
      <c r="P168" s="76">
        <v>-3.9999999717110768E-4</v>
      </c>
      <c r="Q168" s="109" cm="1">
        <f t="array" ref="Q16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8" s="76">
        <v>-4.999999946448952E-4</v>
      </c>
      <c r="S168" s="77" cm="1">
        <f t="array" ref="S16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8" s="76">
        <v>6.9999999999836859E-4</v>
      </c>
      <c r="U168" s="77" cm="1">
        <f t="array" ref="U16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8" s="107" t="s">
        <v>85</v>
      </c>
      <c r="Z168" s="107"/>
      <c r="AA168" s="126">
        <f>SUBTOTAL(105,ReportSummary___Chart[Diff to BL. East.],ReportSummary___Chart[Diff to BL. North.],ReportSummary___Chart[Diff to BL. Level])</f>
        <v>-1.0000000000012221E-3</v>
      </c>
      <c r="AB168" s="114">
        <f>SUBTOTAL(104,ReportSummary___Chart[Diff to BL. East.],ReportSummary___Chart[Diff to BL. North.],ReportSummary___Chart[Diff to BL. Level])</f>
        <v>1.0000000038417056E-3</v>
      </c>
      <c r="AC168" s="1"/>
      <c r="AD168" s="1"/>
      <c r="AE168" s="1"/>
      <c r="AF168" s="1"/>
      <c r="AG168" s="1"/>
      <c r="AH168" s="1"/>
      <c r="AI168" s="1"/>
      <c r="AJ168" s="1"/>
      <c r="AK168" s="1"/>
      <c r="AL168" s="1"/>
    </row>
    <row r="169" spans="7:38" ht="14.25" hidden="1" customHeight="1" x14ac:dyDescent="0.2">
      <c r="G169" s="74">
        <v>45733.840277777781</v>
      </c>
      <c r="H169" s="107" t="s">
        <v>180</v>
      </c>
      <c r="I169" s="107"/>
      <c r="J169" s="116">
        <v>51896.633300000001</v>
      </c>
      <c r="K169" s="116">
        <v>159192.48449999999</v>
      </c>
      <c r="L169" s="116">
        <v>18.7776</v>
      </c>
      <c r="M169" s="75">
        <v>51896.632899999997</v>
      </c>
      <c r="N169" s="75">
        <v>159192.48439999999</v>
      </c>
      <c r="O169" s="75">
        <v>18.777899999999999</v>
      </c>
      <c r="P169" s="76">
        <v>-4.0000000444706529E-4</v>
      </c>
      <c r="Q169" s="109" cm="1">
        <f t="array" ref="Q16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69" s="76">
        <v>-1.0000000474974513E-4</v>
      </c>
      <c r="S169" s="77" cm="1">
        <f t="array" ref="S16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69" s="76">
        <v>2.9999999999930083E-4</v>
      </c>
      <c r="U169" s="77" cm="1">
        <f t="array" ref="U16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6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6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6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69" s="107" t="s">
        <v>85</v>
      </c>
      <c r="Z169" s="107"/>
      <c r="AA169" s="126">
        <f>SUBTOTAL(105,ReportSummary___Chart[Diff to BL. East.],ReportSummary___Chart[Diff to BL. North.],ReportSummary___Chart[Diff to BL. Level])</f>
        <v>-1.0000000000012221E-3</v>
      </c>
      <c r="AB169" s="114">
        <f>SUBTOTAL(104,ReportSummary___Chart[Diff to BL. East.],ReportSummary___Chart[Diff to BL. North.],ReportSummary___Chart[Diff to BL. Level])</f>
        <v>1.0000000038417056E-3</v>
      </c>
      <c r="AC169" s="1"/>
      <c r="AD169" s="1"/>
      <c r="AE169" s="1"/>
      <c r="AF169" s="1"/>
      <c r="AG169" s="1"/>
      <c r="AH169" s="1"/>
      <c r="AI169" s="1"/>
      <c r="AJ169" s="1"/>
      <c r="AK169" s="1"/>
      <c r="AL169" s="1"/>
    </row>
    <row r="170" spans="7:38" ht="14.25" hidden="1" customHeight="1" x14ac:dyDescent="0.2">
      <c r="G170" s="74">
        <v>45733.840277777781</v>
      </c>
      <c r="H170" s="107" t="s">
        <v>179</v>
      </c>
      <c r="I170" s="107"/>
      <c r="J170" s="116">
        <v>51896.249799999998</v>
      </c>
      <c r="K170" s="116">
        <v>159191.22630000001</v>
      </c>
      <c r="L170" s="116">
        <v>18.7698</v>
      </c>
      <c r="M170" s="75">
        <v>51896.249300000003</v>
      </c>
      <c r="N170" s="75">
        <v>159191.22500000001</v>
      </c>
      <c r="O170" s="75">
        <v>18.770399999999999</v>
      </c>
      <c r="P170" s="76">
        <v>-4.999999946448952E-4</v>
      </c>
      <c r="Q170" s="109" cm="1">
        <f t="array" ref="Q17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0" s="76">
        <v>-1.3000000035390258E-3</v>
      </c>
      <c r="S170" s="77" cm="1">
        <f t="array" ref="S17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0" s="76">
        <v>5.9999999999860165E-4</v>
      </c>
      <c r="U170" s="77" cm="1">
        <f t="array" ref="U17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0" s="107" t="s">
        <v>85</v>
      </c>
      <c r="Z170" s="107"/>
      <c r="AA170" s="126">
        <f>SUBTOTAL(105,ReportSummary___Chart[Diff to BL. East.],ReportSummary___Chart[Diff to BL. North.],ReportSummary___Chart[Diff to BL. Level])</f>
        <v>-1.0000000000012221E-3</v>
      </c>
      <c r="AB170" s="114">
        <f>SUBTOTAL(104,ReportSummary___Chart[Diff to BL. East.],ReportSummary___Chart[Diff to BL. North.],ReportSummary___Chart[Diff to BL. Level])</f>
        <v>1.0000000038417056E-3</v>
      </c>
      <c r="AC170" s="1"/>
      <c r="AD170" s="1"/>
      <c r="AE170" s="1"/>
      <c r="AF170" s="1"/>
      <c r="AG170" s="1"/>
      <c r="AH170" s="1"/>
      <c r="AI170" s="1"/>
      <c r="AJ170" s="1"/>
      <c r="AK170" s="1"/>
      <c r="AL170" s="1"/>
    </row>
    <row r="171" spans="7:38" ht="14.25" hidden="1" customHeight="1" x14ac:dyDescent="0.2">
      <c r="G171" s="74">
        <v>45733.840277777781</v>
      </c>
      <c r="H171" s="107" t="s">
        <v>182</v>
      </c>
      <c r="I171" s="107"/>
      <c r="J171" s="116">
        <v>51899.398699999998</v>
      </c>
      <c r="K171" s="116">
        <v>159191.69760000001</v>
      </c>
      <c r="L171" s="116">
        <v>18.777999999999999</v>
      </c>
      <c r="M171" s="75">
        <v>51899.398200000003</v>
      </c>
      <c r="N171" s="75">
        <v>159191.69769999999</v>
      </c>
      <c r="O171" s="75">
        <v>18.778099999999998</v>
      </c>
      <c r="P171" s="76">
        <v>-4.999999946448952E-4</v>
      </c>
      <c r="Q171" s="109" cm="1">
        <f t="array" ref="Q17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1" s="76">
        <v>9.9999975645914674E-5</v>
      </c>
      <c r="S171" s="77" cm="1">
        <f t="array" ref="S17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1" s="76">
        <v>9.9999999999766942E-5</v>
      </c>
      <c r="U171" s="77" cm="1">
        <f t="array" ref="U17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1" s="107" t="s">
        <v>85</v>
      </c>
      <c r="Z171" s="107"/>
      <c r="AA171" s="126">
        <f>SUBTOTAL(105,ReportSummary___Chart[Diff to BL. East.],ReportSummary___Chart[Diff to BL. North.],ReportSummary___Chart[Diff to BL. Level])</f>
        <v>-1.0000000000012221E-3</v>
      </c>
      <c r="AB171" s="114">
        <f>SUBTOTAL(104,ReportSummary___Chart[Diff to BL. East.],ReportSummary___Chart[Diff to BL. North.],ReportSummary___Chart[Diff to BL. Level])</f>
        <v>1.0000000038417056E-3</v>
      </c>
      <c r="AC171" s="1"/>
      <c r="AD171" s="1"/>
      <c r="AE171" s="1"/>
      <c r="AF171" s="1"/>
      <c r="AG171" s="1"/>
      <c r="AH171" s="1"/>
      <c r="AI171" s="1"/>
      <c r="AJ171" s="1"/>
      <c r="AK171" s="1"/>
      <c r="AL171" s="1"/>
    </row>
    <row r="172" spans="7:38" ht="14.25" hidden="1" customHeight="1" x14ac:dyDescent="0.2">
      <c r="G172" s="74">
        <v>45733.840277777781</v>
      </c>
      <c r="H172" s="107" t="s">
        <v>181</v>
      </c>
      <c r="I172" s="107"/>
      <c r="J172" s="116">
        <v>51899.041100000002</v>
      </c>
      <c r="K172" s="116">
        <v>159190.43340000001</v>
      </c>
      <c r="L172" s="116">
        <v>18.771100000000001</v>
      </c>
      <c r="M172" s="75">
        <v>51899.040300000001</v>
      </c>
      <c r="N172" s="75">
        <v>159190.4332</v>
      </c>
      <c r="O172" s="75">
        <v>18.7712</v>
      </c>
      <c r="P172" s="76">
        <v>-8.0000000161817297E-4</v>
      </c>
      <c r="Q172" s="109" cm="1">
        <f t="array" ref="Q17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2" s="76">
        <v>-2.0000000949949026E-4</v>
      </c>
      <c r="S172" s="77" cm="1">
        <f t="array" ref="S17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2" s="76">
        <v>9.9999999999766942E-5</v>
      </c>
      <c r="U172" s="77" cm="1">
        <f t="array" ref="U17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2" s="107" t="s">
        <v>85</v>
      </c>
      <c r="Z172" s="107"/>
      <c r="AA172" s="126">
        <f>SUBTOTAL(105,ReportSummary___Chart[Diff to BL. East.],ReportSummary___Chart[Diff to BL. North.],ReportSummary___Chart[Diff to BL. Level])</f>
        <v>-1.0000000000012221E-3</v>
      </c>
      <c r="AB172" s="114">
        <f>SUBTOTAL(104,ReportSummary___Chart[Diff to BL. East.],ReportSummary___Chart[Diff to BL. North.],ReportSummary___Chart[Diff to BL. Level])</f>
        <v>1.0000000038417056E-3</v>
      </c>
      <c r="AC172" s="1"/>
      <c r="AD172" s="1"/>
      <c r="AE172" s="1"/>
      <c r="AF172" s="1"/>
      <c r="AG172" s="1"/>
      <c r="AH172" s="1"/>
      <c r="AI172" s="1"/>
      <c r="AJ172" s="1"/>
      <c r="AK172" s="1"/>
      <c r="AL172" s="1"/>
    </row>
    <row r="173" spans="7:38" ht="14.25" hidden="1" customHeight="1" x14ac:dyDescent="0.2">
      <c r="G173" s="74">
        <v>45733.840277777781</v>
      </c>
      <c r="H173" s="107" t="s">
        <v>184</v>
      </c>
      <c r="I173" s="107"/>
      <c r="J173" s="116">
        <v>51902.292699999998</v>
      </c>
      <c r="K173" s="116">
        <v>159190.88459999999</v>
      </c>
      <c r="L173" s="116">
        <v>18.779</v>
      </c>
      <c r="M173" s="75">
        <v>51902.292099999999</v>
      </c>
      <c r="N173" s="75">
        <v>159190.8849</v>
      </c>
      <c r="O173" s="75">
        <v>18.7789</v>
      </c>
      <c r="P173" s="76">
        <v>-5.9999999939464033E-4</v>
      </c>
      <c r="Q173" s="109" cm="1">
        <f t="array" ref="Q17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3" s="76">
        <v>3.0000001424923539E-4</v>
      </c>
      <c r="S173" s="77" cm="1">
        <f t="array" ref="S17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3" s="76">
        <v>-9.9999999999766942E-5</v>
      </c>
      <c r="U173" s="77" cm="1">
        <f t="array" ref="U17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3" s="107" t="s">
        <v>85</v>
      </c>
      <c r="Z173" s="107"/>
      <c r="AA173" s="126">
        <f>SUBTOTAL(105,ReportSummary___Chart[Diff to BL. East.],ReportSummary___Chart[Diff to BL. North.],ReportSummary___Chart[Diff to BL. Level])</f>
        <v>-1.0000000000012221E-3</v>
      </c>
      <c r="AB173" s="114">
        <f>SUBTOTAL(104,ReportSummary___Chart[Diff to BL. East.],ReportSummary___Chart[Diff to BL. North.],ReportSummary___Chart[Diff to BL. Level])</f>
        <v>1.0000000038417056E-3</v>
      </c>
      <c r="AC173" s="1"/>
      <c r="AD173" s="1"/>
      <c r="AE173" s="1"/>
      <c r="AF173" s="1"/>
      <c r="AG173" s="1"/>
      <c r="AH173" s="1"/>
      <c r="AI173" s="1"/>
      <c r="AJ173" s="1"/>
      <c r="AK173" s="1"/>
      <c r="AL173" s="1"/>
    </row>
    <row r="174" spans="7:38" ht="14.25" hidden="1" customHeight="1" x14ac:dyDescent="0.2">
      <c r="G174" s="74">
        <v>45733.840277777781</v>
      </c>
      <c r="H174" s="107" t="s">
        <v>183</v>
      </c>
      <c r="I174" s="107"/>
      <c r="J174" s="116">
        <v>51901.989200000004</v>
      </c>
      <c r="K174" s="116">
        <v>159189.60260000001</v>
      </c>
      <c r="L174" s="116">
        <v>18.770099999999999</v>
      </c>
      <c r="M174" s="75">
        <v>51901.988599999997</v>
      </c>
      <c r="N174" s="75">
        <v>159189.60279999999</v>
      </c>
      <c r="O174" s="75">
        <v>18.770199999999999</v>
      </c>
      <c r="P174" s="76">
        <v>-6.0000000667059794E-4</v>
      </c>
      <c r="Q174" s="109" cm="1">
        <f t="array" ref="Q17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4" s="76">
        <v>1.999999803956598E-4</v>
      </c>
      <c r="S174" s="77" cm="1">
        <f t="array" ref="S17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4" s="76">
        <v>9.9999999999766942E-5</v>
      </c>
      <c r="U174" s="77" cm="1">
        <f t="array" ref="U17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4" s="107" t="s">
        <v>85</v>
      </c>
      <c r="Z174" s="107"/>
      <c r="AA174" s="126">
        <f>SUBTOTAL(105,ReportSummary___Chart[Diff to BL. East.],ReportSummary___Chart[Diff to BL. North.],ReportSummary___Chart[Diff to BL. Level])</f>
        <v>-1.0000000000012221E-3</v>
      </c>
      <c r="AB174" s="114">
        <f>SUBTOTAL(104,ReportSummary___Chart[Diff to BL. East.],ReportSummary___Chart[Diff to BL. North.],ReportSummary___Chart[Diff to BL. Level])</f>
        <v>1.0000000038417056E-3</v>
      </c>
      <c r="AC174" s="1"/>
      <c r="AD174" s="1"/>
      <c r="AE174" s="1"/>
      <c r="AF174" s="1"/>
      <c r="AG174" s="1"/>
      <c r="AH174" s="1"/>
      <c r="AI174" s="1"/>
      <c r="AJ174" s="1"/>
      <c r="AK174" s="1"/>
      <c r="AL174" s="1"/>
    </row>
    <row r="175" spans="7:38" ht="14.25" hidden="1" customHeight="1" x14ac:dyDescent="0.2">
      <c r="G175" s="74">
        <v>45733.840277777781</v>
      </c>
      <c r="H175" s="107" t="s">
        <v>186</v>
      </c>
      <c r="I175" s="107"/>
      <c r="J175" s="116">
        <v>51905.196199999998</v>
      </c>
      <c r="K175" s="116">
        <v>159190.09460000001</v>
      </c>
      <c r="L175" s="116">
        <v>18.780899999999999</v>
      </c>
      <c r="M175" s="75">
        <v>51905.195599999999</v>
      </c>
      <c r="N175" s="75">
        <v>159190.0949</v>
      </c>
      <c r="O175" s="75">
        <v>18.7807</v>
      </c>
      <c r="P175" s="76">
        <v>-5.9999999939464033E-4</v>
      </c>
      <c r="Q175" s="109" cm="1">
        <f t="array" ref="Q17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5" s="76">
        <v>2.9999998514540493E-4</v>
      </c>
      <c r="S175" s="77" cm="1">
        <f t="array" ref="S17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5" s="76">
        <v>-1.9999999999953388E-4</v>
      </c>
      <c r="U175" s="77" cm="1">
        <f t="array" ref="U17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5" s="107" t="s">
        <v>85</v>
      </c>
      <c r="Z175" s="107"/>
      <c r="AA175" s="126">
        <f>SUBTOTAL(105,ReportSummary___Chart[Diff to BL. East.],ReportSummary___Chart[Diff to BL. North.],ReportSummary___Chart[Diff to BL. Level])</f>
        <v>-1.0000000000012221E-3</v>
      </c>
      <c r="AB175" s="114">
        <f>SUBTOTAL(104,ReportSummary___Chart[Diff to BL. East.],ReportSummary___Chart[Diff to BL. North.],ReportSummary___Chart[Diff to BL. Level])</f>
        <v>1.0000000038417056E-3</v>
      </c>
      <c r="AC175" s="1"/>
      <c r="AD175" s="1"/>
      <c r="AE175" s="1"/>
      <c r="AF175" s="1"/>
      <c r="AG175" s="1"/>
      <c r="AH175" s="1"/>
      <c r="AI175" s="1"/>
      <c r="AJ175" s="1"/>
      <c r="AK175" s="1"/>
      <c r="AL175" s="1"/>
    </row>
    <row r="176" spans="7:38" ht="14.25" hidden="1" customHeight="1" x14ac:dyDescent="0.2">
      <c r="G176" s="74">
        <v>45733.840277777781</v>
      </c>
      <c r="H176" s="107" t="s">
        <v>185</v>
      </c>
      <c r="I176" s="107"/>
      <c r="J176" s="116">
        <v>51904.885600000001</v>
      </c>
      <c r="K176" s="116">
        <v>159188.8046</v>
      </c>
      <c r="L176" s="116">
        <v>18.773099999999999</v>
      </c>
      <c r="M176" s="75">
        <v>51904.884899999997</v>
      </c>
      <c r="N176" s="75">
        <v>159188.80480000001</v>
      </c>
      <c r="O176" s="75">
        <v>18.773299999999999</v>
      </c>
      <c r="P176" s="76">
        <v>-7.0000000414438546E-4</v>
      </c>
      <c r="Q176" s="109" cm="1">
        <f t="array" ref="Q17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6" s="76">
        <v>2.0000000949949026E-4</v>
      </c>
      <c r="S176" s="77" cm="1">
        <f t="array" ref="S17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6" s="76">
        <v>1.9999999999953388E-4</v>
      </c>
      <c r="U176" s="77" cm="1">
        <f t="array" ref="U17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6" s="107" t="s">
        <v>85</v>
      </c>
      <c r="Z176" s="107"/>
      <c r="AA176" s="126">
        <f>SUBTOTAL(105,ReportSummary___Chart[Diff to BL. East.],ReportSummary___Chart[Diff to BL. North.],ReportSummary___Chart[Diff to BL. Level])</f>
        <v>-1.0000000000012221E-3</v>
      </c>
      <c r="AB176" s="114">
        <f>SUBTOTAL(104,ReportSummary___Chart[Diff to BL. East.],ReportSummary___Chart[Diff to BL. North.],ReportSummary___Chart[Diff to BL. Level])</f>
        <v>1.0000000038417056E-3</v>
      </c>
      <c r="AC176" s="1"/>
      <c r="AD176" s="1"/>
      <c r="AE176" s="1"/>
      <c r="AF176" s="1"/>
      <c r="AG176" s="1"/>
      <c r="AH176" s="1"/>
      <c r="AI176" s="1"/>
      <c r="AJ176" s="1"/>
      <c r="AK176" s="1"/>
      <c r="AL176" s="1"/>
    </row>
    <row r="177" spans="7:38" ht="14.25" hidden="1" customHeight="1" x14ac:dyDescent="0.2">
      <c r="G177" s="74">
        <v>45733.840277777781</v>
      </c>
      <c r="H177" s="107" t="s">
        <v>188</v>
      </c>
      <c r="I177" s="107"/>
      <c r="J177" s="116">
        <v>51907.9522</v>
      </c>
      <c r="K177" s="116">
        <v>159189.36230000001</v>
      </c>
      <c r="L177" s="116">
        <v>18.786000000000001</v>
      </c>
      <c r="M177" s="75">
        <v>51907.9516</v>
      </c>
      <c r="N177" s="75">
        <v>159189.3628</v>
      </c>
      <c r="O177" s="75">
        <v>18.786000000000001</v>
      </c>
      <c r="P177" s="76">
        <v>-5.9999999939464033E-4</v>
      </c>
      <c r="Q177" s="109" cm="1">
        <f t="array" ref="Q17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7" s="76">
        <v>4.999999946448952E-4</v>
      </c>
      <c r="S177" s="77" cm="1">
        <f t="array" ref="S17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7" s="76">
        <v>0</v>
      </c>
      <c r="U177" s="77" cm="1">
        <f t="array" ref="U17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7" s="107" t="s">
        <v>85</v>
      </c>
      <c r="Z177" s="107"/>
      <c r="AA177" s="126">
        <f>SUBTOTAL(105,ReportSummary___Chart[Diff to BL. East.],ReportSummary___Chart[Diff to BL. North.],ReportSummary___Chart[Diff to BL. Level])</f>
        <v>-1.0000000000012221E-3</v>
      </c>
      <c r="AB177" s="114">
        <f>SUBTOTAL(104,ReportSummary___Chart[Diff to BL. East.],ReportSummary___Chart[Diff to BL. North.],ReportSummary___Chart[Diff to BL. Level])</f>
        <v>1.0000000038417056E-3</v>
      </c>
      <c r="AC177" s="1"/>
      <c r="AD177" s="1"/>
      <c r="AE177" s="1"/>
      <c r="AF177" s="1"/>
      <c r="AG177" s="1"/>
      <c r="AH177" s="1"/>
      <c r="AI177" s="1"/>
      <c r="AJ177" s="1"/>
      <c r="AK177" s="1"/>
      <c r="AL177" s="1"/>
    </row>
    <row r="178" spans="7:38" ht="14.25" hidden="1" customHeight="1" x14ac:dyDescent="0.2">
      <c r="G178" s="74">
        <v>45733.840277777781</v>
      </c>
      <c r="H178" s="107" t="s">
        <v>187</v>
      </c>
      <c r="I178" s="107"/>
      <c r="J178" s="116">
        <v>51907.578699999998</v>
      </c>
      <c r="K178" s="116">
        <v>159188.09770000001</v>
      </c>
      <c r="L178" s="116">
        <v>18.776</v>
      </c>
      <c r="M178" s="75">
        <v>51907.578099999999</v>
      </c>
      <c r="N178" s="75">
        <v>159188.09820000001</v>
      </c>
      <c r="O178" s="75">
        <v>18.7761</v>
      </c>
      <c r="P178" s="76">
        <v>-5.9999999939464033E-4</v>
      </c>
      <c r="Q178" s="109" cm="1">
        <f t="array" ref="Q17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8" s="76">
        <v>4.999999946448952E-4</v>
      </c>
      <c r="S178" s="77" cm="1">
        <f t="array" ref="S17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8" s="76">
        <v>9.9999999999766942E-5</v>
      </c>
      <c r="U178" s="77" cm="1">
        <f t="array" ref="U17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8" s="107" t="s">
        <v>85</v>
      </c>
      <c r="Z178" s="107"/>
      <c r="AA178" s="126">
        <f>SUBTOTAL(105,ReportSummary___Chart[Diff to BL. East.],ReportSummary___Chart[Diff to BL. North.],ReportSummary___Chart[Diff to BL. Level])</f>
        <v>-1.0000000000012221E-3</v>
      </c>
      <c r="AB178" s="114">
        <f>SUBTOTAL(104,ReportSummary___Chart[Diff to BL. East.],ReportSummary___Chart[Diff to BL. North.],ReportSummary___Chart[Diff to BL. Level])</f>
        <v>1.0000000038417056E-3</v>
      </c>
      <c r="AC178" s="1"/>
      <c r="AD178" s="1"/>
      <c r="AE178" s="1"/>
      <c r="AF178" s="1"/>
      <c r="AG178" s="1"/>
      <c r="AH178" s="1"/>
      <c r="AI178" s="1"/>
      <c r="AJ178" s="1"/>
      <c r="AK178" s="1"/>
      <c r="AL178" s="1"/>
    </row>
    <row r="179" spans="7:38" ht="14.25" hidden="1" customHeight="1" x14ac:dyDescent="0.2">
      <c r="G179" s="74">
        <v>45733.840277777781</v>
      </c>
      <c r="H179" s="107" t="s">
        <v>190</v>
      </c>
      <c r="I179" s="107"/>
      <c r="J179" s="116">
        <v>51910.962800000001</v>
      </c>
      <c r="K179" s="116">
        <v>159188.60079999999</v>
      </c>
      <c r="L179" s="116">
        <v>18.794599999999999</v>
      </c>
      <c r="M179" s="75">
        <v>51910.962299999999</v>
      </c>
      <c r="N179" s="75">
        <v>159188.60130000001</v>
      </c>
      <c r="O179" s="75">
        <v>18.794699999999999</v>
      </c>
      <c r="P179" s="76">
        <v>-5.0000000192085281E-4</v>
      </c>
      <c r="Q179" s="109" cm="1">
        <f t="array" ref="Q17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79" s="76">
        <v>5.0000002374872565E-4</v>
      </c>
      <c r="S179" s="77" cm="1">
        <f t="array" ref="S17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79" s="76">
        <v>9.9999999999766942E-5</v>
      </c>
      <c r="U179" s="77" cm="1">
        <f t="array" ref="U17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7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7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7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79" s="107" t="s">
        <v>85</v>
      </c>
      <c r="Z179" s="107"/>
      <c r="AA179" s="126">
        <f>SUBTOTAL(105,ReportSummary___Chart[Diff to BL. East.],ReportSummary___Chart[Diff to BL. North.],ReportSummary___Chart[Diff to BL. Level])</f>
        <v>-1.0000000000012221E-3</v>
      </c>
      <c r="AB179" s="114">
        <f>SUBTOTAL(104,ReportSummary___Chart[Diff to BL. East.],ReportSummary___Chart[Diff to BL. North.],ReportSummary___Chart[Diff to BL. Level])</f>
        <v>1.0000000038417056E-3</v>
      </c>
      <c r="AC179" s="1"/>
      <c r="AD179" s="1"/>
      <c r="AE179" s="1"/>
      <c r="AF179" s="1"/>
      <c r="AG179" s="1"/>
      <c r="AH179" s="1"/>
      <c r="AI179" s="1"/>
      <c r="AJ179" s="1"/>
      <c r="AK179" s="1"/>
      <c r="AL179" s="1"/>
    </row>
    <row r="180" spans="7:38" ht="14.25" hidden="1" customHeight="1" x14ac:dyDescent="0.2">
      <c r="G180" s="74">
        <v>45733.840277777781</v>
      </c>
      <c r="H180" s="107" t="s">
        <v>189</v>
      </c>
      <c r="I180" s="107"/>
      <c r="J180" s="116">
        <v>51910.640099999997</v>
      </c>
      <c r="K180" s="116">
        <v>159187.3223</v>
      </c>
      <c r="L180" s="116">
        <v>18.7836</v>
      </c>
      <c r="M180" s="75">
        <v>51910.6394</v>
      </c>
      <c r="N180" s="75">
        <v>159187.32279999999</v>
      </c>
      <c r="O180" s="75">
        <v>18.783799999999999</v>
      </c>
      <c r="P180" s="76">
        <v>-6.9999999686842784E-4</v>
      </c>
      <c r="Q180" s="109" cm="1">
        <f t="array" ref="Q18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0" s="76">
        <v>4.999999946448952E-4</v>
      </c>
      <c r="S180" s="77" cm="1">
        <f t="array" ref="S18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0" s="76">
        <v>1.9999999999953388E-4</v>
      </c>
      <c r="U180" s="77" cm="1">
        <f t="array" ref="U18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0" s="107" t="s">
        <v>85</v>
      </c>
      <c r="Z180" s="107"/>
      <c r="AA180" s="126">
        <f>SUBTOTAL(105,ReportSummary___Chart[Diff to BL. East.],ReportSummary___Chart[Diff to BL. North.],ReportSummary___Chart[Diff to BL. Level])</f>
        <v>-1.0000000000012221E-3</v>
      </c>
      <c r="AB180" s="114">
        <f>SUBTOTAL(104,ReportSummary___Chart[Diff to BL. East.],ReportSummary___Chart[Diff to BL. North.],ReportSummary___Chart[Diff to BL. Level])</f>
        <v>1.0000000038417056E-3</v>
      </c>
      <c r="AC180" s="1"/>
      <c r="AD180" s="1"/>
      <c r="AE180" s="1"/>
      <c r="AF180" s="1"/>
      <c r="AG180" s="1"/>
      <c r="AH180" s="1"/>
      <c r="AI180" s="1"/>
      <c r="AJ180" s="1"/>
      <c r="AK180" s="1"/>
      <c r="AL180" s="1"/>
    </row>
    <row r="181" spans="7:38" ht="14.25" hidden="1" customHeight="1" x14ac:dyDescent="0.2">
      <c r="G181" s="74">
        <v>45733.840277777781</v>
      </c>
      <c r="H181" s="107" t="s">
        <v>192</v>
      </c>
      <c r="I181" s="107"/>
      <c r="J181" s="116">
        <v>51913.751100000001</v>
      </c>
      <c r="K181" s="116">
        <v>159187.9178</v>
      </c>
      <c r="L181" s="116">
        <v>18.809000000000001</v>
      </c>
      <c r="M181" s="75">
        <v>51913.7503</v>
      </c>
      <c r="N181" s="75">
        <v>159187.9184</v>
      </c>
      <c r="O181" s="75">
        <v>18.809000000000001</v>
      </c>
      <c r="P181" s="76">
        <v>-8.0000000161817297E-4</v>
      </c>
      <c r="Q181" s="109" cm="1">
        <f t="array" ref="Q18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1" s="76">
        <v>5.9999999939464033E-4</v>
      </c>
      <c r="S181" s="77" cm="1">
        <f t="array" ref="S18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1" s="76">
        <v>0</v>
      </c>
      <c r="U181" s="77" cm="1">
        <f t="array" ref="U18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1" s="107" t="s">
        <v>85</v>
      </c>
      <c r="Z181" s="107"/>
      <c r="AA181" s="126">
        <f>SUBTOTAL(105,ReportSummary___Chart[Diff to BL. East.],ReportSummary___Chart[Diff to BL. North.],ReportSummary___Chart[Diff to BL. Level])</f>
        <v>-1.0000000000012221E-3</v>
      </c>
      <c r="AB181" s="114">
        <f>SUBTOTAL(104,ReportSummary___Chart[Diff to BL. East.],ReportSummary___Chart[Diff to BL. North.],ReportSummary___Chart[Diff to BL. Level])</f>
        <v>1.0000000038417056E-3</v>
      </c>
      <c r="AC181" s="1"/>
      <c r="AD181" s="1"/>
      <c r="AE181" s="1"/>
      <c r="AF181" s="1"/>
      <c r="AG181" s="1"/>
      <c r="AH181" s="1"/>
      <c r="AI181" s="1"/>
      <c r="AJ181" s="1"/>
      <c r="AK181" s="1"/>
      <c r="AL181" s="1"/>
    </row>
    <row r="182" spans="7:38" ht="14.25" hidden="1" customHeight="1" x14ac:dyDescent="0.2">
      <c r="G182" s="74">
        <v>45733.840277777781</v>
      </c>
      <c r="H182" s="107" t="s">
        <v>191</v>
      </c>
      <c r="I182" s="107"/>
      <c r="J182" s="116">
        <v>51913.421499999997</v>
      </c>
      <c r="K182" s="116">
        <v>159186.63630000001</v>
      </c>
      <c r="L182" s="116">
        <v>18.794899999999998</v>
      </c>
      <c r="M182" s="75">
        <v>51913.4205</v>
      </c>
      <c r="N182" s="75">
        <v>159186.63680000001</v>
      </c>
      <c r="O182" s="75">
        <v>18.794799999999999</v>
      </c>
      <c r="P182" s="76">
        <v>-9.9999999656574801E-4</v>
      </c>
      <c r="Q182" s="109" cm="1">
        <f t="array" ref="Q18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2" s="76">
        <v>4.999999946448952E-4</v>
      </c>
      <c r="S182" s="77" cm="1">
        <f t="array" ref="S18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2" s="76">
        <v>-9.9999999999766942E-5</v>
      </c>
      <c r="U182" s="77" cm="1">
        <f t="array" ref="U18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2" s="107" t="s">
        <v>85</v>
      </c>
      <c r="Z182" s="107"/>
      <c r="AA182" s="126">
        <f>SUBTOTAL(105,ReportSummary___Chart[Diff to BL. East.],ReportSummary___Chart[Diff to BL. North.],ReportSummary___Chart[Diff to BL. Level])</f>
        <v>-1.0000000000012221E-3</v>
      </c>
      <c r="AB182" s="114">
        <f>SUBTOTAL(104,ReportSummary___Chart[Diff to BL. East.],ReportSummary___Chart[Diff to BL. North.],ReportSummary___Chart[Diff to BL. Level])</f>
        <v>1.0000000038417056E-3</v>
      </c>
      <c r="AC182" s="1"/>
      <c r="AD182" s="1"/>
      <c r="AE182" s="1"/>
      <c r="AF182" s="1"/>
      <c r="AG182" s="1"/>
      <c r="AH182" s="1"/>
      <c r="AI182" s="1"/>
      <c r="AJ182" s="1"/>
      <c r="AK182" s="1"/>
      <c r="AL182" s="1"/>
    </row>
    <row r="183" spans="7:38" ht="14.25" customHeight="1" x14ac:dyDescent="0.2">
      <c r="G183" s="74">
        <v>45721.395833333336</v>
      </c>
      <c r="H183" s="107" t="s">
        <v>172</v>
      </c>
      <c r="I183" s="107"/>
      <c r="J183" s="116">
        <v>51885.34</v>
      </c>
      <c r="K183" s="116">
        <v>159195.739</v>
      </c>
      <c r="L183" s="116">
        <v>18.782</v>
      </c>
      <c r="M183" s="75">
        <v>51885.339</v>
      </c>
      <c r="N183" s="75">
        <v>159195.74</v>
      </c>
      <c r="O183" s="75">
        <v>18.782</v>
      </c>
      <c r="P183" s="76">
        <v>-9.9999999656574801E-4</v>
      </c>
      <c r="Q183" s="109" cm="1">
        <f t="array" ref="Q18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3" s="76">
        <v>9.9999998928979039E-4</v>
      </c>
      <c r="S183" s="77" cm="1">
        <f t="array" ref="S18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3" s="76">
        <v>0</v>
      </c>
      <c r="U183" s="77" cm="1">
        <f t="array" ref="U18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3" s="107" t="s">
        <v>86</v>
      </c>
      <c r="Z183" s="107"/>
      <c r="AA183" s="126">
        <f>SUBTOTAL(105,ReportSummary___Chart[Diff to BL. East.],ReportSummary___Chart[Diff to BL. North.],ReportSummary___Chart[Diff to BL. Level])</f>
        <v>-1.0000000000012221E-3</v>
      </c>
      <c r="AB183" s="114">
        <f>SUBTOTAL(104,ReportSummary___Chart[Diff to BL. East.],ReportSummary___Chart[Diff to BL. North.],ReportSummary___Chart[Diff to BL. Level])</f>
        <v>1.0000000038417056E-3</v>
      </c>
      <c r="AC183" s="1"/>
      <c r="AD183" s="1"/>
      <c r="AE183" s="1"/>
      <c r="AF183" s="1"/>
      <c r="AG183" s="1"/>
      <c r="AH183" s="1"/>
      <c r="AI183" s="1"/>
      <c r="AJ183" s="1"/>
      <c r="AK183" s="1"/>
      <c r="AL183" s="1"/>
    </row>
    <row r="184" spans="7:38" ht="14.25" hidden="1" customHeight="1" x14ac:dyDescent="0.2">
      <c r="G184" s="74">
        <v>45721.395833333336</v>
      </c>
      <c r="H184" s="107" t="s">
        <v>171</v>
      </c>
      <c r="I184" s="107"/>
      <c r="J184" s="116">
        <v>51884.958899999998</v>
      </c>
      <c r="K184" s="116">
        <v>159194.47070000001</v>
      </c>
      <c r="L184" s="116">
        <v>18.778099999999998</v>
      </c>
      <c r="M184" s="75">
        <v>51884.957999999999</v>
      </c>
      <c r="N184" s="75">
        <v>159194.47200000001</v>
      </c>
      <c r="O184" s="75">
        <v>18.777999999999999</v>
      </c>
      <c r="P184" s="76">
        <v>-8.9999999909196049E-4</v>
      </c>
      <c r="Q184" s="109" cm="1">
        <f t="array" ref="Q18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4" s="76">
        <v>1.3000000035390258E-3</v>
      </c>
      <c r="S184" s="77" cm="1">
        <f t="array" ref="S18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4" s="76">
        <v>-9.9999999999766942E-5</v>
      </c>
      <c r="U184" s="77" cm="1">
        <f t="array" ref="U18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4" s="107" t="s">
        <v>86</v>
      </c>
      <c r="Z184" s="107"/>
      <c r="AA184" s="126">
        <f>SUBTOTAL(105,ReportSummary___Chart[Diff to BL. East.],ReportSummary___Chart[Diff to BL. North.],ReportSummary___Chart[Diff to BL. Level])</f>
        <v>-1.0000000000012221E-3</v>
      </c>
      <c r="AB184" s="114">
        <f>SUBTOTAL(104,ReportSummary___Chart[Diff to BL. East.],ReportSummary___Chart[Diff to BL. North.],ReportSummary___Chart[Diff to BL. Level])</f>
        <v>1.0000000038417056E-3</v>
      </c>
      <c r="AC184" s="1"/>
      <c r="AD184" s="1"/>
      <c r="AE184" s="1"/>
      <c r="AF184" s="1"/>
      <c r="AG184" s="1"/>
      <c r="AH184" s="1"/>
      <c r="AI184" s="1"/>
      <c r="AJ184" s="1"/>
      <c r="AK184" s="1"/>
      <c r="AL184" s="1"/>
    </row>
    <row r="185" spans="7:38" ht="14.25" hidden="1" customHeight="1" x14ac:dyDescent="0.2">
      <c r="G185" s="74">
        <v>45721.395833333336</v>
      </c>
      <c r="H185" s="107" t="s">
        <v>174</v>
      </c>
      <c r="I185" s="107"/>
      <c r="J185" s="116">
        <v>51888.117700000003</v>
      </c>
      <c r="K185" s="116">
        <v>159194.94529999999</v>
      </c>
      <c r="L185" s="116">
        <v>18.7788</v>
      </c>
      <c r="M185" s="75">
        <v>51888.116999999998</v>
      </c>
      <c r="N185" s="75">
        <v>159194.946</v>
      </c>
      <c r="O185" s="75">
        <v>18.779</v>
      </c>
      <c r="P185" s="76">
        <v>-7.0000000414438546E-4</v>
      </c>
      <c r="Q185" s="109" cm="1">
        <f t="array" ref="Q18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5" s="76">
        <v>7.0000000414438546E-4</v>
      </c>
      <c r="S185" s="77" cm="1">
        <f t="array" ref="S18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5" s="76">
        <v>1.9999999999953388E-4</v>
      </c>
      <c r="U185" s="77" cm="1">
        <f t="array" ref="U18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5" s="107" t="s">
        <v>86</v>
      </c>
      <c r="Z185" s="107"/>
      <c r="AA185" s="126">
        <f>SUBTOTAL(105,ReportSummary___Chart[Diff to BL. East.],ReportSummary___Chart[Diff to BL. North.],ReportSummary___Chart[Diff to BL. Level])</f>
        <v>-1.0000000000012221E-3</v>
      </c>
      <c r="AB185" s="114">
        <f>SUBTOTAL(104,ReportSummary___Chart[Diff to BL. East.],ReportSummary___Chart[Diff to BL. North.],ReportSummary___Chart[Diff to BL. Level])</f>
        <v>1.0000000038417056E-3</v>
      </c>
      <c r="AC185" s="1"/>
      <c r="AD185" s="1"/>
      <c r="AE185" s="1"/>
      <c r="AF185" s="1"/>
      <c r="AG185" s="1"/>
      <c r="AH185" s="1"/>
      <c r="AI185" s="1"/>
      <c r="AJ185" s="1"/>
      <c r="AK185" s="1"/>
      <c r="AL185" s="1"/>
    </row>
    <row r="186" spans="7:38" ht="14.25" hidden="1" customHeight="1" x14ac:dyDescent="0.2">
      <c r="G186" s="74">
        <v>45721.395833333336</v>
      </c>
      <c r="H186" s="107" t="s">
        <v>173</v>
      </c>
      <c r="I186" s="107"/>
      <c r="J186" s="116">
        <v>51887.805099999998</v>
      </c>
      <c r="K186" s="116">
        <v>159193.65710000001</v>
      </c>
      <c r="L186" s="116">
        <v>18.778500000000001</v>
      </c>
      <c r="M186" s="75">
        <v>51887.803999999996</v>
      </c>
      <c r="N186" s="75">
        <v>159193.658</v>
      </c>
      <c r="O186" s="75">
        <v>18.777999999999999</v>
      </c>
      <c r="P186" s="76">
        <v>-1.1000000013154931E-3</v>
      </c>
      <c r="Q186" s="109" cm="1">
        <f t="array" ref="Q18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6" s="76">
        <v>8.9999998454004526E-4</v>
      </c>
      <c r="S186" s="77" cm="1">
        <f t="array" ref="S18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6" s="76">
        <v>-5.0000000000238742E-4</v>
      </c>
      <c r="U186" s="77" cm="1">
        <f t="array" ref="U18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6" s="107" t="s">
        <v>86</v>
      </c>
      <c r="Z186" s="107"/>
      <c r="AA186" s="126">
        <f>SUBTOTAL(105,ReportSummary___Chart[Diff to BL. East.],ReportSummary___Chart[Diff to BL. North.],ReportSummary___Chart[Diff to BL. Level])</f>
        <v>-1.0000000000012221E-3</v>
      </c>
      <c r="AB186" s="114">
        <f>SUBTOTAL(104,ReportSummary___Chart[Diff to BL. East.],ReportSummary___Chart[Diff to BL. North.],ReportSummary___Chart[Diff to BL. Level])</f>
        <v>1.0000000038417056E-3</v>
      </c>
      <c r="AC186" s="1"/>
      <c r="AD186" s="1"/>
      <c r="AE186" s="1"/>
      <c r="AF186" s="1"/>
      <c r="AG186" s="1"/>
      <c r="AH186" s="1"/>
      <c r="AI186" s="1"/>
      <c r="AJ186" s="1"/>
      <c r="AK186" s="1"/>
      <c r="AL186" s="1"/>
    </row>
    <row r="187" spans="7:38" ht="14.25" hidden="1" customHeight="1" x14ac:dyDescent="0.2">
      <c r="G187" s="74">
        <v>45721.395833333336</v>
      </c>
      <c r="H187" s="107" t="s">
        <v>176</v>
      </c>
      <c r="I187" s="107"/>
      <c r="J187" s="116">
        <v>51890.969100000002</v>
      </c>
      <c r="K187" s="116">
        <v>159194.1177</v>
      </c>
      <c r="L187" s="116">
        <v>18.779</v>
      </c>
      <c r="M187" s="75">
        <v>51890.968000000001</v>
      </c>
      <c r="N187" s="75">
        <v>159194.11799999999</v>
      </c>
      <c r="O187" s="75">
        <v>18.779</v>
      </c>
      <c r="P187" s="76">
        <v>-1.1000000013154931E-3</v>
      </c>
      <c r="Q187" s="109" cm="1">
        <f t="array" ref="Q18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7" s="76">
        <v>2.9999998514540493E-4</v>
      </c>
      <c r="S187" s="77" cm="1">
        <f t="array" ref="S18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7" s="76">
        <v>0</v>
      </c>
      <c r="U187" s="77" cm="1">
        <f t="array" ref="U18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7" s="107" t="s">
        <v>86</v>
      </c>
      <c r="Z187" s="107"/>
      <c r="AA187" s="126">
        <f>SUBTOTAL(105,ReportSummary___Chart[Diff to BL. East.],ReportSummary___Chart[Diff to BL. North.],ReportSummary___Chart[Diff to BL. Level])</f>
        <v>-1.0000000000012221E-3</v>
      </c>
      <c r="AB187" s="114">
        <f>SUBTOTAL(104,ReportSummary___Chart[Diff to BL. East.],ReportSummary___Chart[Diff to BL. North.],ReportSummary___Chart[Diff to BL. Level])</f>
        <v>1.0000000038417056E-3</v>
      </c>
      <c r="AC187" s="1"/>
      <c r="AD187" s="1"/>
      <c r="AE187" s="1"/>
      <c r="AF187" s="1"/>
      <c r="AG187" s="1"/>
      <c r="AH187" s="1"/>
      <c r="AI187" s="1"/>
      <c r="AJ187" s="1"/>
      <c r="AK187" s="1"/>
      <c r="AL187" s="1"/>
    </row>
    <row r="188" spans="7:38" ht="14.25" hidden="1" customHeight="1" x14ac:dyDescent="0.2">
      <c r="G188" s="74">
        <v>45721.395833333336</v>
      </c>
      <c r="H188" s="107" t="s">
        <v>175</v>
      </c>
      <c r="I188" s="107"/>
      <c r="J188" s="116">
        <v>51890.606800000001</v>
      </c>
      <c r="K188" s="116">
        <v>159192.86069999999</v>
      </c>
      <c r="L188" s="116">
        <v>18.771999999999998</v>
      </c>
      <c r="M188" s="75">
        <v>51890.606</v>
      </c>
      <c r="N188" s="75">
        <v>159192.86199999999</v>
      </c>
      <c r="O188" s="75">
        <v>18.771999999999998</v>
      </c>
      <c r="P188" s="76">
        <v>-8.0000000161817297E-4</v>
      </c>
      <c r="Q188" s="109" cm="1">
        <f t="array" ref="Q18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8" s="76">
        <v>1.3000000035390258E-3</v>
      </c>
      <c r="S188" s="77" cm="1">
        <f t="array" ref="S18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8" s="76">
        <v>0</v>
      </c>
      <c r="U188" s="77" cm="1">
        <f t="array" ref="U18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8" s="107" t="s">
        <v>86</v>
      </c>
      <c r="Z188" s="107"/>
      <c r="AA188" s="126">
        <f>SUBTOTAL(105,ReportSummary___Chart[Diff to BL. East.],ReportSummary___Chart[Diff to BL. North.],ReportSummary___Chart[Diff to BL. Level])</f>
        <v>-1.0000000000012221E-3</v>
      </c>
      <c r="AB188" s="114">
        <f>SUBTOTAL(104,ReportSummary___Chart[Diff to BL. East.],ReportSummary___Chart[Diff to BL. North.],ReportSummary___Chart[Diff to BL. Level])</f>
        <v>1.0000000038417056E-3</v>
      </c>
      <c r="AC188" s="1"/>
      <c r="AD188" s="1"/>
      <c r="AE188" s="1"/>
      <c r="AF188" s="1"/>
      <c r="AG188" s="1"/>
      <c r="AH188" s="1"/>
      <c r="AI188" s="1"/>
      <c r="AJ188" s="1"/>
      <c r="AK188" s="1"/>
      <c r="AL188" s="1"/>
    </row>
    <row r="189" spans="7:38" ht="14.25" hidden="1" customHeight="1" x14ac:dyDescent="0.2">
      <c r="G189" s="74">
        <v>45721.395833333336</v>
      </c>
      <c r="H189" s="107" t="s">
        <v>178</v>
      </c>
      <c r="I189" s="107"/>
      <c r="J189" s="116">
        <v>51893.758699999998</v>
      </c>
      <c r="K189" s="116">
        <v>159193.3144</v>
      </c>
      <c r="L189" s="116">
        <v>18.774100000000001</v>
      </c>
      <c r="M189" s="75">
        <v>51893.758000000002</v>
      </c>
      <c r="N189" s="75">
        <v>159193.315</v>
      </c>
      <c r="O189" s="75">
        <v>18.774000000000001</v>
      </c>
      <c r="P189" s="76">
        <v>-6.9999999686842784E-4</v>
      </c>
      <c r="Q189" s="109" cm="1">
        <f t="array" ref="Q18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89" s="76">
        <v>5.9999999939464033E-4</v>
      </c>
      <c r="S189" s="77" cm="1">
        <f t="array" ref="S18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89" s="76">
        <v>-9.9999999999766942E-5</v>
      </c>
      <c r="U189" s="77" cm="1">
        <f t="array" ref="U18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8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8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8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89" s="107" t="s">
        <v>86</v>
      </c>
      <c r="Z189" s="107"/>
      <c r="AA189" s="126">
        <f>SUBTOTAL(105,ReportSummary___Chart[Diff to BL. East.],ReportSummary___Chart[Diff to BL. North.],ReportSummary___Chart[Diff to BL. Level])</f>
        <v>-1.0000000000012221E-3</v>
      </c>
      <c r="AB189" s="114">
        <f>SUBTOTAL(104,ReportSummary___Chart[Diff to BL. East.],ReportSummary___Chart[Diff to BL. North.],ReportSummary___Chart[Diff to BL. Level])</f>
        <v>1.0000000038417056E-3</v>
      </c>
      <c r="AC189" s="1"/>
      <c r="AD189" s="1"/>
      <c r="AE189" s="1"/>
      <c r="AF189" s="1"/>
      <c r="AG189" s="1"/>
      <c r="AH189" s="1"/>
      <c r="AI189" s="1"/>
      <c r="AJ189" s="1"/>
      <c r="AK189" s="1"/>
      <c r="AL189" s="1"/>
    </row>
    <row r="190" spans="7:38" ht="14.25" hidden="1" customHeight="1" x14ac:dyDescent="0.2">
      <c r="G190" s="74">
        <v>45721.395833333336</v>
      </c>
      <c r="H190" s="107" t="s">
        <v>177</v>
      </c>
      <c r="I190" s="107"/>
      <c r="J190" s="116">
        <v>51893.441299999999</v>
      </c>
      <c r="K190" s="116">
        <v>159192.04019999999</v>
      </c>
      <c r="L190" s="116">
        <v>18.7683</v>
      </c>
      <c r="M190" s="75">
        <v>51893.440000000002</v>
      </c>
      <c r="N190" s="75">
        <v>159192.041</v>
      </c>
      <c r="O190" s="75">
        <v>18.768000000000001</v>
      </c>
      <c r="P190" s="76">
        <v>-1.2999999962630682E-3</v>
      </c>
      <c r="Q190" s="109" cm="1">
        <f t="array" ref="Q19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0" s="76">
        <v>8.0000000889413059E-4</v>
      </c>
      <c r="S190" s="77" cm="1">
        <f t="array" ref="S19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0" s="76">
        <v>-2.9999999999930083E-4</v>
      </c>
      <c r="U190" s="77" cm="1">
        <f t="array" ref="U19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0" s="107" t="s">
        <v>86</v>
      </c>
      <c r="Z190" s="107"/>
      <c r="AA190" s="126">
        <f>SUBTOTAL(105,ReportSummary___Chart[Diff to BL. East.],ReportSummary___Chart[Diff to BL. North.],ReportSummary___Chart[Diff to BL. Level])</f>
        <v>-1.0000000000012221E-3</v>
      </c>
      <c r="AB190" s="114">
        <f>SUBTOTAL(104,ReportSummary___Chart[Diff to BL. East.],ReportSummary___Chart[Diff to BL. North.],ReportSummary___Chart[Diff to BL. Level])</f>
        <v>1.0000000038417056E-3</v>
      </c>
      <c r="AC190" s="1"/>
      <c r="AD190" s="1"/>
      <c r="AE190" s="1"/>
      <c r="AF190" s="1"/>
      <c r="AG190" s="1"/>
      <c r="AH190" s="1"/>
      <c r="AI190" s="1"/>
      <c r="AJ190" s="1"/>
      <c r="AK190" s="1"/>
      <c r="AL190" s="1"/>
    </row>
    <row r="191" spans="7:38" ht="14.25" hidden="1" customHeight="1" x14ac:dyDescent="0.2">
      <c r="G191" s="74">
        <v>45721.395833333336</v>
      </c>
      <c r="H191" s="107" t="s">
        <v>180</v>
      </c>
      <c r="I191" s="107"/>
      <c r="J191" s="116">
        <v>51896.633300000001</v>
      </c>
      <c r="K191" s="116">
        <v>159192.48449999999</v>
      </c>
      <c r="L191" s="116">
        <v>18.7776</v>
      </c>
      <c r="M191" s="75">
        <v>51896.631999999998</v>
      </c>
      <c r="N191" s="75">
        <v>159192.48499999999</v>
      </c>
      <c r="O191" s="75">
        <v>18.777000000000001</v>
      </c>
      <c r="P191" s="76">
        <v>-1.3000000035390258E-3</v>
      </c>
      <c r="Q191" s="109" cm="1">
        <f t="array" ref="Q19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1" s="76">
        <v>4.999999946448952E-4</v>
      </c>
      <c r="S191" s="77" cm="1">
        <f t="array" ref="S19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1" s="76">
        <v>-5.9999999999860165E-4</v>
      </c>
      <c r="U191" s="77" cm="1">
        <f t="array" ref="U19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1" s="107" t="s">
        <v>86</v>
      </c>
      <c r="Z191" s="107"/>
      <c r="AA191" s="126">
        <f>SUBTOTAL(105,ReportSummary___Chart[Diff to BL. East.],ReportSummary___Chart[Diff to BL. North.],ReportSummary___Chart[Diff to BL. Level])</f>
        <v>-1.0000000000012221E-3</v>
      </c>
      <c r="AB191" s="114">
        <f>SUBTOTAL(104,ReportSummary___Chart[Diff to BL. East.],ReportSummary___Chart[Diff to BL. North.],ReportSummary___Chart[Diff to BL. Level])</f>
        <v>1.0000000038417056E-3</v>
      </c>
      <c r="AC191" s="1"/>
      <c r="AD191" s="1"/>
      <c r="AE191" s="1"/>
      <c r="AF191" s="1"/>
      <c r="AG191" s="1"/>
      <c r="AH191" s="1"/>
      <c r="AI191" s="1"/>
      <c r="AJ191" s="1"/>
      <c r="AK191" s="1"/>
      <c r="AL191" s="1"/>
    </row>
    <row r="192" spans="7:38" ht="14.25" hidden="1" customHeight="1" x14ac:dyDescent="0.2">
      <c r="G192" s="74">
        <v>45721.395833333336</v>
      </c>
      <c r="H192" s="107" t="s">
        <v>179</v>
      </c>
      <c r="I192" s="107"/>
      <c r="J192" s="116">
        <v>51896.249799999998</v>
      </c>
      <c r="K192" s="116">
        <v>159191.22630000001</v>
      </c>
      <c r="L192" s="116">
        <v>18.7698</v>
      </c>
      <c r="M192" s="75">
        <v>51896.249000000003</v>
      </c>
      <c r="N192" s="75">
        <v>159191.22700000001</v>
      </c>
      <c r="O192" s="75">
        <v>18.77</v>
      </c>
      <c r="P192" s="76">
        <v>-7.9999999434221536E-4</v>
      </c>
      <c r="Q192" s="109" cm="1">
        <f t="array" ref="Q19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2" s="76">
        <v>7.0000000414438546E-4</v>
      </c>
      <c r="S192" s="77" cm="1">
        <f t="array" ref="S19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2" s="76">
        <v>1.9999999999953388E-4</v>
      </c>
      <c r="U192" s="77" cm="1">
        <f t="array" ref="U19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2" s="107" t="s">
        <v>86</v>
      </c>
      <c r="Z192" s="107"/>
      <c r="AA192" s="126">
        <f>SUBTOTAL(105,ReportSummary___Chart[Diff to BL. East.],ReportSummary___Chart[Diff to BL. North.],ReportSummary___Chart[Diff to BL. Level])</f>
        <v>-1.0000000000012221E-3</v>
      </c>
      <c r="AB192" s="114">
        <f>SUBTOTAL(104,ReportSummary___Chart[Diff to BL. East.],ReportSummary___Chart[Diff to BL. North.],ReportSummary___Chart[Diff to BL. Level])</f>
        <v>1.0000000038417056E-3</v>
      </c>
      <c r="AC192" s="1"/>
      <c r="AD192" s="1"/>
      <c r="AE192" s="1"/>
      <c r="AF192" s="1"/>
      <c r="AG192" s="1"/>
      <c r="AH192" s="1"/>
      <c r="AI192" s="1"/>
      <c r="AJ192" s="1"/>
      <c r="AK192" s="1"/>
      <c r="AL192" s="1"/>
    </row>
    <row r="193" spans="7:38" ht="14.25" hidden="1" customHeight="1" x14ac:dyDescent="0.2">
      <c r="G193" s="74">
        <v>45721.395833333336</v>
      </c>
      <c r="H193" s="107" t="s">
        <v>182</v>
      </c>
      <c r="I193" s="107"/>
      <c r="J193" s="116">
        <v>51899.398699999998</v>
      </c>
      <c r="K193" s="116">
        <v>159191.69760000001</v>
      </c>
      <c r="L193" s="116">
        <v>18.777999999999999</v>
      </c>
      <c r="M193" s="75">
        <v>51899.398000000001</v>
      </c>
      <c r="N193" s="75">
        <v>159191.698</v>
      </c>
      <c r="O193" s="75">
        <v>18.777999999999999</v>
      </c>
      <c r="P193" s="76">
        <v>-6.9999999686842784E-4</v>
      </c>
      <c r="Q193" s="109" cm="1">
        <f t="array" ref="Q19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3" s="76">
        <v>3.9999998989515007E-4</v>
      </c>
      <c r="S193" s="77" cm="1">
        <f t="array" ref="S19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3" s="76">
        <v>0</v>
      </c>
      <c r="U193" s="77" cm="1">
        <f t="array" ref="U19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3" s="107" t="s">
        <v>86</v>
      </c>
      <c r="Z193" s="107"/>
      <c r="AA193" s="126">
        <f>SUBTOTAL(105,ReportSummary___Chart[Diff to BL. East.],ReportSummary___Chart[Diff to BL. North.],ReportSummary___Chart[Diff to BL. Level])</f>
        <v>-1.0000000000012221E-3</v>
      </c>
      <c r="AB193" s="114">
        <f>SUBTOTAL(104,ReportSummary___Chart[Diff to BL. East.],ReportSummary___Chart[Diff to BL. North.],ReportSummary___Chart[Diff to BL. Level])</f>
        <v>1.0000000038417056E-3</v>
      </c>
      <c r="AC193" s="1"/>
      <c r="AD193" s="1"/>
      <c r="AE193" s="1"/>
      <c r="AF193" s="1"/>
      <c r="AG193" s="1"/>
      <c r="AH193" s="1"/>
      <c r="AI193" s="1"/>
      <c r="AJ193" s="1"/>
      <c r="AK193" s="1"/>
      <c r="AL193" s="1"/>
    </row>
    <row r="194" spans="7:38" ht="14.25" hidden="1" customHeight="1" x14ac:dyDescent="0.2">
      <c r="G194" s="74">
        <v>45721.395833333336</v>
      </c>
      <c r="H194" s="107" t="s">
        <v>181</v>
      </c>
      <c r="I194" s="107"/>
      <c r="J194" s="116">
        <v>51899.041100000002</v>
      </c>
      <c r="K194" s="116">
        <v>159190.43340000001</v>
      </c>
      <c r="L194" s="116">
        <v>18.771100000000001</v>
      </c>
      <c r="M194" s="75">
        <v>51899.040000000001</v>
      </c>
      <c r="N194" s="75">
        <v>159190.435</v>
      </c>
      <c r="O194" s="75">
        <v>18.771000000000001</v>
      </c>
      <c r="P194" s="76">
        <v>-1.1000000013154931E-3</v>
      </c>
      <c r="Q194" s="109" cm="1">
        <f t="array" ref="Q19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4" s="76">
        <v>1.5999999886844307E-3</v>
      </c>
      <c r="S194" s="77" cm="1">
        <f t="array" ref="S19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4" s="76">
        <v>-9.9999999999766942E-5</v>
      </c>
      <c r="U194" s="77" cm="1">
        <f t="array" ref="U19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4" s="107" t="s">
        <v>86</v>
      </c>
      <c r="Z194" s="107"/>
      <c r="AA194" s="126">
        <f>SUBTOTAL(105,ReportSummary___Chart[Diff to BL. East.],ReportSummary___Chart[Diff to BL. North.],ReportSummary___Chart[Diff to BL. Level])</f>
        <v>-1.0000000000012221E-3</v>
      </c>
      <c r="AB194" s="114">
        <f>SUBTOTAL(104,ReportSummary___Chart[Diff to BL. East.],ReportSummary___Chart[Diff to BL. North.],ReportSummary___Chart[Diff to BL. Level])</f>
        <v>1.0000000038417056E-3</v>
      </c>
      <c r="AC194" s="1"/>
      <c r="AD194" s="1"/>
      <c r="AE194" s="1"/>
      <c r="AF194" s="1"/>
      <c r="AG194" s="1"/>
      <c r="AH194" s="1"/>
      <c r="AI194" s="1"/>
      <c r="AJ194" s="1"/>
      <c r="AK194" s="1"/>
      <c r="AL194" s="1"/>
    </row>
    <row r="195" spans="7:38" ht="14.25" hidden="1" customHeight="1" x14ac:dyDescent="0.2">
      <c r="G195" s="74">
        <v>45721.395833333336</v>
      </c>
      <c r="H195" s="107" t="s">
        <v>184</v>
      </c>
      <c r="I195" s="107"/>
      <c r="J195" s="116">
        <v>51902.292699999998</v>
      </c>
      <c r="K195" s="116">
        <v>159190.88459999999</v>
      </c>
      <c r="L195" s="116">
        <v>18.779</v>
      </c>
      <c r="M195" s="75">
        <v>51902.292000000001</v>
      </c>
      <c r="N195" s="75">
        <v>159190.88500000001</v>
      </c>
      <c r="O195" s="75">
        <v>18.779</v>
      </c>
      <c r="P195" s="76">
        <v>-6.9999999686842784E-4</v>
      </c>
      <c r="Q195" s="109" cm="1">
        <f t="array" ref="Q19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5" s="76">
        <v>4.0000001899898052E-4</v>
      </c>
      <c r="S195" s="77" cm="1">
        <f t="array" ref="S19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5" s="76">
        <v>0</v>
      </c>
      <c r="U195" s="77" cm="1">
        <f t="array" ref="U19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5" s="107" t="s">
        <v>86</v>
      </c>
      <c r="Z195" s="107"/>
      <c r="AA195" s="126">
        <f>SUBTOTAL(105,ReportSummary___Chart[Diff to BL. East.],ReportSummary___Chart[Diff to BL. North.],ReportSummary___Chart[Diff to BL. Level])</f>
        <v>-1.0000000000012221E-3</v>
      </c>
      <c r="AB195" s="114">
        <f>SUBTOTAL(104,ReportSummary___Chart[Diff to BL. East.],ReportSummary___Chart[Diff to BL. North.],ReportSummary___Chart[Diff to BL. Level])</f>
        <v>1.0000000038417056E-3</v>
      </c>
      <c r="AC195" s="1"/>
      <c r="AD195" s="1"/>
      <c r="AE195" s="1"/>
      <c r="AF195" s="1"/>
      <c r="AG195" s="1"/>
      <c r="AH195" s="1"/>
      <c r="AI195" s="1"/>
      <c r="AJ195" s="1"/>
      <c r="AK195" s="1"/>
      <c r="AL195" s="1"/>
    </row>
    <row r="196" spans="7:38" ht="14.25" hidden="1" customHeight="1" x14ac:dyDescent="0.2">
      <c r="G196" s="74">
        <v>45721.395833333336</v>
      </c>
      <c r="H196" s="107" t="s">
        <v>183</v>
      </c>
      <c r="I196" s="107"/>
      <c r="J196" s="116">
        <v>51901.989200000004</v>
      </c>
      <c r="K196" s="116">
        <v>159189.60260000001</v>
      </c>
      <c r="L196" s="116">
        <v>18.770099999999999</v>
      </c>
      <c r="M196" s="75">
        <v>51901.987999999998</v>
      </c>
      <c r="N196" s="75">
        <v>159189.60399999999</v>
      </c>
      <c r="O196" s="75">
        <v>18.77</v>
      </c>
      <c r="P196" s="76">
        <v>-1.2000000060652383E-3</v>
      </c>
      <c r="Q196" s="109" cm="1">
        <f t="array" ref="Q19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6" s="76">
        <v>1.3999999791849405E-3</v>
      </c>
      <c r="S196" s="77" cm="1">
        <f t="array" ref="S19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6" s="76">
        <v>-9.9999999999766942E-5</v>
      </c>
      <c r="U196" s="77" cm="1">
        <f t="array" ref="U19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6" s="107" t="s">
        <v>86</v>
      </c>
      <c r="Z196" s="107"/>
      <c r="AA196" s="126">
        <f>SUBTOTAL(105,ReportSummary___Chart[Diff to BL. East.],ReportSummary___Chart[Diff to BL. North.],ReportSummary___Chart[Diff to BL. Level])</f>
        <v>-1.0000000000012221E-3</v>
      </c>
      <c r="AB196" s="114">
        <f>SUBTOTAL(104,ReportSummary___Chart[Diff to BL. East.],ReportSummary___Chart[Diff to BL. North.],ReportSummary___Chart[Diff to BL. Level])</f>
        <v>1.0000000038417056E-3</v>
      </c>
      <c r="AC196" s="1"/>
      <c r="AD196" s="1"/>
      <c r="AE196" s="1"/>
      <c r="AF196" s="1"/>
      <c r="AG196" s="1"/>
      <c r="AH196" s="1"/>
      <c r="AI196" s="1"/>
      <c r="AJ196" s="1"/>
      <c r="AK196" s="1"/>
      <c r="AL196" s="1"/>
    </row>
    <row r="197" spans="7:38" ht="14.25" hidden="1" customHeight="1" x14ac:dyDescent="0.2">
      <c r="G197" s="74">
        <v>45721.395833333336</v>
      </c>
      <c r="H197" s="107" t="s">
        <v>186</v>
      </c>
      <c r="I197" s="107"/>
      <c r="J197" s="116">
        <v>51905.196199999998</v>
      </c>
      <c r="K197" s="116">
        <v>159190.09460000001</v>
      </c>
      <c r="L197" s="116">
        <v>18.780899999999999</v>
      </c>
      <c r="M197" s="75">
        <v>51905.195</v>
      </c>
      <c r="N197" s="75">
        <v>159190.095</v>
      </c>
      <c r="O197" s="75">
        <v>18.780999999999999</v>
      </c>
      <c r="P197" s="76">
        <v>-1.1999999987892807E-3</v>
      </c>
      <c r="Q197" s="109" cm="1">
        <f t="array" ref="Q19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7" s="76">
        <v>3.9999998989515007E-4</v>
      </c>
      <c r="S197" s="77" cm="1">
        <f t="array" ref="S19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7" s="76">
        <v>9.9999999999766942E-5</v>
      </c>
      <c r="U197" s="77" cm="1">
        <f t="array" ref="U19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7" s="107" t="s">
        <v>86</v>
      </c>
      <c r="Z197" s="107"/>
      <c r="AA197" s="126">
        <f>SUBTOTAL(105,ReportSummary___Chart[Diff to BL. East.],ReportSummary___Chart[Diff to BL. North.],ReportSummary___Chart[Diff to BL. Level])</f>
        <v>-1.0000000000012221E-3</v>
      </c>
      <c r="AB197" s="114">
        <f>SUBTOTAL(104,ReportSummary___Chart[Diff to BL. East.],ReportSummary___Chart[Diff to BL. North.],ReportSummary___Chart[Diff to BL. Level])</f>
        <v>1.0000000038417056E-3</v>
      </c>
      <c r="AC197" s="1"/>
      <c r="AD197" s="1"/>
      <c r="AE197" s="1"/>
      <c r="AF197" s="1"/>
      <c r="AG197" s="1"/>
      <c r="AH197" s="1"/>
      <c r="AI197" s="1"/>
      <c r="AJ197" s="1"/>
      <c r="AK197" s="1"/>
      <c r="AL197" s="1"/>
    </row>
    <row r="198" spans="7:38" ht="14.25" hidden="1" customHeight="1" x14ac:dyDescent="0.2">
      <c r="G198" s="74">
        <v>45721.395833333336</v>
      </c>
      <c r="H198" s="107" t="s">
        <v>185</v>
      </c>
      <c r="I198" s="107"/>
      <c r="J198" s="116">
        <v>51904.885600000001</v>
      </c>
      <c r="K198" s="116">
        <v>159188.8046</v>
      </c>
      <c r="L198" s="116">
        <v>18.773099999999999</v>
      </c>
      <c r="M198" s="75">
        <v>51904.883999999998</v>
      </c>
      <c r="N198" s="75">
        <v>159188.80600000001</v>
      </c>
      <c r="O198" s="75">
        <v>18.773</v>
      </c>
      <c r="P198" s="76">
        <v>-1.6000000032363459E-3</v>
      </c>
      <c r="Q198" s="109" cm="1">
        <f t="array" ref="Q19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8" s="76">
        <v>1.4000000082887709E-3</v>
      </c>
      <c r="S198" s="77" cm="1">
        <f t="array" ref="S19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8" s="76">
        <v>-9.9999999999766942E-5</v>
      </c>
      <c r="U198" s="77" cm="1">
        <f t="array" ref="U19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8" s="107" t="s">
        <v>86</v>
      </c>
      <c r="Z198" s="107"/>
      <c r="AA198" s="126">
        <f>SUBTOTAL(105,ReportSummary___Chart[Diff to BL. East.],ReportSummary___Chart[Diff to BL. North.],ReportSummary___Chart[Diff to BL. Level])</f>
        <v>-1.0000000000012221E-3</v>
      </c>
      <c r="AB198" s="114">
        <f>SUBTOTAL(104,ReportSummary___Chart[Diff to BL. East.],ReportSummary___Chart[Diff to BL. North.],ReportSummary___Chart[Diff to BL. Level])</f>
        <v>1.0000000038417056E-3</v>
      </c>
      <c r="AC198" s="1"/>
      <c r="AD198" s="1"/>
      <c r="AE198" s="1"/>
      <c r="AF198" s="1"/>
      <c r="AG198" s="1"/>
      <c r="AH198" s="1"/>
      <c r="AI198" s="1"/>
      <c r="AJ198" s="1"/>
      <c r="AK198" s="1"/>
      <c r="AL198" s="1"/>
    </row>
    <row r="199" spans="7:38" ht="14.25" hidden="1" customHeight="1" x14ac:dyDescent="0.2">
      <c r="G199" s="74">
        <v>45721.395833333336</v>
      </c>
      <c r="H199" s="107" t="s">
        <v>188</v>
      </c>
      <c r="I199" s="107"/>
      <c r="J199" s="116">
        <v>51907.9522</v>
      </c>
      <c r="K199" s="116">
        <v>159189.36230000001</v>
      </c>
      <c r="L199" s="116">
        <v>18.786000000000001</v>
      </c>
      <c r="M199" s="75">
        <v>51907.951000000001</v>
      </c>
      <c r="N199" s="75">
        <v>159189.36300000001</v>
      </c>
      <c r="O199" s="75">
        <v>18.786000000000001</v>
      </c>
      <c r="P199" s="76">
        <v>-1.1999999987892807E-3</v>
      </c>
      <c r="Q199" s="109" cm="1">
        <f t="array" ref="Q19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199" s="76">
        <v>7.0000000414438546E-4</v>
      </c>
      <c r="S199" s="77" cm="1">
        <f t="array" ref="S19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199" s="76">
        <v>0</v>
      </c>
      <c r="U199" s="77" cm="1">
        <f t="array" ref="U19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19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19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19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199" s="107" t="s">
        <v>86</v>
      </c>
      <c r="Z199" s="107"/>
      <c r="AA199" s="126">
        <f>SUBTOTAL(105,ReportSummary___Chart[Diff to BL. East.],ReportSummary___Chart[Diff to BL. North.],ReportSummary___Chart[Diff to BL. Level])</f>
        <v>-1.0000000000012221E-3</v>
      </c>
      <c r="AB199" s="114">
        <f>SUBTOTAL(104,ReportSummary___Chart[Diff to BL. East.],ReportSummary___Chart[Diff to BL. North.],ReportSummary___Chart[Diff to BL. Level])</f>
        <v>1.0000000038417056E-3</v>
      </c>
      <c r="AC199" s="1"/>
      <c r="AD199" s="1"/>
      <c r="AE199" s="1"/>
      <c r="AF199" s="1"/>
      <c r="AG199" s="1"/>
      <c r="AH199" s="1"/>
      <c r="AI199" s="1"/>
      <c r="AJ199" s="1"/>
      <c r="AK199" s="1"/>
      <c r="AL199" s="1"/>
    </row>
    <row r="200" spans="7:38" ht="14.25" hidden="1" customHeight="1" x14ac:dyDescent="0.2">
      <c r="G200" s="74">
        <v>45721.395833333336</v>
      </c>
      <c r="H200" s="107" t="s">
        <v>187</v>
      </c>
      <c r="I200" s="107"/>
      <c r="J200" s="116">
        <v>51907.578699999998</v>
      </c>
      <c r="K200" s="116">
        <v>159188.09770000001</v>
      </c>
      <c r="L200" s="116">
        <v>18.776</v>
      </c>
      <c r="M200" s="75">
        <v>51907.576999999997</v>
      </c>
      <c r="N200" s="75">
        <v>159188.09899999999</v>
      </c>
      <c r="O200" s="75">
        <v>18.776</v>
      </c>
      <c r="P200" s="76">
        <v>-1.7000000007101335E-3</v>
      </c>
      <c r="Q200" s="109" cm="1">
        <f t="array" ref="Q20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0" s="76">
        <v>1.2999999744351953E-3</v>
      </c>
      <c r="S200" s="77" cm="1">
        <f t="array" ref="S20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0" s="76">
        <v>0</v>
      </c>
      <c r="U200" s="77" cm="1">
        <f t="array" ref="U20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0" s="107" t="s">
        <v>86</v>
      </c>
      <c r="Z200" s="107"/>
      <c r="AA200" s="126">
        <f>SUBTOTAL(105,ReportSummary___Chart[Diff to BL. East.],ReportSummary___Chart[Diff to BL. North.],ReportSummary___Chart[Diff to BL. Level])</f>
        <v>-1.0000000000012221E-3</v>
      </c>
      <c r="AB200" s="114">
        <f>SUBTOTAL(104,ReportSummary___Chart[Diff to BL. East.],ReportSummary___Chart[Diff to BL. North.],ReportSummary___Chart[Diff to BL. Level])</f>
        <v>1.0000000038417056E-3</v>
      </c>
      <c r="AC200" s="1"/>
      <c r="AD200" s="1"/>
      <c r="AE200" s="1"/>
      <c r="AF200" s="1"/>
      <c r="AG200" s="1"/>
      <c r="AH200" s="1"/>
      <c r="AI200" s="1"/>
      <c r="AJ200" s="1"/>
      <c r="AK200" s="1"/>
      <c r="AL200" s="1"/>
    </row>
    <row r="201" spans="7:38" ht="14.25" hidden="1" customHeight="1" x14ac:dyDescent="0.2">
      <c r="G201" s="74">
        <v>45721.395833333336</v>
      </c>
      <c r="H201" s="107" t="s">
        <v>190</v>
      </c>
      <c r="I201" s="107"/>
      <c r="J201" s="116">
        <v>51910.962800000001</v>
      </c>
      <c r="K201" s="116">
        <v>159188.60079999999</v>
      </c>
      <c r="L201" s="116">
        <v>18.794599999999999</v>
      </c>
      <c r="M201" s="75">
        <v>51910.961000000003</v>
      </c>
      <c r="N201" s="75">
        <v>159188.601</v>
      </c>
      <c r="O201" s="75">
        <v>18.794</v>
      </c>
      <c r="P201" s="76">
        <v>-1.799999998183921E-3</v>
      </c>
      <c r="Q201" s="109" cm="1">
        <f t="array" ref="Q20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1" s="76">
        <v>2.0000000949949026E-4</v>
      </c>
      <c r="S201" s="77" cm="1">
        <f t="array" ref="S20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1" s="76">
        <v>-5.9999999999860165E-4</v>
      </c>
      <c r="U201" s="77" cm="1">
        <f t="array" ref="U20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1" s="107" t="s">
        <v>86</v>
      </c>
      <c r="Z201" s="107"/>
      <c r="AA201" s="126">
        <f>SUBTOTAL(105,ReportSummary___Chart[Diff to BL. East.],ReportSummary___Chart[Diff to BL. North.],ReportSummary___Chart[Diff to BL. Level])</f>
        <v>-1.0000000000012221E-3</v>
      </c>
      <c r="AB201" s="114">
        <f>SUBTOTAL(104,ReportSummary___Chart[Diff to BL. East.],ReportSummary___Chart[Diff to BL. North.],ReportSummary___Chart[Diff to BL. Level])</f>
        <v>1.0000000038417056E-3</v>
      </c>
      <c r="AC201" s="1"/>
      <c r="AD201" s="1"/>
      <c r="AE201" s="1"/>
      <c r="AF201" s="1"/>
      <c r="AG201" s="1"/>
      <c r="AH201" s="1"/>
      <c r="AI201" s="1"/>
      <c r="AJ201" s="1"/>
      <c r="AK201" s="1"/>
      <c r="AL201" s="1"/>
    </row>
    <row r="202" spans="7:38" ht="14.25" hidden="1" customHeight="1" x14ac:dyDescent="0.2">
      <c r="G202" s="74">
        <v>45721.395833333336</v>
      </c>
      <c r="H202" s="107" t="s">
        <v>189</v>
      </c>
      <c r="I202" s="107"/>
      <c r="J202" s="116">
        <v>51910.640099999997</v>
      </c>
      <c r="K202" s="116">
        <v>159187.3223</v>
      </c>
      <c r="L202" s="116">
        <v>18.7836</v>
      </c>
      <c r="M202" s="75">
        <v>51910.637999999999</v>
      </c>
      <c r="N202" s="75">
        <v>159187.323</v>
      </c>
      <c r="O202" s="75">
        <v>18.783000000000001</v>
      </c>
      <c r="P202" s="76">
        <v>-2.0999999978812411E-3</v>
      </c>
      <c r="Q202" s="109" cm="1">
        <f t="array" ref="Q20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2" s="76">
        <v>7.0000000414438546E-4</v>
      </c>
      <c r="S202" s="77" cm="1">
        <f t="array" ref="S20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2" s="76">
        <v>-5.9999999999860165E-4</v>
      </c>
      <c r="U202" s="77" cm="1">
        <f t="array" ref="U20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2" s="107" t="s">
        <v>86</v>
      </c>
      <c r="Z202" s="107"/>
      <c r="AA202" s="126">
        <f>SUBTOTAL(105,ReportSummary___Chart[Diff to BL. East.],ReportSummary___Chart[Diff to BL. North.],ReportSummary___Chart[Diff to BL. Level])</f>
        <v>-1.0000000000012221E-3</v>
      </c>
      <c r="AB202" s="114">
        <f>SUBTOTAL(104,ReportSummary___Chart[Diff to BL. East.],ReportSummary___Chart[Diff to BL. North.],ReportSummary___Chart[Diff to BL. Level])</f>
        <v>1.0000000038417056E-3</v>
      </c>
      <c r="AC202" s="1"/>
      <c r="AD202" s="1"/>
      <c r="AE202" s="1"/>
      <c r="AF202" s="1"/>
      <c r="AG202" s="1"/>
      <c r="AH202" s="1"/>
      <c r="AI202" s="1"/>
      <c r="AJ202" s="1"/>
      <c r="AK202" s="1"/>
      <c r="AL202" s="1"/>
    </row>
    <row r="203" spans="7:38" ht="14.25" hidden="1" customHeight="1" x14ac:dyDescent="0.2">
      <c r="G203" s="74">
        <v>45721.395833333336</v>
      </c>
      <c r="H203" s="107" t="s">
        <v>192</v>
      </c>
      <c r="I203" s="107"/>
      <c r="J203" s="116">
        <v>51913.751100000001</v>
      </c>
      <c r="K203" s="116">
        <v>159187.9178</v>
      </c>
      <c r="L203" s="116">
        <v>18.809000000000001</v>
      </c>
      <c r="M203" s="75">
        <v>51913.75</v>
      </c>
      <c r="N203" s="75">
        <v>159187.91800000001</v>
      </c>
      <c r="O203" s="75">
        <v>18.809000000000001</v>
      </c>
      <c r="P203" s="76">
        <v>-1.1000000013154931E-3</v>
      </c>
      <c r="Q203" s="109" cm="1">
        <f t="array" ref="Q20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3" s="76">
        <v>2.0000000949949026E-4</v>
      </c>
      <c r="S203" s="77" cm="1">
        <f t="array" ref="S20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3" s="76">
        <v>0</v>
      </c>
      <c r="U203" s="77" cm="1">
        <f t="array" ref="U20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3" s="107" t="s">
        <v>86</v>
      </c>
      <c r="Z203" s="107"/>
      <c r="AA203" s="126">
        <f>SUBTOTAL(105,ReportSummary___Chart[Diff to BL. East.],ReportSummary___Chart[Diff to BL. North.],ReportSummary___Chart[Diff to BL. Level])</f>
        <v>-1.0000000000012221E-3</v>
      </c>
      <c r="AB203" s="114">
        <f>SUBTOTAL(104,ReportSummary___Chart[Diff to BL. East.],ReportSummary___Chart[Diff to BL. North.],ReportSummary___Chart[Diff to BL. Level])</f>
        <v>1.0000000038417056E-3</v>
      </c>
      <c r="AC203" s="1"/>
      <c r="AD203" s="1"/>
      <c r="AE203" s="1"/>
      <c r="AF203" s="1"/>
      <c r="AG203" s="1"/>
      <c r="AH203" s="1"/>
      <c r="AI203" s="1"/>
      <c r="AJ203" s="1"/>
      <c r="AK203" s="1"/>
      <c r="AL203" s="1"/>
    </row>
    <row r="204" spans="7:38" ht="14.25" hidden="1" customHeight="1" x14ac:dyDescent="0.2">
      <c r="G204" s="74">
        <v>45721.395833333336</v>
      </c>
      <c r="H204" s="107" t="s">
        <v>191</v>
      </c>
      <c r="I204" s="107"/>
      <c r="J204" s="116">
        <v>51913.421499999997</v>
      </c>
      <c r="K204" s="116">
        <v>159186.63630000001</v>
      </c>
      <c r="L204" s="116">
        <v>18.794899999999998</v>
      </c>
      <c r="M204" s="75">
        <v>51913.42</v>
      </c>
      <c r="N204" s="75">
        <v>159186.63699999999</v>
      </c>
      <c r="O204" s="75">
        <v>18.795000000000002</v>
      </c>
      <c r="P204" s="76">
        <v>-1.4999999984866008E-3</v>
      </c>
      <c r="Q204" s="109" cm="1">
        <f t="array" ref="Q20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4" s="76">
        <v>6.99999975040555E-4</v>
      </c>
      <c r="S204" s="77" cm="1">
        <f t="array" ref="S20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4" s="76">
        <v>1.0000000000331966E-4</v>
      </c>
      <c r="U204" s="77" cm="1">
        <f t="array" ref="U20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4" s="107" t="s">
        <v>86</v>
      </c>
      <c r="Z204" s="107"/>
      <c r="AA204" s="126">
        <f>SUBTOTAL(105,ReportSummary___Chart[Diff to BL. East.],ReportSummary___Chart[Diff to BL. North.],ReportSummary___Chart[Diff to BL. Level])</f>
        <v>-1.0000000000012221E-3</v>
      </c>
      <c r="AB204" s="114">
        <f>SUBTOTAL(104,ReportSummary___Chart[Diff to BL. East.],ReportSummary___Chart[Diff to BL. North.],ReportSummary___Chart[Diff to BL. Level])</f>
        <v>1.0000000038417056E-3</v>
      </c>
      <c r="AC204" s="1"/>
      <c r="AD204" s="1"/>
      <c r="AE204" s="1"/>
      <c r="AF204" s="1"/>
      <c r="AG204" s="1"/>
      <c r="AH204" s="1"/>
      <c r="AI204" s="1"/>
      <c r="AJ204" s="1"/>
      <c r="AK204" s="1"/>
      <c r="AL204" s="1"/>
    </row>
    <row r="205" spans="7:38" ht="14.25" hidden="1" customHeight="1" x14ac:dyDescent="0.2">
      <c r="G205" s="74">
        <v>45721.395833333336</v>
      </c>
      <c r="H205" s="107" t="s">
        <v>165</v>
      </c>
      <c r="I205" s="107"/>
      <c r="J205" s="116">
        <v>51884.538999999997</v>
      </c>
      <c r="K205" s="116">
        <v>159193.38269999999</v>
      </c>
      <c r="L205" s="116">
        <v>19.331700000000001</v>
      </c>
      <c r="M205" s="75">
        <v>51884.538999999997</v>
      </c>
      <c r="N205" s="75">
        <v>159193.38399999999</v>
      </c>
      <c r="O205" s="75">
        <v>19.332000000000001</v>
      </c>
      <c r="P205" s="76">
        <v>0</v>
      </c>
      <c r="Q205" s="109" cm="1">
        <f t="array" ref="Q20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5" s="76">
        <v>1.3000000035390258E-3</v>
      </c>
      <c r="S205" s="77" cm="1">
        <f t="array" ref="S20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5" s="76">
        <v>2.9999999999930083E-4</v>
      </c>
      <c r="U205" s="77" cm="1">
        <f t="array" ref="U20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5" s="107" t="s">
        <v>86</v>
      </c>
      <c r="Z205" s="107"/>
      <c r="AA205" s="126">
        <f>SUBTOTAL(105,ReportSummary___Chart[Diff to BL. East.],ReportSummary___Chart[Diff to BL. North.],ReportSummary___Chart[Diff to BL. Level])</f>
        <v>-1.0000000000012221E-3</v>
      </c>
      <c r="AB205" s="114">
        <f>SUBTOTAL(104,ReportSummary___Chart[Diff to BL. East.],ReportSummary___Chart[Diff to BL. North.],ReportSummary___Chart[Diff to BL. Level])</f>
        <v>1.0000000038417056E-3</v>
      </c>
      <c r="AC205" s="1"/>
      <c r="AD205" s="1"/>
      <c r="AE205" s="1"/>
      <c r="AF205" s="1"/>
      <c r="AG205" s="1"/>
      <c r="AH205" s="1"/>
      <c r="AI205" s="1"/>
      <c r="AJ205" s="1"/>
      <c r="AK205" s="1"/>
      <c r="AL205" s="1"/>
    </row>
    <row r="206" spans="7:38" ht="14.25" hidden="1" customHeight="1" x14ac:dyDescent="0.2">
      <c r="G206" s="74">
        <v>45721.395833333336</v>
      </c>
      <c r="H206" s="107" t="s">
        <v>166</v>
      </c>
      <c r="I206" s="107"/>
      <c r="J206" s="116">
        <v>51890.2863</v>
      </c>
      <c r="K206" s="116">
        <v>159191.73069999999</v>
      </c>
      <c r="L206" s="116">
        <v>19.321999999999999</v>
      </c>
      <c r="M206" s="75">
        <v>51890.286999999997</v>
      </c>
      <c r="N206" s="75">
        <v>159191.73199999999</v>
      </c>
      <c r="O206" s="75">
        <v>19.321999999999999</v>
      </c>
      <c r="P206" s="76">
        <v>6.9999999686842784E-4</v>
      </c>
      <c r="Q206" s="109" cm="1">
        <f t="array" ref="Q20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6" s="76">
        <v>1.3000000035390258E-3</v>
      </c>
      <c r="S206" s="77" cm="1">
        <f t="array" ref="S20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6" s="76">
        <v>0</v>
      </c>
      <c r="U206" s="77" cm="1">
        <f t="array" ref="U20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6" s="107" t="s">
        <v>86</v>
      </c>
      <c r="Z206" s="107"/>
      <c r="AA206" s="126">
        <f>SUBTOTAL(105,ReportSummary___Chart[Diff to BL. East.],ReportSummary___Chart[Diff to BL. North.],ReportSummary___Chart[Diff to BL. Level])</f>
        <v>-1.0000000000012221E-3</v>
      </c>
      <c r="AB206" s="114">
        <f>SUBTOTAL(104,ReportSummary___Chart[Diff to BL. East.],ReportSummary___Chart[Diff to BL. North.],ReportSummary___Chart[Diff to BL. Level])</f>
        <v>1.0000000038417056E-3</v>
      </c>
      <c r="AC206" s="1"/>
      <c r="AD206" s="1"/>
      <c r="AE206" s="1"/>
      <c r="AF206" s="1"/>
      <c r="AG206" s="1"/>
      <c r="AH206" s="1"/>
      <c r="AI206" s="1"/>
      <c r="AJ206" s="1"/>
      <c r="AK206" s="1"/>
      <c r="AL206" s="1"/>
    </row>
    <row r="207" spans="7:38" ht="14.25" hidden="1" customHeight="1" x14ac:dyDescent="0.2">
      <c r="G207" s="74">
        <v>45721.395833333336</v>
      </c>
      <c r="H207" s="107" t="s">
        <v>167</v>
      </c>
      <c r="I207" s="107"/>
      <c r="J207" s="116">
        <v>51895.920700000002</v>
      </c>
      <c r="K207" s="116">
        <v>159190.1</v>
      </c>
      <c r="L207" s="116">
        <v>19.334</v>
      </c>
      <c r="M207" s="75">
        <v>51895.92</v>
      </c>
      <c r="N207" s="75">
        <v>159190.1</v>
      </c>
      <c r="O207" s="75">
        <v>19.334</v>
      </c>
      <c r="P207" s="76">
        <v>-7.0000000414438546E-4</v>
      </c>
      <c r="Q207" s="109" cm="1">
        <f t="array" ref="Q20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7" s="76">
        <v>0</v>
      </c>
      <c r="S207" s="77" cm="1">
        <f t="array" ref="S20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7" s="76">
        <v>0</v>
      </c>
      <c r="U207" s="77" cm="1">
        <f t="array" ref="U20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7" s="107" t="s">
        <v>86</v>
      </c>
      <c r="Z207" s="107"/>
      <c r="AA207" s="126">
        <f>SUBTOTAL(105,ReportSummary___Chart[Diff to BL. East.],ReportSummary___Chart[Diff to BL. North.],ReportSummary___Chart[Diff to BL. Level])</f>
        <v>-1.0000000000012221E-3</v>
      </c>
      <c r="AB207" s="114">
        <f>SUBTOTAL(104,ReportSummary___Chart[Diff to BL. East.],ReportSummary___Chart[Diff to BL. North.],ReportSummary___Chart[Diff to BL. Level])</f>
        <v>1.0000000038417056E-3</v>
      </c>
      <c r="AC207" s="1"/>
      <c r="AD207" s="1"/>
      <c r="AE207" s="1"/>
      <c r="AF207" s="1"/>
      <c r="AG207" s="1"/>
      <c r="AH207" s="1"/>
      <c r="AI207" s="1"/>
      <c r="AJ207" s="1"/>
      <c r="AK207" s="1"/>
      <c r="AL207" s="1"/>
    </row>
    <row r="208" spans="7:38" ht="14.25" hidden="1" customHeight="1" x14ac:dyDescent="0.2">
      <c r="G208" s="74">
        <v>45721.395833333336</v>
      </c>
      <c r="H208" s="107" t="s">
        <v>168</v>
      </c>
      <c r="I208" s="107"/>
      <c r="J208" s="116">
        <v>51899.7667</v>
      </c>
      <c r="K208" s="116">
        <v>159188.9933</v>
      </c>
      <c r="L208" s="116">
        <v>19.344999999999999</v>
      </c>
      <c r="M208" s="75">
        <v>51899.766000000003</v>
      </c>
      <c r="N208" s="75">
        <v>159188.99400000001</v>
      </c>
      <c r="O208" s="75">
        <v>19.344999999999999</v>
      </c>
      <c r="P208" s="76">
        <v>-6.9999999686842784E-4</v>
      </c>
      <c r="Q208" s="109" cm="1">
        <f t="array" ref="Q20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8" s="76">
        <v>7.0000000414438546E-4</v>
      </c>
      <c r="S208" s="77" cm="1">
        <f t="array" ref="S20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8" s="76">
        <v>0</v>
      </c>
      <c r="U208" s="77" cm="1">
        <f t="array" ref="U20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8" s="107" t="s">
        <v>86</v>
      </c>
      <c r="Z208" s="107"/>
      <c r="AA208" s="126">
        <f>SUBTOTAL(105,ReportSummary___Chart[Diff to BL. East.],ReportSummary___Chart[Diff to BL. North.],ReportSummary___Chart[Diff to BL. Level])</f>
        <v>-1.0000000000012221E-3</v>
      </c>
      <c r="AB208" s="114">
        <f>SUBTOTAL(104,ReportSummary___Chart[Diff to BL. East.],ReportSummary___Chart[Diff to BL. North.],ReportSummary___Chart[Diff to BL. Level])</f>
        <v>1.0000000038417056E-3</v>
      </c>
      <c r="AI208" s="1"/>
      <c r="AJ208" s="1"/>
      <c r="AK208" s="1"/>
      <c r="AL208" s="1"/>
    </row>
    <row r="209" spans="7:38" ht="14.25" hidden="1" customHeight="1" x14ac:dyDescent="0.2">
      <c r="G209" s="74">
        <v>45721.395833333336</v>
      </c>
      <c r="H209" s="107" t="s">
        <v>169</v>
      </c>
      <c r="I209" s="107"/>
      <c r="J209" s="116">
        <v>51903.6083</v>
      </c>
      <c r="K209" s="116">
        <v>159187.88200000001</v>
      </c>
      <c r="L209" s="116">
        <v>19.356999999999999</v>
      </c>
      <c r="M209" s="75">
        <v>51903.608</v>
      </c>
      <c r="N209" s="75">
        <v>159187.88200000001</v>
      </c>
      <c r="O209" s="75">
        <v>19.356999999999999</v>
      </c>
      <c r="P209" s="76">
        <v>-2.9999999969732016E-4</v>
      </c>
      <c r="Q209" s="109" cm="1">
        <f t="array" ref="Q20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09" s="76">
        <v>0</v>
      </c>
      <c r="S209" s="77" cm="1">
        <f t="array" ref="S20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09" s="76">
        <v>0</v>
      </c>
      <c r="U209" s="77" cm="1">
        <f t="array" ref="U20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0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0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0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09" s="107" t="s">
        <v>86</v>
      </c>
      <c r="Z209" s="107"/>
      <c r="AA209" s="126">
        <f>SUBTOTAL(105,ReportSummary___Chart[Diff to BL. East.],ReportSummary___Chart[Diff to BL. North.],ReportSummary___Chart[Diff to BL. Level])</f>
        <v>-1.0000000000012221E-3</v>
      </c>
      <c r="AB209" s="114">
        <f>SUBTOTAL(104,ReportSummary___Chart[Diff to BL. East.],ReportSummary___Chart[Diff to BL. North.],ReportSummary___Chart[Diff to BL. Level])</f>
        <v>1.0000000038417056E-3</v>
      </c>
      <c r="AI209" s="1"/>
      <c r="AJ209" s="1"/>
      <c r="AK209" s="1"/>
      <c r="AL209" s="1"/>
    </row>
    <row r="210" spans="7:38" ht="14.25" hidden="1" customHeight="1" x14ac:dyDescent="0.2">
      <c r="G210" s="74">
        <v>45721.395833333336</v>
      </c>
      <c r="H210" s="107" t="s">
        <v>170</v>
      </c>
      <c r="I210" s="107"/>
      <c r="J210" s="116">
        <v>51910.065000000002</v>
      </c>
      <c r="K210" s="116">
        <v>159186.02369999999</v>
      </c>
      <c r="L210" s="116">
        <v>19.356999999999999</v>
      </c>
      <c r="M210" s="75">
        <v>51910.065000000002</v>
      </c>
      <c r="N210" s="75">
        <v>159186.024</v>
      </c>
      <c r="O210" s="75">
        <v>19.356999999999999</v>
      </c>
      <c r="P210" s="76">
        <v>0</v>
      </c>
      <c r="Q210" s="109" cm="1">
        <f t="array" ref="Q21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0" s="76">
        <v>3.0000001424923539E-4</v>
      </c>
      <c r="S210" s="77" cm="1">
        <f t="array" ref="S21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0" s="76">
        <v>0</v>
      </c>
      <c r="U210" s="77" cm="1">
        <f t="array" ref="U21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0" s="107" t="s">
        <v>86</v>
      </c>
      <c r="Z210" s="107"/>
      <c r="AA210" s="126">
        <f>SUBTOTAL(105,ReportSummary___Chart[Diff to BL. East.],ReportSummary___Chart[Diff to BL. North.],ReportSummary___Chart[Diff to BL. Level])</f>
        <v>-1.0000000000012221E-3</v>
      </c>
      <c r="AB210" s="114">
        <f>SUBTOTAL(104,ReportSummary___Chart[Diff to BL. East.],ReportSummary___Chart[Diff to BL. North.],ReportSummary___Chart[Diff to BL. Level])</f>
        <v>1.0000000038417056E-3</v>
      </c>
      <c r="AI210" s="1"/>
      <c r="AJ210" s="1"/>
      <c r="AK210" s="1"/>
      <c r="AL210" s="1"/>
    </row>
    <row r="211" spans="7:38" ht="14.25" customHeight="1" x14ac:dyDescent="0.2">
      <c r="G211" s="74">
        <v>45710.451388888891</v>
      </c>
      <c r="H211" s="107" t="s">
        <v>172</v>
      </c>
      <c r="I211" s="107"/>
      <c r="J211" s="116">
        <v>51885.34</v>
      </c>
      <c r="K211" s="116">
        <v>159195.739</v>
      </c>
      <c r="L211" s="116">
        <v>18.782</v>
      </c>
      <c r="M211" s="75">
        <v>51885.341</v>
      </c>
      <c r="N211" s="75">
        <v>159195.73800000001</v>
      </c>
      <c r="O211" s="75">
        <v>18.782</v>
      </c>
      <c r="P211" s="76">
        <v>1.0000000038417056E-3</v>
      </c>
      <c r="Q211" s="109" cm="1">
        <f t="array" ref="Q21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1" s="76">
        <v>-9.9999998928979039E-4</v>
      </c>
      <c r="S211" s="77" cm="1">
        <f t="array" ref="S21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1" s="76">
        <v>0</v>
      </c>
      <c r="U211" s="77" cm="1">
        <f t="array" ref="U21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1" s="107" t="s">
        <v>86</v>
      </c>
      <c r="Z211" s="107"/>
      <c r="AA211" s="126">
        <f>SUBTOTAL(105,ReportSummary___Chart[Diff to BL. East.],ReportSummary___Chart[Diff to BL. North.],ReportSummary___Chart[Diff to BL. Level])</f>
        <v>-1.0000000000012221E-3</v>
      </c>
      <c r="AB211" s="114">
        <f>SUBTOTAL(104,ReportSummary___Chart[Diff to BL. East.],ReportSummary___Chart[Diff to BL. North.],ReportSummary___Chart[Diff to BL. Level])</f>
        <v>1.0000000038417056E-3</v>
      </c>
      <c r="AI211" s="1"/>
      <c r="AJ211" s="1"/>
      <c r="AK211" s="1"/>
      <c r="AL211" s="1"/>
    </row>
    <row r="212" spans="7:38" ht="14.25" hidden="1" customHeight="1" x14ac:dyDescent="0.2">
      <c r="G212" s="74">
        <v>45710.451388888891</v>
      </c>
      <c r="H212" s="107" t="s">
        <v>171</v>
      </c>
      <c r="I212" s="107"/>
      <c r="J212" s="116">
        <v>51884.958899999998</v>
      </c>
      <c r="K212" s="116">
        <v>159194.47070000001</v>
      </c>
      <c r="L212" s="116">
        <v>18.778099999999998</v>
      </c>
      <c r="M212" s="75">
        <v>51884.959999999999</v>
      </c>
      <c r="N212" s="75">
        <v>159194.47</v>
      </c>
      <c r="O212" s="75">
        <v>18.777999999999999</v>
      </c>
      <c r="P212" s="76">
        <v>1.1000000013154931E-3</v>
      </c>
      <c r="Q212" s="109" cm="1">
        <f t="array" ref="Q21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2" s="76">
        <v>-7.0000000414438546E-4</v>
      </c>
      <c r="S212" s="77" cm="1">
        <f t="array" ref="S21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2" s="76">
        <v>-9.9999999999766942E-5</v>
      </c>
      <c r="U212" s="77" cm="1">
        <f t="array" ref="U21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2" s="107" t="s">
        <v>86</v>
      </c>
      <c r="Z212" s="107"/>
      <c r="AA212" s="126">
        <f>SUBTOTAL(105,ReportSummary___Chart[Diff to BL. East.],ReportSummary___Chart[Diff to BL. North.],ReportSummary___Chart[Diff to BL. Level])</f>
        <v>-1.0000000000012221E-3</v>
      </c>
      <c r="AB212" s="114">
        <f>SUBTOTAL(104,ReportSummary___Chart[Diff to BL. East.],ReportSummary___Chart[Diff to BL. North.],ReportSummary___Chart[Diff to BL. Level])</f>
        <v>1.0000000038417056E-3</v>
      </c>
      <c r="AI212" s="1"/>
      <c r="AJ212" s="1"/>
      <c r="AK212" s="1"/>
      <c r="AL212" s="1"/>
    </row>
    <row r="213" spans="7:38" ht="14.25" hidden="1" customHeight="1" x14ac:dyDescent="0.2">
      <c r="G213" s="74">
        <v>45710.451388888891</v>
      </c>
      <c r="H213" s="107" t="s">
        <v>174</v>
      </c>
      <c r="I213" s="107"/>
      <c r="J213" s="116">
        <v>51888.117700000003</v>
      </c>
      <c r="K213" s="116">
        <v>159194.94529999999</v>
      </c>
      <c r="L213" s="116">
        <v>18.7788</v>
      </c>
      <c r="M213" s="75">
        <v>51888.118999999999</v>
      </c>
      <c r="N213" s="75">
        <v>159194.94500000001</v>
      </c>
      <c r="O213" s="75">
        <v>18.779</v>
      </c>
      <c r="P213" s="76">
        <v>1.2999999962630682E-3</v>
      </c>
      <c r="Q213" s="109" cm="1">
        <f t="array" ref="Q21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3" s="76">
        <v>-2.9999998514540493E-4</v>
      </c>
      <c r="S213" s="77" cm="1">
        <f t="array" ref="S21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3" s="76">
        <v>1.9999999999953388E-4</v>
      </c>
      <c r="U213" s="77" cm="1">
        <f t="array" ref="U21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3" s="107" t="s">
        <v>86</v>
      </c>
      <c r="Z213" s="107"/>
      <c r="AA213" s="126">
        <f>SUBTOTAL(105,ReportSummary___Chart[Diff to BL. East.],ReportSummary___Chart[Diff to BL. North.],ReportSummary___Chart[Diff to BL. Level])</f>
        <v>-1.0000000000012221E-3</v>
      </c>
      <c r="AB213" s="114">
        <f>SUBTOTAL(104,ReportSummary___Chart[Diff to BL. East.],ReportSummary___Chart[Diff to BL. North.],ReportSummary___Chart[Diff to BL. Level])</f>
        <v>1.0000000038417056E-3</v>
      </c>
      <c r="AI213" s="1"/>
      <c r="AJ213" s="1"/>
      <c r="AK213" s="1"/>
      <c r="AL213" s="1"/>
    </row>
    <row r="214" spans="7:38" ht="14.25" hidden="1" customHeight="1" x14ac:dyDescent="0.2">
      <c r="G214" s="74">
        <v>45710.451388888891</v>
      </c>
      <c r="H214" s="107" t="s">
        <v>173</v>
      </c>
      <c r="I214" s="107"/>
      <c r="J214" s="116">
        <v>51887.805099999998</v>
      </c>
      <c r="K214" s="116">
        <v>159193.65710000001</v>
      </c>
      <c r="L214" s="116">
        <v>18.778500000000001</v>
      </c>
      <c r="M214" s="75">
        <v>51887.807000000001</v>
      </c>
      <c r="N214" s="75">
        <v>159193.65700000001</v>
      </c>
      <c r="O214" s="75">
        <v>18.779</v>
      </c>
      <c r="P214" s="76">
        <v>1.9000000029336661E-3</v>
      </c>
      <c r="Q214" s="109" cm="1">
        <f t="array" ref="Q21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4" s="76">
        <v>-1.0000000474974513E-4</v>
      </c>
      <c r="S214" s="77" cm="1">
        <f t="array" ref="S21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4" s="76">
        <v>4.9999999999883471E-4</v>
      </c>
      <c r="U214" s="77" cm="1">
        <f t="array" ref="U21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4" s="107" t="s">
        <v>86</v>
      </c>
      <c r="Z214" s="107"/>
      <c r="AA214" s="126">
        <f>SUBTOTAL(105,ReportSummary___Chart[Diff to BL. East.],ReportSummary___Chart[Diff to BL. North.],ReportSummary___Chart[Diff to BL. Level])</f>
        <v>-1.0000000000012221E-3</v>
      </c>
      <c r="AB214" s="114">
        <f>SUBTOTAL(104,ReportSummary___Chart[Diff to BL. East.],ReportSummary___Chart[Diff to BL. North.],ReportSummary___Chart[Diff to BL. Level])</f>
        <v>1.0000000038417056E-3</v>
      </c>
      <c r="AI214" s="1"/>
      <c r="AJ214" s="1"/>
      <c r="AK214" s="1"/>
      <c r="AL214" s="1"/>
    </row>
    <row r="215" spans="7:38" ht="14.25" hidden="1" customHeight="1" x14ac:dyDescent="0.2">
      <c r="G215" s="74">
        <v>45710.451388888891</v>
      </c>
      <c r="H215" s="107" t="s">
        <v>176</v>
      </c>
      <c r="I215" s="107"/>
      <c r="J215" s="116">
        <v>51890.969100000002</v>
      </c>
      <c r="K215" s="116">
        <v>159194.1177</v>
      </c>
      <c r="L215" s="116">
        <v>18.779</v>
      </c>
      <c r="M215" s="75">
        <v>51890.970999999998</v>
      </c>
      <c r="N215" s="75">
        <v>159194.11799999999</v>
      </c>
      <c r="O215" s="75">
        <v>18.779</v>
      </c>
      <c r="P215" s="76">
        <v>1.8999999956577085E-3</v>
      </c>
      <c r="Q215" s="109" cm="1">
        <f t="array" ref="Q21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5" s="76">
        <v>2.9999998514540493E-4</v>
      </c>
      <c r="S215" s="77" cm="1">
        <f t="array" ref="S21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5" s="76">
        <v>0</v>
      </c>
      <c r="U215" s="77" cm="1">
        <f t="array" ref="U21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5" s="107" t="s">
        <v>86</v>
      </c>
      <c r="Z215" s="107"/>
      <c r="AA215" s="126">
        <f>SUBTOTAL(105,ReportSummary___Chart[Diff to BL. East.],ReportSummary___Chart[Diff to BL. North.],ReportSummary___Chart[Diff to BL. Level])</f>
        <v>-1.0000000000012221E-3</v>
      </c>
      <c r="AB215" s="114">
        <f>SUBTOTAL(104,ReportSummary___Chart[Diff to BL. East.],ReportSummary___Chart[Diff to BL. North.],ReportSummary___Chart[Diff to BL. Level])</f>
        <v>1.0000000038417056E-3</v>
      </c>
      <c r="AI215" s="1"/>
      <c r="AJ215" s="1"/>
      <c r="AK215" s="1"/>
      <c r="AL215" s="1"/>
    </row>
    <row r="216" spans="7:38" ht="14.25" hidden="1" customHeight="1" x14ac:dyDescent="0.2">
      <c r="G216" s="74">
        <v>45710.451388888891</v>
      </c>
      <c r="H216" s="107" t="s">
        <v>175</v>
      </c>
      <c r="I216" s="107"/>
      <c r="J216" s="116">
        <v>51890.606800000001</v>
      </c>
      <c r="K216" s="116">
        <v>159192.86069999999</v>
      </c>
      <c r="L216" s="116">
        <v>18.771999999999998</v>
      </c>
      <c r="M216" s="75">
        <v>51890.608</v>
      </c>
      <c r="N216" s="75">
        <v>159192.85999999999</v>
      </c>
      <c r="O216" s="75">
        <v>18.771999999999998</v>
      </c>
      <c r="P216" s="76">
        <v>1.1999999987892807E-3</v>
      </c>
      <c r="Q216" s="109" cm="1">
        <f t="array" ref="Q21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6" s="76">
        <v>-7.0000000414438546E-4</v>
      </c>
      <c r="S216" s="77" cm="1">
        <f t="array" ref="S21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6" s="76">
        <v>0</v>
      </c>
      <c r="U216" s="77" cm="1">
        <f t="array" ref="U21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6" s="107" t="s">
        <v>86</v>
      </c>
      <c r="Z216" s="107"/>
      <c r="AA216" s="126">
        <f>SUBTOTAL(105,ReportSummary___Chart[Diff to BL. East.],ReportSummary___Chart[Diff to BL. North.],ReportSummary___Chart[Diff to BL. Level])</f>
        <v>-1.0000000000012221E-3</v>
      </c>
      <c r="AB216" s="114">
        <f>SUBTOTAL(104,ReportSummary___Chart[Diff to BL. East.],ReportSummary___Chart[Diff to BL. North.],ReportSummary___Chart[Diff to BL. Level])</f>
        <v>1.0000000038417056E-3</v>
      </c>
      <c r="AI216" s="1"/>
      <c r="AJ216" s="1"/>
      <c r="AK216" s="1"/>
      <c r="AL216" s="1"/>
    </row>
    <row r="217" spans="7:38" ht="14.25" hidden="1" customHeight="1" x14ac:dyDescent="0.2">
      <c r="G217" s="74">
        <v>45710.451388888891</v>
      </c>
      <c r="H217" s="107" t="s">
        <v>178</v>
      </c>
      <c r="I217" s="107"/>
      <c r="J217" s="116">
        <v>51893.758699999998</v>
      </c>
      <c r="K217" s="116">
        <v>159193.3144</v>
      </c>
      <c r="L217" s="116">
        <v>18.774100000000001</v>
      </c>
      <c r="M217" s="75">
        <v>51893.760000000002</v>
      </c>
      <c r="N217" s="75">
        <v>159193.31400000001</v>
      </c>
      <c r="O217" s="75">
        <v>18.774000000000001</v>
      </c>
      <c r="P217" s="76">
        <v>1.3000000035390258E-3</v>
      </c>
      <c r="Q217" s="109" cm="1">
        <f t="array" ref="Q21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7" s="76">
        <v>-3.9999998989515007E-4</v>
      </c>
      <c r="S217" s="77" cm="1">
        <f t="array" ref="S21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7" s="76">
        <v>-9.9999999999766942E-5</v>
      </c>
      <c r="U217" s="77" cm="1">
        <f t="array" ref="U21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7" s="107" t="s">
        <v>86</v>
      </c>
      <c r="Z217" s="107"/>
      <c r="AA217" s="126">
        <f>SUBTOTAL(105,ReportSummary___Chart[Diff to BL. East.],ReportSummary___Chart[Diff to BL. North.],ReportSummary___Chart[Diff to BL. Level])</f>
        <v>-1.0000000000012221E-3</v>
      </c>
      <c r="AB217" s="114">
        <f>SUBTOTAL(104,ReportSummary___Chart[Diff to BL. East.],ReportSummary___Chart[Diff to BL. North.],ReportSummary___Chart[Diff to BL. Level])</f>
        <v>1.0000000038417056E-3</v>
      </c>
      <c r="AI217" s="1"/>
      <c r="AJ217" s="1"/>
      <c r="AK217" s="1"/>
      <c r="AL217" s="1"/>
    </row>
    <row r="218" spans="7:38" ht="14.25" hidden="1" customHeight="1" x14ac:dyDescent="0.2">
      <c r="G218" s="74">
        <v>45710.451388888891</v>
      </c>
      <c r="H218" s="107" t="s">
        <v>177</v>
      </c>
      <c r="I218" s="107"/>
      <c r="J218" s="116">
        <v>51893.441299999999</v>
      </c>
      <c r="K218" s="116">
        <v>159192.04019999999</v>
      </c>
      <c r="L218" s="116">
        <v>18.7683</v>
      </c>
      <c r="M218" s="75">
        <v>51893.442999999999</v>
      </c>
      <c r="N218" s="75">
        <v>159192.04</v>
      </c>
      <c r="O218" s="75">
        <v>18.768000000000001</v>
      </c>
      <c r="P218" s="76">
        <v>1.7000000007101335E-3</v>
      </c>
      <c r="Q218" s="109" cm="1">
        <f t="array" ref="Q21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8" s="76">
        <v>-1.999999803956598E-4</v>
      </c>
      <c r="S218" s="77" cm="1">
        <f t="array" ref="S21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8" s="76">
        <v>-2.9999999999930083E-4</v>
      </c>
      <c r="U218" s="77" cm="1">
        <f t="array" ref="U21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8" s="107" t="s">
        <v>86</v>
      </c>
      <c r="Z218" s="107"/>
      <c r="AA218" s="126">
        <f>SUBTOTAL(105,ReportSummary___Chart[Diff to BL. East.],ReportSummary___Chart[Diff to BL. North.],ReportSummary___Chart[Diff to BL. Level])</f>
        <v>-1.0000000000012221E-3</v>
      </c>
      <c r="AB218" s="114">
        <f>SUBTOTAL(104,ReportSummary___Chart[Diff to BL. East.],ReportSummary___Chart[Diff to BL. North.],ReportSummary___Chart[Diff to BL. Level])</f>
        <v>1.0000000038417056E-3</v>
      </c>
      <c r="AI218" s="1"/>
      <c r="AJ218" s="1"/>
      <c r="AK218" s="1"/>
      <c r="AL218" s="1"/>
    </row>
    <row r="219" spans="7:38" ht="14.25" hidden="1" customHeight="1" x14ac:dyDescent="0.2">
      <c r="G219" s="74">
        <v>45710.451388888891</v>
      </c>
      <c r="H219" s="107" t="s">
        <v>180</v>
      </c>
      <c r="I219" s="107"/>
      <c r="J219" s="116">
        <v>51896.633300000001</v>
      </c>
      <c r="K219" s="116">
        <v>159192.48449999999</v>
      </c>
      <c r="L219" s="116">
        <v>18.7776</v>
      </c>
      <c r="M219" s="75">
        <v>51896.635000000002</v>
      </c>
      <c r="N219" s="75">
        <v>159192.484</v>
      </c>
      <c r="O219" s="75">
        <v>18.777999999999999</v>
      </c>
      <c r="P219" s="76">
        <v>1.7000000007101335E-3</v>
      </c>
      <c r="Q219" s="109" cm="1">
        <f t="array" ref="Q21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19" s="76">
        <v>-4.999999946448952E-4</v>
      </c>
      <c r="S219" s="77" cm="1">
        <f t="array" ref="S21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19" s="76">
        <v>3.9999999999906777E-4</v>
      </c>
      <c r="U219" s="77" cm="1">
        <f t="array" ref="U21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1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1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1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19" s="107" t="s">
        <v>86</v>
      </c>
      <c r="Z219" s="107"/>
      <c r="AA219" s="126">
        <f>SUBTOTAL(105,ReportSummary___Chart[Diff to BL. East.],ReportSummary___Chart[Diff to BL. North.],ReportSummary___Chart[Diff to BL. Level])</f>
        <v>-1.0000000000012221E-3</v>
      </c>
      <c r="AB219" s="114">
        <f>SUBTOTAL(104,ReportSummary___Chart[Diff to BL. East.],ReportSummary___Chart[Diff to BL. North.],ReportSummary___Chart[Diff to BL. Level])</f>
        <v>1.0000000038417056E-3</v>
      </c>
      <c r="AI219" s="1"/>
      <c r="AJ219" s="1"/>
      <c r="AK219" s="1"/>
      <c r="AL219" s="1"/>
    </row>
    <row r="220" spans="7:38" ht="14.25" hidden="1" customHeight="1" x14ac:dyDescent="0.2">
      <c r="G220" s="74">
        <v>45710.451388888891</v>
      </c>
      <c r="H220" s="107" t="s">
        <v>179</v>
      </c>
      <c r="I220" s="107"/>
      <c r="J220" s="116">
        <v>51896.249799999998</v>
      </c>
      <c r="K220" s="116">
        <v>159191.22630000001</v>
      </c>
      <c r="L220" s="116">
        <v>18.7698</v>
      </c>
      <c r="M220" s="75">
        <v>51896.250999999997</v>
      </c>
      <c r="N220" s="75">
        <v>159191.22700000001</v>
      </c>
      <c r="O220" s="75">
        <v>18.768999999999998</v>
      </c>
      <c r="P220" s="76">
        <v>1.1999999987892807E-3</v>
      </c>
      <c r="Q220" s="109" cm="1">
        <f t="array" ref="Q22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0" s="76">
        <v>7.0000000414438546E-4</v>
      </c>
      <c r="S220" s="77" cm="1">
        <f t="array" ref="S22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0" s="76">
        <v>-8.0000000000168825E-4</v>
      </c>
      <c r="U220" s="77" cm="1">
        <f t="array" ref="U22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0" s="107" t="s">
        <v>86</v>
      </c>
      <c r="Z220" s="107"/>
      <c r="AA220" s="126">
        <f>SUBTOTAL(105,ReportSummary___Chart[Diff to BL. East.],ReportSummary___Chart[Diff to BL. North.],ReportSummary___Chart[Diff to BL. Level])</f>
        <v>-1.0000000000012221E-3</v>
      </c>
      <c r="AB220" s="114">
        <f>SUBTOTAL(104,ReportSummary___Chart[Diff to BL. East.],ReportSummary___Chart[Diff to BL. North.],ReportSummary___Chart[Diff to BL. Level])</f>
        <v>1.0000000038417056E-3</v>
      </c>
      <c r="AI220" s="1"/>
      <c r="AJ220" s="1"/>
      <c r="AK220" s="1"/>
      <c r="AL220" s="1"/>
    </row>
    <row r="221" spans="7:38" ht="14.25" hidden="1" customHeight="1" x14ac:dyDescent="0.2">
      <c r="G221" s="74">
        <v>45710.451388888891</v>
      </c>
      <c r="H221" s="107" t="s">
        <v>182</v>
      </c>
      <c r="I221" s="107"/>
      <c r="J221" s="116">
        <v>51899.398699999998</v>
      </c>
      <c r="K221" s="116">
        <v>159191.69760000001</v>
      </c>
      <c r="L221" s="116">
        <v>18.777999999999999</v>
      </c>
      <c r="M221" s="75">
        <v>51899.4</v>
      </c>
      <c r="N221" s="75">
        <v>159191.69699999999</v>
      </c>
      <c r="O221" s="75">
        <v>18.777999999999999</v>
      </c>
      <c r="P221" s="76">
        <v>1.3000000035390258E-3</v>
      </c>
      <c r="Q221" s="109" cm="1">
        <f t="array" ref="Q22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1" s="76">
        <v>-6.0000002849847078E-4</v>
      </c>
      <c r="S221" s="77" cm="1">
        <f t="array" ref="S22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1" s="76">
        <v>0</v>
      </c>
      <c r="U221" s="77" cm="1">
        <f t="array" ref="U22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1" s="107" t="s">
        <v>86</v>
      </c>
      <c r="Z221" s="107"/>
      <c r="AA221" s="126">
        <f>SUBTOTAL(105,ReportSummary___Chart[Diff to BL. East.],ReportSummary___Chart[Diff to BL. North.],ReportSummary___Chart[Diff to BL. Level])</f>
        <v>-1.0000000000012221E-3</v>
      </c>
      <c r="AB221" s="114">
        <f>SUBTOTAL(104,ReportSummary___Chart[Diff to BL. East.],ReportSummary___Chart[Diff to BL. North.],ReportSummary___Chart[Diff to BL. Level])</f>
        <v>1.0000000038417056E-3</v>
      </c>
      <c r="AI221" s="1"/>
      <c r="AJ221" s="1"/>
      <c r="AK221" s="1"/>
      <c r="AL221" s="1"/>
    </row>
    <row r="222" spans="7:38" ht="14.25" hidden="1" customHeight="1" x14ac:dyDescent="0.2">
      <c r="G222" s="74">
        <v>45710.451388888891</v>
      </c>
      <c r="H222" s="107" t="s">
        <v>181</v>
      </c>
      <c r="I222" s="107"/>
      <c r="J222" s="116">
        <v>51899.041100000002</v>
      </c>
      <c r="K222" s="116">
        <v>159190.43340000001</v>
      </c>
      <c r="L222" s="116">
        <v>18.771100000000001</v>
      </c>
      <c r="M222" s="75">
        <v>51899.042999999998</v>
      </c>
      <c r="N222" s="75">
        <v>159190.432</v>
      </c>
      <c r="O222" s="75">
        <v>18.771000000000001</v>
      </c>
      <c r="P222" s="76">
        <v>1.8999999956577085E-3</v>
      </c>
      <c r="Q222" s="109" cm="1">
        <f t="array" ref="Q22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2" s="76">
        <v>-1.4000000082887709E-3</v>
      </c>
      <c r="S222" s="77" cm="1">
        <f t="array" ref="S22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2" s="76">
        <v>-9.9999999999766942E-5</v>
      </c>
      <c r="U222" s="77" cm="1">
        <f t="array" ref="U22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2" s="107" t="s">
        <v>86</v>
      </c>
      <c r="Z222" s="107"/>
      <c r="AA222" s="126">
        <f>SUBTOTAL(105,ReportSummary___Chart[Diff to BL. East.],ReportSummary___Chart[Diff to BL. North.],ReportSummary___Chart[Diff to BL. Level])</f>
        <v>-1.0000000000012221E-3</v>
      </c>
      <c r="AB222" s="114">
        <f>SUBTOTAL(104,ReportSummary___Chart[Diff to BL. East.],ReportSummary___Chart[Diff to BL. North.],ReportSummary___Chart[Diff to BL. Level])</f>
        <v>1.0000000038417056E-3</v>
      </c>
      <c r="AI222" s="1"/>
      <c r="AJ222" s="1"/>
      <c r="AK222" s="1"/>
      <c r="AL222" s="1"/>
    </row>
    <row r="223" spans="7:38" ht="14.25" hidden="1" customHeight="1" x14ac:dyDescent="0.2">
      <c r="G223" s="74">
        <v>45710.451388888891</v>
      </c>
      <c r="H223" s="107" t="s">
        <v>184</v>
      </c>
      <c r="I223" s="107"/>
      <c r="J223" s="116">
        <v>51902.292699999998</v>
      </c>
      <c r="K223" s="116">
        <v>159190.88459999999</v>
      </c>
      <c r="L223" s="116">
        <v>18.779</v>
      </c>
      <c r="M223" s="75">
        <v>51902.294000000002</v>
      </c>
      <c r="N223" s="75">
        <v>159190.88399999999</v>
      </c>
      <c r="O223" s="75">
        <v>18.779</v>
      </c>
      <c r="P223" s="76">
        <v>1.3000000035390258E-3</v>
      </c>
      <c r="Q223" s="109" cm="1">
        <f t="array" ref="Q223">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3" s="76">
        <v>-5.9999999939464033E-4</v>
      </c>
      <c r="S223" s="77" cm="1">
        <f t="array" ref="S223">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3" s="76">
        <v>0</v>
      </c>
      <c r="U223" s="77" cm="1">
        <f t="array" ref="U223">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3"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3"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3"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3" s="107" t="s">
        <v>86</v>
      </c>
      <c r="Z223" s="107"/>
      <c r="AA223" s="126">
        <f>SUBTOTAL(105,ReportSummary___Chart[Diff to BL. East.],ReportSummary___Chart[Diff to BL. North.],ReportSummary___Chart[Diff to BL. Level])</f>
        <v>-1.0000000000012221E-3</v>
      </c>
      <c r="AB223" s="114">
        <f>SUBTOTAL(104,ReportSummary___Chart[Diff to BL. East.],ReportSummary___Chart[Diff to BL. North.],ReportSummary___Chart[Diff to BL. Level])</f>
        <v>1.0000000038417056E-3</v>
      </c>
      <c r="AI223" s="1"/>
      <c r="AJ223" s="1"/>
      <c r="AK223" s="1"/>
      <c r="AL223" s="1"/>
    </row>
    <row r="224" spans="7:38" ht="14.25" hidden="1" customHeight="1" x14ac:dyDescent="0.2">
      <c r="G224" s="74">
        <v>45710.451388888891</v>
      </c>
      <c r="H224" s="107" t="s">
        <v>183</v>
      </c>
      <c r="I224" s="107"/>
      <c r="J224" s="116">
        <v>51901.989200000004</v>
      </c>
      <c r="K224" s="116">
        <v>159189.60260000001</v>
      </c>
      <c r="L224" s="116">
        <v>18.770099999999999</v>
      </c>
      <c r="M224" s="75">
        <v>51901.991000000002</v>
      </c>
      <c r="N224" s="75">
        <v>159189.601</v>
      </c>
      <c r="O224" s="75">
        <v>18.77</v>
      </c>
      <c r="P224" s="76">
        <v>1.799999998183921E-3</v>
      </c>
      <c r="Q224" s="109" cm="1">
        <f t="array" ref="Q224">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4" s="76">
        <v>-1.6000000177882612E-3</v>
      </c>
      <c r="S224" s="77" cm="1">
        <f t="array" ref="S224">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4" s="76">
        <v>-9.9999999999766942E-5</v>
      </c>
      <c r="U224" s="77" cm="1">
        <f t="array" ref="U224">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4"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4"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4"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4" s="107" t="s">
        <v>86</v>
      </c>
      <c r="Z224" s="107"/>
      <c r="AA224" s="126">
        <f>SUBTOTAL(105,ReportSummary___Chart[Diff to BL. East.],ReportSummary___Chart[Diff to BL. North.],ReportSummary___Chart[Diff to BL. Level])</f>
        <v>-1.0000000000012221E-3</v>
      </c>
      <c r="AB224" s="114">
        <f>SUBTOTAL(104,ReportSummary___Chart[Diff to BL. East.],ReportSummary___Chart[Diff to BL. North.],ReportSummary___Chart[Diff to BL. Level])</f>
        <v>1.0000000038417056E-3</v>
      </c>
      <c r="AI224" s="1"/>
      <c r="AJ224" s="1"/>
      <c r="AK224" s="1"/>
      <c r="AL224" s="1"/>
    </row>
    <row r="225" spans="7:38" ht="14.25" hidden="1" customHeight="1" x14ac:dyDescent="0.2">
      <c r="G225" s="74">
        <v>45710.451388888891</v>
      </c>
      <c r="H225" s="107" t="s">
        <v>186</v>
      </c>
      <c r="I225" s="107"/>
      <c r="J225" s="116">
        <v>51905.196199999998</v>
      </c>
      <c r="K225" s="116">
        <v>159190.09460000001</v>
      </c>
      <c r="L225" s="116">
        <v>18.780899999999999</v>
      </c>
      <c r="M225" s="75">
        <v>51905.197999999997</v>
      </c>
      <c r="N225" s="75">
        <v>159190.09400000001</v>
      </c>
      <c r="O225" s="75">
        <v>18.780999999999999</v>
      </c>
      <c r="P225" s="76">
        <v>1.799999998183921E-3</v>
      </c>
      <c r="Q225" s="109" cm="1">
        <f t="array" ref="Q225">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5" s="76">
        <v>-5.9999999939464033E-4</v>
      </c>
      <c r="S225" s="77" cm="1">
        <f t="array" ref="S225">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5" s="76">
        <v>9.9999999999766942E-5</v>
      </c>
      <c r="U225" s="77" cm="1">
        <f t="array" ref="U225">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5"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5"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5"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5" s="107" t="s">
        <v>86</v>
      </c>
      <c r="Z225" s="107"/>
      <c r="AA225" s="126">
        <f>SUBTOTAL(105,ReportSummary___Chart[Diff to BL. East.],ReportSummary___Chart[Diff to BL. North.],ReportSummary___Chart[Diff to BL. Level])</f>
        <v>-1.0000000000012221E-3</v>
      </c>
      <c r="AB225" s="114">
        <f>SUBTOTAL(104,ReportSummary___Chart[Diff to BL. East.],ReportSummary___Chart[Diff to BL. North.],ReportSummary___Chart[Diff to BL. Level])</f>
        <v>1.0000000038417056E-3</v>
      </c>
      <c r="AI225" s="1"/>
      <c r="AJ225" s="1"/>
      <c r="AK225" s="1"/>
      <c r="AL225" s="1"/>
    </row>
    <row r="226" spans="7:38" ht="14.25" hidden="1" customHeight="1" x14ac:dyDescent="0.2">
      <c r="G226" s="74">
        <v>45710.451388888891</v>
      </c>
      <c r="H226" s="107" t="s">
        <v>185</v>
      </c>
      <c r="I226" s="107"/>
      <c r="J226" s="116">
        <v>51904.885600000001</v>
      </c>
      <c r="K226" s="116">
        <v>159188.8046</v>
      </c>
      <c r="L226" s="116">
        <v>18.773099999999999</v>
      </c>
      <c r="M226" s="75">
        <v>51904.887999999999</v>
      </c>
      <c r="N226" s="75">
        <v>159188.80300000001</v>
      </c>
      <c r="O226" s="75">
        <v>18.773</v>
      </c>
      <c r="P226" s="76">
        <v>2.3999999975785613E-3</v>
      </c>
      <c r="Q226" s="109" cm="1">
        <f t="array" ref="Q226">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6" s="76">
        <v>-1.5999999886844307E-3</v>
      </c>
      <c r="S226" s="77" cm="1">
        <f t="array" ref="S226">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6" s="76">
        <v>-9.9999999999766942E-5</v>
      </c>
      <c r="U226" s="77" cm="1">
        <f t="array" ref="U226">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6"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6"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6"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6" s="107" t="s">
        <v>86</v>
      </c>
      <c r="Z226" s="107"/>
      <c r="AA226" s="126">
        <f>SUBTOTAL(105,ReportSummary___Chart[Diff to BL. East.],ReportSummary___Chart[Diff to BL. North.],ReportSummary___Chart[Diff to BL. Level])</f>
        <v>-1.0000000000012221E-3</v>
      </c>
      <c r="AB226" s="114">
        <f>SUBTOTAL(104,ReportSummary___Chart[Diff to BL. East.],ReportSummary___Chart[Diff to BL. North.],ReportSummary___Chart[Diff to BL. Level])</f>
        <v>1.0000000038417056E-3</v>
      </c>
      <c r="AI226" s="1"/>
      <c r="AJ226" s="1"/>
      <c r="AK226" s="1"/>
      <c r="AL226" s="1"/>
    </row>
    <row r="227" spans="7:38" ht="14.25" hidden="1" customHeight="1" x14ac:dyDescent="0.2">
      <c r="G227" s="74">
        <v>45710.451388888891</v>
      </c>
      <c r="H227" s="107" t="s">
        <v>188</v>
      </c>
      <c r="I227" s="107"/>
      <c r="J227" s="116">
        <v>51907.9522</v>
      </c>
      <c r="K227" s="116">
        <v>159189.36230000001</v>
      </c>
      <c r="L227" s="116">
        <v>18.786000000000001</v>
      </c>
      <c r="M227" s="75">
        <v>51907.953999999998</v>
      </c>
      <c r="N227" s="75">
        <v>159189.361</v>
      </c>
      <c r="O227" s="75">
        <v>18.786000000000001</v>
      </c>
      <c r="P227" s="76">
        <v>1.799999998183921E-3</v>
      </c>
      <c r="Q227" s="109" cm="1">
        <f t="array" ref="Q227">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7" s="76">
        <v>-1.3000000035390258E-3</v>
      </c>
      <c r="S227" s="77" cm="1">
        <f t="array" ref="S227">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7" s="76">
        <v>0</v>
      </c>
      <c r="U227" s="77" cm="1">
        <f t="array" ref="U227">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7"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7"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7"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7" s="107" t="s">
        <v>86</v>
      </c>
      <c r="Z227" s="107"/>
      <c r="AA227" s="126">
        <f>SUBTOTAL(105,ReportSummary___Chart[Diff to BL. East.],ReportSummary___Chart[Diff to BL. North.],ReportSummary___Chart[Diff to BL. Level])</f>
        <v>-1.0000000000012221E-3</v>
      </c>
      <c r="AB227" s="114">
        <f>SUBTOTAL(104,ReportSummary___Chart[Diff to BL. East.],ReportSummary___Chart[Diff to BL. North.],ReportSummary___Chart[Diff to BL. Level])</f>
        <v>1.0000000038417056E-3</v>
      </c>
      <c r="AI227" s="1"/>
      <c r="AJ227" s="1"/>
      <c r="AK227" s="1"/>
      <c r="AL227" s="1"/>
    </row>
    <row r="228" spans="7:38" ht="14.25" hidden="1" customHeight="1" x14ac:dyDescent="0.2">
      <c r="G228" s="74">
        <v>45710.451388888891</v>
      </c>
      <c r="H228" s="107" t="s">
        <v>187</v>
      </c>
      <c r="I228" s="107"/>
      <c r="J228" s="116">
        <v>51907.578699999998</v>
      </c>
      <c r="K228" s="116">
        <v>159188.09770000001</v>
      </c>
      <c r="L228" s="116">
        <v>18.776</v>
      </c>
      <c r="M228" s="75">
        <v>51907.580999999998</v>
      </c>
      <c r="N228" s="75">
        <v>159188.09599999999</v>
      </c>
      <c r="O228" s="75">
        <v>18.776</v>
      </c>
      <c r="P228" s="76">
        <v>2.3000000001047738E-3</v>
      </c>
      <c r="Q228" s="109" cm="1">
        <f t="array" ref="Q228">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8" s="76">
        <v>-1.7000000225380063E-3</v>
      </c>
      <c r="S228" s="77" cm="1">
        <f t="array" ref="S228">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8" s="76">
        <v>0</v>
      </c>
      <c r="U228" s="77" cm="1">
        <f t="array" ref="U228">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8"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8"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8"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8" s="107" t="s">
        <v>86</v>
      </c>
      <c r="Z228" s="107"/>
      <c r="AA228" s="126">
        <f>SUBTOTAL(105,ReportSummary___Chart[Diff to BL. East.],ReportSummary___Chart[Diff to BL. North.],ReportSummary___Chart[Diff to BL. Level])</f>
        <v>-1.0000000000012221E-3</v>
      </c>
      <c r="AB228" s="114">
        <f>SUBTOTAL(104,ReportSummary___Chart[Diff to BL. East.],ReportSummary___Chart[Diff to BL. North.],ReportSummary___Chart[Diff to BL. Level])</f>
        <v>1.0000000038417056E-3</v>
      </c>
      <c r="AI228" s="1"/>
      <c r="AJ228" s="1"/>
      <c r="AK228" s="1"/>
      <c r="AL228" s="1"/>
    </row>
    <row r="229" spans="7:38" ht="14.25" hidden="1" customHeight="1" x14ac:dyDescent="0.2">
      <c r="G229" s="74">
        <v>45710.451388888891</v>
      </c>
      <c r="H229" s="107" t="s">
        <v>190</v>
      </c>
      <c r="I229" s="107"/>
      <c r="J229" s="116">
        <v>51910.962800000001</v>
      </c>
      <c r="K229" s="116">
        <v>159188.60079999999</v>
      </c>
      <c r="L229" s="116">
        <v>18.794599999999999</v>
      </c>
      <c r="M229" s="75">
        <v>51910.964999999997</v>
      </c>
      <c r="N229" s="75">
        <v>159188.6</v>
      </c>
      <c r="O229" s="75">
        <v>18.795000000000002</v>
      </c>
      <c r="P229" s="76">
        <v>2.1999999953550287E-3</v>
      </c>
      <c r="Q229" s="109" cm="1">
        <f t="array" ref="Q229">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29" s="76">
        <v>-7.9999997979030013E-4</v>
      </c>
      <c r="S229" s="77" cm="1">
        <f t="array" ref="S229">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29" s="76">
        <v>4.0000000000262048E-4</v>
      </c>
      <c r="U229" s="77" cm="1">
        <f t="array" ref="U229">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29"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29"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29"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29" s="107" t="s">
        <v>86</v>
      </c>
      <c r="Z229" s="107"/>
      <c r="AA229" s="126">
        <f>SUBTOTAL(105,ReportSummary___Chart[Diff to BL. East.],ReportSummary___Chart[Diff to BL. North.],ReportSummary___Chart[Diff to BL. Level])</f>
        <v>-1.0000000000012221E-3</v>
      </c>
      <c r="AB229" s="114">
        <f>SUBTOTAL(104,ReportSummary___Chart[Diff to BL. East.],ReportSummary___Chart[Diff to BL. North.],ReportSummary___Chart[Diff to BL. Level])</f>
        <v>1.0000000038417056E-3</v>
      </c>
      <c r="AI229" s="1"/>
      <c r="AJ229" s="1"/>
      <c r="AK229" s="1"/>
      <c r="AL229" s="1"/>
    </row>
    <row r="230" spans="7:38" ht="14.25" hidden="1" customHeight="1" x14ac:dyDescent="0.2">
      <c r="G230" s="74">
        <v>45710.451388888891</v>
      </c>
      <c r="H230" s="107" t="s">
        <v>189</v>
      </c>
      <c r="I230" s="107"/>
      <c r="J230" s="116">
        <v>51910.640099999997</v>
      </c>
      <c r="K230" s="116">
        <v>159187.3223</v>
      </c>
      <c r="L230" s="116">
        <v>18.7836</v>
      </c>
      <c r="M230" s="75">
        <v>51910.642999999996</v>
      </c>
      <c r="N230" s="75">
        <v>159187.321</v>
      </c>
      <c r="O230" s="75">
        <v>18.783999999999999</v>
      </c>
      <c r="P230" s="76">
        <v>2.8999999994994141E-3</v>
      </c>
      <c r="Q230" s="109" cm="1">
        <f t="array" ref="Q230">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30" s="76">
        <v>-1.3000000035390258E-3</v>
      </c>
      <c r="S230" s="77" cm="1">
        <f t="array" ref="S230">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30" s="76">
        <v>3.9999999999906777E-4</v>
      </c>
      <c r="U230" s="77" cm="1">
        <f t="array" ref="U230">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30"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30"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30"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30" s="107" t="s">
        <v>86</v>
      </c>
      <c r="Z230" s="107"/>
      <c r="AA230" s="126">
        <f>SUBTOTAL(105,ReportSummary___Chart[Diff to BL. East.],ReportSummary___Chart[Diff to BL. North.],ReportSummary___Chart[Diff to BL. Level])</f>
        <v>-1.0000000000012221E-3</v>
      </c>
      <c r="AB230" s="114">
        <f>SUBTOTAL(104,ReportSummary___Chart[Diff to BL. East.],ReportSummary___Chart[Diff to BL. North.],ReportSummary___Chart[Diff to BL. Level])</f>
        <v>1.0000000038417056E-3</v>
      </c>
      <c r="AI230" s="1"/>
      <c r="AJ230" s="1"/>
      <c r="AK230" s="1"/>
      <c r="AL230" s="1"/>
    </row>
    <row r="231" spans="7:38" ht="14.25" hidden="1" customHeight="1" x14ac:dyDescent="0.2">
      <c r="G231" s="74">
        <v>45710.451388888891</v>
      </c>
      <c r="H231" s="107" t="s">
        <v>192</v>
      </c>
      <c r="I231" s="107"/>
      <c r="J231" s="116">
        <v>51913.751100000001</v>
      </c>
      <c r="K231" s="116">
        <v>159187.9178</v>
      </c>
      <c r="L231" s="116">
        <v>18.809000000000001</v>
      </c>
      <c r="M231" s="75">
        <v>51913.752999999997</v>
      </c>
      <c r="N231" s="75">
        <v>159187.91699999999</v>
      </c>
      <c r="O231" s="75">
        <v>18.809000000000001</v>
      </c>
      <c r="P231" s="76">
        <v>1.8999999956577085E-3</v>
      </c>
      <c r="Q231" s="109" cm="1">
        <f t="array" ref="Q231">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31" s="76">
        <v>-8.0000000889413059E-4</v>
      </c>
      <c r="S231" s="77" cm="1">
        <f t="array" ref="S231">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31" s="76">
        <v>0</v>
      </c>
      <c r="U231" s="77" cm="1">
        <f t="array" ref="U231">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31"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31"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31"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31" s="107" t="s">
        <v>86</v>
      </c>
      <c r="Z231" s="107"/>
      <c r="AA231" s="126">
        <f>SUBTOTAL(105,ReportSummary___Chart[Diff to BL. East.],ReportSummary___Chart[Diff to BL. North.],ReportSummary___Chart[Diff to BL. Level])</f>
        <v>-1.0000000000012221E-3</v>
      </c>
      <c r="AB231" s="114">
        <f>SUBTOTAL(104,ReportSummary___Chart[Diff to BL. East.],ReportSummary___Chart[Diff to BL. North.],ReportSummary___Chart[Diff to BL. Level])</f>
        <v>1.0000000038417056E-3</v>
      </c>
      <c r="AI231" s="1"/>
      <c r="AJ231" s="1"/>
      <c r="AK231" s="1"/>
      <c r="AL231" s="1"/>
    </row>
    <row r="232" spans="7:38" ht="14.25" hidden="1" customHeight="1" x14ac:dyDescent="0.2">
      <c r="G232" s="74">
        <v>45710.451388888891</v>
      </c>
      <c r="H232" s="107" t="s">
        <v>191</v>
      </c>
      <c r="I232" s="107"/>
      <c r="J232" s="116">
        <v>51913.421499999997</v>
      </c>
      <c r="K232" s="116">
        <v>159186.63630000001</v>
      </c>
      <c r="L232" s="116">
        <v>18.794899999999998</v>
      </c>
      <c r="M232" s="75">
        <v>51913.423999999999</v>
      </c>
      <c r="N232" s="75">
        <v>159186.63500000001</v>
      </c>
      <c r="O232" s="75">
        <v>18.795000000000002</v>
      </c>
      <c r="P232" s="76">
        <v>2.5000000023283064E-3</v>
      </c>
      <c r="Q232" s="109" cm="1">
        <f t="array" ref="Q232">_xlfn.IFS(ReportSummary___Chart[[#This Row],[Diff to BL. East.]]="-",0,
AND(ReportSummary___Chart[[#This Row],[Diff to BL. East.]]&gt;=$R$4,ReportSummary___Chart[[#This Row],[Diff to BL. East.]]&lt;$T$4),0,
OR(AND(ReportSummary___Chart[[#This Row],[Diff to BL. East.]]&lt;$R$4,ReportSummary___Chart[[#This Row],[Diff to BL. East.]]&gt;=$R$5),AND(ReportSummary___Chart[[#This Row],[Diff to BL. East.]]&gt;$T$4,ReportSummary___Chart[[#This Row],[Diff to BL. East.]]&lt;=$T$5)),1,
OR(AND(ReportSummary___Chart[[#This Row],[Diff to BL. East.]]&lt;$R$5,ReportSummary___Chart[[#This Row],[Diff to BL. East.]]&gt;=$R$6),AND(ReportSummary___Chart[[#This Row],[Diff to BL. East.]]&gt;$T$5,ReportSummary___Chart[[#This Row],[Diff to BL. East.]]&lt;=$T$6)),2,
OR(AND(ReportSummary___Chart[[#This Row],[Diff to BL. East.]]&lt;$R$6,ReportSummary___Chart[[#This Row],[Diff to BL. East.]]&gt;=$R$7),AND(ReportSummary___Chart[[#This Row],[Diff to BL. East.]]&gt;$T$6,ReportSummary___Chart[[#This Row],[Diff to BL. East.]]&lt;=$T$7)),3,
OR(ReportSummary___Chart[[#This Row],[Diff to BL. East.]]&lt;$R$7,ReportSummary___Chart[[#This Row],[Diff to BL. East.]]&gt;$T$7),4)</f>
        <v>0</v>
      </c>
      <c r="R232" s="76">
        <v>-1.3000000035390258E-3</v>
      </c>
      <c r="S232" s="77" cm="1">
        <f t="array" ref="S232">_xlfn.IFS(ReportSummary___Chart[[#This Row],[Diff to BL. North.]]="-",0,
AND(ReportSummary___Chart[[#This Row],[Diff to BL. North.]]&gt;=$R$4,ReportSummary___Chart[[#This Row],[Diff to BL. North.]]&lt;$T$4),0,
OR(AND(ReportSummary___Chart[[#This Row],[Diff to BL. North.]]&lt;$R$4,ReportSummary___Chart[[#This Row],[Diff to BL. North.]]&gt;=$R$5),AND(ReportSummary___Chart[[#This Row],[Diff to BL. North.]]&gt;$T$4,ReportSummary___Chart[[#This Row],[Diff to BL. North.]]&lt;=$T$5)),1,
OR(AND(ReportSummary___Chart[[#This Row],[Diff to BL. North.]]&lt;$R$5,ReportSummary___Chart[[#This Row],[Diff to BL. North.]]&gt;=$R$6),AND(ReportSummary___Chart[[#This Row],[Diff to BL. North.]]&gt;$T$5,ReportSummary___Chart[[#This Row],[Diff to BL. North.]]&lt;=$T$6)),2,
OR(AND(ReportSummary___Chart[[#This Row],[Diff to BL. North.]]&lt;$R$6,ReportSummary___Chart[[#This Row],[Diff to BL. North.]]&gt;=$R$7),AND(ReportSummary___Chart[[#This Row],[Diff to BL. North.]]&gt;$T$6,ReportSummary___Chart[[#This Row],[Diff to BL. North.]]&lt;=$T$7)),3,
OR(ReportSummary___Chart[[#This Row],[Diff to BL. North.]]&lt;$R$7,ReportSummary___Chart[[#This Row],[Diff to BL. North.]]&gt;$T$7),4)</f>
        <v>0</v>
      </c>
      <c r="T232" s="76">
        <v>1.0000000000331966E-4</v>
      </c>
      <c r="U232" s="77" cm="1">
        <f t="array" ref="U232">_xlfn.IFS(ReportSummary___Chart[[#This Row],[Diff to BL. Level]]="-",0,
AND(ReportSummary___Chart[[#This Row],[Diff to BL. Level]]&gt;=$R$4,ReportSummary___Chart[[#This Row],[Diff to BL. Level]]&lt;$T$4),0,
OR(AND(ReportSummary___Chart[[#This Row],[Diff to BL. Level]]&lt;$R$4,ReportSummary___Chart[[#This Row],[Diff to BL. Level]]&gt;=$R$5),AND(ReportSummary___Chart[[#This Row],[Diff to BL. Level]]&gt;$T$4,ReportSummary___Chart[[#This Row],[Diff to BL. Level]]&lt;=$T$5)),1,
OR(AND(ReportSummary___Chart[[#This Row],[Diff to BL. Level]]&lt;$R$5,ReportSummary___Chart[[#This Row],[Diff to BL. Level]]&gt;=$R$6),AND(ReportSummary___Chart[[#This Row],[Diff to BL. Level]]&gt;$T$5,ReportSummary___Chart[[#This Row],[Diff to BL. Level]]&lt;=$T$6)),2,
OR(AND(ReportSummary___Chart[[#This Row],[Diff to BL. Level]]&lt;$R$6,ReportSummary___Chart[[#This Row],[Diff to BL. Level]]&gt;=$R$7),AND(ReportSummary___Chart[[#This Row],[Diff to BL. Level]]&gt;$T$6,ReportSummary___Chart[[#This Row],[Diff to BL. Level]]&lt;=$T$7)),3,
OR(ReportSummary___Chart[[#This Row],[Diff to BL. Level]]&lt;$R$7,ReportSummary___Chart[[#This Row],[Diff to BL. Level]]&gt;$T$7),4)</f>
        <v>0</v>
      </c>
      <c r="V232" s="77" t="str">
        <f>_xlfn.LET(
_xlpm.CurrentReading,ReportSummary___Chart[[#This Row],[Obs. Easting]],
_xlpm.LastReading,_xlfn.XLOOKUP(ReportSummary___Chart[[#This Row],[ID]]&amp;"-"&amp;LastSurvey,Readings[Key],Readings[Obs. X],"-"),
IFERROR(IF(OR(_xlpm.LastReading=0, ISBLANK(_xlpm.LastReading), ISBLANK(_xlpm.CurrentReading)),"-", _xlpm.CurrentReading-_xlpm.LastReading),"-"))</f>
        <v>-</v>
      </c>
      <c r="W232" s="77" t="str">
        <f>_xlfn.LET(
_xlpm.CurrentReading,ReportSummary___Chart[[#This Row],[Obs. Northing]],
_xlpm.LastReading,_xlfn.XLOOKUP(ReportSummary___Chart[[#This Row],[ID]]&amp;"-"&amp;LastSurvey,Readings[Key],Readings[Obs. Y],"-"),
IFERROR(IF(OR(_xlpm.LastReading=0, ISBLANK(_xlpm.LastReading), ISBLANK(_xlpm.CurrentReading)),"-", _xlpm.CurrentReading-_xlpm.LastReading),"-"))</f>
        <v>-</v>
      </c>
      <c r="X232" s="77" t="str">
        <f>_xlfn.LET(
_xlpm.CurrentReading,ReportSummary___Chart[[#This Row],[Obs. Height]],
_xlpm.LastReading,_xlfn.XLOOKUP(ReportSummary___Chart[[#This Row],[ID]]&amp;"-"&amp;LastSurvey,Readings[Key],Readings[Obs. Z],"-"),
IFERROR(IF(OR(_xlpm.LastReading=0, ISBLANK(_xlpm.LastReading), ISBLANK(_xlpm.CurrentReading)),"-", _xlpm.CurrentReading-_xlpm.LastReading),"-"))</f>
        <v>-</v>
      </c>
      <c r="Y232" s="107" t="s">
        <v>86</v>
      </c>
      <c r="Z232" s="107"/>
      <c r="AA232" s="126">
        <f>SUBTOTAL(105,ReportSummary___Chart[Diff to BL. East.],ReportSummary___Chart[Diff to BL. North.],ReportSummary___Chart[Diff to BL. Level])</f>
        <v>-1.0000000000012221E-3</v>
      </c>
      <c r="AB232" s="114">
        <f>SUBTOTAL(104,ReportSummary___Chart[Diff to BL. East.],ReportSummary___Chart[Diff to BL. North.],ReportSummary___Chart[Diff to BL. Level])</f>
        <v>1.0000000038417056E-3</v>
      </c>
      <c r="AI232" s="1"/>
      <c r="AJ232" s="1"/>
      <c r="AK232" s="1"/>
      <c r="AL232" s="1"/>
    </row>
    <row r="233" spans="7:38" ht="14.25" customHeight="1" x14ac:dyDescent="0.2">
      <c r="AI233" s="1"/>
      <c r="AJ233" s="1"/>
      <c r="AK233" s="1"/>
      <c r="AL233" s="1"/>
    </row>
    <row r="234" spans="7:38" ht="14.25" customHeight="1" x14ac:dyDescent="0.2">
      <c r="AI234" s="1"/>
      <c r="AJ234" s="1"/>
      <c r="AK234" s="1"/>
      <c r="AL234" s="1"/>
    </row>
    <row r="235" spans="7:38" ht="14.25" customHeight="1" x14ac:dyDescent="0.2">
      <c r="AI235" s="1"/>
      <c r="AJ235" s="1"/>
      <c r="AK235" s="1"/>
      <c r="AL235" s="1"/>
    </row>
    <row r="236" spans="7:38" ht="14.25" customHeight="1" x14ac:dyDescent="0.2">
      <c r="AI236" s="1"/>
      <c r="AJ236" s="1"/>
      <c r="AK236" s="1"/>
      <c r="AL236" s="1"/>
    </row>
    <row r="237" spans="7:38" ht="14.25" customHeight="1" x14ac:dyDescent="0.2">
      <c r="AI237" s="1"/>
      <c r="AJ237" s="1"/>
      <c r="AK237" s="1"/>
      <c r="AL237" s="1"/>
    </row>
    <row r="238" spans="7:38" ht="14.25" customHeight="1" x14ac:dyDescent="0.2">
      <c r="AI238" s="1"/>
      <c r="AJ238" s="1"/>
      <c r="AK238" s="1"/>
      <c r="AL238" s="1"/>
    </row>
    <row r="239" spans="7:38" ht="14.25" customHeight="1" x14ac:dyDescent="0.2">
      <c r="AI239" s="1"/>
      <c r="AJ239" s="1"/>
      <c r="AK239" s="1"/>
      <c r="AL239" s="1"/>
    </row>
    <row r="240" spans="7:38" ht="14.25" customHeight="1" x14ac:dyDescent="0.2">
      <c r="AI240" s="1"/>
      <c r="AJ240" s="1"/>
      <c r="AK240" s="1"/>
      <c r="AL240" s="1"/>
    </row>
    <row r="241" spans="35:38" ht="14.25" customHeight="1" x14ac:dyDescent="0.2">
      <c r="AI241" s="1"/>
      <c r="AJ241" s="1"/>
      <c r="AK241" s="1"/>
      <c r="AL241" s="1"/>
    </row>
    <row r="242" spans="35:38" ht="14.25" customHeight="1" x14ac:dyDescent="0.2">
      <c r="AI242" s="1"/>
      <c r="AJ242" s="1"/>
      <c r="AK242" s="1"/>
      <c r="AL242" s="1"/>
    </row>
    <row r="243" spans="35:38" ht="14.25" customHeight="1" x14ac:dyDescent="0.2">
      <c r="AI243" s="1"/>
      <c r="AJ243" s="1"/>
      <c r="AK243" s="1"/>
      <c r="AL243" s="1"/>
    </row>
    <row r="244" spans="35:38" ht="14.25" customHeight="1" x14ac:dyDescent="0.2">
      <c r="AI244" s="1"/>
      <c r="AJ244" s="1"/>
      <c r="AK244" s="1"/>
      <c r="AL244" s="1"/>
    </row>
    <row r="245" spans="35:38" ht="14.25" customHeight="1" x14ac:dyDescent="0.2">
      <c r="AI245" s="1"/>
      <c r="AJ245" s="1"/>
      <c r="AK245" s="1"/>
      <c r="AL245" s="1"/>
    </row>
    <row r="246" spans="35:38" ht="14.25" customHeight="1" x14ac:dyDescent="0.2">
      <c r="AI246" s="1"/>
      <c r="AJ246" s="1"/>
      <c r="AK246" s="1"/>
      <c r="AL246" s="1"/>
    </row>
    <row r="247" spans="35:38" ht="14.25" customHeight="1" x14ac:dyDescent="0.2">
      <c r="AI247" s="1"/>
      <c r="AJ247" s="1"/>
      <c r="AK247" s="1"/>
      <c r="AL247" s="1"/>
    </row>
    <row r="248" spans="35:38" ht="14.25" customHeight="1" x14ac:dyDescent="0.2">
      <c r="AI248" s="1"/>
      <c r="AJ248" s="1"/>
      <c r="AK248" s="1"/>
      <c r="AL248" s="1"/>
    </row>
    <row r="249" spans="35:38" ht="14.25" customHeight="1" x14ac:dyDescent="0.2">
      <c r="AI249" s="1"/>
      <c r="AJ249" s="1"/>
      <c r="AK249" s="1"/>
      <c r="AL249" s="1"/>
    </row>
    <row r="250" spans="35:38" ht="14.25" customHeight="1" x14ac:dyDescent="0.2">
      <c r="AI250" s="1"/>
      <c r="AJ250" s="1"/>
      <c r="AK250" s="1"/>
      <c r="AL250" s="1"/>
    </row>
    <row r="251" spans="35:38" ht="14.25" customHeight="1" x14ac:dyDescent="0.2">
      <c r="AI251" s="1"/>
      <c r="AJ251" s="1"/>
      <c r="AK251" s="1"/>
      <c r="AL251" s="1"/>
    </row>
    <row r="252" spans="35:38" ht="14.25" customHeight="1" x14ac:dyDescent="0.2">
      <c r="AI252" s="1"/>
      <c r="AJ252" s="1"/>
      <c r="AK252" s="1"/>
      <c r="AL252" s="1"/>
    </row>
    <row r="253" spans="35:38" ht="14.25" customHeight="1" x14ac:dyDescent="0.2">
      <c r="AI253" s="1"/>
      <c r="AJ253" s="1"/>
      <c r="AK253" s="1"/>
      <c r="AL253" s="1"/>
    </row>
    <row r="254" spans="35:38" ht="14.25" customHeight="1" x14ac:dyDescent="0.2">
      <c r="AI254" s="1"/>
      <c r="AJ254" s="1"/>
      <c r="AK254" s="1"/>
      <c r="AL254" s="1"/>
    </row>
    <row r="255" spans="35:38" ht="14.25" customHeight="1" x14ac:dyDescent="0.2">
      <c r="AI255" s="1"/>
      <c r="AJ255" s="1"/>
      <c r="AK255" s="1"/>
      <c r="AL255" s="1"/>
    </row>
    <row r="256" spans="35:38" ht="14.25" customHeight="1" x14ac:dyDescent="0.2">
      <c r="AI256" s="1"/>
      <c r="AJ256" s="1"/>
      <c r="AK256" s="1"/>
      <c r="AL256" s="1"/>
    </row>
    <row r="257" spans="35:38" ht="14.25" customHeight="1" x14ac:dyDescent="0.2">
      <c r="AI257" s="1"/>
      <c r="AJ257" s="1"/>
      <c r="AK257" s="1"/>
      <c r="AL257" s="1"/>
    </row>
    <row r="258" spans="35:38" ht="14.25" customHeight="1" x14ac:dyDescent="0.2">
      <c r="AI258" s="1"/>
      <c r="AJ258" s="1"/>
      <c r="AK258" s="1"/>
      <c r="AL258" s="1"/>
    </row>
    <row r="259" spans="35:38" ht="14.25" customHeight="1" x14ac:dyDescent="0.2">
      <c r="AI259" s="1"/>
      <c r="AJ259" s="1"/>
      <c r="AK259" s="1"/>
      <c r="AL259" s="1"/>
    </row>
    <row r="260" spans="35:38" ht="14.25" customHeight="1" x14ac:dyDescent="0.2">
      <c r="AI260" s="1"/>
      <c r="AJ260" s="1"/>
      <c r="AK260" s="1"/>
      <c r="AL260" s="1"/>
    </row>
    <row r="261" spans="35:38" ht="14.25" customHeight="1" x14ac:dyDescent="0.2">
      <c r="AI261" s="1"/>
      <c r="AJ261" s="1"/>
      <c r="AK261" s="1"/>
      <c r="AL261" s="1"/>
    </row>
    <row r="262" spans="35:38" ht="14.25" customHeight="1" x14ac:dyDescent="0.2">
      <c r="AI262" s="1"/>
      <c r="AJ262" s="1"/>
      <c r="AK262" s="1"/>
      <c r="AL262" s="1"/>
    </row>
    <row r="263" spans="35:38" ht="14.25" customHeight="1" x14ac:dyDescent="0.2">
      <c r="AI263" s="1"/>
      <c r="AJ263" s="1"/>
      <c r="AK263" s="1"/>
      <c r="AL263" s="1"/>
    </row>
    <row r="264" spans="35:38" ht="14.25" customHeight="1" x14ac:dyDescent="0.2">
      <c r="AI264" s="1"/>
      <c r="AJ264" s="1"/>
      <c r="AK264" s="1"/>
      <c r="AL264" s="1"/>
    </row>
    <row r="265" spans="35:38" ht="14.25" customHeight="1" x14ac:dyDescent="0.2">
      <c r="AI265" s="1"/>
      <c r="AJ265" s="1"/>
      <c r="AK265" s="1"/>
      <c r="AL265" s="1"/>
    </row>
    <row r="266" spans="35:38" ht="14.25" customHeight="1" x14ac:dyDescent="0.2">
      <c r="AI266" s="1"/>
      <c r="AJ266" s="1"/>
      <c r="AK266" s="1"/>
      <c r="AL266" s="1"/>
    </row>
    <row r="267" spans="35:38" ht="14.25" customHeight="1" x14ac:dyDescent="0.2">
      <c r="AI267" s="1"/>
      <c r="AJ267" s="1"/>
      <c r="AK267" s="1"/>
      <c r="AL267" s="1"/>
    </row>
    <row r="268" spans="35:38" ht="14.25" customHeight="1" x14ac:dyDescent="0.2">
      <c r="AI268" s="1"/>
      <c r="AJ268" s="1"/>
      <c r="AK268" s="1"/>
      <c r="AL268" s="1"/>
    </row>
    <row r="269" spans="35:38" ht="14.25" customHeight="1" x14ac:dyDescent="0.2">
      <c r="AI269" s="1"/>
      <c r="AJ269" s="1"/>
      <c r="AK269" s="1"/>
      <c r="AL269" s="1"/>
    </row>
    <row r="270" spans="35:38" ht="14.25" customHeight="1" x14ac:dyDescent="0.2">
      <c r="AI270" s="1"/>
      <c r="AJ270" s="1"/>
      <c r="AK270" s="1"/>
      <c r="AL270" s="1"/>
    </row>
    <row r="271" spans="35:38" ht="14.25" customHeight="1" x14ac:dyDescent="0.2">
      <c r="AI271" s="1"/>
      <c r="AJ271" s="1"/>
      <c r="AK271" s="1"/>
      <c r="AL271" s="1"/>
    </row>
    <row r="272" spans="35:38" ht="14.25" customHeight="1" x14ac:dyDescent="0.2">
      <c r="AI272" s="1"/>
      <c r="AJ272" s="1"/>
      <c r="AK272" s="1"/>
      <c r="AL272" s="1"/>
    </row>
    <row r="273" spans="35:38" ht="14.25" customHeight="1" x14ac:dyDescent="0.2">
      <c r="AI273" s="1"/>
      <c r="AJ273" s="1"/>
      <c r="AK273" s="1"/>
      <c r="AL273" s="1"/>
    </row>
    <row r="274" spans="35:38" ht="14.25" customHeight="1" x14ac:dyDescent="0.2">
      <c r="AI274" s="1"/>
      <c r="AJ274" s="1"/>
      <c r="AK274" s="1"/>
      <c r="AL274" s="1"/>
    </row>
    <row r="275" spans="35:38" ht="14.25" customHeight="1" x14ac:dyDescent="0.2">
      <c r="AI275" s="1"/>
      <c r="AJ275" s="1"/>
      <c r="AK275" s="1"/>
      <c r="AL275" s="1"/>
    </row>
    <row r="276" spans="35:38" ht="14.25" customHeight="1" x14ac:dyDescent="0.2">
      <c r="AI276" s="1"/>
      <c r="AJ276" s="1"/>
      <c r="AK276" s="1"/>
      <c r="AL276" s="1"/>
    </row>
    <row r="277" spans="35:38" ht="14.25" customHeight="1" x14ac:dyDescent="0.2">
      <c r="AI277" s="1"/>
      <c r="AJ277" s="1"/>
      <c r="AK277" s="1"/>
      <c r="AL277" s="1"/>
    </row>
    <row r="278" spans="35:38" ht="14.25" customHeight="1" x14ac:dyDescent="0.2">
      <c r="AI278" s="1"/>
      <c r="AJ278" s="1"/>
      <c r="AK278" s="1"/>
      <c r="AL278" s="1"/>
    </row>
    <row r="279" spans="35:38" ht="14.25" customHeight="1" x14ac:dyDescent="0.2">
      <c r="AI279" s="1"/>
      <c r="AJ279" s="1"/>
      <c r="AK279" s="1"/>
      <c r="AL279" s="1"/>
    </row>
    <row r="280" spans="35:38" ht="14.25" customHeight="1" x14ac:dyDescent="0.2">
      <c r="AI280" s="1"/>
      <c r="AJ280" s="1"/>
      <c r="AK280" s="1"/>
      <c r="AL280" s="1"/>
    </row>
    <row r="281" spans="35:38" ht="14.25" customHeight="1" x14ac:dyDescent="0.2">
      <c r="AI281" s="1"/>
      <c r="AJ281" s="1"/>
      <c r="AK281" s="1"/>
      <c r="AL281" s="1"/>
    </row>
    <row r="282" spans="35:38" ht="14.25" customHeight="1" x14ac:dyDescent="0.2">
      <c r="AI282" s="1"/>
      <c r="AJ282" s="1"/>
      <c r="AK282" s="1"/>
      <c r="AL282" s="1"/>
    </row>
    <row r="283" spans="35:38" ht="14.25" customHeight="1" x14ac:dyDescent="0.2">
      <c r="AI283" s="1"/>
      <c r="AJ283" s="1"/>
      <c r="AK283" s="1"/>
      <c r="AL283" s="1"/>
    </row>
    <row r="284" spans="35:38" ht="14.25" customHeight="1" x14ac:dyDescent="0.2">
      <c r="AI284" s="1"/>
      <c r="AJ284" s="1"/>
      <c r="AK284" s="1"/>
      <c r="AL284" s="1"/>
    </row>
    <row r="285" spans="35:38" ht="14.25" customHeight="1" x14ac:dyDescent="0.2">
      <c r="AI285" s="1"/>
      <c r="AJ285" s="1"/>
      <c r="AK285" s="1"/>
      <c r="AL285" s="1"/>
    </row>
    <row r="286" spans="35:38" ht="14.25" customHeight="1" x14ac:dyDescent="0.2">
      <c r="AI286" s="1"/>
      <c r="AJ286" s="1"/>
      <c r="AK286" s="1"/>
      <c r="AL286" s="1"/>
    </row>
    <row r="287" spans="35:38" ht="14.25" customHeight="1" x14ac:dyDescent="0.2">
      <c r="AI287" s="1"/>
      <c r="AJ287" s="1"/>
      <c r="AK287" s="1"/>
      <c r="AL287" s="1"/>
    </row>
    <row r="288" spans="35:38" ht="14.25" customHeight="1" x14ac:dyDescent="0.2">
      <c r="AI288" s="1"/>
      <c r="AJ288" s="1"/>
      <c r="AK288" s="1"/>
      <c r="AL288" s="1"/>
    </row>
    <row r="289" spans="35:38" ht="14.25" customHeight="1" x14ac:dyDescent="0.2">
      <c r="AI289" s="1"/>
      <c r="AJ289" s="1"/>
      <c r="AK289" s="1"/>
      <c r="AL289" s="1"/>
    </row>
    <row r="290" spans="35:38" ht="14.25" customHeight="1" x14ac:dyDescent="0.2">
      <c r="AI290" s="1"/>
      <c r="AJ290" s="1"/>
      <c r="AK290" s="1"/>
      <c r="AL290" s="1"/>
    </row>
    <row r="291" spans="35:38" ht="14.25" customHeight="1" x14ac:dyDescent="0.2">
      <c r="AI291" s="1"/>
      <c r="AJ291" s="1"/>
      <c r="AK291" s="1"/>
      <c r="AL291" s="1"/>
    </row>
    <row r="292" spans="35:38" ht="14.25" customHeight="1" x14ac:dyDescent="0.2">
      <c r="AI292" s="1"/>
      <c r="AJ292" s="1"/>
      <c r="AK292" s="1"/>
      <c r="AL292" s="1"/>
    </row>
    <row r="293" spans="35:38" ht="14.25" customHeight="1" x14ac:dyDescent="0.2">
      <c r="AI293" s="1"/>
      <c r="AJ293" s="1"/>
      <c r="AK293" s="1"/>
      <c r="AL293" s="1"/>
    </row>
    <row r="294" spans="35:38" ht="14.25" customHeight="1" x14ac:dyDescent="0.2">
      <c r="AI294" s="1"/>
      <c r="AJ294" s="1"/>
      <c r="AK294" s="1"/>
      <c r="AL294" s="1"/>
    </row>
    <row r="295" spans="35:38" ht="14.25" customHeight="1" x14ac:dyDescent="0.2">
      <c r="AI295" s="1"/>
      <c r="AJ295" s="1"/>
      <c r="AK295" s="1"/>
      <c r="AL295" s="1"/>
    </row>
    <row r="296" spans="35:38" ht="14.25" customHeight="1" x14ac:dyDescent="0.2">
      <c r="AI296" s="1"/>
      <c r="AJ296" s="1"/>
      <c r="AK296" s="1"/>
      <c r="AL296" s="1"/>
    </row>
    <row r="297" spans="35:38" ht="14.25" customHeight="1" x14ac:dyDescent="0.2">
      <c r="AI297" s="1"/>
      <c r="AJ297" s="1"/>
      <c r="AK297" s="1"/>
      <c r="AL297" s="1"/>
    </row>
    <row r="298" spans="35:38" ht="14.25" customHeight="1" x14ac:dyDescent="0.2">
      <c r="AI298" s="1"/>
      <c r="AJ298" s="1"/>
      <c r="AK298" s="1"/>
      <c r="AL298" s="1"/>
    </row>
    <row r="299" spans="35:38" ht="14.25" customHeight="1" x14ac:dyDescent="0.2">
      <c r="AI299" s="1"/>
      <c r="AJ299" s="1"/>
      <c r="AK299" s="1"/>
      <c r="AL299" s="1"/>
    </row>
    <row r="300" spans="35:38" ht="14.25" customHeight="1" x14ac:dyDescent="0.2">
      <c r="AI300" s="1"/>
      <c r="AJ300" s="1"/>
      <c r="AK300" s="1"/>
      <c r="AL300" s="1"/>
    </row>
    <row r="301" spans="35:38" ht="14.25" customHeight="1" x14ac:dyDescent="0.2">
      <c r="AI301" s="1"/>
      <c r="AJ301" s="1"/>
      <c r="AK301" s="1"/>
      <c r="AL301" s="1"/>
    </row>
    <row r="302" spans="35:38" ht="14.25" customHeight="1" x14ac:dyDescent="0.2">
      <c r="AI302" s="1"/>
      <c r="AJ302" s="1"/>
      <c r="AK302" s="1"/>
      <c r="AL302" s="1"/>
    </row>
    <row r="303" spans="35:38" ht="14.25" customHeight="1" x14ac:dyDescent="0.2">
      <c r="AI303" s="1"/>
      <c r="AJ303" s="1"/>
      <c r="AK303" s="1"/>
      <c r="AL303" s="1"/>
    </row>
    <row r="304" spans="35:38" ht="14.25" customHeight="1" x14ac:dyDescent="0.2">
      <c r="AI304" s="1"/>
      <c r="AJ304" s="1"/>
      <c r="AK304" s="1"/>
      <c r="AL304" s="1"/>
    </row>
    <row r="305" spans="35:38" ht="14.25" customHeight="1" x14ac:dyDescent="0.2">
      <c r="AI305" s="1"/>
      <c r="AJ305" s="1"/>
      <c r="AK305" s="1"/>
      <c r="AL305" s="1"/>
    </row>
    <row r="306" spans="35:38" ht="14.25" customHeight="1" x14ac:dyDescent="0.2">
      <c r="AI306" s="1"/>
      <c r="AJ306" s="1"/>
      <c r="AK306" s="1"/>
      <c r="AL306" s="1"/>
    </row>
    <row r="307" spans="35:38" ht="14.25" customHeight="1" x14ac:dyDescent="0.2">
      <c r="AI307" s="1"/>
      <c r="AJ307" s="1"/>
      <c r="AK307" s="1"/>
      <c r="AL307" s="1"/>
    </row>
    <row r="308" spans="35:38" ht="14.25" customHeight="1" x14ac:dyDescent="0.2">
      <c r="AI308" s="1"/>
      <c r="AJ308" s="1"/>
      <c r="AK308" s="1"/>
      <c r="AL308" s="1"/>
    </row>
    <row r="309" spans="35:38" ht="14.25" customHeight="1" x14ac:dyDescent="0.2">
      <c r="AI309" s="1"/>
      <c r="AJ309" s="1"/>
      <c r="AK309" s="1"/>
      <c r="AL309" s="1"/>
    </row>
    <row r="310" spans="35:38" ht="14.25" customHeight="1" x14ac:dyDescent="0.2">
      <c r="AI310" s="1"/>
      <c r="AJ310" s="1"/>
      <c r="AK310" s="1"/>
      <c r="AL310" s="1"/>
    </row>
    <row r="311" spans="35:38" ht="14.25" customHeight="1" x14ac:dyDescent="0.2">
      <c r="AI311" s="1"/>
      <c r="AJ311" s="1"/>
      <c r="AK311" s="1"/>
      <c r="AL311" s="1"/>
    </row>
    <row r="312" spans="35:38" ht="14.25" customHeight="1" x14ac:dyDescent="0.2">
      <c r="AI312" s="1"/>
      <c r="AJ312" s="1"/>
      <c r="AK312" s="1"/>
      <c r="AL312" s="1"/>
    </row>
    <row r="313" spans="35:38" ht="14.25" customHeight="1" x14ac:dyDescent="0.2">
      <c r="AI313" s="1"/>
      <c r="AJ313" s="1"/>
      <c r="AK313" s="1"/>
      <c r="AL313" s="1"/>
    </row>
    <row r="314" spans="35:38" ht="14.25" customHeight="1" x14ac:dyDescent="0.2">
      <c r="AI314" s="1"/>
      <c r="AJ314" s="1"/>
      <c r="AK314" s="1"/>
      <c r="AL314" s="1"/>
    </row>
    <row r="315" spans="35:38" ht="14.25" customHeight="1" x14ac:dyDescent="0.2">
      <c r="AI315" s="1"/>
      <c r="AJ315" s="1"/>
      <c r="AK315" s="1"/>
      <c r="AL315" s="1"/>
    </row>
    <row r="316" spans="35:38" ht="14.25" customHeight="1" x14ac:dyDescent="0.2">
      <c r="AI316" s="1"/>
      <c r="AJ316" s="1"/>
      <c r="AK316" s="1"/>
      <c r="AL316" s="1"/>
    </row>
    <row r="317" spans="35:38" ht="14.25" customHeight="1" x14ac:dyDescent="0.2">
      <c r="AI317" s="1"/>
      <c r="AJ317" s="1"/>
      <c r="AK317" s="1"/>
      <c r="AL317" s="1"/>
    </row>
    <row r="318" spans="35:38" ht="14.25" customHeight="1" x14ac:dyDescent="0.2">
      <c r="AI318" s="1"/>
      <c r="AJ318" s="1"/>
      <c r="AK318" s="1"/>
      <c r="AL318" s="1"/>
    </row>
    <row r="319" spans="35:38" ht="14.25" customHeight="1" x14ac:dyDescent="0.2">
      <c r="AI319" s="1"/>
      <c r="AJ319" s="1"/>
      <c r="AK319" s="1"/>
      <c r="AL319" s="1"/>
    </row>
    <row r="320" spans="35:38" ht="14.25" customHeight="1" x14ac:dyDescent="0.2">
      <c r="AI320" s="1"/>
      <c r="AJ320" s="1"/>
      <c r="AK320" s="1"/>
      <c r="AL320" s="1"/>
    </row>
    <row r="321" spans="35:38" ht="14.25" customHeight="1" x14ac:dyDescent="0.2">
      <c r="AI321" s="1"/>
      <c r="AJ321" s="1"/>
      <c r="AK321" s="1"/>
      <c r="AL321" s="1"/>
    </row>
    <row r="322" spans="35:38" ht="14.25" customHeight="1" x14ac:dyDescent="0.2">
      <c r="AI322" s="1"/>
      <c r="AJ322" s="1"/>
      <c r="AK322" s="1"/>
      <c r="AL322" s="1"/>
    </row>
    <row r="323" spans="35:38" ht="14.25" customHeight="1" x14ac:dyDescent="0.2">
      <c r="AI323" s="1"/>
      <c r="AJ323" s="1"/>
      <c r="AK323" s="1"/>
      <c r="AL323" s="1"/>
    </row>
    <row r="324" spans="35:38" ht="14.25" customHeight="1" x14ac:dyDescent="0.2">
      <c r="AI324" s="1"/>
      <c r="AJ324" s="1"/>
      <c r="AK324" s="1"/>
      <c r="AL324" s="1"/>
    </row>
    <row r="325" spans="35:38" ht="14.25" customHeight="1" x14ac:dyDescent="0.2">
      <c r="AI325" s="1"/>
      <c r="AJ325" s="1"/>
      <c r="AK325" s="1"/>
      <c r="AL325" s="1"/>
    </row>
    <row r="326" spans="35:38" ht="14.25" customHeight="1" x14ac:dyDescent="0.2">
      <c r="AI326" s="1"/>
      <c r="AJ326" s="1"/>
      <c r="AK326" s="1"/>
      <c r="AL326" s="1"/>
    </row>
    <row r="327" spans="35:38" ht="14.25" customHeight="1" x14ac:dyDescent="0.2">
      <c r="AI327" s="1"/>
      <c r="AJ327" s="1"/>
      <c r="AK327" s="1"/>
      <c r="AL327" s="1"/>
    </row>
    <row r="328" spans="35:38" ht="14.25" customHeight="1" x14ac:dyDescent="0.2">
      <c r="AI328" s="1"/>
      <c r="AJ328" s="1"/>
      <c r="AK328" s="1"/>
      <c r="AL328" s="1"/>
    </row>
    <row r="329" spans="35:38" ht="14.25" customHeight="1" x14ac:dyDescent="0.2">
      <c r="AI329" s="1"/>
      <c r="AJ329" s="1"/>
      <c r="AK329" s="1"/>
      <c r="AL329" s="1"/>
    </row>
    <row r="330" spans="35:38" ht="14.25" customHeight="1" x14ac:dyDescent="0.2">
      <c r="AI330" s="1"/>
      <c r="AJ330" s="1"/>
      <c r="AK330" s="1"/>
      <c r="AL330" s="1"/>
    </row>
    <row r="331" spans="35:38" ht="14.25" customHeight="1" x14ac:dyDescent="0.2">
      <c r="AI331" s="1"/>
      <c r="AJ331" s="1"/>
      <c r="AK331" s="1"/>
      <c r="AL331" s="1"/>
    </row>
    <row r="332" spans="35:38" ht="14.25" customHeight="1" x14ac:dyDescent="0.2">
      <c r="AI332" s="1"/>
      <c r="AJ332" s="1"/>
      <c r="AK332" s="1"/>
      <c r="AL332" s="1"/>
    </row>
    <row r="333" spans="35:38" ht="14.25" customHeight="1" x14ac:dyDescent="0.2">
      <c r="AI333" s="1"/>
      <c r="AJ333" s="1"/>
      <c r="AK333" s="1"/>
      <c r="AL333" s="1"/>
    </row>
    <row r="334" spans="35:38" ht="14.25" customHeight="1" x14ac:dyDescent="0.2">
      <c r="AI334" s="1"/>
      <c r="AJ334" s="1"/>
      <c r="AK334" s="1"/>
      <c r="AL334" s="1"/>
    </row>
    <row r="335" spans="35:38" ht="14.25" customHeight="1" x14ac:dyDescent="0.2">
      <c r="AI335" s="1"/>
      <c r="AJ335" s="1"/>
      <c r="AK335" s="1"/>
      <c r="AL335" s="1"/>
    </row>
    <row r="336" spans="35:38" ht="14.25" customHeight="1" x14ac:dyDescent="0.2">
      <c r="AI336" s="1"/>
      <c r="AJ336" s="1"/>
      <c r="AK336" s="1"/>
      <c r="AL336" s="1"/>
    </row>
    <row r="337" spans="35:38" ht="14.25" customHeight="1" x14ac:dyDescent="0.2">
      <c r="AI337" s="1"/>
      <c r="AJ337" s="1"/>
      <c r="AK337" s="1"/>
      <c r="AL337" s="1"/>
    </row>
    <row r="338" spans="35:38" ht="14.25" customHeight="1" x14ac:dyDescent="0.2">
      <c r="AI338" s="1"/>
      <c r="AJ338" s="1"/>
      <c r="AK338" s="1"/>
      <c r="AL338" s="1"/>
    </row>
    <row r="339" spans="35:38" ht="14.25" customHeight="1" x14ac:dyDescent="0.2">
      <c r="AI339" s="1"/>
      <c r="AJ339" s="1"/>
      <c r="AK339" s="1"/>
      <c r="AL339" s="1"/>
    </row>
    <row r="340" spans="35:38" ht="14.25" customHeight="1" x14ac:dyDescent="0.2">
      <c r="AI340" s="1"/>
      <c r="AJ340" s="1"/>
      <c r="AK340" s="1"/>
      <c r="AL340" s="1"/>
    </row>
    <row r="341" spans="35:38" ht="14.25" customHeight="1" x14ac:dyDescent="0.2">
      <c r="AI341" s="1"/>
      <c r="AJ341" s="1"/>
      <c r="AK341" s="1"/>
      <c r="AL341" s="1"/>
    </row>
    <row r="342" spans="35:38" ht="14.25" customHeight="1" x14ac:dyDescent="0.2">
      <c r="AI342" s="1"/>
      <c r="AJ342" s="1"/>
      <c r="AK342" s="1"/>
      <c r="AL342" s="1"/>
    </row>
    <row r="343" spans="35:38" ht="14.25" customHeight="1" x14ac:dyDescent="0.2">
      <c r="AI343" s="1"/>
      <c r="AJ343" s="1"/>
      <c r="AK343" s="1"/>
      <c r="AL343" s="1"/>
    </row>
    <row r="344" spans="35:38" ht="14.25" customHeight="1" x14ac:dyDescent="0.2">
      <c r="AI344" s="1"/>
      <c r="AJ344" s="1"/>
      <c r="AK344" s="1"/>
      <c r="AL344" s="1"/>
    </row>
    <row r="345" spans="35:38" ht="14.25" customHeight="1" x14ac:dyDescent="0.2">
      <c r="AI345" s="1"/>
      <c r="AJ345" s="1"/>
      <c r="AK345" s="1"/>
      <c r="AL345" s="1"/>
    </row>
    <row r="346" spans="35:38" ht="14.25" customHeight="1" x14ac:dyDescent="0.2">
      <c r="AI346" s="1"/>
      <c r="AJ346" s="1"/>
      <c r="AK346" s="1"/>
      <c r="AL346" s="1"/>
    </row>
    <row r="347" spans="35:38" ht="14.25" customHeight="1" x14ac:dyDescent="0.2">
      <c r="AI347" s="1"/>
      <c r="AJ347" s="1"/>
      <c r="AK347" s="1"/>
      <c r="AL347" s="1"/>
    </row>
    <row r="348" spans="35:38" ht="14.25" customHeight="1" x14ac:dyDescent="0.2">
      <c r="AI348" s="1"/>
      <c r="AJ348" s="1"/>
      <c r="AK348" s="1"/>
      <c r="AL348" s="1"/>
    </row>
    <row r="349" spans="35:38" ht="14.25" customHeight="1" x14ac:dyDescent="0.2">
      <c r="AI349" s="1"/>
      <c r="AJ349" s="1"/>
      <c r="AK349" s="1"/>
      <c r="AL349" s="1"/>
    </row>
    <row r="350" spans="35:38" ht="14.25" customHeight="1" x14ac:dyDescent="0.2">
      <c r="AI350" s="1"/>
      <c r="AJ350" s="1"/>
      <c r="AK350" s="1"/>
      <c r="AL350" s="1"/>
    </row>
    <row r="351" spans="35:38" ht="14.25" customHeight="1" x14ac:dyDescent="0.2">
      <c r="AI351" s="1"/>
      <c r="AJ351" s="1"/>
      <c r="AK351" s="1"/>
      <c r="AL351" s="1"/>
    </row>
    <row r="352" spans="35:38" ht="14.25" customHeight="1" x14ac:dyDescent="0.2">
      <c r="AI352" s="1"/>
      <c r="AJ352" s="1"/>
      <c r="AK352" s="1"/>
      <c r="AL352" s="1"/>
    </row>
    <row r="353" spans="35:38" ht="14.25" customHeight="1" x14ac:dyDescent="0.2">
      <c r="AI353" s="1"/>
      <c r="AJ353" s="1"/>
      <c r="AK353" s="1"/>
      <c r="AL353" s="1"/>
    </row>
    <row r="354" spans="35:38" ht="14.25" customHeight="1" x14ac:dyDescent="0.2">
      <c r="AI354" s="1"/>
      <c r="AJ354" s="1"/>
      <c r="AK354" s="1"/>
      <c r="AL354" s="1"/>
    </row>
    <row r="355" spans="35:38" ht="14.25" customHeight="1" x14ac:dyDescent="0.2">
      <c r="AI355" s="1"/>
      <c r="AJ355" s="1"/>
      <c r="AK355" s="1"/>
      <c r="AL355" s="1"/>
    </row>
    <row r="356" spans="35:38" ht="14.25" customHeight="1" x14ac:dyDescent="0.2">
      <c r="AI356" s="1"/>
      <c r="AJ356" s="1"/>
      <c r="AK356" s="1"/>
      <c r="AL356" s="1"/>
    </row>
    <row r="357" spans="35:38" ht="14.25" customHeight="1" x14ac:dyDescent="0.2">
      <c r="AI357" s="1"/>
      <c r="AJ357" s="1"/>
      <c r="AK357" s="1"/>
      <c r="AL357" s="1"/>
    </row>
    <row r="358" spans="35:38" ht="14.25" customHeight="1" x14ac:dyDescent="0.2">
      <c r="AI358" s="1"/>
      <c r="AJ358" s="1"/>
      <c r="AK358" s="1"/>
      <c r="AL358" s="1"/>
    </row>
    <row r="359" spans="35:38" ht="14.25" customHeight="1" x14ac:dyDescent="0.2">
      <c r="AI359" s="1"/>
      <c r="AJ359" s="1"/>
      <c r="AK359" s="1"/>
      <c r="AL359" s="1"/>
    </row>
    <row r="360" spans="35:38" ht="14.25" customHeight="1" x14ac:dyDescent="0.2">
      <c r="AI360" s="1"/>
      <c r="AJ360" s="1"/>
      <c r="AK360" s="1"/>
      <c r="AL360" s="1"/>
    </row>
    <row r="361" spans="35:38" ht="14.25" customHeight="1" x14ac:dyDescent="0.2">
      <c r="AI361" s="1"/>
      <c r="AJ361" s="1"/>
      <c r="AK361" s="1"/>
      <c r="AL361" s="1"/>
    </row>
    <row r="362" spans="35:38" ht="14.25" customHeight="1" x14ac:dyDescent="0.2">
      <c r="AI362" s="1"/>
      <c r="AJ362" s="1"/>
      <c r="AK362" s="1"/>
      <c r="AL362" s="1"/>
    </row>
    <row r="363" spans="35:38" ht="14.25" customHeight="1" x14ac:dyDescent="0.2">
      <c r="AI363" s="1"/>
      <c r="AJ363" s="1"/>
      <c r="AK363" s="1"/>
      <c r="AL363" s="1"/>
    </row>
    <row r="364" spans="35:38" ht="14.25" customHeight="1" x14ac:dyDescent="0.2">
      <c r="AI364" s="1"/>
      <c r="AJ364" s="1"/>
      <c r="AK364" s="1"/>
      <c r="AL364" s="1"/>
    </row>
    <row r="365" spans="35:38" ht="14.25" customHeight="1" x14ac:dyDescent="0.2">
      <c r="AI365" s="1"/>
      <c r="AJ365" s="1"/>
      <c r="AK365" s="1"/>
      <c r="AL365" s="1"/>
    </row>
    <row r="366" spans="35:38" ht="14.25" customHeight="1" x14ac:dyDescent="0.2">
      <c r="AI366" s="1"/>
      <c r="AJ366" s="1"/>
      <c r="AK366" s="1"/>
      <c r="AL366" s="1"/>
    </row>
    <row r="367" spans="35:38" ht="14.25" customHeight="1" x14ac:dyDescent="0.2">
      <c r="AI367" s="1"/>
      <c r="AJ367" s="1"/>
      <c r="AK367" s="1"/>
      <c r="AL367" s="1"/>
    </row>
    <row r="368" spans="35:38" ht="14.25" customHeight="1" x14ac:dyDescent="0.2">
      <c r="AI368" s="1"/>
      <c r="AJ368" s="1"/>
      <c r="AK368" s="1"/>
      <c r="AL368" s="1"/>
    </row>
    <row r="369" spans="35:38" ht="14.25" customHeight="1" x14ac:dyDescent="0.2">
      <c r="AI369" s="1"/>
      <c r="AJ369" s="1"/>
      <c r="AK369" s="1"/>
      <c r="AL369" s="1"/>
    </row>
    <row r="370" spans="35:38" ht="14.25" customHeight="1" x14ac:dyDescent="0.2">
      <c r="AI370" s="1"/>
      <c r="AJ370" s="1"/>
      <c r="AK370" s="1"/>
      <c r="AL370" s="1"/>
    </row>
    <row r="371" spans="35:38" ht="14.25" customHeight="1" x14ac:dyDescent="0.2">
      <c r="AI371" s="1"/>
      <c r="AJ371" s="1"/>
      <c r="AK371" s="1"/>
      <c r="AL371" s="1"/>
    </row>
    <row r="372" spans="35:38" ht="14.25" customHeight="1" x14ac:dyDescent="0.2">
      <c r="AI372" s="1"/>
      <c r="AJ372" s="1"/>
      <c r="AK372" s="1"/>
      <c r="AL372" s="1"/>
    </row>
    <row r="373" spans="35:38" ht="14.25" customHeight="1" x14ac:dyDescent="0.2">
      <c r="AI373" s="1"/>
      <c r="AJ373" s="1"/>
      <c r="AK373" s="1"/>
      <c r="AL373" s="1"/>
    </row>
    <row r="374" spans="35:38" ht="14.25" customHeight="1" x14ac:dyDescent="0.2">
      <c r="AI374" s="1"/>
      <c r="AJ374" s="1"/>
      <c r="AK374" s="1"/>
      <c r="AL374" s="1"/>
    </row>
    <row r="375" spans="35:38" ht="14.25" customHeight="1" x14ac:dyDescent="0.2">
      <c r="AI375" s="1"/>
      <c r="AJ375" s="1"/>
      <c r="AK375" s="1"/>
      <c r="AL375" s="1"/>
    </row>
    <row r="376" spans="35:38" ht="14.25" customHeight="1" x14ac:dyDescent="0.2">
      <c r="AI376" s="1"/>
      <c r="AJ376" s="1"/>
      <c r="AK376" s="1"/>
      <c r="AL376" s="1"/>
    </row>
    <row r="377" spans="35:38" ht="14.25" customHeight="1" x14ac:dyDescent="0.2">
      <c r="AI377" s="1"/>
      <c r="AJ377" s="1"/>
      <c r="AK377" s="1"/>
      <c r="AL377" s="1"/>
    </row>
    <row r="378" spans="35:38" ht="14.25" customHeight="1" x14ac:dyDescent="0.2">
      <c r="AI378" s="1"/>
      <c r="AJ378" s="1"/>
      <c r="AK378" s="1"/>
      <c r="AL378" s="1"/>
    </row>
    <row r="379" spans="35:38" ht="14.25" customHeight="1" x14ac:dyDescent="0.2">
      <c r="AI379" s="1"/>
      <c r="AJ379" s="1"/>
      <c r="AK379" s="1"/>
      <c r="AL379" s="1"/>
    </row>
    <row r="380" spans="35:38" ht="14.25" customHeight="1" x14ac:dyDescent="0.2">
      <c r="AI380" s="1"/>
      <c r="AJ380" s="1"/>
      <c r="AK380" s="1"/>
      <c r="AL380" s="1"/>
    </row>
    <row r="381" spans="35:38" ht="14.25" customHeight="1" x14ac:dyDescent="0.2">
      <c r="AI381" s="1"/>
      <c r="AJ381" s="1"/>
      <c r="AK381" s="1"/>
      <c r="AL381" s="1"/>
    </row>
    <row r="382" spans="35:38" ht="14.25" customHeight="1" x14ac:dyDescent="0.2">
      <c r="AI382" s="1"/>
      <c r="AJ382" s="1"/>
      <c r="AK382" s="1"/>
      <c r="AL382" s="1"/>
    </row>
    <row r="383" spans="35:38" ht="14.25" customHeight="1" x14ac:dyDescent="0.2">
      <c r="AI383" s="1"/>
      <c r="AJ383" s="1"/>
      <c r="AK383" s="1"/>
      <c r="AL383" s="1"/>
    </row>
    <row r="384" spans="35:38" ht="14.25" customHeight="1" x14ac:dyDescent="0.2">
      <c r="AI384" s="1"/>
      <c r="AJ384" s="1"/>
      <c r="AK384" s="1"/>
      <c r="AL384" s="1"/>
    </row>
    <row r="385" spans="35:38" ht="14.25" customHeight="1" x14ac:dyDescent="0.2">
      <c r="AI385" s="1"/>
      <c r="AJ385" s="1"/>
      <c r="AK385" s="1"/>
      <c r="AL385" s="1"/>
    </row>
    <row r="386" spans="35:38" ht="14.25" customHeight="1" x14ac:dyDescent="0.2">
      <c r="AI386" s="1"/>
      <c r="AJ386" s="1"/>
      <c r="AK386" s="1"/>
      <c r="AL386" s="1"/>
    </row>
    <row r="387" spans="35:38" ht="14.25" customHeight="1" x14ac:dyDescent="0.2">
      <c r="AI387" s="1"/>
      <c r="AJ387" s="1"/>
      <c r="AK387" s="1"/>
      <c r="AL387" s="1"/>
    </row>
    <row r="388" spans="35:38" ht="14.25" customHeight="1" x14ac:dyDescent="0.2">
      <c r="AI388" s="1"/>
      <c r="AJ388" s="1"/>
      <c r="AK388" s="1"/>
      <c r="AL388" s="1"/>
    </row>
    <row r="389" spans="35:38" ht="14.25" customHeight="1" x14ac:dyDescent="0.2">
      <c r="AI389" s="1"/>
      <c r="AJ389" s="1"/>
      <c r="AK389" s="1"/>
      <c r="AL389" s="1"/>
    </row>
    <row r="390" spans="35:38" ht="14.25" customHeight="1" x14ac:dyDescent="0.2">
      <c r="AI390" s="1"/>
      <c r="AJ390" s="1"/>
      <c r="AK390" s="1"/>
      <c r="AL390" s="1"/>
    </row>
    <row r="391" spans="35:38" ht="14.25" customHeight="1" x14ac:dyDescent="0.2">
      <c r="AI391" s="1"/>
      <c r="AJ391" s="1"/>
      <c r="AK391" s="1"/>
      <c r="AL391" s="1"/>
    </row>
    <row r="392" spans="35:38" ht="14.25" customHeight="1" x14ac:dyDescent="0.2">
      <c r="AI392" s="1"/>
      <c r="AJ392" s="1"/>
      <c r="AK392" s="1"/>
      <c r="AL392" s="1"/>
    </row>
    <row r="393" spans="35:38" ht="14.25" customHeight="1" x14ac:dyDescent="0.2">
      <c r="AI393" s="1"/>
      <c r="AJ393" s="1"/>
      <c r="AK393" s="1"/>
      <c r="AL393" s="1"/>
    </row>
    <row r="394" spans="35:38" ht="14.25" customHeight="1" x14ac:dyDescent="0.2">
      <c r="AI394" s="1"/>
      <c r="AJ394" s="1"/>
      <c r="AK394" s="1"/>
      <c r="AL394" s="1"/>
    </row>
    <row r="395" spans="35:38" ht="14.25" customHeight="1" x14ac:dyDescent="0.2">
      <c r="AI395" s="1"/>
      <c r="AJ395" s="1"/>
      <c r="AK395" s="1"/>
      <c r="AL395" s="1"/>
    </row>
    <row r="396" spans="35:38" ht="14.25" customHeight="1" x14ac:dyDescent="0.2">
      <c r="AI396" s="1"/>
      <c r="AJ396" s="1"/>
      <c r="AK396" s="1"/>
      <c r="AL396" s="1"/>
    </row>
    <row r="397" spans="35:38" ht="14.25" customHeight="1" x14ac:dyDescent="0.2">
      <c r="AI397" s="1"/>
      <c r="AJ397" s="1"/>
      <c r="AK397" s="1"/>
      <c r="AL397" s="1"/>
    </row>
    <row r="398" spans="35:38" ht="14.25" customHeight="1" x14ac:dyDescent="0.2">
      <c r="AI398" s="1"/>
      <c r="AJ398" s="1"/>
      <c r="AK398" s="1"/>
      <c r="AL398" s="1"/>
    </row>
    <row r="399" spans="35:38" ht="14.25" customHeight="1" x14ac:dyDescent="0.2">
      <c r="AI399" s="1"/>
      <c r="AJ399" s="1"/>
      <c r="AK399" s="1"/>
      <c r="AL399" s="1"/>
    </row>
    <row r="400" spans="35:38" ht="14.25" customHeight="1" x14ac:dyDescent="0.2">
      <c r="AI400" s="1"/>
      <c r="AJ400" s="1"/>
      <c r="AK400" s="1"/>
      <c r="AL400" s="1"/>
    </row>
    <row r="401" spans="35:38" ht="14.25" customHeight="1" x14ac:dyDescent="0.2">
      <c r="AI401" s="1"/>
      <c r="AJ401" s="1"/>
      <c r="AK401" s="1"/>
      <c r="AL401" s="1"/>
    </row>
    <row r="402" spans="35:38" ht="14.25" customHeight="1" x14ac:dyDescent="0.2">
      <c r="AI402" s="1"/>
      <c r="AJ402" s="1"/>
      <c r="AK402" s="1"/>
      <c r="AL402" s="1"/>
    </row>
    <row r="403" spans="35:38" ht="14.25" customHeight="1" x14ac:dyDescent="0.2">
      <c r="AI403" s="1"/>
      <c r="AJ403" s="1"/>
      <c r="AK403" s="1"/>
      <c r="AL403" s="1"/>
    </row>
    <row r="404" spans="35:38" ht="14.25" customHeight="1" x14ac:dyDescent="0.2">
      <c r="AI404" s="1"/>
      <c r="AJ404" s="1"/>
      <c r="AK404" s="1"/>
      <c r="AL404" s="1"/>
    </row>
    <row r="405" spans="35:38" ht="14.25" customHeight="1" x14ac:dyDescent="0.2">
      <c r="AI405" s="1"/>
      <c r="AJ405" s="1"/>
      <c r="AK405" s="1"/>
      <c r="AL405" s="1"/>
    </row>
    <row r="406" spans="35:38" ht="14.25" customHeight="1" x14ac:dyDescent="0.2">
      <c r="AI406" s="1"/>
      <c r="AJ406" s="1"/>
      <c r="AK406" s="1"/>
      <c r="AL406" s="1"/>
    </row>
    <row r="407" spans="35:38" ht="14.25" customHeight="1" x14ac:dyDescent="0.2">
      <c r="AI407" s="1"/>
      <c r="AJ407" s="1"/>
      <c r="AK407" s="1"/>
      <c r="AL407" s="1"/>
    </row>
  </sheetData>
  <mergeCells count="55">
    <mergeCell ref="G48:I48"/>
    <mergeCell ref="J48:L48"/>
    <mergeCell ref="M48:O48"/>
    <mergeCell ref="B15:C15"/>
    <mergeCell ref="D11:E11"/>
    <mergeCell ref="D14:E14"/>
    <mergeCell ref="D15:E15"/>
    <mergeCell ref="B11:C11"/>
    <mergeCell ref="B12:C12"/>
    <mergeCell ref="B13:C13"/>
    <mergeCell ref="B14:C14"/>
    <mergeCell ref="D12:E12"/>
    <mergeCell ref="D13:E13"/>
    <mergeCell ref="Y48:Z48"/>
    <mergeCell ref="V48:X48"/>
    <mergeCell ref="P48:U48"/>
    <mergeCell ref="W6:X6"/>
    <mergeCell ref="B7:E7"/>
    <mergeCell ref="G7:I7"/>
    <mergeCell ref="J7:M7"/>
    <mergeCell ref="N7:O7"/>
    <mergeCell ref="R7:S7"/>
    <mergeCell ref="T7:U7"/>
    <mergeCell ref="W7:X7"/>
    <mergeCell ref="B6:E6"/>
    <mergeCell ref="G6:I6"/>
    <mergeCell ref="J6:M6"/>
    <mergeCell ref="N6:O6"/>
    <mergeCell ref="D10:E10"/>
    <mergeCell ref="W5:X5"/>
    <mergeCell ref="B4:E4"/>
    <mergeCell ref="G4:I4"/>
    <mergeCell ref="J4:O4"/>
    <mergeCell ref="R4:S4"/>
    <mergeCell ref="T4:U4"/>
    <mergeCell ref="W4:X4"/>
    <mergeCell ref="B5:E5"/>
    <mergeCell ref="G5:I5"/>
    <mergeCell ref="J5:O5"/>
    <mergeCell ref="R5:S5"/>
    <mergeCell ref="T5:U5"/>
    <mergeCell ref="V2:X2"/>
    <mergeCell ref="G3:I3"/>
    <mergeCell ref="J3:O3"/>
    <mergeCell ref="P3:Q3"/>
    <mergeCell ref="R3:S3"/>
    <mergeCell ref="T3:U3"/>
    <mergeCell ref="V3:X3"/>
    <mergeCell ref="B9:E9"/>
    <mergeCell ref="B10:C10"/>
    <mergeCell ref="B2:E3"/>
    <mergeCell ref="G2:O2"/>
    <mergeCell ref="P2:U2"/>
    <mergeCell ref="R6:S6"/>
    <mergeCell ref="T6:U6"/>
  </mergeCells>
  <conditionalFormatting sqref="G50:Z232">
    <cfRule type="expression" dxfId="4" priority="7">
      <formula>$G50&lt;&gt;$J$6</formula>
    </cfRule>
  </conditionalFormatting>
  <conditionalFormatting sqref="P50:Q232">
    <cfRule type="expression" dxfId="3" priority="12">
      <formula>$Q50&gt;0</formula>
    </cfRule>
  </conditionalFormatting>
  <conditionalFormatting sqref="R50:S232">
    <cfRule type="expression" dxfId="2" priority="13">
      <formula>$S50&gt;0</formula>
    </cfRule>
  </conditionalFormatting>
  <conditionalFormatting sqref="T50:U232">
    <cfRule type="expression" dxfId="1" priority="14">
      <formula>$U50&gt;0</formula>
    </cfRule>
  </conditionalFormatting>
  <conditionalFormatting sqref="V4:V7 V50:X232">
    <cfRule type="dataBar" priority="8">
      <dataBar>
        <cfvo type="num" val="$V$4"/>
        <cfvo type="num" val="$V$7"/>
        <color theme="2"/>
      </dataBar>
      <extLst>
        <ext xmlns:x14="http://schemas.microsoft.com/office/spreadsheetml/2009/9/main" uri="{B025F937-C7B1-47D3-B67F-A62EFF666E3E}">
          <x14:id>{D8760F8C-34BE-4204-ACC6-CEAFC366AE79}</x14:id>
        </ext>
      </extLst>
    </cfRule>
  </conditionalFormatting>
  <dataValidations disablePrompts="1" count="1">
    <dataValidation type="list" allowBlank="1" showInputMessage="1" showErrorMessage="1" sqref="J6" xr:uid="{497D8D6A-E0E8-49F2-9269-FED26401273C}">
      <formula1>INDIRECT("Lookup_SurveyEpoch[Epoch]")</formula1>
    </dataValidation>
  </dataValidations>
  <printOptions horizontalCentered="1"/>
  <pageMargins left="0.51181102362204722" right="0.51181102362204722" top="0.74803149606299213" bottom="0.74803149606299213" header="0.31496062992125984" footer="0.31496062992125984"/>
  <pageSetup paperSize="139" scale="35" fitToHeight="0" orientation="landscape" horizontalDpi="1200" verticalDpi="1200" r:id="rId1"/>
  <headerFooter scaleWithDoc="0">
    <oddHeader>&amp;L&amp;"-,Regular"Monitoring Table Report&amp;R&amp;"-,Regular"&amp;D</oddHeader>
    <oddFooter>&amp;C&amp;"-,Regular"&amp;F</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415" id="{07CBBE9D-41F0-4B3D-84ED-DF5ED6143028}">
            <x14:iconSet iconSet="5Arrows"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B4:B7</xm:sqref>
        </x14:conditionalFormatting>
        <x14:conditionalFormatting xmlns:xm="http://schemas.microsoft.com/office/excel/2006/main">
          <x14:cfRule type="iconSet" priority="10" id="{4C798B35-C317-4FB9-828C-F734F88E1497}">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Q4:Q7</xm:sqref>
        </x14:conditionalFormatting>
        <x14:conditionalFormatting xmlns:xm="http://schemas.microsoft.com/office/excel/2006/main">
          <x14:cfRule type="iconSet" priority="465" id="{415A4295-0777-465E-97D7-5237DE7760F1}">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S50:S232 Q50:Q232 U50:U232</xm:sqref>
        </x14:conditionalFormatting>
        <x14:conditionalFormatting xmlns:xm="http://schemas.microsoft.com/office/excel/2006/main">
          <x14:cfRule type="dataBar" id="{D8760F8C-34BE-4204-ACC6-CEAFC366AE79}">
            <x14:dataBar minLength="0" maxLength="100" gradient="0">
              <x14:cfvo type="num">
                <xm:f>$V$4</xm:f>
              </x14:cfvo>
              <x14:cfvo type="num">
                <xm:f>$V$7</xm:f>
              </x14:cfvo>
              <x14:negativeFillColor theme="2"/>
              <x14:axisColor theme="2"/>
            </x14:dataBar>
          </x14:cfRule>
          <xm:sqref>V4:V7 V50:X232</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098FE-747C-4606-993E-7D871489378B}">
  <sheetPr codeName="Sheet9">
    <tabColor theme="1" tint="0.249977111117893"/>
    <pageSetUpPr fitToPage="1"/>
  </sheetPr>
  <dimension ref="B2:AM1470"/>
  <sheetViews>
    <sheetView showGridLines="0" tabSelected="1" zoomScale="85" zoomScaleNormal="85" workbookViewId="0">
      <pane xSplit="4" ySplit="8" topLeftCell="E63" activePane="bottomRight" state="frozen"/>
      <selection pane="topRight" activeCell="G1" sqref="G1"/>
      <selection pane="bottomLeft" activeCell="A12" sqref="A12"/>
      <selection pane="bottomRight" activeCell="H90" sqref="H90"/>
    </sheetView>
  </sheetViews>
  <sheetFormatPr defaultColWidth="9.140625" defaultRowHeight="14.25" customHeight="1" x14ac:dyDescent="0.2"/>
  <cols>
    <col min="1" max="1" width="2.85546875" style="1" customWidth="1"/>
    <col min="2" max="2" width="30.42578125" style="1" customWidth="1"/>
    <col min="3" max="3" width="33.28515625" style="1" customWidth="1"/>
    <col min="4" max="4" width="2.85546875" style="1" customWidth="1"/>
    <col min="5" max="5" width="18.28515625" style="1" bestFit="1" customWidth="1"/>
    <col min="6" max="6" width="16.42578125" style="1" bestFit="1" customWidth="1"/>
    <col min="7" max="7" width="13" style="1" customWidth="1"/>
    <col min="8" max="9" width="13" style="3" customWidth="1"/>
    <col min="10" max="10" width="13" style="10" customWidth="1"/>
    <col min="11" max="12" width="13" style="7" customWidth="1"/>
    <col min="13" max="13" width="13" style="10" customWidth="1"/>
    <col min="14" max="16" width="13" style="7" customWidth="1"/>
    <col min="17" max="18" width="13" style="10" customWidth="1"/>
    <col min="19" max="24" width="12.85546875" style="10" customWidth="1"/>
    <col min="25" max="25" width="33.28515625" style="10" bestFit="1" customWidth="1"/>
    <col min="26" max="26" width="12.7109375" style="78" bestFit="1" customWidth="1"/>
    <col min="27" max="27" width="13.7109375" style="10" bestFit="1" customWidth="1"/>
    <col min="28" max="28" width="51" style="10" customWidth="1"/>
    <col min="29" max="29" width="11.5703125" style="10" customWidth="1"/>
    <col min="30" max="30" width="20.7109375" style="10" customWidth="1"/>
    <col min="31" max="32" width="33.140625" style="10" customWidth="1"/>
    <col min="33" max="33" width="12.28515625" style="7" customWidth="1"/>
    <col min="34" max="34" width="18.140625" style="7" bestFit="1" customWidth="1"/>
    <col min="35" max="35" width="32.28515625" style="10" customWidth="1"/>
    <col min="36" max="36" width="19.42578125" style="7" customWidth="1"/>
    <col min="37" max="37" width="39" style="1" bestFit="1" customWidth="1"/>
    <col min="38" max="38" width="16.28515625" style="1" customWidth="1"/>
    <col min="39" max="39" width="13.85546875" style="1" bestFit="1" customWidth="1"/>
    <col min="40" max="40" width="8.7109375" style="1" bestFit="1" customWidth="1"/>
    <col min="41" max="41" width="11.42578125" style="1" bestFit="1" customWidth="1"/>
    <col min="42" max="44" width="12.42578125" style="1" customWidth="1"/>
    <col min="45" max="45" width="2.7109375" style="1" customWidth="1"/>
    <col min="46" max="47" width="9.140625" style="1"/>
    <col min="48" max="48" width="10.28515625" style="1" bestFit="1" customWidth="1"/>
    <col min="49" max="49" width="9.7109375" style="1" bestFit="1" customWidth="1"/>
    <col min="50" max="51" width="9.140625" style="1"/>
    <col min="52" max="52" width="14.42578125" style="1" bestFit="1" customWidth="1"/>
    <col min="53" max="53" width="6.28515625" style="1" bestFit="1" customWidth="1"/>
    <col min="54" max="54" width="11.42578125" style="1" bestFit="1" customWidth="1"/>
    <col min="55" max="55" width="12.5703125" style="1" bestFit="1" customWidth="1"/>
    <col min="56" max="56" width="11" style="1" bestFit="1" customWidth="1"/>
    <col min="57" max="57" width="6.42578125" style="1" bestFit="1" customWidth="1"/>
    <col min="58" max="16384" width="9.140625" style="1"/>
  </cols>
  <sheetData>
    <row r="2" spans="2:38" ht="15" customHeight="1" x14ac:dyDescent="0.2">
      <c r="B2" s="281" t="s">
        <v>62</v>
      </c>
      <c r="C2" s="282"/>
      <c r="E2" s="295" t="s">
        <v>61</v>
      </c>
      <c r="F2" s="296"/>
      <c r="G2" s="296"/>
      <c r="H2" s="296"/>
      <c r="I2" s="296"/>
      <c r="J2" s="297"/>
      <c r="K2" s="295" t="str">
        <f>Cell_TrackPlot_CategoriesCol &amp;" Data Summary"</f>
        <v>Chainage Data Summary</v>
      </c>
      <c r="L2" s="296"/>
      <c r="M2" s="296"/>
      <c r="N2" s="297"/>
      <c r="O2" s="295" t="str">
        <f>Cell_TrackPlot_ValuesCol &amp;" Data Summary"</f>
        <v>Δ Baseline Twist Long (mm) Data Summary</v>
      </c>
      <c r="P2" s="296"/>
      <c r="Q2" s="296"/>
      <c r="R2" s="297"/>
      <c r="Z2" s="10"/>
    </row>
    <row r="3" spans="2:38" ht="14.25" customHeight="1" x14ac:dyDescent="0.2">
      <c r="B3" s="284"/>
      <c r="C3" s="285"/>
      <c r="E3" s="311" t="s">
        <v>55</v>
      </c>
      <c r="F3" s="311"/>
      <c r="G3" s="258" t="s">
        <v>445</v>
      </c>
      <c r="H3" s="258"/>
      <c r="I3" s="258"/>
      <c r="J3" s="258"/>
      <c r="K3" s="311" t="str">
        <f>Cell_TrackPlot_CategoriesCol &amp;" | Unique Count"</f>
        <v>Chainage | Unique Count</v>
      </c>
      <c r="L3" s="311"/>
      <c r="M3" s="311"/>
      <c r="N3" s="115" cm="1">
        <f t="array" aca="1" ref="N3" ca="1">_xlfn.LET(
    _xlpm.Datatype, Cell_TrackPlot_XType,
    _xlpm.ColName, Cell_TrackPlot_CategoriesCol,
    _xlpm.RangeRef, INDIRECT("ReportSummary___Track[" &amp; _xlpm.ColName &amp; "]"),
    _xlpm.UniqueCount, COUNTA(_xlfn.UNIQUE(_xlfn._xlws.FILTER(_xlpm.RangeRef, _xlpm.RangeRef &lt;&gt; ""))),
    IF(_xlpm.Datatype = "datetime",
        _xlfn.NUMBERVALUE(_xlpm.UniqueCount),
        _xlfn.NUMBERVALUE(_xlpm.UniqueCount)
    )
)</f>
        <v>29</v>
      </c>
      <c r="O3" s="311" t="str">
        <f>Cell_TrackPlot_ValuesCol &amp;" | Unique Count"</f>
        <v>Δ Baseline Twist Long (mm) | Unique Count</v>
      </c>
      <c r="P3" s="311"/>
      <c r="Q3" s="311"/>
      <c r="R3" s="115" cm="1">
        <f t="array" aca="1" ref="R3" ca="1">_xlfn.LET(
    _xlpm.Datatype, Cell_TrackPlot_YType,
    _xlpm.ColName, Cell_TrackPlot_ValuesCol,
    _xlpm.RangeRef, INDIRECT("ReportSummary___Track[" &amp; _xlpm.ColName &amp; "]"),
    _xlpm.UniqueCount, COUNTA(_xlfn.UNIQUE(_xlfn._xlws.FILTER(_xlpm.RangeRef, _xlpm.RangeRef &lt;&gt; ""))),
    IF(_xlpm.Datatype = "datetime",
        _xlfn.NUMBERVALUE(_xlpm.UniqueCount),
        _xlfn.NUMBERVALUE(_xlpm.UniqueCount)
    )
)</f>
        <v>898</v>
      </c>
      <c r="Z3" s="10"/>
      <c r="AB3" s="266" t="s">
        <v>56</v>
      </c>
      <c r="AC3" s="266"/>
      <c r="AD3" s="146"/>
      <c r="AE3" s="269" t="s">
        <v>57</v>
      </c>
      <c r="AF3" s="269"/>
      <c r="AG3" s="266" t="s">
        <v>58</v>
      </c>
      <c r="AH3" s="266"/>
      <c r="AI3" s="266" t="s">
        <v>59</v>
      </c>
      <c r="AJ3" s="266"/>
      <c r="AK3" s="266"/>
    </row>
    <row r="4" spans="2:38" s="4" customFormat="1" ht="14.25" customHeight="1" x14ac:dyDescent="0.2">
      <c r="B4" s="270" t="s">
        <v>78</v>
      </c>
      <c r="C4" s="271"/>
      <c r="E4" s="311" t="s">
        <v>54</v>
      </c>
      <c r="F4" s="311"/>
      <c r="G4" s="258" t="s">
        <v>446</v>
      </c>
      <c r="H4" s="258"/>
      <c r="I4" s="258"/>
      <c r="J4" s="258"/>
      <c r="K4" s="311" t="str">
        <f>Cell_TrackPlot_CategoriesCol &amp;" | Min. Value"</f>
        <v>Chainage | Min. Value</v>
      </c>
      <c r="L4" s="311"/>
      <c r="M4" s="311"/>
      <c r="N4" s="115" t="str">
        <f ca="1">_xlfn.LET(
    _xlpm.Datatype, Cell_TrackPlot_XType,
    _xlpm.FormatCode, _xlfn.XLOOKUP(Cell_TrackPlot_XFormat, Lookup_NumFormat[Python Format], Lookup_NumFormat[Excel Format], ""),
    _xlpm.ColName, Cell_TrackPlot_CategoriesCol,
    _xlpm.Value, SUBTOTAL(105, INDIRECT("ReportSummary___Track[" &amp; _xlpm.ColName &amp; "]")),
    IF(
        _xlpm.FormatCode = "",
        _xlpm.Value,
        IF(
            _xlpm.Datatype = "datetime",
            TEXT(_xlpm.Value, _xlpm.FormatCode),
            TEXT(_xlfn.NUMBERVALUE(_xlpm.Value), _xlpm.FormatCode)
        )
    )
)</f>
        <v>21</v>
      </c>
      <c r="O4" s="311" t="str">
        <f>Cell_TrackPlot_ValuesCol &amp;" | Min. Value"</f>
        <v>Δ Baseline Twist Long (mm) | Min. Value</v>
      </c>
      <c r="P4" s="311"/>
      <c r="Q4" s="311"/>
      <c r="R4" s="115" t="str">
        <f ca="1">_xlfn.LET(
    _xlpm.Datatype, Cell_TrackPlot_YType,
    _xlpm.FormatCode, _xlfn.XLOOKUP(Cell_TrackPlot_YFormat, Lookup_NumFormat[Python Format], Lookup_NumFormat[Excel Format], ""),
    _xlpm.ColName, Cell_TrackPlot_ValuesCol,
    _xlpm.Value, SUBTOTAL(105, INDIRECT("ReportSummary___Track[" &amp; _xlpm.ColName &amp; "]")),
    IF(
        _xlpm.FormatCode = "",
        _xlpm.Value,
        IF(
            _xlpm.Datatype = "datetime",
            TEXT(_xlpm.Value, _xlpm.FormatCode),
            TEXT(_xlfn.NUMBERVALUE(_xlpm.Value), _xlpm.FormatCode)
        )
    )
)</f>
        <v>-1.0</v>
      </c>
      <c r="AB4" s="36">
        <v>1</v>
      </c>
      <c r="AC4" s="36">
        <v>1</v>
      </c>
      <c r="AD4" s="36"/>
      <c r="AE4" s="268">
        <v>-5.0000000000000001E-3</v>
      </c>
      <c r="AF4" s="268"/>
      <c r="AG4" s="268">
        <v>5.0000000000000001E-3</v>
      </c>
      <c r="AH4" s="268"/>
      <c r="AI4" s="37">
        <v>-0.01</v>
      </c>
      <c r="AJ4" s="267" t="str">
        <f>"less than " &amp; TEXT(AI4, "0.000")</f>
        <v>less than -0.010</v>
      </c>
      <c r="AK4" s="267"/>
    </row>
    <row r="5" spans="2:38" s="4" customFormat="1" ht="14.25" customHeight="1" x14ac:dyDescent="0.2">
      <c r="B5" s="270" t="s">
        <v>63</v>
      </c>
      <c r="C5" s="271"/>
      <c r="E5" s="311" t="s">
        <v>53</v>
      </c>
      <c r="F5" s="311"/>
      <c r="G5" s="258">
        <v>2001773</v>
      </c>
      <c r="H5" s="258"/>
      <c r="I5" s="258"/>
      <c r="J5" s="258"/>
      <c r="K5" s="311" t="str">
        <f>Cell_TrackPlot_CategoriesCol &amp;" | Max. Value"</f>
        <v>Chainage | Max. Value</v>
      </c>
      <c r="L5" s="311"/>
      <c r="M5" s="311"/>
      <c r="N5" s="115" t="str">
        <f ca="1">_xlfn.LET(
    _xlpm.Datatype, Cell_TrackPlot_XType,
    _xlpm.FormatCode, _xlfn.XLOOKUP(Cell_TrackPlot_XFormat, Lookup_NumFormat[Python Format], Lookup_NumFormat[Excel Format], ""),
    _xlpm.ColName, Cell_TrackPlot_CategoriesCol,
    _xlpm.Value, SUBTOTAL(104, INDIRECT("ReportSummary___Track[" &amp; _xlpm.ColName &amp; "]")),
    IF(
        _xlpm.FormatCode = "",
        _xlpm.Value,
        IF(
            _xlpm.Datatype = "datetime",
            TEXT(_xlpm.Value, _xlpm.FormatCode),
            TEXT(_xlfn.NUMBERVALUE(_xlpm.Value), _xlpm.FormatCode)
        )
    )
)</f>
        <v>49</v>
      </c>
      <c r="O5" s="311" t="str">
        <f>Cell_TrackPlot_ValuesCol &amp;" | Max. Value"</f>
        <v>Δ Baseline Twist Long (mm) | Max. Value</v>
      </c>
      <c r="P5" s="311"/>
      <c r="Q5" s="311"/>
      <c r="R5" s="115" t="str">
        <f ca="1">_xlfn.LET(
    _xlpm.Datatype, Cell_TrackPlot_YType,
    _xlpm.FormatCode, _xlfn.XLOOKUP(Cell_TrackPlot_YFormat, Lookup_NumFormat[Python Format], Lookup_NumFormat[Excel Format], ""),
    _xlpm.ColName, Cell_TrackPlot_ValuesCol,
    _xlpm.Value, SUBTOTAL(104, INDIRECT("ReportSummary___Track[" &amp; _xlpm.ColName &amp; "]")),
    IF(
        _xlpm.FormatCode = "",
        _xlpm.Value,
        IF(
            _xlpm.Datatype = "datetime",
            TEXT(_xlpm.Value, _xlpm.FormatCode),
            TEXT(_xlfn.NUMBERVALUE(_xlpm.Value), _xlpm.FormatCode)
        )
    )
)</f>
        <v>2.0</v>
      </c>
      <c r="AB5" s="36">
        <v>2</v>
      </c>
      <c r="AC5" s="36">
        <v>2</v>
      </c>
      <c r="AD5" s="36"/>
      <c r="AE5" s="268">
        <v>-0.01</v>
      </c>
      <c r="AF5" s="268"/>
      <c r="AG5" s="268">
        <v>0.01</v>
      </c>
      <c r="AH5" s="268"/>
      <c r="AI5" s="37">
        <v>-5.0000000000000001E-3</v>
      </c>
      <c r="AJ5" s="267" t="str">
        <f>"between "  &amp; TEXT(AI5,"0.000") &amp; " and 0.000"</f>
        <v>between -0.005 and 0.000</v>
      </c>
      <c r="AK5" s="267"/>
    </row>
    <row r="6" spans="2:38" s="4" customFormat="1" ht="14.25" customHeight="1" x14ac:dyDescent="0.2">
      <c r="B6" s="148"/>
      <c r="C6" s="149"/>
      <c r="E6" s="311" t="s">
        <v>244</v>
      </c>
      <c r="F6" s="311"/>
      <c r="G6" s="306">
        <v>45721.395833333336</v>
      </c>
      <c r="H6" s="306"/>
      <c r="I6" s="306"/>
      <c r="J6" s="115">
        <f>_xlfn.XLOOKUP(G6,Lookup_SurveyEpoch[Epoch], Lookup_SurveyEpoch[Index],"-")</f>
        <v>1</v>
      </c>
      <c r="K6" s="311" t="str">
        <f>Cell_TrackPlot_CategoriesCol &amp;" | Range Value"</f>
        <v>Chainage | Range Value</v>
      </c>
      <c r="L6" s="311"/>
      <c r="M6" s="311"/>
      <c r="N6" s="115" t="str">
        <f ca="1">_xlfn.LET(
    _xlpm.Datatype, Cell_TrackPlot_XType,
    _xlpm.FormatCode, _xlfn.XLOOKUP(Cell_TrackPlot_XFormat, Lookup_NumFormat[Python Format], Lookup_NumFormat[Excel Format], ""),
    _xlpm.ColName, Cell_TrackPlot_CategoriesCol,
    _xlpm.RangeRef, INDIRECT("ReportSummary___Track[" &amp; _xlpm.ColName &amp; "]"),
    _xlpm.DiffValue, SUBTOTAL(104, _xlpm.RangeRef) - SUBTOTAL(105, _xlpm.RangeRef),
    IF(
        _xlpm.FormatCode = "",
        _xlpm.DiffValue,
        IF(
            _xlpm.Datatype = "datetime",
            TEXT(_xlpm.DiffValue, "0.0") &amp; " Days",
            TEXT(_xlfn.NUMBERVALUE(_xlpm.DiffValue), _xlpm.FormatCode)
        )
    )
)</f>
        <v>28</v>
      </c>
      <c r="O6" s="311" t="str">
        <f>Cell_TrackPlot_ValuesCol &amp;" | Range Value"</f>
        <v>Δ Baseline Twist Long (mm) | Range Value</v>
      </c>
      <c r="P6" s="311"/>
      <c r="Q6" s="311"/>
      <c r="R6" s="115" t="str">
        <f ca="1">_xlfn.LET(
    _xlpm.Datatype, Cell_TrackPlot_YType,
    _xlpm.FormatCode, _xlfn.XLOOKUP(Cell_TrackPlot_YFormat, Lookup_NumFormat[Python Format], Lookup_NumFormat[Excel Format], ""),
    _xlpm.ColName, Cell_TrackPlot_ValuesCol,
    _xlpm.RangeRef, INDIRECT("ReportSummary___Track[" &amp; _xlpm.ColName &amp; "]"),
    _xlpm.DiffValue, SUBTOTAL(104, _xlpm.RangeRef) - SUBTOTAL(105, _xlpm.RangeRef),
    IF(
        _xlpm.FormatCode = "",
        _xlpm.DiffValue,
        IF(
            _xlpm.Datatype = "datetime",
            TEXT(_xlpm.DiffValue, "0.0") &amp; " Days",
            TEXT(_xlfn.NUMBERVALUE(_xlpm.DiffValue), _xlpm.FormatCode)
        )
    )
)</f>
        <v>3.0</v>
      </c>
      <c r="AB6" s="36"/>
      <c r="AC6" s="36"/>
      <c r="AD6" s="36"/>
      <c r="AE6" s="147"/>
      <c r="AF6" s="147"/>
      <c r="AG6" s="147"/>
      <c r="AH6" s="147"/>
      <c r="AI6" s="37"/>
      <c r="AJ6" s="37"/>
      <c r="AK6" s="37"/>
    </row>
    <row r="7" spans="2:38" s="4" customFormat="1" ht="14.25" customHeight="1" x14ac:dyDescent="0.2">
      <c r="B7" s="270" t="s">
        <v>65</v>
      </c>
      <c r="C7" s="271"/>
      <c r="E7" s="311" t="s">
        <v>69</v>
      </c>
      <c r="F7" s="311"/>
      <c r="G7" s="306">
        <v>45881.291666666664</v>
      </c>
      <c r="H7" s="306"/>
      <c r="I7" s="306"/>
      <c r="J7" s="115">
        <f>_xlfn.XLOOKUP(G7,Lookup_SurveyEpoch[Epoch], Lookup_SurveyEpoch[Index],"-")</f>
        <v>44</v>
      </c>
      <c r="K7" s="311" t="str">
        <f>Cell_TrackPlot_CategoriesCol &amp;" | Avg. Value"</f>
        <v>Chainage | Avg. Value</v>
      </c>
      <c r="L7" s="311"/>
      <c r="M7" s="311"/>
      <c r="N7" s="115" t="str">
        <f ca="1">_xlfn.LET(
    _xlpm.Datatype, Cell_TrackPlot_XType,
    _xlpm.FormatCode, _xlfn.XLOOKUP(Cell_TrackPlot_XFormat, Lookup_NumFormat[Python Format], Lookup_NumFormat[Excel Format], ""),
    _xlpm.ColName, Cell_TrackPlot_CategoriesCol,
    _xlpm.Value, SUBTOTAL(101, INDIRECT("ReportSummary___Track[" &amp; _xlpm.ColName &amp; "]")),
    IF(
        _xlpm.FormatCode = "",
        _xlpm.Value,
        IF(
            _xlpm.Datatype = "datetime",
            TEXT(_xlpm.Value, _xlpm.FormatCode),
            TEXT(_xlfn.NUMBERVALUE(_xlpm.Value), _xlpm.FormatCode)
        )
    )
)</f>
        <v>35</v>
      </c>
      <c r="O7" s="311" t="str">
        <f>Cell_TrackPlot_ValuesCol &amp;" | Avg. Value"</f>
        <v>Δ Baseline Twist Long (mm) | Avg. Value</v>
      </c>
      <c r="P7" s="311"/>
      <c r="Q7" s="311"/>
      <c r="R7" s="115" t="str">
        <f ca="1">_xlfn.LET(
    _xlpm.Datatype, Cell_TrackPlot_YType,
    _xlpm.FormatCode, _xlfn.XLOOKUP(Cell_TrackPlot_YFormat, Lookup_NumFormat[Python Format], Lookup_NumFormat[Excel Format], ""),
    _xlpm.ColName, Cell_TrackPlot_ValuesCol,
    _xlpm.Value, SUBTOTAL(101, INDIRECT("ReportSummary___Track[" &amp; _xlpm.ColName &amp; "]")),
    IF(
        _xlpm.FormatCode = "",
        _xlpm.Value,
        IF(
            _xlpm.Datatype = "datetime",
            TEXT(_xlpm.Value, _xlpm.FormatCode),
            TEXT(_xlfn.NUMBERVALUE(_xlpm.Value), _xlpm.FormatCode)
        )
    )
)</f>
        <v>0.2</v>
      </c>
      <c r="AB7" s="36">
        <v>3</v>
      </c>
      <c r="AC7" s="36">
        <v>3</v>
      </c>
      <c r="AD7" s="36"/>
      <c r="AE7" s="268">
        <v>-1.4999999999999999E-2</v>
      </c>
      <c r="AF7" s="268"/>
      <c r="AG7" s="268">
        <v>1.4999999999999999E-2</v>
      </c>
      <c r="AH7" s="268"/>
      <c r="AI7" s="37">
        <v>5.0000000000000001E-3</v>
      </c>
      <c r="AJ7" s="267" t="str">
        <f>"between 0.000 and " &amp; TEXT(AI7,"0.000")</f>
        <v>between 0.000 and 0.005</v>
      </c>
      <c r="AK7" s="267"/>
    </row>
    <row r="8" spans="2:38" s="4" customFormat="1" ht="14.25" customHeight="1" x14ac:dyDescent="0.2">
      <c r="B8" s="270" t="s">
        <v>64</v>
      </c>
      <c r="C8" s="271"/>
      <c r="E8" s="311" t="s">
        <v>70</v>
      </c>
      <c r="F8" s="311"/>
      <c r="G8" s="306">
        <f>_xlfn.XLOOKUP(J8,'Hide Lookups'!D3:D46,'Hide Lookups'!B3:B46)</f>
        <v>45873.291666666664</v>
      </c>
      <c r="H8" s="306"/>
      <c r="I8" s="306"/>
      <c r="J8" s="115">
        <f>J7-1</f>
        <v>43</v>
      </c>
      <c r="K8" s="311" t="str">
        <f>Cell_TrackPlot_CategoriesCol &amp;" | Std. Value"</f>
        <v>Chainage | Std. Value</v>
      </c>
      <c r="L8" s="311"/>
      <c r="M8" s="311"/>
      <c r="N8" s="115" t="str">
        <f ca="1">_xlfn.LET(
    _xlpm.Datatype, Cell_TrackPlot_XType,
    _xlpm.FormatCode, _xlfn.XLOOKUP(Cell_TrackPlot_XFormat, Lookup_NumFormat[Python Format], Lookup_NumFormat[Excel Format], ""),
    _xlpm.ColName, Cell_TrackPlot_CategoriesCol,
    _xlpm.RangeRef, INDIRECT("ReportSummary___Track[" &amp; _xlpm.ColName &amp; "]"),
    _xlpm.DiffValue, SUBTOTAL(108, _xlpm.RangeRef),
    IF(
        _xlpm.FormatCode = "",
        _xlpm.DiffValue,
        IF(
            _xlpm.Datatype = "datetime",
            TEXT(_xlpm.DiffValue, "0.0") &amp; " Days",
            TEXT(_xlfn.NUMBERVALUE(_xlpm.DiffValue), _xlpm.FormatCode)
        )
    )
)</f>
        <v>8</v>
      </c>
      <c r="O8" s="311" t="str">
        <f>Cell_TrackPlot_ValuesCol &amp;" | Std. Value"</f>
        <v>Δ Baseline Twist Long (mm) | Std. Value</v>
      </c>
      <c r="P8" s="311"/>
      <c r="Q8" s="311"/>
      <c r="R8" s="115" t="str">
        <f ca="1">_xlfn.LET(
    _xlpm.Datatype, Cell_TrackPlot_YType,
    _xlpm.FormatCode, _xlfn.XLOOKUP(Cell_TrackPlot_YFormat, Lookup_NumFormat[Python Format], Lookup_NumFormat[Excel Format], ""),
    _xlpm.ColName, Cell_TrackPlot_ValuesCol,
    _xlpm.RangeRef, INDIRECT("ReportSummary___Track[" &amp; _xlpm.ColName &amp; "]"),
    _xlpm.DiffValue, SUBTOTAL(108, _xlpm.RangeRef),
    IF(
        _xlpm.FormatCode = "",
        _xlpm.DiffValue,
        IF(
            _xlpm.Datatype = "datetime",
            TEXT(_xlpm.DiffValue, "0.0") &amp; " Days",
            TEXT(_xlfn.NUMBERVALUE(_xlpm.DiffValue), _xlpm.FormatCode)
        )
    )
)</f>
        <v>0.6</v>
      </c>
      <c r="AB8" s="36">
        <v>4</v>
      </c>
      <c r="AC8" s="36">
        <v>4</v>
      </c>
      <c r="AD8" s="36"/>
      <c r="AE8" s="268">
        <v>-1</v>
      </c>
      <c r="AF8" s="268"/>
      <c r="AG8" s="268">
        <v>1</v>
      </c>
      <c r="AH8" s="268"/>
      <c r="AI8" s="37">
        <v>0.01</v>
      </c>
      <c r="AJ8" s="267" t="str">
        <f>"greater than " &amp; TEXT(AI8, "0.000")</f>
        <v>greater than 0.010</v>
      </c>
      <c r="AK8" s="267"/>
    </row>
    <row r="9" spans="2:38" ht="14.25" customHeight="1" x14ac:dyDescent="0.2">
      <c r="E9" s="182"/>
      <c r="F9" s="183"/>
      <c r="G9" s="183"/>
      <c r="H9" s="184"/>
      <c r="I9" s="184"/>
      <c r="J9" s="185"/>
      <c r="K9" s="186"/>
      <c r="L9" s="186"/>
      <c r="M9" s="185"/>
      <c r="N9" s="186"/>
      <c r="O9" s="186"/>
      <c r="P9" s="186"/>
      <c r="Q9" s="185"/>
      <c r="R9" s="136"/>
      <c r="Z9" s="80"/>
      <c r="AA9" s="1"/>
      <c r="AB9" s="4"/>
      <c r="AC9" s="4"/>
      <c r="AD9" s="4"/>
      <c r="AE9" s="1"/>
      <c r="AF9" s="1"/>
      <c r="AG9" s="9"/>
      <c r="AH9" s="6"/>
      <c r="AI9" s="6"/>
      <c r="AJ9" s="6"/>
      <c r="AK9" s="8"/>
      <c r="AL9" s="8"/>
    </row>
    <row r="10" spans="2:38" ht="14.25" customHeight="1" x14ac:dyDescent="0.2">
      <c r="B10" s="312" t="s">
        <v>313</v>
      </c>
      <c r="C10" s="312"/>
      <c r="E10" s="187"/>
      <c r="R10" s="138"/>
      <c r="Z10" s="80"/>
      <c r="AA10" s="1"/>
      <c r="AB10" s="4"/>
      <c r="AC10" s="4"/>
      <c r="AD10" s="4"/>
      <c r="AE10" s="1"/>
      <c r="AF10" s="1"/>
      <c r="AG10" s="9"/>
      <c r="AH10" s="6"/>
      <c r="AI10" s="6"/>
      <c r="AJ10" s="6"/>
      <c r="AK10" s="8"/>
      <c r="AL10" s="8"/>
    </row>
    <row r="11" spans="2:38" ht="14.25" customHeight="1" x14ac:dyDescent="0.2">
      <c r="B11" s="167" t="s">
        <v>311</v>
      </c>
      <c r="C11" s="168" t="s">
        <v>294</v>
      </c>
      <c r="E11" s="187"/>
      <c r="R11" s="138"/>
      <c r="Z11" s="80"/>
      <c r="AA11" s="1"/>
      <c r="AB11" s="4"/>
      <c r="AC11" s="4"/>
      <c r="AD11" s="4"/>
      <c r="AE11" s="1"/>
      <c r="AF11" s="1"/>
      <c r="AG11" s="9"/>
      <c r="AH11" s="6"/>
      <c r="AI11" s="6"/>
      <c r="AJ11" s="6"/>
      <c r="AK11" s="8"/>
      <c r="AL11" s="8"/>
    </row>
    <row r="12" spans="2:38" ht="14.25" customHeight="1" x14ac:dyDescent="0.2">
      <c r="B12" s="167" t="s">
        <v>305</v>
      </c>
      <c r="C12" s="35" t="s">
        <v>307</v>
      </c>
      <c r="E12" s="187"/>
      <c r="R12" s="138"/>
      <c r="Z12" s="80"/>
      <c r="AA12" s="1"/>
      <c r="AB12" s="4"/>
      <c r="AC12" s="4"/>
      <c r="AD12" s="4"/>
      <c r="AE12" s="1"/>
      <c r="AF12" s="1"/>
      <c r="AG12" s="9"/>
      <c r="AH12" s="6"/>
      <c r="AI12" s="6"/>
      <c r="AJ12" s="6"/>
      <c r="AK12" s="8"/>
      <c r="AL12" s="8"/>
    </row>
    <row r="13" spans="2:38" ht="14.25" customHeight="1" x14ac:dyDescent="0.2">
      <c r="B13" s="167" t="s">
        <v>321</v>
      </c>
      <c r="C13" s="35" t="s">
        <v>517</v>
      </c>
      <c r="E13" s="187"/>
      <c r="R13" s="138"/>
      <c r="Z13" s="80"/>
      <c r="AA13" s="1"/>
      <c r="AB13" s="4"/>
      <c r="AC13" s="4"/>
      <c r="AD13" s="4"/>
      <c r="AE13" s="1"/>
      <c r="AF13" s="1"/>
      <c r="AG13" s="9"/>
      <c r="AH13" s="6"/>
      <c r="AI13" s="6"/>
      <c r="AJ13" s="6"/>
      <c r="AK13" s="8"/>
      <c r="AL13" s="8"/>
    </row>
    <row r="14" spans="2:38" ht="14.25" customHeight="1" x14ac:dyDescent="0.2">
      <c r="B14" s="169" t="s">
        <v>450</v>
      </c>
      <c r="C14" s="169" t="str">
        <f>_xlfn.XLOOKUP(C13,Lookup_NumFormat[Lookup Key],Lookup_NumFormat[Python Format])</f>
        <v>%.0f</v>
      </c>
      <c r="E14" s="187"/>
      <c r="R14" s="138"/>
      <c r="Z14" s="80"/>
      <c r="AA14" s="1"/>
      <c r="AB14" s="4"/>
      <c r="AC14" s="4"/>
      <c r="AD14" s="4"/>
      <c r="AE14" s="1"/>
      <c r="AF14" s="1"/>
      <c r="AG14" s="9"/>
      <c r="AH14" s="6"/>
      <c r="AI14" s="6"/>
      <c r="AJ14" s="6"/>
      <c r="AK14" s="8"/>
      <c r="AL14" s="8"/>
    </row>
    <row r="15" spans="2:38" ht="14.25" customHeight="1" x14ac:dyDescent="0.2">
      <c r="B15" s="167" t="s">
        <v>443</v>
      </c>
      <c r="C15" s="168">
        <v>0</v>
      </c>
      <c r="E15" s="187"/>
      <c r="R15" s="138"/>
      <c r="Z15" s="80"/>
      <c r="AA15" s="1"/>
      <c r="AB15" s="4"/>
      <c r="AC15" s="4"/>
      <c r="AD15" s="4"/>
      <c r="AE15" s="1"/>
      <c r="AF15" s="1"/>
      <c r="AG15" s="9"/>
      <c r="AH15" s="6"/>
      <c r="AI15" s="6"/>
      <c r="AJ15" s="6"/>
      <c r="AK15" s="8"/>
      <c r="AL15" s="8"/>
    </row>
    <row r="16" spans="2:38" ht="14.25" customHeight="1" x14ac:dyDescent="0.2">
      <c r="B16" s="167" t="s">
        <v>301</v>
      </c>
      <c r="C16" s="167"/>
      <c r="E16" s="187"/>
      <c r="R16" s="138"/>
      <c r="Z16" s="80"/>
      <c r="AA16" s="1"/>
      <c r="AB16" s="4"/>
      <c r="AC16" s="4"/>
      <c r="AD16" s="4"/>
      <c r="AE16" s="1"/>
      <c r="AF16" s="1"/>
      <c r="AG16" s="9"/>
      <c r="AH16" s="6"/>
      <c r="AI16" s="6"/>
      <c r="AJ16" s="6"/>
      <c r="AK16" s="8"/>
      <c r="AL16" s="8"/>
    </row>
    <row r="17" spans="2:38" ht="14.25" customHeight="1" x14ac:dyDescent="0.2">
      <c r="B17" s="167" t="s">
        <v>297</v>
      </c>
      <c r="C17" s="167">
        <v>1</v>
      </c>
      <c r="E17" s="187"/>
      <c r="R17" s="138"/>
      <c r="Z17" s="80"/>
      <c r="AA17" s="1"/>
      <c r="AB17" s="4"/>
      <c r="AC17" s="4"/>
      <c r="AD17" s="4"/>
      <c r="AE17" s="1"/>
      <c r="AF17" s="1"/>
      <c r="AG17" s="9"/>
      <c r="AH17" s="6"/>
      <c r="AI17" s="6"/>
      <c r="AJ17" s="6"/>
      <c r="AK17" s="8"/>
      <c r="AL17" s="8"/>
    </row>
    <row r="18" spans="2:38" ht="14.25" customHeight="1" x14ac:dyDescent="0.2">
      <c r="B18" s="169" t="s">
        <v>296</v>
      </c>
      <c r="C18" s="169">
        <f ca="1">_xlfn.LET(
_xlpm.MinValue,SUBTOTAL(105,INDIRECT("ReportSummary___Track["&amp;Cell_TrackPlot_CategoriesCol&amp;"]")),
_xlpm.ChartBounds, Cell_TrackPlot_XChartBounds,
_xlpm.ChartPadding, Cell_TrackPlot_XChartPadding,
_xlpm.Datatype,Cell_TrackPlot_XType,
_xlpm.DataMin,_xlpm.MinValue-_xlpm.ChartPadding,
_xlpm.DefaultMin,IF(ISBLANK(_xlpm.ChartBounds),_xlpm.DataMin,-1*(_xlpm.ChartBounds)),
_xlpm.PlotMin,MIN(_xlpm.DefaultMin, _xlpm.DataMin),
IF(_xlpm.Datatype="datetime",TEXT(_xlpm.PlotMin,"mm/dd/yyyy hh:mm"),_xlfn.NUMBERVALUE(_xlpm.PlotMin)))</f>
        <v>20</v>
      </c>
      <c r="E18" s="187"/>
      <c r="R18" s="138"/>
      <c r="Z18" s="80"/>
      <c r="AA18" s="1"/>
      <c r="AB18" s="4"/>
      <c r="AC18" s="4"/>
      <c r="AD18" s="4"/>
      <c r="AE18" s="1"/>
      <c r="AF18" s="1"/>
      <c r="AG18" s="9"/>
      <c r="AH18" s="6"/>
      <c r="AI18" s="6"/>
      <c r="AJ18" s="6"/>
      <c r="AK18" s="8"/>
      <c r="AL18" s="8"/>
    </row>
    <row r="19" spans="2:38" ht="14.25" customHeight="1" x14ac:dyDescent="0.2">
      <c r="B19" s="169" t="s">
        <v>302</v>
      </c>
      <c r="C19" s="169">
        <f ca="1">_xlfn.LET(
_xlpm.MaxValue,SUBTOTAL(104,INDIRECT("ReportSummary___Track["&amp;Cell_TrackPlot_CategoriesCol&amp;"]")),
_xlpm.ChartBounds, Cell_TrackPlot_XChartBounds,
_xlpm.ChartPadding, Cell_TrackPlot_XChartPadding,
_xlpm.Datatype,Cell_TrackPlot_XType,
_xlpm.DataMax,_xlpm.MaxValue+_xlpm.ChartPadding,
_xlpm.DefaultMax,IF(ISBLANK(_xlpm.ChartBounds),_xlpm.DataMax,(_xlpm.ChartBounds)),
_xlpm.PlotMax,MAX(_xlpm.DefaultMax, _xlpm.DataMax),
IF(_xlpm.Datatype="datetime",TEXT(_xlpm.PlotMax,"mm/dd/yyyy hh:mm"),_xlfn.NUMBERVALUE(_xlpm.PlotMax)))</f>
        <v>50</v>
      </c>
      <c r="E19" s="187"/>
      <c r="R19" s="138"/>
      <c r="Z19" s="80"/>
      <c r="AA19" s="1"/>
      <c r="AB19" s="4"/>
      <c r="AC19" s="4"/>
      <c r="AD19" s="4"/>
      <c r="AE19" s="1"/>
      <c r="AF19" s="1"/>
      <c r="AG19" s="9"/>
      <c r="AH19" s="6"/>
      <c r="AI19" s="6"/>
      <c r="AJ19" s="6"/>
      <c r="AK19" s="8"/>
      <c r="AL19" s="8"/>
    </row>
    <row r="20" spans="2:38" ht="14.25" customHeight="1" x14ac:dyDescent="0.2">
      <c r="B20" s="170"/>
      <c r="C20" s="170"/>
      <c r="E20" s="187"/>
      <c r="R20" s="138"/>
      <c r="Z20" s="80"/>
      <c r="AA20" s="1"/>
      <c r="AB20" s="4"/>
      <c r="AC20" s="4"/>
      <c r="AD20" s="4"/>
      <c r="AE20" s="1"/>
      <c r="AF20" s="1"/>
      <c r="AG20" s="9"/>
      <c r="AH20" s="6"/>
      <c r="AI20" s="6"/>
      <c r="AJ20" s="6"/>
      <c r="AK20" s="8"/>
      <c r="AL20" s="8"/>
    </row>
    <row r="21" spans="2:38" ht="14.25" customHeight="1" x14ac:dyDescent="0.2">
      <c r="B21" s="312" t="s">
        <v>312</v>
      </c>
      <c r="C21" s="312"/>
      <c r="E21" s="187"/>
      <c r="R21" s="138"/>
      <c r="Z21" s="80"/>
      <c r="AA21" s="1"/>
      <c r="AB21" s="4"/>
      <c r="AC21" s="4"/>
      <c r="AD21" s="4"/>
      <c r="AE21" s="1"/>
      <c r="AF21" s="1"/>
      <c r="AG21" s="9"/>
      <c r="AH21" s="6"/>
      <c r="AI21" s="6"/>
      <c r="AJ21" s="6"/>
      <c r="AK21" s="8"/>
      <c r="AL21" s="8"/>
    </row>
    <row r="22" spans="2:38" ht="14.25" customHeight="1" x14ac:dyDescent="0.2">
      <c r="B22" s="167" t="s">
        <v>310</v>
      </c>
      <c r="C22" s="168" t="s">
        <v>325</v>
      </c>
      <c r="E22" s="187"/>
      <c r="R22" s="138"/>
      <c r="Z22" s="80"/>
      <c r="AA22" s="1"/>
      <c r="AB22" s="4"/>
      <c r="AC22" s="4"/>
      <c r="AD22" s="4"/>
      <c r="AE22" s="1"/>
      <c r="AF22" s="1"/>
      <c r="AG22" s="9"/>
      <c r="AH22" s="6"/>
      <c r="AI22" s="6"/>
      <c r="AJ22" s="6"/>
      <c r="AK22" s="8"/>
      <c r="AL22" s="8"/>
    </row>
    <row r="23" spans="2:38" ht="14.25" customHeight="1" x14ac:dyDescent="0.2">
      <c r="B23" s="167" t="s">
        <v>306</v>
      </c>
      <c r="C23" s="35" t="s">
        <v>307</v>
      </c>
      <c r="E23" s="187"/>
      <c r="R23" s="138"/>
      <c r="Z23" s="80"/>
      <c r="AA23" s="1"/>
      <c r="AB23" s="4"/>
      <c r="AC23" s="4"/>
      <c r="AD23" s="4"/>
      <c r="AE23" s="1"/>
      <c r="AF23" s="1"/>
      <c r="AG23" s="9"/>
      <c r="AH23" s="6"/>
      <c r="AI23" s="6"/>
      <c r="AJ23" s="6"/>
      <c r="AK23" s="8"/>
      <c r="AL23" s="8"/>
    </row>
    <row r="24" spans="2:38" ht="14.25" customHeight="1" x14ac:dyDescent="0.2">
      <c r="B24" s="167" t="s">
        <v>322</v>
      </c>
      <c r="C24" s="35" t="s">
        <v>451</v>
      </c>
      <c r="E24" s="187"/>
      <c r="R24" s="138"/>
      <c r="Z24" s="80"/>
      <c r="AA24" s="1"/>
      <c r="AB24" s="4"/>
      <c r="AC24" s="4"/>
      <c r="AD24" s="4"/>
      <c r="AE24" s="1"/>
      <c r="AF24" s="1"/>
      <c r="AG24" s="9"/>
      <c r="AH24" s="6"/>
      <c r="AI24" s="6"/>
      <c r="AJ24" s="6"/>
      <c r="AK24" s="8"/>
      <c r="AL24" s="8"/>
    </row>
    <row r="25" spans="2:38" ht="14.25" customHeight="1" x14ac:dyDescent="0.2">
      <c r="B25" s="169" t="s">
        <v>449</v>
      </c>
      <c r="C25" s="169" t="str">
        <f>_xlfn.XLOOKUP(C24,Lookup_NumFormat[Lookup Key],Lookup_NumFormat[Python Format])</f>
        <v>%.1f</v>
      </c>
      <c r="E25" s="187"/>
      <c r="R25" s="138"/>
      <c r="Z25" s="80"/>
      <c r="AA25" s="1"/>
      <c r="AB25" s="4"/>
      <c r="AC25" s="4"/>
      <c r="AD25" s="4"/>
      <c r="AE25" s="1"/>
      <c r="AF25" s="1"/>
      <c r="AG25" s="9"/>
      <c r="AH25" s="6"/>
      <c r="AI25" s="6"/>
      <c r="AJ25" s="6"/>
      <c r="AK25" s="8"/>
      <c r="AL25" s="8"/>
    </row>
    <row r="26" spans="2:38" ht="14.25" customHeight="1" x14ac:dyDescent="0.2">
      <c r="B26" s="167" t="s">
        <v>444</v>
      </c>
      <c r="C26" s="168">
        <v>0</v>
      </c>
      <c r="E26" s="187"/>
      <c r="R26" s="138"/>
      <c r="Z26" s="80"/>
      <c r="AA26" s="1"/>
      <c r="AB26" s="4"/>
      <c r="AC26" s="4"/>
      <c r="AD26" s="4"/>
      <c r="AE26" s="1"/>
      <c r="AF26" s="1"/>
      <c r="AG26" s="9"/>
      <c r="AH26" s="6"/>
      <c r="AI26" s="6"/>
      <c r="AJ26" s="6"/>
      <c r="AK26" s="8"/>
      <c r="AL26" s="8"/>
    </row>
    <row r="27" spans="2:38" ht="14.25" customHeight="1" x14ac:dyDescent="0.2">
      <c r="B27" s="167" t="s">
        <v>300</v>
      </c>
      <c r="C27" s="167">
        <v>10</v>
      </c>
      <c r="E27" s="187"/>
      <c r="R27" s="138"/>
      <c r="Z27" s="80"/>
      <c r="AA27" s="1"/>
      <c r="AB27" s="4"/>
      <c r="AC27" s="4"/>
      <c r="AD27" s="4"/>
      <c r="AE27" s="1"/>
      <c r="AF27" s="1"/>
      <c r="AG27" s="9"/>
      <c r="AH27" s="6"/>
      <c r="AI27" s="6"/>
      <c r="AJ27" s="6"/>
      <c r="AK27" s="8"/>
      <c r="AL27" s="8"/>
    </row>
    <row r="28" spans="2:38" ht="14.25" customHeight="1" x14ac:dyDescent="0.2">
      <c r="B28" s="167" t="s">
        <v>298</v>
      </c>
      <c r="C28" s="167">
        <v>1</v>
      </c>
      <c r="E28" s="187"/>
      <c r="R28" s="138"/>
      <c r="Z28" s="80"/>
      <c r="AA28" s="1"/>
      <c r="AB28" s="4"/>
      <c r="AC28" s="4"/>
      <c r="AD28" s="4"/>
      <c r="AE28" s="1"/>
      <c r="AF28" s="1"/>
      <c r="AG28" s="9"/>
      <c r="AH28" s="6"/>
      <c r="AI28" s="6"/>
      <c r="AJ28" s="6"/>
      <c r="AK28" s="8"/>
      <c r="AL28" s="8"/>
    </row>
    <row r="29" spans="2:38" ht="14.25" customHeight="1" x14ac:dyDescent="0.2">
      <c r="B29" s="167"/>
      <c r="C29" s="35"/>
      <c r="E29" s="187"/>
      <c r="R29" s="138"/>
      <c r="Z29" s="80"/>
      <c r="AA29" s="1"/>
      <c r="AB29" s="4"/>
      <c r="AC29" s="4"/>
      <c r="AD29" s="4"/>
      <c r="AE29" s="1"/>
      <c r="AF29" s="1"/>
      <c r="AG29" s="9"/>
      <c r="AH29" s="6"/>
      <c r="AI29" s="6"/>
      <c r="AJ29" s="6"/>
      <c r="AK29" s="8"/>
      <c r="AL29" s="8"/>
    </row>
    <row r="30" spans="2:38" ht="14.25" customHeight="1" x14ac:dyDescent="0.2">
      <c r="B30" s="167"/>
      <c r="C30" s="35"/>
      <c r="E30" s="187"/>
      <c r="R30" s="138"/>
      <c r="Z30" s="80"/>
      <c r="AA30" s="1"/>
      <c r="AB30" s="4"/>
      <c r="AC30" s="4"/>
      <c r="AD30" s="4"/>
      <c r="AE30" s="1"/>
      <c r="AF30" s="1"/>
      <c r="AG30" s="9"/>
      <c r="AH30" s="6"/>
      <c r="AI30" s="6"/>
      <c r="AJ30" s="6"/>
      <c r="AK30" s="8"/>
      <c r="AL30" s="8"/>
    </row>
    <row r="31" spans="2:38" ht="14.25" customHeight="1" x14ac:dyDescent="0.2">
      <c r="B31" s="169" t="s">
        <v>299</v>
      </c>
      <c r="C31" s="169">
        <f ca="1">_xlfn.LET(
_xlpm.MinValue,SUBTOTAL(105,INDIRECT("ReportSummary___Track["&amp;Cell_TrackPlot_ValuesCol&amp;"]")),
_xlpm.ChartBounds, Cell_TrackPlot_YChartBounds,
_xlpm.ChartPadding, Cell_TrackPlot_YChartPadding,
_xlpm.DataMin,_xlpm.MinValue-_xlpm.ChartPadding,
_xlpm.DefaultMin,IF(ISBLANK(_xlpm.ChartBounds),_xlpm.DataMin,-1*(_xlpm.ChartBounds)),
MIN(_xlpm.DefaultMin, _xlpm.DataMin))</f>
        <v>-10</v>
      </c>
      <c r="E31" s="187"/>
      <c r="R31" s="138"/>
      <c r="Z31" s="80"/>
      <c r="AA31" s="1"/>
      <c r="AB31" s="4"/>
      <c r="AC31" s="4"/>
      <c r="AD31" s="4"/>
      <c r="AE31" s="1"/>
      <c r="AF31" s="1"/>
      <c r="AG31" s="9"/>
      <c r="AH31" s="6"/>
      <c r="AI31" s="6"/>
      <c r="AJ31" s="6"/>
      <c r="AK31" s="8"/>
      <c r="AL31" s="8"/>
    </row>
    <row r="32" spans="2:38" ht="14.25" customHeight="1" x14ac:dyDescent="0.2">
      <c r="B32" s="169" t="s">
        <v>303</v>
      </c>
      <c r="C32" s="169">
        <f ca="1">_xlfn.LET(
_xlpm.MaxValue,SUBTOTAL(104,INDIRECT("ReportSummary___Track["&amp;Cell_TrackPlot_ValuesCol&amp;"]")),
_xlpm.ChartBounds, Cell_TrackPlot_YChartBounds,
_xlpm.ChartPadding, Cell_TrackPlot_YChartPadding,
_xlpm.DataMax,_xlpm.MaxValue+_xlpm.ChartPadding,
_xlpm.DefaultMax,IF(ISBLANK(_xlpm.ChartBounds),_xlpm.DataMax,(_xlpm.ChartBounds)),
MAX(_xlpm.DefaultMax, _xlpm.DataMax))</f>
        <v>10</v>
      </c>
      <c r="E32" s="187"/>
      <c r="R32" s="138"/>
      <c r="Z32" s="80"/>
      <c r="AA32"/>
      <c r="AB32" s="8"/>
      <c r="AC32" s="1"/>
      <c r="AD32" s="1"/>
      <c r="AE32" s="1"/>
      <c r="AF32" s="1"/>
      <c r="AG32" s="1"/>
      <c r="AH32" s="1"/>
      <c r="AI32" s="1"/>
      <c r="AJ32" s="1"/>
    </row>
    <row r="33" spans="2:36" ht="14.25" customHeight="1" x14ac:dyDescent="0.25">
      <c r="B33" s="170"/>
      <c r="C33" s="170"/>
      <c r="E33" s="187"/>
      <c r="R33" s="138"/>
      <c r="Z33" s="80"/>
      <c r="AA33" s="153"/>
      <c r="AB33" s="8"/>
      <c r="AC33" s="1"/>
      <c r="AD33" s="1"/>
      <c r="AE33" s="1"/>
      <c r="AF33" s="1"/>
      <c r="AG33" s="1"/>
      <c r="AH33" s="1"/>
      <c r="AI33" s="1"/>
      <c r="AJ33" s="1"/>
    </row>
    <row r="34" spans="2:36" ht="14.25" customHeight="1" x14ac:dyDescent="0.25">
      <c r="B34" s="312" t="s">
        <v>314</v>
      </c>
      <c r="C34" s="312"/>
      <c r="E34" s="187"/>
      <c r="R34" s="138"/>
      <c r="S34" s="4"/>
      <c r="Z34" s="80"/>
      <c r="AA34" s="153"/>
      <c r="AB34" s="8"/>
      <c r="AC34" s="1"/>
      <c r="AD34" s="1"/>
      <c r="AE34" s="1"/>
      <c r="AF34" s="1"/>
      <c r="AG34" s="1"/>
      <c r="AH34" s="1"/>
      <c r="AI34" s="1"/>
      <c r="AJ34" s="1"/>
    </row>
    <row r="35" spans="2:36" ht="14.25" customHeight="1" x14ac:dyDescent="0.25">
      <c r="B35" s="167" t="s">
        <v>316</v>
      </c>
      <c r="C35" s="168" t="s">
        <v>6</v>
      </c>
      <c r="E35" s="187"/>
      <c r="R35" s="138"/>
      <c r="S35" s="4"/>
      <c r="Z35" s="80"/>
      <c r="AA35" s="153"/>
      <c r="AB35" s="8"/>
      <c r="AC35" s="1"/>
      <c r="AD35" s="1"/>
      <c r="AE35" s="1"/>
      <c r="AF35" s="1"/>
      <c r="AG35" s="1"/>
      <c r="AH35" s="1"/>
      <c r="AI35" s="1"/>
      <c r="AJ35" s="1"/>
    </row>
    <row r="36" spans="2:36" ht="14.25" customHeight="1" x14ac:dyDescent="0.25">
      <c r="B36" s="167" t="s">
        <v>509</v>
      </c>
      <c r="C36" s="171" t="s">
        <v>507</v>
      </c>
      <c r="E36" s="187"/>
      <c r="R36" s="138"/>
      <c r="S36" s="4"/>
      <c r="Z36" s="80"/>
      <c r="AA36" s="153"/>
      <c r="AB36" s="8"/>
      <c r="AC36" s="1"/>
      <c r="AD36" s="1"/>
      <c r="AE36" s="1"/>
      <c r="AF36" s="1"/>
      <c r="AG36" s="1"/>
      <c r="AH36" s="1"/>
      <c r="AI36" s="1"/>
      <c r="AJ36" s="1"/>
    </row>
    <row r="37" spans="2:36" ht="14.25" customHeight="1" x14ac:dyDescent="0.25">
      <c r="B37" s="167" t="s">
        <v>315</v>
      </c>
      <c r="C37" s="168">
        <v>1</v>
      </c>
      <c r="E37" s="187"/>
      <c r="R37" s="138"/>
      <c r="S37" s="4"/>
      <c r="Z37" s="80"/>
      <c r="AA37" s="153"/>
      <c r="AB37" s="8"/>
      <c r="AC37" s="1"/>
      <c r="AD37" s="1"/>
      <c r="AE37" s="1"/>
      <c r="AF37" s="1"/>
      <c r="AG37" s="1"/>
      <c r="AH37" s="1"/>
      <c r="AI37" s="1"/>
      <c r="AJ37" s="1"/>
    </row>
    <row r="38" spans="2:36" ht="14.25" customHeight="1" x14ac:dyDescent="0.25">
      <c r="B38" s="167" t="s">
        <v>511</v>
      </c>
      <c r="C38" s="180">
        <v>0</v>
      </c>
      <c r="E38" s="187"/>
      <c r="R38" s="138"/>
      <c r="S38" s="4"/>
      <c r="Z38" s="80"/>
      <c r="AA38" s="153"/>
      <c r="AB38" s="8"/>
      <c r="AC38" s="1"/>
      <c r="AD38" s="1"/>
      <c r="AE38" s="1"/>
      <c r="AF38" s="1"/>
      <c r="AG38" s="1"/>
      <c r="AH38" s="1"/>
      <c r="AI38" s="1"/>
      <c r="AJ38" s="1"/>
    </row>
    <row r="39" spans="2:36" ht="14.25" customHeight="1" x14ac:dyDescent="0.25">
      <c r="B39" s="167" t="s">
        <v>510</v>
      </c>
      <c r="C39" s="180">
        <v>0</v>
      </c>
      <c r="E39" s="187"/>
      <c r="R39" s="138"/>
      <c r="S39" s="4"/>
      <c r="Z39" s="80"/>
      <c r="AA39" s="153"/>
      <c r="AB39" s="8"/>
      <c r="AC39" s="1"/>
      <c r="AD39" s="1"/>
      <c r="AE39" s="1"/>
      <c r="AF39" s="1"/>
      <c r="AG39" s="1"/>
      <c r="AH39" s="1"/>
      <c r="AI39" s="1"/>
      <c r="AJ39" s="1"/>
    </row>
    <row r="40" spans="2:36" ht="14.25" customHeight="1" x14ac:dyDescent="0.25">
      <c r="E40" s="187"/>
      <c r="R40" s="138"/>
      <c r="S40" s="4"/>
      <c r="Z40" s="80"/>
      <c r="AA40" s="153"/>
      <c r="AB40" s="8"/>
      <c r="AC40" s="1"/>
      <c r="AD40" s="1"/>
      <c r="AE40" s="1"/>
      <c r="AF40" s="1"/>
      <c r="AG40" s="1"/>
      <c r="AH40" s="1"/>
      <c r="AI40" s="1"/>
      <c r="AJ40" s="1"/>
    </row>
    <row r="41" spans="2:36" ht="14.25" customHeight="1" x14ac:dyDescent="0.25">
      <c r="E41" s="187"/>
      <c r="R41" s="138"/>
      <c r="S41" s="4"/>
      <c r="Z41" s="80"/>
      <c r="AA41" s="153"/>
      <c r="AB41" s="8"/>
      <c r="AC41" s="1"/>
      <c r="AD41" s="1"/>
      <c r="AE41" s="1"/>
      <c r="AF41" s="1"/>
      <c r="AG41" s="1"/>
      <c r="AH41" s="1"/>
      <c r="AI41" s="1"/>
      <c r="AJ41" s="1"/>
    </row>
    <row r="42" spans="2:36" ht="14.25" customHeight="1" x14ac:dyDescent="0.25">
      <c r="B42" s="167" t="s">
        <v>515</v>
      </c>
      <c r="C42" s="168" t="b">
        <v>1</v>
      </c>
      <c r="E42" s="187"/>
      <c r="R42" s="138"/>
      <c r="S42" s="4"/>
      <c r="Z42" s="80"/>
      <c r="AA42" s="153"/>
      <c r="AB42" s="8"/>
      <c r="AC42" s="1"/>
      <c r="AD42" s="1"/>
      <c r="AE42" s="1"/>
      <c r="AF42" s="1"/>
      <c r="AG42" s="1"/>
      <c r="AH42" s="1"/>
      <c r="AI42" s="1"/>
      <c r="AJ42" s="1"/>
    </row>
    <row r="43" spans="2:36" ht="14.25" customHeight="1" x14ac:dyDescent="0.25">
      <c r="B43" s="170"/>
      <c r="C43" s="179"/>
      <c r="E43" s="187"/>
      <c r="R43" s="138"/>
      <c r="S43" s="4"/>
      <c r="Z43" s="80"/>
      <c r="AA43" s="153"/>
      <c r="AB43" s="8"/>
      <c r="AC43" s="1"/>
      <c r="AD43" s="1"/>
      <c r="AE43" s="1"/>
      <c r="AF43" s="1"/>
      <c r="AG43" s="1"/>
      <c r="AH43" s="1"/>
      <c r="AI43" s="1"/>
      <c r="AJ43" s="1"/>
    </row>
    <row r="44" spans="2:36" ht="14.25" customHeight="1" x14ac:dyDescent="0.25">
      <c r="B44" s="170"/>
      <c r="C44" s="179"/>
      <c r="E44" s="187"/>
      <c r="R44" s="138"/>
      <c r="S44" s="4"/>
      <c r="Z44" s="80"/>
      <c r="AA44" s="153"/>
      <c r="AB44" s="8"/>
      <c r="AC44" s="1"/>
      <c r="AD44" s="1"/>
      <c r="AE44" s="1"/>
      <c r="AF44" s="1"/>
      <c r="AG44" s="1"/>
      <c r="AH44" s="1"/>
      <c r="AI44" s="1"/>
      <c r="AJ44" s="1"/>
    </row>
    <row r="45" spans="2:36" ht="14.25" customHeight="1" x14ac:dyDescent="0.25">
      <c r="B45" s="170"/>
      <c r="C45" s="170"/>
      <c r="E45" s="187"/>
      <c r="R45" s="138"/>
      <c r="S45" s="4"/>
      <c r="Z45" s="80"/>
      <c r="AA45" s="153"/>
      <c r="AB45" s="8"/>
      <c r="AC45" s="1"/>
      <c r="AD45" s="1"/>
      <c r="AE45" s="1"/>
      <c r="AF45" s="1"/>
      <c r="AG45" s="1"/>
      <c r="AH45" s="1"/>
      <c r="AI45" s="1"/>
      <c r="AJ45" s="1"/>
    </row>
    <row r="46" spans="2:36" ht="14.25" customHeight="1" x14ac:dyDescent="0.25">
      <c r="B46" s="312" t="s">
        <v>317</v>
      </c>
      <c r="C46" s="312"/>
      <c r="E46" s="188"/>
      <c r="F46" s="189"/>
      <c r="G46" s="189"/>
      <c r="H46" s="190"/>
      <c r="I46" s="190"/>
      <c r="J46" s="191"/>
      <c r="K46" s="192"/>
      <c r="L46" s="192"/>
      <c r="M46" s="191"/>
      <c r="N46" s="192"/>
      <c r="O46" s="192"/>
      <c r="P46" s="192"/>
      <c r="Q46" s="191"/>
      <c r="R46" s="193"/>
      <c r="S46" s="4"/>
      <c r="Z46" s="80"/>
      <c r="AA46" s="153"/>
      <c r="AB46" s="8"/>
      <c r="AC46" s="1"/>
      <c r="AD46" s="1"/>
      <c r="AE46" s="1"/>
      <c r="AF46" s="1"/>
      <c r="AG46" s="1"/>
      <c r="AH46" s="1"/>
      <c r="AI46" s="1"/>
      <c r="AJ46" s="1"/>
    </row>
    <row r="47" spans="2:36" ht="14.25" customHeight="1" x14ac:dyDescent="0.25">
      <c r="B47" s="167" t="s">
        <v>318</v>
      </c>
      <c r="C47" s="181">
        <v>14</v>
      </c>
      <c r="S47" s="4"/>
      <c r="Z47" s="80"/>
      <c r="AA47" s="153"/>
      <c r="AB47" s="8"/>
      <c r="AC47" s="1"/>
      <c r="AD47" s="1"/>
      <c r="AE47" s="1"/>
      <c r="AF47" s="1"/>
      <c r="AG47" s="1"/>
      <c r="AH47" s="1"/>
      <c r="AI47" s="1"/>
      <c r="AJ47" s="1"/>
    </row>
    <row r="48" spans="2:36" ht="14.25" customHeight="1" x14ac:dyDescent="0.25">
      <c r="B48" s="167" t="s">
        <v>319</v>
      </c>
      <c r="C48" s="181">
        <v>1.5</v>
      </c>
      <c r="S48" s="4"/>
      <c r="Z48" s="80"/>
      <c r="AA48" s="153"/>
      <c r="AB48" s="8"/>
      <c r="AC48" s="1"/>
      <c r="AD48" s="1"/>
      <c r="AE48" s="1"/>
      <c r="AF48" s="1"/>
      <c r="AG48" s="1"/>
      <c r="AH48" s="1"/>
      <c r="AI48" s="1"/>
      <c r="AJ48" s="1"/>
    </row>
    <row r="49" spans="2:36" ht="14.25" customHeight="1" x14ac:dyDescent="0.25">
      <c r="B49" s="167" t="s">
        <v>290</v>
      </c>
      <c r="C49" s="172" t="s">
        <v>292</v>
      </c>
      <c r="S49" s="4"/>
      <c r="Z49" s="80"/>
      <c r="AA49" s="153"/>
      <c r="AB49" s="8"/>
      <c r="AC49" s="1"/>
      <c r="AD49" s="1"/>
      <c r="AE49" s="1"/>
      <c r="AF49" s="1"/>
      <c r="AG49" s="1"/>
      <c r="AH49" s="1"/>
      <c r="AI49" s="1"/>
      <c r="AJ49" s="1"/>
    </row>
    <row r="50" spans="2:36" ht="14.25" customHeight="1" x14ac:dyDescent="0.25">
      <c r="B50" s="167" t="s">
        <v>291</v>
      </c>
      <c r="C50" s="168">
        <v>6</v>
      </c>
      <c r="S50" s="4"/>
      <c r="Z50" s="80"/>
      <c r="AA50" s="153"/>
      <c r="AB50" s="8"/>
      <c r="AC50" s="1"/>
      <c r="AD50" s="1"/>
      <c r="AE50" s="1"/>
      <c r="AF50" s="1"/>
      <c r="AG50" s="1"/>
      <c r="AH50" s="1"/>
      <c r="AI50" s="1"/>
      <c r="AJ50" s="1"/>
    </row>
    <row r="51" spans="2:36" ht="14.25" customHeight="1" x14ac:dyDescent="0.25">
      <c r="B51" s="167" t="s">
        <v>293</v>
      </c>
      <c r="C51" s="173" t="str">
        <f>Cell_TrackPlot_CategoriesCol&amp;" vs. " &amp;Cell_TrackPlot_ValuesCol</f>
        <v>Chainage vs. Δ Baseline Twist Long (mm)</v>
      </c>
      <c r="S51" s="4"/>
      <c r="Z51" s="80"/>
      <c r="AA51" s="153"/>
      <c r="AB51" s="8"/>
      <c r="AC51" s="1"/>
      <c r="AD51" s="1"/>
      <c r="AE51" s="1"/>
      <c r="AF51" s="1"/>
      <c r="AG51" s="1"/>
      <c r="AH51" s="1"/>
      <c r="AI51" s="1"/>
      <c r="AJ51" s="1"/>
    </row>
    <row r="52" spans="2:36" ht="14.25" customHeight="1" x14ac:dyDescent="0.25">
      <c r="B52" s="167" t="s">
        <v>320</v>
      </c>
      <c r="C52" s="174" t="e" cm="1" vm="1">
        <f t="array" aca="1" ref="C52" ca="1">_xlfn._xlws.PY(0,1,ReportSummary___Track[#All],Cell_TrackPlot_Width,Cell_TrackPlot_Height,Cell_TrackPlot_DPI,Cell_TrackPlot_CategoriesCol,Cell_TrackPlot_ValuesCol,Cell_TrackPlot_LegendCol,Cell_TrackPlot_Title,Cell_TrackPlot_XType,Cell_TrackPlot_YType,Cell_TrackPlot_XFormat,Cell_TrackPlot_YFormat,Cell_TrackPlot_XLabelRotation,Cell_TrackPlot_YLabelRotation,Cell_TrackPlot_TextSize,Cell_TrackPlot_LegendColumns,Cell_TrackPlot_MarkerSize,Cell_TrackPlot_LineWidth,Cell_TrackPlot_MarkerStyle,Cell_TrackPlot_ColorMap,Cell_TrackPlot_ShowMinorGrid,Cell_TrackPlot_LegendPosition,Cell_TrackPlot_LegendYOffset,Cell_TrackPlot_LegendXOffset,Cell_TrackPlot_YMin,Cell_TrackPlot_YMax,Cell_TrackPlot_XMin,Cell_TrackPlot_XMax)</f>
        <v>#VALUE!</v>
      </c>
      <c r="S52" s="4"/>
      <c r="Z52" s="80"/>
      <c r="AA52" s="153"/>
      <c r="AB52" s="8"/>
      <c r="AC52" s="1"/>
      <c r="AD52" s="1"/>
      <c r="AE52" s="1"/>
      <c r="AF52" s="1"/>
      <c r="AG52" s="1"/>
      <c r="AH52" s="1"/>
      <c r="AI52" s="1"/>
      <c r="AJ52" s="1"/>
    </row>
    <row r="53" spans="2:36" ht="14.25" customHeight="1" x14ac:dyDescent="0.25">
      <c r="B53" s="167" t="s">
        <v>512</v>
      </c>
      <c r="C53" s="168">
        <v>20</v>
      </c>
      <c r="S53" s="4"/>
      <c r="Z53" s="80"/>
      <c r="AA53" s="153"/>
      <c r="AB53" s="8"/>
      <c r="AC53" s="1"/>
      <c r="AD53" s="1"/>
      <c r="AE53" s="1"/>
      <c r="AF53" s="1"/>
      <c r="AG53" s="1"/>
      <c r="AH53" s="1"/>
      <c r="AI53" s="1"/>
      <c r="AJ53" s="1"/>
    </row>
    <row r="54" spans="2:36" ht="14.25" customHeight="1" x14ac:dyDescent="0.25">
      <c r="B54" s="167" t="s">
        <v>513</v>
      </c>
      <c r="C54" s="168">
        <v>10</v>
      </c>
      <c r="S54" s="4"/>
      <c r="Z54" s="80"/>
      <c r="AA54" s="153"/>
      <c r="AB54" s="8"/>
      <c r="AC54" s="1"/>
      <c r="AD54" s="1"/>
      <c r="AE54" s="1"/>
      <c r="AF54" s="1"/>
      <c r="AG54" s="1"/>
      <c r="AH54" s="1"/>
      <c r="AI54" s="1"/>
      <c r="AJ54" s="1"/>
    </row>
    <row r="55" spans="2:36" ht="14.25" customHeight="1" x14ac:dyDescent="0.25">
      <c r="B55" s="167" t="s">
        <v>514</v>
      </c>
      <c r="C55" s="168">
        <v>100</v>
      </c>
      <c r="S55" s="4"/>
      <c r="Z55" s="80"/>
      <c r="AA55" s="153"/>
      <c r="AB55" s="8"/>
      <c r="AC55" s="1"/>
      <c r="AD55" s="1"/>
      <c r="AE55" s="1"/>
      <c r="AF55" s="1"/>
      <c r="AG55" s="1"/>
      <c r="AH55" s="1"/>
      <c r="AI55" s="1"/>
      <c r="AJ55" s="1"/>
    </row>
    <row r="56" spans="2:36" ht="14.25" customHeight="1" x14ac:dyDescent="0.25">
      <c r="B56" s="170"/>
      <c r="C56" s="170"/>
      <c r="S56" s="4"/>
      <c r="Z56" s="80"/>
      <c r="AA56" s="153"/>
      <c r="AB56" s="8"/>
      <c r="AC56" s="1"/>
      <c r="AD56" s="1"/>
      <c r="AE56" s="1"/>
      <c r="AF56" s="1"/>
      <c r="AG56" s="1"/>
      <c r="AH56" s="1"/>
      <c r="AI56" s="1"/>
      <c r="AJ56" s="1"/>
    </row>
    <row r="57" spans="2:36" ht="14.25" customHeight="1" x14ac:dyDescent="0.25">
      <c r="B57" s="170"/>
      <c r="C57" s="170"/>
      <c r="S57" s="4"/>
      <c r="Z57" s="80"/>
      <c r="AA57" s="153"/>
      <c r="AB57" s="8"/>
      <c r="AC57" s="1"/>
      <c r="AD57" s="1"/>
      <c r="AE57" s="1"/>
      <c r="AF57" s="1"/>
      <c r="AG57" s="1"/>
      <c r="AH57" s="1"/>
      <c r="AI57" s="1"/>
      <c r="AJ57" s="1"/>
    </row>
    <row r="58" spans="2:36" ht="14.25" customHeight="1" x14ac:dyDescent="0.25">
      <c r="S58" s="4"/>
      <c r="Z58" s="80"/>
      <c r="AA58" s="153"/>
      <c r="AB58" s="8"/>
      <c r="AC58" s="1"/>
      <c r="AD58" s="1"/>
      <c r="AE58" s="1"/>
      <c r="AF58" s="1"/>
      <c r="AG58" s="1"/>
      <c r="AH58" s="1"/>
      <c r="AI58" s="1"/>
      <c r="AJ58" s="1"/>
    </row>
    <row r="59" spans="2:36" ht="14.25" customHeight="1" x14ac:dyDescent="0.25">
      <c r="B59" s="167" t="s">
        <v>447</v>
      </c>
      <c r="C59" s="172" t="s">
        <v>518</v>
      </c>
      <c r="S59" s="4"/>
      <c r="Z59" s="80"/>
      <c r="AA59" s="153"/>
      <c r="AB59" s="8"/>
      <c r="AC59" s="1"/>
      <c r="AD59" s="1"/>
      <c r="AE59" s="1"/>
      <c r="AF59" s="1"/>
      <c r="AG59" s="1"/>
      <c r="AH59" s="1"/>
      <c r="AI59" s="1"/>
      <c r="AJ59" s="1"/>
    </row>
    <row r="60" spans="2:36" ht="14.25" customHeight="1" x14ac:dyDescent="0.25">
      <c r="B60" s="167" t="s">
        <v>473</v>
      </c>
      <c r="C60" s="173" t="str">
        <f>_xlfn.XLOOKUP(C59,Lookup_ColourMap[Lookup Key],Lookup_ColourMap[Colormap])</f>
        <v>Blues</v>
      </c>
      <c r="Z60" s="80"/>
      <c r="AA60" s="153"/>
      <c r="AB60" s="8"/>
      <c r="AC60" s="1"/>
      <c r="AD60" s="1"/>
      <c r="AE60" s="1"/>
      <c r="AF60" s="1"/>
      <c r="AG60" s="1"/>
      <c r="AH60" s="1"/>
      <c r="AI60" s="1"/>
      <c r="AJ60" s="1"/>
    </row>
    <row r="61" spans="2:36" ht="14.25" customHeight="1" x14ac:dyDescent="0.25">
      <c r="Z61" s="80"/>
      <c r="AA61" s="153"/>
      <c r="AB61" s="8"/>
      <c r="AC61" s="1"/>
      <c r="AD61" s="1"/>
      <c r="AE61" s="1"/>
      <c r="AF61" s="1"/>
      <c r="AG61" s="1"/>
      <c r="AH61" s="1"/>
      <c r="AI61" s="1"/>
      <c r="AJ61" s="1"/>
    </row>
    <row r="62" spans="2:36" ht="14.25" customHeight="1" x14ac:dyDescent="0.25">
      <c r="Z62" s="80"/>
      <c r="AA62" s="153"/>
      <c r="AB62" s="8"/>
      <c r="AC62" s="1"/>
      <c r="AD62" s="1"/>
      <c r="AE62" s="1"/>
      <c r="AF62" s="1"/>
      <c r="AG62" s="1"/>
      <c r="AH62" s="1"/>
      <c r="AI62" s="1"/>
      <c r="AJ62" s="1"/>
    </row>
    <row r="63" spans="2:36" ht="14.25" customHeight="1" x14ac:dyDescent="0.25">
      <c r="Z63" s="80"/>
      <c r="AA63" s="153"/>
      <c r="AB63" s="8"/>
      <c r="AC63" s="1"/>
      <c r="AD63" s="1"/>
      <c r="AE63" s="1"/>
      <c r="AF63" s="1"/>
      <c r="AG63" s="1"/>
      <c r="AH63" s="1"/>
      <c r="AI63" s="1"/>
      <c r="AJ63" s="1"/>
    </row>
    <row r="64" spans="2:36" ht="14.25" customHeight="1" x14ac:dyDescent="0.25">
      <c r="Z64" s="80"/>
      <c r="AA64" s="153"/>
      <c r="AB64" s="8"/>
      <c r="AC64" s="1"/>
      <c r="AD64" s="1"/>
      <c r="AE64" s="1"/>
      <c r="AF64" s="1"/>
      <c r="AG64" s="1"/>
      <c r="AH64" s="1"/>
      <c r="AI64" s="1"/>
      <c r="AJ64" s="1"/>
    </row>
    <row r="65" spans="2:36" ht="14.25" customHeight="1" x14ac:dyDescent="0.25">
      <c r="Z65" s="80"/>
      <c r="AA65" s="153"/>
      <c r="AB65" s="8"/>
      <c r="AC65" s="1"/>
      <c r="AD65" s="1"/>
      <c r="AE65" s="1"/>
      <c r="AF65" s="1"/>
      <c r="AG65" s="1"/>
      <c r="AH65" s="1"/>
      <c r="AI65" s="1"/>
      <c r="AJ65" s="1"/>
    </row>
    <row r="66" spans="2:36" ht="14.25" customHeight="1" x14ac:dyDescent="0.25">
      <c r="Z66" s="80"/>
      <c r="AA66" s="153"/>
      <c r="AB66" s="8"/>
      <c r="AC66" s="1"/>
      <c r="AD66" s="1"/>
      <c r="AE66" s="1"/>
      <c r="AF66" s="1"/>
      <c r="AG66" s="1"/>
      <c r="AH66" s="1"/>
      <c r="AI66" s="1"/>
      <c r="AJ66" s="1"/>
    </row>
    <row r="67" spans="2:36" ht="14.25" customHeight="1" x14ac:dyDescent="0.25">
      <c r="Z67" s="80"/>
      <c r="AA67" s="153"/>
      <c r="AB67" s="8"/>
      <c r="AC67" s="1"/>
      <c r="AD67" s="1"/>
      <c r="AE67" s="1"/>
      <c r="AF67" s="1"/>
      <c r="AG67" s="1"/>
      <c r="AH67" s="1"/>
      <c r="AI67" s="1"/>
      <c r="AJ67" s="1"/>
    </row>
    <row r="68" spans="2:36" ht="14.25" customHeight="1" x14ac:dyDescent="0.25">
      <c r="B68" s="3"/>
      <c r="C68" s="156"/>
      <c r="Z68" s="80"/>
      <c r="AA68" s="153"/>
      <c r="AB68" s="8"/>
      <c r="AC68" s="1"/>
      <c r="AD68" s="1"/>
      <c r="AE68" s="1"/>
      <c r="AF68" s="1"/>
      <c r="AG68" s="1"/>
      <c r="AH68" s="1"/>
      <c r="AI68" s="1"/>
      <c r="AJ68" s="1"/>
    </row>
    <row r="69" spans="2:36" ht="14.25" customHeight="1" x14ac:dyDescent="0.25">
      <c r="Z69" s="80"/>
      <c r="AA69" s="153"/>
      <c r="AB69" s="8"/>
      <c r="AC69" s="1"/>
      <c r="AD69" s="1"/>
      <c r="AE69" s="1"/>
      <c r="AF69" s="1"/>
      <c r="AG69" s="1"/>
      <c r="AH69" s="1"/>
      <c r="AI69" s="1"/>
      <c r="AJ69" s="1"/>
    </row>
    <row r="70" spans="2:36" ht="14.25" customHeight="1" x14ac:dyDescent="0.25">
      <c r="Z70" s="80"/>
      <c r="AA70" s="153"/>
      <c r="AB70" s="8"/>
      <c r="AC70" s="1"/>
      <c r="AD70" s="1"/>
      <c r="AE70" s="1"/>
      <c r="AF70" s="1"/>
      <c r="AG70" s="1"/>
      <c r="AH70" s="1"/>
      <c r="AI70" s="1"/>
      <c r="AJ70" s="1"/>
    </row>
    <row r="71" spans="2:36" ht="14.25" customHeight="1" x14ac:dyDescent="0.25">
      <c r="Z71" s="80"/>
      <c r="AA71" s="153"/>
      <c r="AB71" s="8"/>
      <c r="AC71" s="1"/>
      <c r="AD71" s="1"/>
      <c r="AE71" s="1"/>
      <c r="AF71" s="1"/>
      <c r="AG71" s="1"/>
      <c r="AH71" s="1"/>
      <c r="AI71" s="1"/>
      <c r="AJ71" s="1"/>
    </row>
    <row r="72" spans="2:36" ht="14.25" customHeight="1" x14ac:dyDescent="0.25">
      <c r="B72" s="273" t="s">
        <v>231</v>
      </c>
      <c r="C72" s="274"/>
      <c r="Z72" s="80"/>
      <c r="AA72" s="153"/>
      <c r="AB72" s="8"/>
      <c r="AC72" s="1"/>
      <c r="AD72" s="1"/>
      <c r="AE72" s="1"/>
      <c r="AF72" s="1"/>
      <c r="AG72" s="1"/>
      <c r="AH72" s="1"/>
      <c r="AI72" s="1"/>
      <c r="AJ72" s="1"/>
    </row>
    <row r="73" spans="2:36" ht="14.25" customHeight="1" x14ac:dyDescent="0.25">
      <c r="B73" s="154" t="s">
        <v>216</v>
      </c>
      <c r="C73" s="155">
        <v>1</v>
      </c>
      <c r="Z73" s="80"/>
      <c r="AA73" s="153"/>
      <c r="AB73" s="8"/>
      <c r="AC73" s="1"/>
      <c r="AD73" s="1"/>
      <c r="AE73" s="1"/>
      <c r="AF73" s="1"/>
      <c r="AG73" s="1"/>
      <c r="AH73" s="1"/>
      <c r="AI73" s="1"/>
      <c r="AJ73" s="1"/>
    </row>
    <row r="74" spans="2:36" ht="14.25" customHeight="1" x14ac:dyDescent="0.25">
      <c r="B74" s="154" t="s">
        <v>232</v>
      </c>
      <c r="C74" s="155">
        <v>3</v>
      </c>
      <c r="Z74" s="80"/>
      <c r="AA74" s="153"/>
      <c r="AB74" s="8"/>
      <c r="AC74" s="1"/>
      <c r="AD74" s="1"/>
      <c r="AE74" s="1"/>
      <c r="AF74" s="1"/>
      <c r="AG74" s="1"/>
      <c r="AH74" s="1"/>
      <c r="AI74" s="1"/>
      <c r="AJ74" s="1"/>
    </row>
    <row r="75" spans="2:36" ht="14.25" customHeight="1" x14ac:dyDescent="0.25">
      <c r="B75" s="154" t="s">
        <v>233</v>
      </c>
      <c r="C75" s="155">
        <v>6</v>
      </c>
      <c r="Z75" s="80"/>
      <c r="AA75" s="153"/>
      <c r="AB75" s="8"/>
      <c r="AC75" s="1"/>
      <c r="AD75" s="1"/>
      <c r="AE75" s="1"/>
      <c r="AF75" s="1"/>
      <c r="AG75" s="1"/>
      <c r="AH75" s="1"/>
      <c r="AI75" s="1"/>
      <c r="AJ75" s="1"/>
    </row>
    <row r="76" spans="2:36" ht="14.25" customHeight="1" x14ac:dyDescent="0.25">
      <c r="Z76" s="80"/>
      <c r="AA76" s="153"/>
      <c r="AB76" s="8"/>
      <c r="AC76" s="1"/>
      <c r="AD76" s="1"/>
      <c r="AE76" s="1"/>
      <c r="AF76" s="1"/>
      <c r="AG76" s="1"/>
      <c r="AH76" s="1"/>
      <c r="AI76" s="1"/>
      <c r="AJ76" s="1"/>
    </row>
    <row r="77" spans="2:36" ht="14.25" customHeight="1" x14ac:dyDescent="0.25">
      <c r="Z77" s="80"/>
      <c r="AA77" s="153"/>
      <c r="AB77" s="8"/>
      <c r="AC77" s="1"/>
      <c r="AD77" s="1"/>
      <c r="AE77" s="1"/>
      <c r="AF77" s="1"/>
      <c r="AG77" s="1"/>
      <c r="AH77" s="1"/>
      <c r="AI77" s="1"/>
      <c r="AJ77" s="1"/>
    </row>
    <row r="78" spans="2:36" ht="14.25" customHeight="1" x14ac:dyDescent="0.25">
      <c r="Z78" s="80"/>
      <c r="AA78" s="153"/>
      <c r="AB78" s="8"/>
      <c r="AC78" s="1"/>
      <c r="AD78" s="1"/>
      <c r="AE78" s="1"/>
      <c r="AF78" s="1"/>
      <c r="AG78" s="1"/>
      <c r="AH78" s="1"/>
      <c r="AI78" s="1"/>
      <c r="AJ78" s="1"/>
    </row>
    <row r="79" spans="2:36" ht="14.25" customHeight="1" x14ac:dyDescent="0.25">
      <c r="Z79" s="80"/>
      <c r="AA79" s="153"/>
      <c r="AB79" s="8"/>
      <c r="AC79" s="1"/>
      <c r="AD79" s="1"/>
      <c r="AE79" s="1"/>
      <c r="AF79" s="1"/>
      <c r="AG79" s="1"/>
      <c r="AH79" s="1"/>
      <c r="AI79" s="1"/>
      <c r="AJ79" s="1"/>
    </row>
    <row r="80" spans="2:36" ht="14.25" customHeight="1" x14ac:dyDescent="0.25">
      <c r="Z80" s="80"/>
      <c r="AA80" s="153"/>
      <c r="AB80" s="8"/>
      <c r="AC80" s="1"/>
      <c r="AD80" s="1"/>
      <c r="AE80" s="1"/>
      <c r="AF80" s="1"/>
      <c r="AG80" s="1"/>
      <c r="AH80" s="1"/>
      <c r="AI80" s="1"/>
      <c r="AJ80" s="1"/>
    </row>
    <row r="81" spans="8:38" ht="14.25" customHeight="1" x14ac:dyDescent="0.2">
      <c r="H81" s="157"/>
      <c r="Z81" s="80"/>
      <c r="AA81"/>
      <c r="AB81" s="8"/>
      <c r="AC81" s="1"/>
      <c r="AD81" s="1"/>
      <c r="AE81" s="1"/>
      <c r="AF81" s="1"/>
      <c r="AG81" s="1"/>
      <c r="AH81" s="1"/>
      <c r="AI81" s="1"/>
      <c r="AJ81" s="1"/>
    </row>
    <row r="82" spans="8:38" ht="14.25" customHeight="1" x14ac:dyDescent="0.2">
      <c r="Z82" s="80"/>
      <c r="AA82"/>
      <c r="AB82" s="8"/>
      <c r="AC82" s="1"/>
      <c r="AD82" s="1"/>
      <c r="AE82" s="1"/>
      <c r="AF82" s="1"/>
      <c r="AG82" s="1"/>
      <c r="AH82" s="1"/>
      <c r="AI82" s="1"/>
      <c r="AJ82" s="1"/>
    </row>
    <row r="83" spans="8:38" ht="14.25" customHeight="1" x14ac:dyDescent="0.2">
      <c r="Z83" s="80"/>
      <c r="AA83"/>
      <c r="AB83" s="8"/>
      <c r="AC83" s="1"/>
      <c r="AD83" s="1"/>
      <c r="AE83" s="1"/>
      <c r="AF83" s="1"/>
      <c r="AG83" s="1"/>
      <c r="AH83" s="1"/>
      <c r="AI83" s="1"/>
      <c r="AJ83" s="1"/>
    </row>
    <row r="84" spans="8:38" ht="14.25" customHeight="1" x14ac:dyDescent="0.2">
      <c r="Z84" s="80"/>
      <c r="AA84" s="1"/>
      <c r="AB84" s="8"/>
      <c r="AC84" s="1"/>
      <c r="AD84" s="1"/>
      <c r="AE84" s="1"/>
      <c r="AF84" s="1"/>
      <c r="AG84" s="1"/>
      <c r="AH84" s="1"/>
      <c r="AI84" s="1"/>
      <c r="AJ84" s="1"/>
    </row>
    <row r="85" spans="8:38" ht="14.25" customHeight="1" x14ac:dyDescent="0.2">
      <c r="Z85" s="80"/>
      <c r="AA85" s="1"/>
      <c r="AB85" s="8"/>
      <c r="AC85" s="1"/>
      <c r="AD85" s="1"/>
      <c r="AE85" s="1"/>
      <c r="AF85" s="1"/>
      <c r="AG85" s="1"/>
      <c r="AH85" s="1"/>
      <c r="AI85" s="1"/>
      <c r="AJ85" s="1"/>
    </row>
    <row r="86" spans="8:38" ht="14.25" customHeight="1" x14ac:dyDescent="0.2">
      <c r="Z86" s="80"/>
      <c r="AA86" s="1"/>
      <c r="AB86" s="8"/>
      <c r="AC86" s="1"/>
      <c r="AD86" s="1"/>
      <c r="AE86" s="1"/>
      <c r="AF86" s="1"/>
      <c r="AG86" s="1"/>
      <c r="AH86" s="1"/>
      <c r="AI86" s="1"/>
      <c r="AJ86" s="1"/>
    </row>
    <row r="87" spans="8:38" ht="14.25" customHeight="1" x14ac:dyDescent="0.2">
      <c r="Z87" s="80"/>
      <c r="AA87" s="1"/>
      <c r="AB87" s="8"/>
      <c r="AC87" s="1"/>
      <c r="AD87" s="1"/>
      <c r="AE87" s="1"/>
      <c r="AF87" s="1"/>
      <c r="AG87" s="1"/>
      <c r="AH87" s="1"/>
      <c r="AI87" s="1"/>
      <c r="AJ87" s="1"/>
    </row>
    <row r="88" spans="8:38" ht="14.25" customHeight="1" x14ac:dyDescent="0.2">
      <c r="Z88" s="80"/>
      <c r="AA88" s="1"/>
      <c r="AB88" s="8"/>
      <c r="AC88" s="1"/>
      <c r="AD88" s="1"/>
      <c r="AE88" s="1"/>
      <c r="AF88" s="1"/>
      <c r="AG88" s="1"/>
      <c r="AH88" s="1"/>
      <c r="AI88" s="1"/>
      <c r="AJ88" s="1"/>
    </row>
    <row r="89" spans="8:38" ht="14.25" customHeight="1" x14ac:dyDescent="0.2">
      <c r="Z89" s="80"/>
      <c r="AA89" s="1"/>
      <c r="AB89" s="8"/>
      <c r="AC89" s="1"/>
      <c r="AD89" s="1"/>
      <c r="AE89" s="1"/>
      <c r="AF89" s="1"/>
      <c r="AG89" s="1"/>
      <c r="AH89" s="1"/>
      <c r="AI89" s="1"/>
      <c r="AJ89" s="1"/>
    </row>
    <row r="90" spans="8:38" ht="14.25" customHeight="1" x14ac:dyDescent="0.2">
      <c r="Z90" s="80"/>
      <c r="AA90" s="1"/>
      <c r="AB90" s="8"/>
      <c r="AC90" s="1"/>
      <c r="AD90" s="1"/>
      <c r="AE90" s="1"/>
      <c r="AF90" s="1"/>
      <c r="AG90" s="1"/>
      <c r="AH90" s="1"/>
      <c r="AI90" s="1"/>
      <c r="AJ90" s="1"/>
    </row>
    <row r="91" spans="8:38" ht="14.25" customHeight="1" x14ac:dyDescent="0.2">
      <c r="Z91" s="80"/>
      <c r="AA91" s="1"/>
      <c r="AB91" s="8"/>
      <c r="AC91" s="1"/>
      <c r="AD91" s="1"/>
      <c r="AE91" s="1"/>
      <c r="AF91" s="1"/>
      <c r="AG91" s="1"/>
      <c r="AH91" s="1"/>
      <c r="AI91" s="1"/>
      <c r="AJ91" s="1"/>
    </row>
    <row r="92" spans="8:38" ht="12.75" x14ac:dyDescent="0.2">
      <c r="Z92" s="80"/>
      <c r="AA92" s="1"/>
      <c r="AB92" s="8"/>
      <c r="AC92" s="1"/>
      <c r="AD92" s="1"/>
      <c r="AE92" s="1"/>
      <c r="AF92" s="1"/>
      <c r="AG92" s="1"/>
      <c r="AH92" s="1"/>
      <c r="AI92" s="1"/>
      <c r="AJ92" s="1"/>
    </row>
    <row r="93" spans="8:38" ht="14.25" customHeight="1" x14ac:dyDescent="0.2">
      <c r="Z93" s="80"/>
      <c r="AA93" s="1"/>
      <c r="AB93" s="8"/>
      <c r="AC93" s="1"/>
      <c r="AD93" s="1"/>
      <c r="AE93" s="1"/>
      <c r="AF93" s="1"/>
      <c r="AG93" s="1"/>
      <c r="AH93" s="1"/>
      <c r="AI93" s="1"/>
      <c r="AJ93" s="1"/>
    </row>
    <row r="94" spans="8:38" ht="14.25" customHeight="1" x14ac:dyDescent="0.2">
      <c r="Z94" s="80"/>
      <c r="AA94" s="1"/>
      <c r="AB94" s="4"/>
      <c r="AC94" s="4"/>
      <c r="AD94" s="4"/>
      <c r="AE94" s="1"/>
      <c r="AF94" s="1"/>
      <c r="AG94" s="9"/>
      <c r="AH94" s="6"/>
      <c r="AI94" s="6"/>
      <c r="AJ94" s="6"/>
      <c r="AK94" s="8"/>
      <c r="AL94" s="8"/>
    </row>
    <row r="95" spans="8:38" ht="14.25" customHeight="1" x14ac:dyDescent="0.2">
      <c r="Z95" s="80"/>
      <c r="AA95" s="1"/>
      <c r="AB95" s="4"/>
      <c r="AC95" s="4"/>
      <c r="AD95" s="4"/>
      <c r="AE95" s="1"/>
      <c r="AF95" s="1"/>
      <c r="AG95" s="9"/>
      <c r="AH95" s="6"/>
      <c r="AI95" s="6"/>
      <c r="AJ95" s="6"/>
      <c r="AK95" s="8"/>
      <c r="AL95" s="8"/>
    </row>
    <row r="96" spans="8:38" ht="30" customHeight="1" x14ac:dyDescent="0.2">
      <c r="AB96" s="4"/>
      <c r="AC96" s="4"/>
      <c r="AD96" s="4"/>
      <c r="AE96" s="1"/>
      <c r="AF96" s="1"/>
      <c r="AG96" s="9"/>
      <c r="AH96" s="6"/>
      <c r="AI96" s="6"/>
      <c r="AJ96" s="6"/>
      <c r="AK96" s="8"/>
      <c r="AL96" s="8"/>
    </row>
    <row r="97" spans="5:38" ht="14.25" customHeight="1" x14ac:dyDescent="0.2">
      <c r="AB97" s="4"/>
      <c r="AC97" s="4"/>
      <c r="AD97" s="4"/>
      <c r="AE97" s="1"/>
      <c r="AF97" s="1"/>
      <c r="AG97" s="9"/>
      <c r="AH97" s="6"/>
      <c r="AI97" s="6"/>
      <c r="AJ97" s="6"/>
      <c r="AK97" s="8"/>
      <c r="AL97" s="8"/>
    </row>
    <row r="98" spans="5:38" ht="23.25" customHeight="1" x14ac:dyDescent="0.2">
      <c r="E98" s="298" t="s">
        <v>67</v>
      </c>
      <c r="F98" s="298"/>
      <c r="G98" s="303" t="s">
        <v>246</v>
      </c>
      <c r="H98" s="303"/>
      <c r="I98" s="303"/>
      <c r="J98" s="303"/>
      <c r="K98" s="303"/>
      <c r="L98" s="303"/>
      <c r="M98" s="304" t="s">
        <v>245</v>
      </c>
      <c r="N98" s="304"/>
      <c r="O98" s="304"/>
      <c r="P98" s="304"/>
      <c r="Q98" s="298" t="s">
        <v>22</v>
      </c>
      <c r="R98" s="298"/>
      <c r="S98" s="298"/>
      <c r="T98" s="298"/>
      <c r="U98" s="298" t="s">
        <v>51</v>
      </c>
      <c r="V98" s="298"/>
      <c r="W98" s="298"/>
      <c r="X98" s="298"/>
      <c r="AB98" s="4"/>
      <c r="AC98" s="4"/>
      <c r="AD98" s="4"/>
      <c r="AE98" s="1"/>
      <c r="AF98" s="1"/>
      <c r="AG98" s="9"/>
      <c r="AH98" s="6"/>
      <c r="AI98" s="6"/>
      <c r="AJ98" s="6"/>
      <c r="AK98" s="8"/>
      <c r="AL98" s="8"/>
    </row>
    <row r="99" spans="5:38" ht="38.25" x14ac:dyDescent="0.2">
      <c r="E99" s="130" t="s">
        <v>6</v>
      </c>
      <c r="F99" s="130" t="s">
        <v>234</v>
      </c>
      <c r="G99" s="159" t="s">
        <v>221</v>
      </c>
      <c r="H99" s="159" t="s">
        <v>222</v>
      </c>
      <c r="I99" s="159" t="s">
        <v>223</v>
      </c>
      <c r="J99" s="159" t="s">
        <v>224</v>
      </c>
      <c r="K99" s="159" t="s">
        <v>225</v>
      </c>
      <c r="L99" s="159" t="s">
        <v>226</v>
      </c>
      <c r="M99" s="131" t="s">
        <v>227</v>
      </c>
      <c r="N99" s="131" t="s">
        <v>228</v>
      </c>
      <c r="O99" s="131" t="s">
        <v>229</v>
      </c>
      <c r="P99" s="131" t="s">
        <v>230</v>
      </c>
      <c r="Q99" s="133" t="s">
        <v>295</v>
      </c>
      <c r="R99" s="133" t="s">
        <v>323</v>
      </c>
      <c r="S99" s="133" t="s">
        <v>324</v>
      </c>
      <c r="T99" s="133" t="s">
        <v>325</v>
      </c>
      <c r="U99" s="134" t="s">
        <v>326</v>
      </c>
      <c r="V99" s="134" t="s">
        <v>327</v>
      </c>
      <c r="W99" s="134" t="s">
        <v>328</v>
      </c>
      <c r="X99" s="134" t="s">
        <v>329</v>
      </c>
      <c r="Y99" s="158" t="s">
        <v>17</v>
      </c>
      <c r="Z99" s="81" t="s">
        <v>289</v>
      </c>
      <c r="AA99" s="113" t="s">
        <v>294</v>
      </c>
      <c r="AB99" s="201" t="s">
        <v>304</v>
      </c>
      <c r="AC99" s="4"/>
      <c r="AD99" s="4"/>
      <c r="AE99" s="1"/>
      <c r="AF99" s="1"/>
      <c r="AG99" s="9"/>
      <c r="AH99" s="6"/>
      <c r="AI99" s="6"/>
      <c r="AJ99" s="6"/>
      <c r="AK99" s="8"/>
      <c r="AL99" s="8"/>
    </row>
    <row r="100" spans="5:38" ht="12.75" x14ac:dyDescent="0.2">
      <c r="E100" s="82">
        <v>45881.291666666664</v>
      </c>
      <c r="F100" s="108" t="s">
        <v>235</v>
      </c>
      <c r="G100" s="160">
        <v>51886.101813663437</v>
      </c>
      <c r="H100" s="160">
        <v>159195.44542124093</v>
      </c>
      <c r="I100" s="160">
        <v>18.869774662204115</v>
      </c>
      <c r="J100" s="160">
        <v>51885.742050789791</v>
      </c>
      <c r="K100" s="160">
        <v>159194.18595535541</v>
      </c>
      <c r="L100" s="160">
        <v>18.865787559209785</v>
      </c>
      <c r="M100" s="161">
        <v>3.9871029943299163E-3</v>
      </c>
      <c r="N100" s="161">
        <v>1.30984714338782</v>
      </c>
      <c r="O100" s="161"/>
      <c r="P100" s="161"/>
      <c r="Q100" s="207">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-0.2816617516643305</v>
      </c>
      <c r="R100" s="207">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-0.27103299958963767</v>
      </c>
      <c r="S100" s="207"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0" s="207"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0" s="84">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3.1902768427016781E-8</v>
      </c>
      <c r="V100" s="84">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4.2049427233448178E-4</v>
      </c>
      <c r="W100" s="84"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0" s="84"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0" s="163" t="str">
        <f>ReportSummary___Track[[#This Row],[Track ID]]&amp;"-"&amp;ReportSummary___Track[[#This Row],[Epoch]]</f>
        <v>250-RL-OP-0021-45881.2916666667</v>
      </c>
      <c r="Z100" s="164">
        <f>SUBTOTAL(103,ReportSummary___Track[[#This Row],[Track ID]])</f>
        <v>1</v>
      </c>
      <c r="AA100" s="165">
        <f>_xlfn.NUMBERVALUE(RIGHT(ReportSummary___Track[[#This Row],[Track ID]],4))</f>
        <v>21</v>
      </c>
      <c r="AB100" s="78"/>
      <c r="AC100" s="4"/>
      <c r="AD100" s="4"/>
      <c r="AE100" s="1"/>
      <c r="AF100" s="1"/>
      <c r="AG100" s="9"/>
      <c r="AH100" s="6"/>
      <c r="AI100" s="6"/>
      <c r="AJ100" s="6"/>
      <c r="AK100" s="8"/>
      <c r="AL100" s="8"/>
    </row>
    <row r="101" spans="5:38" ht="12.75" x14ac:dyDescent="0.2">
      <c r="E101" s="74">
        <v>45881.291666666664</v>
      </c>
      <c r="F101" s="107" t="s">
        <v>236</v>
      </c>
      <c r="G101" s="142">
        <v>51887.063368914649</v>
      </c>
      <c r="H101" s="142">
        <v>159195.17080983878</v>
      </c>
      <c r="I101" s="142">
        <v>18.869497766411676</v>
      </c>
      <c r="J101" s="142">
        <v>51886.703169527536</v>
      </c>
      <c r="K101" s="142">
        <v>159193.90981996525</v>
      </c>
      <c r="L101" s="142">
        <v>18.865652414029238</v>
      </c>
      <c r="M101" s="145">
        <v>3.8453523824379943E-3</v>
      </c>
      <c r="N101" s="145">
        <v>1.3114319831171453</v>
      </c>
      <c r="O101" s="145"/>
      <c r="P101" s="145"/>
      <c r="Q1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-0.62776888026050415</v>
      </c>
      <c r="R1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-0.59682997794086035</v>
      </c>
      <c r="S10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7.0822885334109742E-8</v>
      </c>
      <c r="V1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-2.370434445502223E-4</v>
      </c>
      <c r="W10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1" s="162" t="str">
        <f>ReportSummary___Track[[#This Row],[Track ID]]&amp;"-"&amp;ReportSummary___Track[[#This Row],[Epoch]]</f>
        <v>250-RL-OP-0022-45881.2916666667</v>
      </c>
      <c r="Z101" s="126">
        <f>SUBTOTAL(103,ReportSummary___Track[[#This Row],[Track ID]])</f>
        <v>1</v>
      </c>
      <c r="AA101" s="114">
        <f>_xlfn.NUMBERVALUE(RIGHT(ReportSummary___Track[[#This Row],[Track ID]],4))</f>
        <v>22</v>
      </c>
      <c r="AB101" s="78"/>
      <c r="AC101" s="4"/>
      <c r="AD101" s="4"/>
      <c r="AE101" s="1"/>
      <c r="AF101" s="1"/>
      <c r="AG101" s="9"/>
      <c r="AH101" s="6"/>
      <c r="AI101" s="6"/>
      <c r="AJ101" s="6"/>
      <c r="AK101" s="8"/>
      <c r="AL101" s="8"/>
    </row>
    <row r="102" spans="5:38" ht="12.75" x14ac:dyDescent="0.2">
      <c r="E102" s="74">
        <v>45881.291666666664</v>
      </c>
      <c r="F102" s="107" t="s">
        <v>237</v>
      </c>
      <c r="G102" s="142">
        <v>51888.02492416586</v>
      </c>
      <c r="H102" s="142">
        <v>159194.89619843662</v>
      </c>
      <c r="I102" s="142">
        <v>18.869220870619237</v>
      </c>
      <c r="J102" s="142">
        <v>51887.664288265281</v>
      </c>
      <c r="K102" s="142">
        <v>159193.63368457509</v>
      </c>
      <c r="L102" s="142">
        <v>18.865517268848695</v>
      </c>
      <c r="M102" s="145">
        <v>3.7036017705425195E-3</v>
      </c>
      <c r="N102" s="145">
        <v>1.3130168391902843</v>
      </c>
      <c r="O102" s="145"/>
      <c r="P102" s="145"/>
      <c r="Q1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-0.97387600886023051</v>
      </c>
      <c r="R1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-0.92264042010326008</v>
      </c>
      <c r="S10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1.0974299513577535E-7</v>
      </c>
      <c r="V1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-8.9458162622380044E-4</v>
      </c>
      <c r="W10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2" s="162" t="str">
        <f>ReportSummary___Track[[#This Row],[Track ID]]&amp;"-"&amp;ReportSummary___Track[[#This Row],[Epoch]]</f>
        <v>250-RL-OP-0023-45881.2916666667</v>
      </c>
      <c r="Z102" s="126">
        <f>SUBTOTAL(103,ReportSummary___Track[[#This Row],[Track ID]])</f>
        <v>1</v>
      </c>
      <c r="AA102" s="114">
        <f>_xlfn.NUMBERVALUE(RIGHT(ReportSummary___Track[[#This Row],[Track ID]],4))</f>
        <v>23</v>
      </c>
      <c r="AB102" s="78"/>
      <c r="AC102" s="4"/>
      <c r="AD102" s="4"/>
      <c r="AE102" s="1"/>
      <c r="AF102" s="1"/>
      <c r="AG102" s="9"/>
      <c r="AH102" s="6"/>
      <c r="AI102" s="6"/>
      <c r="AJ102" s="6"/>
      <c r="AK102" s="8"/>
      <c r="AL102" s="8"/>
    </row>
    <row r="103" spans="5:38" ht="12.75" x14ac:dyDescent="0.2">
      <c r="E103" s="74">
        <v>45881.291666666664</v>
      </c>
      <c r="F103" s="107" t="s">
        <v>238</v>
      </c>
      <c r="G103" s="142">
        <v>51888.986370874853</v>
      </c>
      <c r="H103" s="142">
        <v>159194.62130361149</v>
      </c>
      <c r="I103" s="142">
        <v>18.868826181781611</v>
      </c>
      <c r="J103" s="142">
        <v>51888.624024403252</v>
      </c>
      <c r="K103" s="142">
        <v>159193.35679661779</v>
      </c>
      <c r="L103" s="142">
        <v>18.864752372254646</v>
      </c>
      <c r="M103" s="145">
        <v>4.0738095269645669E-3</v>
      </c>
      <c r="N103" s="145">
        <v>1.3154046900169383</v>
      </c>
      <c r="O103" s="145">
        <v>8.6706532634650557E-5</v>
      </c>
      <c r="P103" s="145"/>
      <c r="Q1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-0.68861203211412203</v>
      </c>
      <c r="R1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-0.36473931487757127</v>
      </c>
      <c r="S1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-0.40695028044979153</v>
      </c>
      <c r="T10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1.2301197223507643E-5</v>
      </c>
      <c r="V1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-3.7447075141217034E-4</v>
      </c>
      <c r="W1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1.2269294455080626E-5</v>
      </c>
      <c r="X10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3" s="162" t="str">
        <f>ReportSummary___Track[[#This Row],[Track ID]]&amp;"-"&amp;ReportSummary___Track[[#This Row],[Epoch]]</f>
        <v>250-RL-OP-0024-45881.2916666667</v>
      </c>
      <c r="Z103" s="126">
        <f>SUBTOTAL(103,ReportSummary___Track[[#This Row],[Track ID]])</f>
        <v>1</v>
      </c>
      <c r="AA103" s="114">
        <f>_xlfn.NUMBERVALUE(RIGHT(ReportSummary___Track[[#This Row],[Track ID]],4))</f>
        <v>24</v>
      </c>
      <c r="AB103" s="78"/>
      <c r="AC103" s="4"/>
      <c r="AD103" s="4"/>
      <c r="AE103" s="1"/>
      <c r="AF103" s="1"/>
      <c r="AG103" s="1"/>
      <c r="AH103" s="1"/>
      <c r="AI103" s="1"/>
      <c r="AJ103" s="1"/>
    </row>
    <row r="104" spans="5:38" ht="12.75" x14ac:dyDescent="0.2">
      <c r="E104" s="74">
        <v>45881.291666666664</v>
      </c>
      <c r="F104" s="107" t="s">
        <v>239</v>
      </c>
      <c r="G104" s="142">
        <v>51889.947836238091</v>
      </c>
      <c r="H104" s="142">
        <v>159194.34637781818</v>
      </c>
      <c r="I104" s="142">
        <v>18.868421879144371</v>
      </c>
      <c r="J104" s="142">
        <v>51889.584791712696</v>
      </c>
      <c r="K104" s="142">
        <v>159193.07944225875</v>
      </c>
      <c r="L104" s="142">
        <v>18.863894115171242</v>
      </c>
      <c r="M104" s="145">
        <v>4.5277639731295949E-3</v>
      </c>
      <c r="N104" s="145">
        <v>1.3179330558887703</v>
      </c>
      <c r="O104" s="145">
        <v>6.8241159069160062E-4</v>
      </c>
      <c r="P104" s="145"/>
      <c r="Q1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-0.35183075601352698</v>
      </c>
      <c r="R1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0.28406557180682412</v>
      </c>
      <c r="S1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0.27593812424697717</v>
      </c>
      <c r="T10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5.7344661463787361E-6</v>
      </c>
      <c r="V1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2.7927940611638391E-4</v>
      </c>
      <c r="W1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5.6636432610446263E-6</v>
      </c>
      <c r="X10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4" s="162" t="str">
        <f>ReportSummary___Track[[#This Row],[Track ID]]&amp;"-"&amp;ReportSummary___Track[[#This Row],[Epoch]]</f>
        <v>250-RL-OP-0025-45881.2916666667</v>
      </c>
      <c r="Z104" s="126">
        <f>SUBTOTAL(103,ReportSummary___Track[[#This Row],[Track ID]])</f>
        <v>1</v>
      </c>
      <c r="AA104" s="114">
        <f>_xlfn.NUMBERVALUE(RIGHT(ReportSummary___Track[[#This Row],[Track ID]],4))</f>
        <v>25</v>
      </c>
      <c r="AB104" s="78"/>
      <c r="AC104" s="4"/>
      <c r="AD104" s="4"/>
      <c r="AE104" s="1"/>
      <c r="AF104" s="1"/>
      <c r="AG104" s="1"/>
      <c r="AH104" s="1"/>
      <c r="AI104" s="1"/>
      <c r="AJ104" s="1"/>
    </row>
    <row r="105" spans="5:38" ht="12.75" x14ac:dyDescent="0.2">
      <c r="E105" s="74">
        <v>45881.291666666664</v>
      </c>
      <c r="F105" s="107" t="s">
        <v>240</v>
      </c>
      <c r="G105" s="142">
        <v>51890.909301601328</v>
      </c>
      <c r="H105" s="142">
        <v>159194.07145202486</v>
      </c>
      <c r="I105" s="142">
        <v>18.868017576507135</v>
      </c>
      <c r="J105" s="142">
        <v>51890.545559022146</v>
      </c>
      <c r="K105" s="142">
        <v>159192.80208789968</v>
      </c>
      <c r="L105" s="142">
        <v>18.863035858087837</v>
      </c>
      <c r="M105" s="145">
        <v>4.9817184192981756E-3</v>
      </c>
      <c r="N105" s="145">
        <v>1.3204615722273496</v>
      </c>
      <c r="O105" s="145">
        <v>1.2781166487556561E-3</v>
      </c>
      <c r="P105" s="145"/>
      <c r="Q1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-1.5049479909379215E-2</v>
      </c>
      <c r="R1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0.9330116781414155</v>
      </c>
      <c r="S1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0.9588265289508513</v>
      </c>
      <c r="T10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-8.3226493075017061E-7</v>
      </c>
      <c r="V1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9.3302353994828557E-4</v>
      </c>
      <c r="W1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-9.4200792588594595E-7</v>
      </c>
      <c r="X10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5" s="162" t="str">
        <f>ReportSummary___Track[[#This Row],[Track ID]]&amp;"-"&amp;ReportSummary___Track[[#This Row],[Epoch]]</f>
        <v>250-RL-OP-0026-45881.2916666667</v>
      </c>
      <c r="Z105" s="126">
        <f>SUBTOTAL(103,ReportSummary___Track[[#This Row],[Track ID]])</f>
        <v>1</v>
      </c>
      <c r="AA105" s="114">
        <f>_xlfn.NUMBERVALUE(RIGHT(ReportSummary___Track[[#This Row],[Track ID]],4))</f>
        <v>26</v>
      </c>
      <c r="AB105" s="78"/>
      <c r="AC105" s="1"/>
      <c r="AD105" s="4"/>
      <c r="AE105" s="4"/>
      <c r="AF105" s="4"/>
      <c r="AG105" s="4"/>
      <c r="AH105" s="1"/>
      <c r="AI105" s="1"/>
      <c r="AJ105" s="1"/>
    </row>
    <row r="106" spans="5:38" ht="12.75" x14ac:dyDescent="0.2">
      <c r="E106" s="74">
        <v>45881.291666666664</v>
      </c>
      <c r="F106" s="107" t="s">
        <v>241</v>
      </c>
      <c r="G106" s="142">
        <v>51891.869997674046</v>
      </c>
      <c r="H106" s="142">
        <v>159193.79503821288</v>
      </c>
      <c r="I106" s="142">
        <v>18.865661670375356</v>
      </c>
      <c r="J106" s="142">
        <v>51891.504353461787</v>
      </c>
      <c r="K106" s="142">
        <v>159192.52590810764</v>
      </c>
      <c r="L106" s="142">
        <v>18.861283132921656</v>
      </c>
      <c r="M106" s="145">
        <v>4.3785374537002042E-3</v>
      </c>
      <c r="N106" s="145">
        <v>1.3207596623063118</v>
      </c>
      <c r="O106" s="145">
        <v>3.0472792673563731E-4</v>
      </c>
      <c r="P106" s="145">
        <v>3.9143445937028787E-4</v>
      </c>
      <c r="Q1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1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0.55873458931010589</v>
      </c>
      <c r="S1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0.36420316428120714</v>
      </c>
      <c r="T1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-4.2747116168584398E-2</v>
      </c>
      <c r="U1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1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6.4435737983714603E-4</v>
      </c>
      <c r="W1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-1.2078553691452498E-5</v>
      </c>
      <c r="X1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1.9074076362812775E-7</v>
      </c>
      <c r="Y106" s="162" t="str">
        <f>ReportSummary___Track[[#This Row],[Track ID]]&amp;"-"&amp;ReportSummary___Track[[#This Row],[Epoch]]</f>
        <v>250-RL-OP-0027-45881.2916666667</v>
      </c>
      <c r="Z106" s="126">
        <f>SUBTOTAL(103,ReportSummary___Track[[#This Row],[Track ID]])</f>
        <v>1</v>
      </c>
      <c r="AA106" s="114">
        <f>_xlfn.NUMBERVALUE(RIGHT(ReportSummary___Track[[#This Row],[Track ID]],4))</f>
        <v>27</v>
      </c>
      <c r="AB106" s="78"/>
      <c r="AC106" s="1"/>
      <c r="AD106" s="4"/>
      <c r="AE106" s="4"/>
      <c r="AF106" s="4"/>
      <c r="AG106" s="4"/>
      <c r="AH106" s="1"/>
      <c r="AI106" s="1"/>
      <c r="AJ106" s="1"/>
    </row>
    <row r="107" spans="5:38" ht="12.75" x14ac:dyDescent="0.2">
      <c r="E107" s="74">
        <v>45881.291666666664</v>
      </c>
      <c r="F107" s="107" t="s">
        <v>242</v>
      </c>
      <c r="G107" s="142">
        <v>51892.83098666594</v>
      </c>
      <c r="H107" s="142">
        <v>159193.51846240537</v>
      </c>
      <c r="I107" s="142">
        <v>18.863216230483452</v>
      </c>
      <c r="J107" s="142">
        <v>51892.465288045249</v>
      </c>
      <c r="K107" s="142">
        <v>159192.24913834574</v>
      </c>
      <c r="L107" s="142">
        <v>18.859487246856443</v>
      </c>
      <c r="M107" s="145">
        <v>3.7289836270097965E-3</v>
      </c>
      <c r="N107" s="145">
        <v>1.3209591041524325</v>
      </c>
      <c r="O107" s="145">
        <v>-7.9878034611979842E-4</v>
      </c>
      <c r="P107" s="145">
        <v>-1.163687554281978E-4</v>
      </c>
      <c r="Q1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1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0.13832300422134125</v>
      </c>
      <c r="S1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-0.31191793172880011</v>
      </c>
      <c r="T1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-3.5979807481822945E-2</v>
      </c>
      <c r="U1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1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3.1333642655972938E-4</v>
      </c>
      <c r="W1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-5.2789806019859498E-6</v>
      </c>
      <c r="X1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3.8466265905867658E-7</v>
      </c>
      <c r="Y107" s="162" t="str">
        <f>ReportSummary___Track[[#This Row],[Track ID]]&amp;"-"&amp;ReportSummary___Track[[#This Row],[Epoch]]</f>
        <v>250-RL-OP-0028-45881.2916666667</v>
      </c>
      <c r="Z107" s="126">
        <f>SUBTOTAL(103,ReportSummary___Track[[#This Row],[Track ID]])</f>
        <v>1</v>
      </c>
      <c r="AA107" s="114">
        <f>_xlfn.NUMBERVALUE(RIGHT(ReportSummary___Track[[#This Row],[Track ID]],4))</f>
        <v>28</v>
      </c>
      <c r="AB107" s="78"/>
      <c r="AC107" s="1"/>
      <c r="AD107" s="4"/>
      <c r="AE107" s="4"/>
      <c r="AF107" s="4"/>
      <c r="AG107" s="4"/>
      <c r="AH107" s="1"/>
      <c r="AI107" s="1"/>
      <c r="AJ107" s="1"/>
    </row>
    <row r="108" spans="5:38" ht="12.75" x14ac:dyDescent="0.2">
      <c r="E108" s="74">
        <v>45881.291666666664</v>
      </c>
      <c r="F108" s="107" t="s">
        <v>243</v>
      </c>
      <c r="G108" s="142">
        <v>51893.791838945894</v>
      </c>
      <c r="H108" s="142">
        <v>159193.24190592306</v>
      </c>
      <c r="I108" s="142">
        <v>18.860908806466888</v>
      </c>
      <c r="J108" s="142">
        <v>51893.426692719338</v>
      </c>
      <c r="K108" s="142">
        <v>159191.97223227765</v>
      </c>
      <c r="L108" s="142">
        <v>18.857700906113323</v>
      </c>
      <c r="M108" s="145">
        <v>3.2079003535656625E-3</v>
      </c>
      <c r="N108" s="145">
        <v>1.3211408794063266</v>
      </c>
      <c r="O108" s="145">
        <v>-1.7738180657325131E-3</v>
      </c>
      <c r="P108" s="145">
        <v>-4.9570141697685699E-4</v>
      </c>
      <c r="Q1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-0.99818978642574052</v>
      </c>
      <c r="R1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-0.2577302914359425</v>
      </c>
      <c r="S1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-0.98314030651636131</v>
      </c>
      <c r="T1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-2.4313777565510009E-2</v>
      </c>
      <c r="U1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-1.5797364763869837E-5</v>
      </c>
      <c r="V1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1.6381996200243165E-5</v>
      </c>
      <c r="W1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-1.4965099833119666E-5</v>
      </c>
      <c r="X1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-1.5907107759005612E-5</v>
      </c>
      <c r="Y108" s="162" t="str">
        <f>ReportSummary___Track[[#This Row],[Track ID]]&amp;"-"&amp;ReportSummary___Track[[#This Row],[Epoch]]</f>
        <v>250-RL-OP-0029-45881.2916666667</v>
      </c>
      <c r="Z108" s="126">
        <f>SUBTOTAL(103,ReportSummary___Track[[#This Row],[Track ID]])</f>
        <v>1</v>
      </c>
      <c r="AA108" s="114">
        <f>_xlfn.NUMBERVALUE(RIGHT(ReportSummary___Track[[#This Row],[Track ID]],4))</f>
        <v>29</v>
      </c>
      <c r="AB108" s="78"/>
      <c r="AC108" s="1"/>
      <c r="AD108" s="4"/>
      <c r="AE108" s="4"/>
      <c r="AF108" s="4"/>
      <c r="AG108" s="4"/>
      <c r="AH108" s="1"/>
      <c r="AI108" s="1"/>
      <c r="AJ108" s="1"/>
    </row>
    <row r="109" spans="5:38" ht="12.75" x14ac:dyDescent="0.2">
      <c r="E109" s="74">
        <v>45881.291666666664</v>
      </c>
      <c r="F109" s="107" t="s">
        <v>269</v>
      </c>
      <c r="G109" s="142">
        <v>51894.752729759806</v>
      </c>
      <c r="H109" s="142">
        <v>159192.96497846718</v>
      </c>
      <c r="I109" s="142">
        <v>18.861075912100414</v>
      </c>
      <c r="J109" s="142">
        <v>51894.38758316014</v>
      </c>
      <c r="K109" s="142">
        <v>159191.6953035295</v>
      </c>
      <c r="L109" s="142">
        <v>18.857871870891774</v>
      </c>
      <c r="M109" s="145">
        <v>3.2040412086402625E-3</v>
      </c>
      <c r="N109" s="145">
        <v>1.3211422150903742</v>
      </c>
      <c r="O109" s="145">
        <v>-1.1744962450599417E-3</v>
      </c>
      <c r="P109" s="145">
        <v>-8.6976831832430435E-4</v>
      </c>
      <c r="Q1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-0.6562984823013096</v>
      </c>
      <c r="R1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0.15710127738288726</v>
      </c>
      <c r="S1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-0.33188961446839471</v>
      </c>
      <c r="T1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3.2313549812812425E-2</v>
      </c>
      <c r="U1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-7.8640913692140657E-6</v>
      </c>
      <c r="V1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2.4279015472439269E-4</v>
      </c>
      <c r="W1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-8.0867349012692102E-6</v>
      </c>
      <c r="X1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-2.0165288592721708E-5</v>
      </c>
      <c r="Y109" s="162" t="str">
        <f>ReportSummary___Track[[#This Row],[Track ID]]&amp;"-"&amp;ReportSummary___Track[[#This Row],[Epoch]]</f>
        <v>250-RL-OP-0030-45881.2916666667</v>
      </c>
      <c r="Z109" s="126">
        <f>SUBTOTAL(103,ReportSummary___Track[[#This Row],[Track ID]])</f>
        <v>1</v>
      </c>
      <c r="AA109" s="114">
        <f>_xlfn.NUMBERVALUE(RIGHT(ReportSummary___Track[[#This Row],[Track ID]],4))</f>
        <v>30</v>
      </c>
      <c r="AB109" s="78"/>
      <c r="AC109" s="1"/>
      <c r="AD109" s="4"/>
      <c r="AE109" s="4"/>
      <c r="AF109" s="4"/>
      <c r="AG109" s="4"/>
      <c r="AH109" s="1"/>
      <c r="AI109" s="1"/>
      <c r="AJ109" s="1"/>
    </row>
    <row r="110" spans="5:38" ht="12.75" x14ac:dyDescent="0.2">
      <c r="E110" s="74">
        <v>45881.291666666664</v>
      </c>
      <c r="F110" s="107" t="s">
        <v>270</v>
      </c>
      <c r="G110" s="142">
        <v>51895.713620573719</v>
      </c>
      <c r="H110" s="142">
        <v>159192.68805101133</v>
      </c>
      <c r="I110" s="142">
        <v>18.861243017733944</v>
      </c>
      <c r="J110" s="142">
        <v>51895.348473600949</v>
      </c>
      <c r="K110" s="142">
        <v>159191.41837478138</v>
      </c>
      <c r="L110" s="142">
        <v>18.858042835670226</v>
      </c>
      <c r="M110" s="145">
        <v>3.2001820637184153E-3</v>
      </c>
      <c r="N110" s="145">
        <v>1.3211435507837024</v>
      </c>
      <c r="O110" s="145">
        <v>-5.2880156329138117E-4</v>
      </c>
      <c r="P110" s="145">
        <v>-1.3275819094111796E-3</v>
      </c>
      <c r="Q1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-0.31440717817332597</v>
      </c>
      <c r="R1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0.57184299044976683</v>
      </c>
      <c r="S1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0.34934150956900112</v>
      </c>
      <c r="T1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3.7423577840201006E-2</v>
      </c>
      <c r="U1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6.9182028994418943E-8</v>
      </c>
      <c r="V1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4.6919825273339377E-4</v>
      </c>
      <c r="W1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-3.8630351539836738E-7</v>
      </c>
      <c r="X1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-5.6652841173843171E-6</v>
      </c>
      <c r="Y110" s="162" t="str">
        <f>ReportSummary___Track[[#This Row],[Track ID]]&amp;"-"&amp;ReportSummary___Track[[#This Row],[Epoch]]</f>
        <v>250-RL-OP-0031-45881.2916666667</v>
      </c>
      <c r="Z110" s="126">
        <f>SUBTOTAL(103,ReportSummary___Track[[#This Row],[Track ID]])</f>
        <v>1</v>
      </c>
      <c r="AA110" s="114">
        <f>_xlfn.NUMBERVALUE(RIGHT(ReportSummary___Track[[#This Row],[Track ID]],4))</f>
        <v>31</v>
      </c>
      <c r="AB110" s="78"/>
      <c r="AC110" s="1"/>
      <c r="AD110" s="4"/>
      <c r="AE110" s="4"/>
      <c r="AF110" s="4"/>
      <c r="AG110" s="4"/>
      <c r="AH110" s="1"/>
      <c r="AI110" s="1"/>
      <c r="AJ110" s="1"/>
    </row>
    <row r="111" spans="5:38" ht="12.75" x14ac:dyDescent="0.2">
      <c r="E111" s="74">
        <v>45881.291666666664</v>
      </c>
      <c r="F111" s="107" t="s">
        <v>271</v>
      </c>
      <c r="G111" s="142">
        <v>51896.675405970513</v>
      </c>
      <c r="H111" s="142">
        <v>159192.4109081027</v>
      </c>
      <c r="I111" s="142">
        <v>18.861498367389412</v>
      </c>
      <c r="J111" s="142">
        <v>51896.309528737984</v>
      </c>
      <c r="K111" s="142">
        <v>159191.14173461875</v>
      </c>
      <c r="L111" s="142">
        <v>18.85824734462722</v>
      </c>
      <c r="M111" s="145">
        <v>3.2510227621926902E-3</v>
      </c>
      <c r="N111" s="145">
        <v>1.3208626161658641</v>
      </c>
      <c r="O111" s="145">
        <v>4.3122408627027653E-5</v>
      </c>
      <c r="P111" s="145">
        <v>-1.7306956571054855E-3</v>
      </c>
      <c r="Q1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4.9961244030782836E-6</v>
      </c>
      <c r="R1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0.95459950506704416</v>
      </c>
      <c r="S1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0.9981947825501436</v>
      </c>
      <c r="T1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1.5054476033782294E-2</v>
      </c>
      <c r="U1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-5.3029875601851018E-8</v>
      </c>
      <c r="V1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6.7002080272993148E-4</v>
      </c>
      <c r="W1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1.5744334888267986E-5</v>
      </c>
      <c r="X1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7.7923505514831959E-7</v>
      </c>
      <c r="Y111" s="162" t="str">
        <f>ReportSummary___Track[[#This Row],[Track ID]]&amp;"-"&amp;ReportSummary___Track[[#This Row],[Epoch]]</f>
        <v>250-RL-OP-0032-45881.2916666667</v>
      </c>
      <c r="Z111" s="126">
        <f>SUBTOTAL(103,ReportSummary___Track[[#This Row],[Track ID]])</f>
        <v>1</v>
      </c>
      <c r="AA111" s="114">
        <f>_xlfn.NUMBERVALUE(RIGHT(ReportSummary___Track[[#This Row],[Track ID]],4))</f>
        <v>32</v>
      </c>
      <c r="AB111" s="78"/>
      <c r="AC111" s="1"/>
      <c r="AD111" s="4"/>
      <c r="AE111" s="4"/>
      <c r="AF111" s="4"/>
      <c r="AG111" s="4"/>
      <c r="AH111" s="1"/>
      <c r="AI111" s="1"/>
      <c r="AJ111" s="1"/>
    </row>
    <row r="112" spans="5:38" ht="12.75" x14ac:dyDescent="0.2">
      <c r="E112" s="74">
        <v>45881.291666666664</v>
      </c>
      <c r="F112" s="107" t="s">
        <v>272</v>
      </c>
      <c r="G112" s="142">
        <v>51897.63647866169</v>
      </c>
      <c r="H112" s="142">
        <v>159192.13461708953</v>
      </c>
      <c r="I112" s="142">
        <v>18.863097837135957</v>
      </c>
      <c r="J112" s="142">
        <v>51897.271518069443</v>
      </c>
      <c r="K112" s="142">
        <v>159190.86864821697</v>
      </c>
      <c r="L112" s="142">
        <v>18.858833292983896</v>
      </c>
      <c r="M112" s="145">
        <v>4.2645441520612337E-3</v>
      </c>
      <c r="N112" s="145">
        <v>1.3175323929630547</v>
      </c>
      <c r="O112" s="145">
        <v>1.0605029434209712E-3</v>
      </c>
      <c r="P112" s="145">
        <v>-1.1399330163897048E-4</v>
      </c>
      <c r="Q1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1.0355060808819871E-4</v>
      </c>
      <c r="R1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0.95719959342477345</v>
      </c>
      <c r="S1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0.6564020329093978</v>
      </c>
      <c r="T1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0.32451241844100309</v>
      </c>
      <c r="U1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-8.3705332798444942E-7</v>
      </c>
      <c r="V1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5.2876693972803146E-4</v>
      </c>
      <c r="W1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7.0270380412296163E-6</v>
      </c>
      <c r="X1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-1.059696860039594E-6</v>
      </c>
      <c r="Y112" s="162" t="str">
        <f>ReportSummary___Track[[#This Row],[Track ID]]&amp;"-"&amp;ReportSummary___Track[[#This Row],[Epoch]]</f>
        <v>250-RL-OP-0033-45881.2916666667</v>
      </c>
      <c r="Z112" s="126">
        <f>SUBTOTAL(103,ReportSummary___Track[[#This Row],[Track ID]])</f>
        <v>1</v>
      </c>
      <c r="AA112" s="114">
        <f>_xlfn.NUMBERVALUE(RIGHT(ReportSummary___Track[[#This Row],[Track ID]],4))</f>
        <v>33</v>
      </c>
      <c r="AB112" s="78"/>
      <c r="AC112" s="1"/>
      <c r="AD112" s="4"/>
      <c r="AE112" s="4"/>
      <c r="AF112" s="4"/>
      <c r="AG112" s="4"/>
      <c r="AH112" s="1"/>
      <c r="AI112" s="1"/>
      <c r="AJ112" s="1"/>
    </row>
    <row r="113" spans="5:36" ht="12.75" x14ac:dyDescent="0.2">
      <c r="E113" s="74">
        <v>45881.291666666664</v>
      </c>
      <c r="F113" s="107" t="s">
        <v>273</v>
      </c>
      <c r="G113" s="142">
        <v>51898.597551352876</v>
      </c>
      <c r="H113" s="142">
        <v>159191.85832607636</v>
      </c>
      <c r="I113" s="142">
        <v>18.864697306882498</v>
      </c>
      <c r="J113" s="142">
        <v>51898.233507400895</v>
      </c>
      <c r="K113" s="142">
        <v>159190.59556181522</v>
      </c>
      <c r="L113" s="142">
        <v>18.859419241340568</v>
      </c>
      <c r="M113" s="145">
        <v>5.2780655419297773E-3</v>
      </c>
      <c r="N113" s="145">
        <v>1.3142029661147632</v>
      </c>
      <c r="O113" s="145">
        <v>2.077883478211362E-3</v>
      </c>
      <c r="P113" s="145">
        <v>1.5490819149199808E-3</v>
      </c>
      <c r="Q1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2.0210509177331915E-4</v>
      </c>
      <c r="R1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0.95979921141786662</v>
      </c>
      <c r="S1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0.31460928326509929</v>
      </c>
      <c r="T1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0.66395079283410041</v>
      </c>
      <c r="U1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-1.6210767839197615E-6</v>
      </c>
      <c r="V1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3.8751215967325336E-4</v>
      </c>
      <c r="W1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-1.6902588129141805E-6</v>
      </c>
      <c r="X1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-2.0765623283125478E-6</v>
      </c>
      <c r="Y113" s="162" t="str">
        <f>ReportSummary___Track[[#This Row],[Track ID]]&amp;"-"&amp;ReportSummary___Track[[#This Row],[Epoch]]</f>
        <v>250-RL-OP-0034-45881.2916666667</v>
      </c>
      <c r="Z113" s="126">
        <f>SUBTOTAL(103,ReportSummary___Track[[#This Row],[Track ID]])</f>
        <v>1</v>
      </c>
      <c r="AA113" s="114">
        <f>_xlfn.NUMBERVALUE(RIGHT(ReportSummary___Track[[#This Row],[Track ID]],4))</f>
        <v>34</v>
      </c>
      <c r="AB113" s="78"/>
      <c r="AC113" s="1"/>
      <c r="AD113" s="4"/>
      <c r="AE113" s="4"/>
      <c r="AF113" s="4"/>
      <c r="AG113" s="4"/>
      <c r="AH113" s="1"/>
      <c r="AI113" s="1"/>
      <c r="AJ113" s="1"/>
    </row>
    <row r="114" spans="5:36" ht="12.75" x14ac:dyDescent="0.2">
      <c r="E114" s="74">
        <v>45881.291666666664</v>
      </c>
      <c r="F114" s="107" t="s">
        <v>274</v>
      </c>
      <c r="G114" s="142">
        <v>51899.558748431518</v>
      </c>
      <c r="H114" s="142">
        <v>159191.58337758735</v>
      </c>
      <c r="I114" s="142">
        <v>18.866</v>
      </c>
      <c r="J114" s="142">
        <v>51899.203472361332</v>
      </c>
      <c r="K114" s="142">
        <v>159190.32062001547</v>
      </c>
      <c r="L114" s="142">
        <v>18.859777427163273</v>
      </c>
      <c r="M114" s="145">
        <v>6.2225728367266697E-3</v>
      </c>
      <c r="N114" s="145">
        <v>1.3117989525072715</v>
      </c>
      <c r="O114" s="145">
        <v>2.9715500745339796E-3</v>
      </c>
      <c r="P114" s="145">
        <v>3.0146724831610072E-3</v>
      </c>
      <c r="Q1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1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0.96295630938736387</v>
      </c>
      <c r="S1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5.8576468120463687E-6</v>
      </c>
      <c r="T1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0.99820064019695565</v>
      </c>
      <c r="U1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1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3.1287460662166033E-4</v>
      </c>
      <c r="W1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3.7086946136355436E-7</v>
      </c>
      <c r="X1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1.611520434963154E-5</v>
      </c>
      <c r="Y114" s="162" t="str">
        <f>ReportSummary___Track[[#This Row],[Track ID]]&amp;"-"&amp;ReportSummary___Track[[#This Row],[Epoch]]</f>
        <v>250-RL-OP-0035-45881.2916666667</v>
      </c>
      <c r="Z114" s="126">
        <f>SUBTOTAL(103,ReportSummary___Track[[#This Row],[Track ID]])</f>
        <v>1</v>
      </c>
      <c r="AA114" s="114">
        <f>_xlfn.NUMBERVALUE(RIGHT(ReportSummary___Track[[#This Row],[Track ID]],4))</f>
        <v>35</v>
      </c>
      <c r="AB114" s="78"/>
      <c r="AC114" s="1"/>
      <c r="AD114" s="4"/>
      <c r="AE114" s="4"/>
      <c r="AF114" s="4"/>
      <c r="AG114" s="4"/>
      <c r="AH114" s="1"/>
      <c r="AI114" s="1"/>
      <c r="AJ114" s="1"/>
    </row>
    <row r="115" spans="5:36" ht="12.75" x14ac:dyDescent="0.2">
      <c r="E115" s="74">
        <v>45881.291666666664</v>
      </c>
      <c r="F115" s="107" t="s">
        <v>275</v>
      </c>
      <c r="G115" s="142">
        <v>51900.521772886575</v>
      </c>
      <c r="H115" s="142">
        <v>159191.31396359557</v>
      </c>
      <c r="I115" s="142">
        <v>18.866</v>
      </c>
      <c r="J115" s="142">
        <v>51900.166031558641</v>
      </c>
      <c r="K115" s="142">
        <v>159190.04954924015</v>
      </c>
      <c r="L115" s="142">
        <v>18.859124401927648</v>
      </c>
      <c r="M115" s="145">
        <v>6.8755980723516075E-3</v>
      </c>
      <c r="N115" s="145">
        <v>1.3135230597302827</v>
      </c>
      <c r="O115" s="145">
        <v>2.6110539202903738E-3</v>
      </c>
      <c r="P115" s="145">
        <v>3.6715568637113449E-3</v>
      </c>
      <c r="Q1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1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0.96901631255796872</v>
      </c>
      <c r="S1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-3.4871732168539893E-5</v>
      </c>
      <c r="T1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0.65636716117722926</v>
      </c>
      <c r="U1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1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5.3762548655944542E-4</v>
      </c>
      <c r="W1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7.1002637334061092E-6</v>
      </c>
      <c r="X1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1.4127301774635725E-5</v>
      </c>
      <c r="Y115" s="162" t="str">
        <f>ReportSummary___Track[[#This Row],[Track ID]]&amp;"-"&amp;ReportSummary___Track[[#This Row],[Epoch]]</f>
        <v>250-RL-OP-0036-45881.2916666667</v>
      </c>
      <c r="Z115" s="126">
        <f>SUBTOTAL(103,ReportSummary___Track[[#This Row],[Track ID]])</f>
        <v>1</v>
      </c>
      <c r="AA115" s="114">
        <f>_xlfn.NUMBERVALUE(RIGHT(ReportSummary___Track[[#This Row],[Track ID]],4))</f>
        <v>36</v>
      </c>
      <c r="AB115" s="78"/>
      <c r="AC115" s="1"/>
      <c r="AD115" s="4"/>
      <c r="AE115" s="4"/>
      <c r="AF115" s="4"/>
      <c r="AG115" s="4"/>
      <c r="AH115" s="1"/>
      <c r="AI115" s="1"/>
      <c r="AJ115" s="1"/>
    </row>
    <row r="116" spans="5:36" ht="12.75" x14ac:dyDescent="0.2">
      <c r="E116" s="74">
        <v>45881.291666666664</v>
      </c>
      <c r="F116" s="107" t="s">
        <v>276</v>
      </c>
      <c r="G116" s="142">
        <v>51901.484797341633</v>
      </c>
      <c r="H116" s="142">
        <v>159191.0445496038</v>
      </c>
      <c r="I116" s="142">
        <v>18.866</v>
      </c>
      <c r="J116" s="142">
        <v>51901.128590755958</v>
      </c>
      <c r="K116" s="142">
        <v>159189.77847846484</v>
      </c>
      <c r="L116" s="142">
        <v>18.858471376692027</v>
      </c>
      <c r="M116" s="145">
        <v>7.5286233079729925E-3</v>
      </c>
      <c r="N116" s="145">
        <v>1.3152474827038878</v>
      </c>
      <c r="O116" s="145">
        <v>2.2505577660432152E-3</v>
      </c>
      <c r="P116" s="145">
        <v>4.3284412442545772E-3</v>
      </c>
      <c r="Q1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1.2650398062419299E-4</v>
      </c>
      <c r="R1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0.97507611093039515</v>
      </c>
      <c r="S1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-7.5601111149126154E-5</v>
      </c>
      <c r="T1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0.31453368215395017</v>
      </c>
      <c r="U1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1.220858122863433E-5</v>
      </c>
      <c r="V1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7.6238092100222588E-4</v>
      </c>
      <c r="W1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1.3829658012554091E-5</v>
      </c>
      <c r="X1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1.2139399199639911E-5</v>
      </c>
      <c r="Y116" s="162" t="str">
        <f>ReportSummary___Track[[#This Row],[Track ID]]&amp;"-"&amp;ReportSummary___Track[[#This Row],[Epoch]]</f>
        <v>250-RL-OP-0037-45881.2916666667</v>
      </c>
      <c r="Z116" s="126">
        <f>SUBTOTAL(103,ReportSummary___Track[[#This Row],[Track ID]])</f>
        <v>1</v>
      </c>
      <c r="AA116" s="114">
        <f>_xlfn.NUMBERVALUE(RIGHT(ReportSummary___Track[[#This Row],[Track ID]],4))</f>
        <v>37</v>
      </c>
      <c r="AB116" s="78"/>
      <c r="AC116" s="1"/>
      <c r="AD116" s="4"/>
      <c r="AE116" s="4"/>
      <c r="AF116" s="4"/>
      <c r="AG116" s="4"/>
      <c r="AH116" s="1"/>
      <c r="AI116" s="1"/>
      <c r="AJ116" s="1"/>
    </row>
    <row r="117" spans="5:36" ht="12.75" x14ac:dyDescent="0.2">
      <c r="E117" s="74">
        <v>45881.291666666664</v>
      </c>
      <c r="F117" s="107" t="s">
        <v>277</v>
      </c>
      <c r="G117" s="142">
        <v>51902.447765839897</v>
      </c>
      <c r="H117" s="142">
        <v>159190.77623041449</v>
      </c>
      <c r="I117" s="142">
        <v>18.866065372992377</v>
      </c>
      <c r="J117" s="142">
        <v>51902.099872443272</v>
      </c>
      <c r="K117" s="142">
        <v>159189.50604742009</v>
      </c>
      <c r="L117" s="142">
        <v>18.857900000000001</v>
      </c>
      <c r="M117" s="145">
        <v>8.1653729923765184E-3</v>
      </c>
      <c r="N117" s="145">
        <v>1.3169894942593887</v>
      </c>
      <c r="O117" s="145">
        <v>1.9428001556498486E-3</v>
      </c>
      <c r="P117" s="145">
        <v>4.9143502301838282E-3</v>
      </c>
      <c r="Q1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1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0.96406285950134674</v>
      </c>
      <c r="S1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-5.9440824781376023E-2</v>
      </c>
      <c r="T1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-5.9434967134563976E-2</v>
      </c>
      <c r="U1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1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9.0673428167487025E-4</v>
      </c>
      <c r="W1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-5.9758748673033324E-5</v>
      </c>
      <c r="X1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-5.938787921166977E-5</v>
      </c>
      <c r="Y117" s="162" t="str">
        <f>ReportSummary___Track[[#This Row],[Track ID]]&amp;"-"&amp;ReportSummary___Track[[#This Row],[Epoch]]</f>
        <v>250-RL-OP-0038-45881.2916666667</v>
      </c>
      <c r="Z117" s="126">
        <f>SUBTOTAL(103,ReportSummary___Track[[#This Row],[Track ID]])</f>
        <v>1</v>
      </c>
      <c r="AA117" s="114">
        <f>_xlfn.NUMBERVALUE(RIGHT(ReportSummary___Track[[#This Row],[Track ID]],4))</f>
        <v>38</v>
      </c>
      <c r="AB117" s="78"/>
      <c r="AC117" s="1"/>
      <c r="AD117" s="4"/>
      <c r="AE117" s="4"/>
      <c r="AF117" s="4"/>
      <c r="AG117" s="4"/>
      <c r="AH117" s="1"/>
      <c r="AI117" s="1"/>
      <c r="AJ117" s="1"/>
    </row>
    <row r="118" spans="5:36" ht="12.75" x14ac:dyDescent="0.2">
      <c r="E118" s="74">
        <v>45881.291666666664</v>
      </c>
      <c r="F118" s="107" t="s">
        <v>278</v>
      </c>
      <c r="G118" s="142">
        <v>51903.412339888513</v>
      </c>
      <c r="H118" s="142">
        <v>159190.51241841505</v>
      </c>
      <c r="I118" s="142">
        <v>18.86643099375512</v>
      </c>
      <c r="J118" s="142">
        <v>51903.064539433311</v>
      </c>
      <c r="K118" s="142">
        <v>159189.24257522359</v>
      </c>
      <c r="L118" s="142">
        <v>18.857900000000001</v>
      </c>
      <c r="M118" s="145">
        <v>8.5309937551194537E-3</v>
      </c>
      <c r="N118" s="145">
        <v>1.3166395351020761</v>
      </c>
      <c r="O118" s="145">
        <v>1.6553956827678462E-3</v>
      </c>
      <c r="P118" s="145">
        <v>4.26644960305822E-3</v>
      </c>
      <c r="Q1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-0.39181235921503799</v>
      </c>
      <c r="R1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0.96183243740433078</v>
      </c>
      <c r="S1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-0.39188103809095765</v>
      </c>
      <c r="T1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-0.39191590982312619</v>
      </c>
      <c r="U1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-3.9188447220084299E-4</v>
      </c>
      <c r="V1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5.838754935996171E-4</v>
      </c>
      <c r="W1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-3.9814768260626465E-4</v>
      </c>
      <c r="X1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-3.9104741887285854E-4</v>
      </c>
      <c r="Y118" s="162" t="str">
        <f>ReportSummary___Track[[#This Row],[Track ID]]&amp;"-"&amp;ReportSummary___Track[[#This Row],[Epoch]]</f>
        <v>250-RL-OP-0039-45881.2916666667</v>
      </c>
      <c r="Z118" s="126">
        <f>SUBTOTAL(103,ReportSummary___Track[[#This Row],[Track ID]])</f>
        <v>1</v>
      </c>
      <c r="AA118" s="114">
        <f>_xlfn.NUMBERVALUE(RIGHT(ReportSummary___Track[[#This Row],[Track ID]],4))</f>
        <v>39</v>
      </c>
      <c r="AB118" s="78"/>
      <c r="AC118" s="1"/>
      <c r="AD118" s="4"/>
      <c r="AE118" s="4"/>
      <c r="AF118" s="4"/>
      <c r="AG118" s="4"/>
      <c r="AH118" s="1"/>
      <c r="AI118" s="1"/>
      <c r="AJ118" s="1"/>
    </row>
    <row r="119" spans="5:36" ht="12.75" x14ac:dyDescent="0.2">
      <c r="E119" s="74">
        <v>45881.291666666664</v>
      </c>
      <c r="F119" s="107" t="s">
        <v>279</v>
      </c>
      <c r="G119" s="142">
        <v>51904.376913937129</v>
      </c>
      <c r="H119" s="142">
        <v>159190.24860641561</v>
      </c>
      <c r="I119" s="142">
        <v>18.866796614517863</v>
      </c>
      <c r="J119" s="142">
        <v>51904.029206423351</v>
      </c>
      <c r="K119" s="142">
        <v>159188.97910302709</v>
      </c>
      <c r="L119" s="142">
        <v>18.857900000000001</v>
      </c>
      <c r="M119" s="145">
        <v>8.896614517862389E-3</v>
      </c>
      <c r="N119" s="145">
        <v>1.3162896787422567</v>
      </c>
      <c r="O119" s="145">
        <v>1.3679912098893965E-3</v>
      </c>
      <c r="P119" s="145">
        <v>3.6185489759326117E-3</v>
      </c>
      <c r="Q1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-0.72419474741636236</v>
      </c>
      <c r="R1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0.95933195261554971</v>
      </c>
      <c r="S1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-0.72432125139698655</v>
      </c>
      <c r="T1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-0.72439685250813568</v>
      </c>
      <c r="U1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-7.2432803531441436E-4</v>
      </c>
      <c r="V1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2.6074899975880861E-4</v>
      </c>
      <c r="W1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-7.3653661654304869E-4</v>
      </c>
      <c r="X1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-7.227069585304946E-4</v>
      </c>
      <c r="Y119" s="162" t="str">
        <f>ReportSummary___Track[[#This Row],[Track ID]]&amp;"-"&amp;ReportSummary___Track[[#This Row],[Epoch]]</f>
        <v>250-RL-OP-0040-45881.2916666667</v>
      </c>
      <c r="Z119" s="126">
        <f>SUBTOTAL(103,ReportSummary___Track[[#This Row],[Track ID]])</f>
        <v>1</v>
      </c>
      <c r="AA119" s="114">
        <f>_xlfn.NUMBERVALUE(RIGHT(ReportSummary___Track[[#This Row],[Track ID]],4))</f>
        <v>40</v>
      </c>
      <c r="AB119" s="78"/>
      <c r="AC119" s="1"/>
      <c r="AD119" s="4"/>
      <c r="AE119" s="4"/>
      <c r="AF119" s="4"/>
      <c r="AG119" s="4"/>
      <c r="AH119" s="1"/>
      <c r="AI119" s="1"/>
      <c r="AJ119" s="1"/>
    </row>
    <row r="120" spans="5:36" ht="12.75" x14ac:dyDescent="0.2">
      <c r="E120" s="74">
        <v>45881.291666666664</v>
      </c>
      <c r="F120" s="107" t="s">
        <v>280</v>
      </c>
      <c r="G120" s="142">
        <v>51905.341841450259</v>
      </c>
      <c r="H120" s="142">
        <v>159189.98617913548</v>
      </c>
      <c r="I120" s="142">
        <v>18.867392406740745</v>
      </c>
      <c r="J120" s="142">
        <v>51905.003864714286</v>
      </c>
      <c r="K120" s="142">
        <v>159188.71400365728</v>
      </c>
      <c r="L120" s="142">
        <v>18.858054723306822</v>
      </c>
      <c r="M120" s="145">
        <v>9.3376834339231607E-3</v>
      </c>
      <c r="N120" s="145">
        <v>1.3163380696895652</v>
      </c>
      <c r="O120" s="145">
        <v>1.1723104415466423E-3</v>
      </c>
      <c r="P120" s="145">
        <v>3.115110597196491E-3</v>
      </c>
      <c r="Q1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-0.95003714654140481</v>
      </c>
      <c r="R1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0.8982963878176875</v>
      </c>
      <c r="S1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-0.89060717553124391</v>
      </c>
      <c r="T1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-0.95004800031261993</v>
      </c>
      <c r="U1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-9.5008935084806012E-4</v>
      </c>
      <c r="V1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-7.0824913995792826E-6</v>
      </c>
      <c r="W1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-8.906484417607885E-4</v>
      </c>
      <c r="X1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-9.5040719043382182E-4</v>
      </c>
      <c r="Y120" s="162" t="str">
        <f>ReportSummary___Track[[#This Row],[Track ID]]&amp;"-"&amp;ReportSummary___Track[[#This Row],[Epoch]]</f>
        <v>250-RL-OP-0041-45881.2916666667</v>
      </c>
      <c r="Z120" s="126">
        <f>SUBTOTAL(103,ReportSummary___Track[[#This Row],[Track ID]])</f>
        <v>1</v>
      </c>
      <c r="AA120" s="114">
        <f>_xlfn.NUMBERVALUE(RIGHT(ReportSummary___Track[[#This Row],[Track ID]],4))</f>
        <v>41</v>
      </c>
      <c r="AB120" s="78"/>
      <c r="AC120" s="1"/>
      <c r="AD120" s="4"/>
      <c r="AE120" s="4"/>
      <c r="AF120" s="4"/>
      <c r="AG120" s="4"/>
      <c r="AH120" s="1"/>
      <c r="AI120" s="1"/>
      <c r="AJ120" s="1"/>
    </row>
    <row r="121" spans="5:36" ht="12.75" x14ac:dyDescent="0.2">
      <c r="E121" s="74">
        <v>45881.291666666664</v>
      </c>
      <c r="F121" s="107" t="s">
        <v>281</v>
      </c>
      <c r="G121" s="142">
        <v>51906.308594977025</v>
      </c>
      <c r="H121" s="142">
        <v>159189.73047487877</v>
      </c>
      <c r="I121" s="142">
        <v>18.869110425193991</v>
      </c>
      <c r="J121" s="142">
        <v>51905.970517335067</v>
      </c>
      <c r="K121" s="142">
        <v>159188.45791486077</v>
      </c>
      <c r="L121" s="142">
        <v>18.859167840622085</v>
      </c>
      <c r="M121" s="145">
        <v>9.9425845719061101E-3</v>
      </c>
      <c r="N121" s="145">
        <v>1.3167400451067841</v>
      </c>
      <c r="O121" s="145">
        <v>1.4115908167866564E-3</v>
      </c>
      <c r="P121" s="145">
        <v>3.0669864995545026E-3</v>
      </c>
      <c r="Q1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-0.59059215766410489</v>
      </c>
      <c r="R1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0.46163718161573719</v>
      </c>
      <c r="S1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-0.1987797984490669</v>
      </c>
      <c r="T1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-0.59066083654002455</v>
      </c>
      <c r="U1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-5.910199324752341E-4</v>
      </c>
      <c r="V1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-4.5957332501789239E-6</v>
      </c>
      <c r="W1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-1.9913546027439111E-4</v>
      </c>
      <c r="X1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-5.9728314288065576E-4</v>
      </c>
      <c r="Y121" s="162" t="str">
        <f>ReportSummary___Track[[#This Row],[Track ID]]&amp;"-"&amp;ReportSummary___Track[[#This Row],[Epoch]]</f>
        <v>250-RL-OP-0042-45881.2916666667</v>
      </c>
      <c r="Z121" s="126">
        <f>SUBTOTAL(103,ReportSummary___Track[[#This Row],[Track ID]])</f>
        <v>1</v>
      </c>
      <c r="AA121" s="114">
        <f>_xlfn.NUMBERVALUE(RIGHT(ReportSummary___Track[[#This Row],[Track ID]],4))</f>
        <v>42</v>
      </c>
      <c r="AB121" s="78"/>
      <c r="AC121" s="1"/>
      <c r="AD121" s="4"/>
      <c r="AE121" s="4"/>
      <c r="AF121" s="4"/>
      <c r="AG121" s="4"/>
      <c r="AH121" s="1"/>
      <c r="AI121" s="1"/>
      <c r="AJ121" s="1"/>
    </row>
    <row r="122" spans="5:36" ht="12.75" x14ac:dyDescent="0.2">
      <c r="E122" s="74">
        <v>45881.291666666664</v>
      </c>
      <c r="F122" s="107" t="s">
        <v>282</v>
      </c>
      <c r="G122" s="142">
        <v>51907.275348503783</v>
      </c>
      <c r="H122" s="142">
        <v>159189.47477062207</v>
      </c>
      <c r="I122" s="142">
        <v>18.870828443647241</v>
      </c>
      <c r="J122" s="142">
        <v>51906.937169955847</v>
      </c>
      <c r="K122" s="142">
        <v>159188.20182606424</v>
      </c>
      <c r="L122" s="142">
        <v>18.860280957937345</v>
      </c>
      <c r="M122" s="145">
        <v>1.0547485709896165E-2</v>
      </c>
      <c r="N122" s="145">
        <v>1.3171422956716876</v>
      </c>
      <c r="O122" s="145">
        <v>1.650871192033776E-3</v>
      </c>
      <c r="P122" s="145">
        <v>3.0188624019231725E-3</v>
      </c>
      <c r="Q1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-0.23114716877969954</v>
      </c>
      <c r="R1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2.5209846062246299E-2</v>
      </c>
      <c r="S1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0.49304757863666282</v>
      </c>
      <c r="T1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-0.23127367276032373</v>
      </c>
      <c r="U1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-2.3195051409885536E-4</v>
      </c>
      <c r="V1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-1.8785373105956182E-6</v>
      </c>
      <c r="W1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4.92377521215559E-4</v>
      </c>
      <c r="X1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-2.4415909532748969E-4</v>
      </c>
      <c r="Y122" s="162" t="str">
        <f>ReportSummary___Track[[#This Row],[Track ID]]&amp;"-"&amp;ReportSummary___Track[[#This Row],[Epoch]]</f>
        <v>250-RL-OP-0043-45881.2916666667</v>
      </c>
      <c r="Z122" s="126">
        <f>SUBTOTAL(103,ReportSummary___Track[[#This Row],[Track ID]])</f>
        <v>1</v>
      </c>
      <c r="AA122" s="114">
        <f>_xlfn.NUMBERVALUE(RIGHT(ReportSummary___Track[[#This Row],[Track ID]],4))</f>
        <v>43</v>
      </c>
      <c r="AB122" s="78"/>
      <c r="AC122" s="1"/>
      <c r="AD122" s="4"/>
      <c r="AE122" s="4"/>
      <c r="AF122" s="4"/>
      <c r="AG122" s="4"/>
      <c r="AH122" s="1"/>
      <c r="AI122" s="1"/>
      <c r="AJ122" s="1"/>
    </row>
    <row r="123" spans="5:36" ht="12.75" x14ac:dyDescent="0.2">
      <c r="E123" s="74">
        <v>45881.291666666664</v>
      </c>
      <c r="F123" s="107" t="s">
        <v>283</v>
      </c>
      <c r="G123" s="142">
        <v>51908.242837030943</v>
      </c>
      <c r="H123" s="142">
        <v>159189.2226219966</v>
      </c>
      <c r="I123" s="142">
        <v>18.872961738006055</v>
      </c>
      <c r="J123" s="142">
        <v>51907.905517311956</v>
      </c>
      <c r="K123" s="142">
        <v>159187.94920463255</v>
      </c>
      <c r="L123" s="142">
        <v>18.861943624177833</v>
      </c>
      <c r="M123" s="145">
        <v>1.1018113828221487E-2</v>
      </c>
      <c r="N123" s="145">
        <v>1.3173829263777863</v>
      </c>
      <c r="O123" s="145">
        <v>1.6804303942983267E-3</v>
      </c>
      <c r="P123" s="145">
        <v>2.8527408358449691E-3</v>
      </c>
      <c r="Q1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-1.0289008127273291E-2</v>
      </c>
      <c r="R1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-0.24111541963578453</v>
      </c>
      <c r="S1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0.93974813841413152</v>
      </c>
      <c r="T1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4.9140962882887607E-2</v>
      </c>
      <c r="U1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-1.008851009842715E-5</v>
      </c>
      <c r="V1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-1.089576232078393E-4</v>
      </c>
      <c r="W1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9.4000084074963297E-4</v>
      </c>
      <c r="X1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4.935239898884447E-5</v>
      </c>
      <c r="Y123" s="162" t="str">
        <f>ReportSummary___Track[[#This Row],[Track ID]]&amp;"-"&amp;ReportSummary___Track[[#This Row],[Epoch]]</f>
        <v>250-RL-OP-0044-45881.2916666667</v>
      </c>
      <c r="Z123" s="126">
        <f>SUBTOTAL(103,ReportSummary___Track[[#This Row],[Track ID]])</f>
        <v>1</v>
      </c>
      <c r="AA123" s="114">
        <f>_xlfn.NUMBERVALUE(RIGHT(ReportSummary___Track[[#This Row],[Track ID]],4))</f>
        <v>44</v>
      </c>
      <c r="AB123" s="78"/>
      <c r="AC123" s="1"/>
      <c r="AD123" s="4"/>
      <c r="AE123" s="4"/>
      <c r="AF123" s="4"/>
      <c r="AG123" s="4"/>
      <c r="AH123" s="1"/>
      <c r="AI123" s="1"/>
      <c r="AJ123" s="1"/>
    </row>
    <row r="124" spans="5:36" ht="12.75" x14ac:dyDescent="0.2">
      <c r="E124" s="74">
        <v>45881.291666666664</v>
      </c>
      <c r="F124" s="107" t="s">
        <v>284</v>
      </c>
      <c r="G124" s="142">
        <v>51909.212440777213</v>
      </c>
      <c r="H124" s="142">
        <v>159188.97796014245</v>
      </c>
      <c r="I124" s="142">
        <v>18.875987022705825</v>
      </c>
      <c r="J124" s="142">
        <v>51908.874844572267</v>
      </c>
      <c r="K124" s="142">
        <v>159187.70344542316</v>
      </c>
      <c r="L124" s="142">
        <v>18.864603218816601</v>
      </c>
      <c r="M124" s="145">
        <v>1.1383803889223998E-2</v>
      </c>
      <c r="N124" s="145">
        <v>1.3185175608517985</v>
      </c>
      <c r="O124" s="145">
        <v>1.4412193173178878E-3</v>
      </c>
      <c r="P124" s="145">
        <v>2.8528101341045442E-3</v>
      </c>
      <c r="Q1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-5.8823595949775154E-3</v>
      </c>
      <c r="R1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-0.1570782642059676</v>
      </c>
      <c r="S1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0.58470979806912737</v>
      </c>
      <c r="T1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0.38592999962006047</v>
      </c>
      <c r="U1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-5.0511662834651361E-6</v>
      </c>
      <c r="V1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-4.1577501904432879E-4</v>
      </c>
      <c r="W1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5.8596876619176896E-4</v>
      </c>
      <c r="X1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3.8683330591737786E-4</v>
      </c>
      <c r="Y124" s="162" t="str">
        <f>ReportSummary___Track[[#This Row],[Track ID]]&amp;"-"&amp;ReportSummary___Track[[#This Row],[Epoch]]</f>
        <v>250-RL-OP-0045-45881.2916666667</v>
      </c>
      <c r="Z124" s="126">
        <f>SUBTOTAL(103,ReportSummary___Track[[#This Row],[Track ID]])</f>
        <v>1</v>
      </c>
      <c r="AA124" s="114">
        <f>_xlfn.NUMBERVALUE(RIGHT(ReportSummary___Track[[#This Row],[Track ID]],4))</f>
        <v>45</v>
      </c>
      <c r="AB124" s="78"/>
      <c r="AC124" s="1"/>
      <c r="AD124" s="4"/>
      <c r="AE124" s="4"/>
      <c r="AF124" s="4"/>
      <c r="AG124" s="4"/>
      <c r="AH124" s="1"/>
      <c r="AI124" s="1"/>
      <c r="AJ124" s="1"/>
    </row>
    <row r="125" spans="5:36" ht="12.75" x14ac:dyDescent="0.2">
      <c r="E125" s="74">
        <v>45881.291666666664</v>
      </c>
      <c r="F125" s="107" t="s">
        <v>285</v>
      </c>
      <c r="G125" s="142">
        <v>51910.182044523492</v>
      </c>
      <c r="H125" s="142">
        <v>159188.73329828834</v>
      </c>
      <c r="I125" s="142">
        <v>18.879012307405592</v>
      </c>
      <c r="J125" s="142">
        <v>51909.84417183257</v>
      </c>
      <c r="K125" s="142">
        <v>159187.45768621381</v>
      </c>
      <c r="L125" s="142">
        <v>18.867262813455369</v>
      </c>
      <c r="M125" s="145">
        <v>1.1749493950222956E-2</v>
      </c>
      <c r="N125" s="145">
        <v>1.3196522915418865</v>
      </c>
      <c r="O125" s="145">
        <v>1.2020082403267907E-3</v>
      </c>
      <c r="P125" s="145">
        <v>2.8528794323605666E-3</v>
      </c>
      <c r="Q1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-1.4757110626817393E-3</v>
      </c>
      <c r="R1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-7.3039157601595406E-2</v>
      </c>
      <c r="S1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0.2296714577170178</v>
      </c>
      <c r="T1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0.72271903635368062</v>
      </c>
      <c r="U1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-1.3822472055835533E-8</v>
      </c>
      <c r="V1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-7.2258831957872083E-4</v>
      </c>
      <c r="W1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2.3193669162679953E-4</v>
      </c>
      <c r="X1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7.2431421284235853E-4</v>
      </c>
      <c r="Y125" s="162" t="str">
        <f>ReportSummary___Track[[#This Row],[Track ID]]&amp;"-"&amp;ReportSummary___Track[[#This Row],[Epoch]]</f>
        <v>250-RL-OP-0046-45881.2916666667</v>
      </c>
      <c r="Z125" s="126">
        <f>SUBTOTAL(103,ReportSummary___Track[[#This Row],[Track ID]])</f>
        <v>1</v>
      </c>
      <c r="AA125" s="114">
        <f>_xlfn.NUMBERVALUE(RIGHT(ReportSummary___Track[[#This Row],[Track ID]],4))</f>
        <v>46</v>
      </c>
      <c r="AB125" s="78"/>
      <c r="AC125" s="1"/>
      <c r="AD125" s="4"/>
      <c r="AE125" s="4"/>
      <c r="AF125" s="4"/>
      <c r="AG125" s="4"/>
      <c r="AH125" s="1"/>
      <c r="AI125" s="1"/>
      <c r="AJ125" s="1"/>
    </row>
    <row r="126" spans="5:36" ht="12.75" x14ac:dyDescent="0.2">
      <c r="E126" s="74">
        <v>45881.291666666664</v>
      </c>
      <c r="F126" s="107" t="s">
        <v>286</v>
      </c>
      <c r="G126" s="142">
        <v>51911.152141496423</v>
      </c>
      <c r="H126" s="142">
        <v>159188.49044319949</v>
      </c>
      <c r="I126" s="142">
        <v>18.882328518492972</v>
      </c>
      <c r="J126" s="142">
        <v>51910.835188304052</v>
      </c>
      <c r="K126" s="142">
        <v>159187.20849995175</v>
      </c>
      <c r="L126" s="142">
        <v>18.870139116386202</v>
      </c>
      <c r="M126" s="145">
        <v>1.2189402106770331E-2</v>
      </c>
      <c r="N126" s="145">
        <v>1.3206007716588284</v>
      </c>
      <c r="O126" s="145">
        <v>1.1712882785488432E-3</v>
      </c>
      <c r="P126" s="145">
        <v>2.85171867284717E-3</v>
      </c>
      <c r="Q1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2.5701555870227821E-3</v>
      </c>
      <c r="R1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6.7578775619914211E-4</v>
      </c>
      <c r="S1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1.2859163714296074E-2</v>
      </c>
      <c r="T1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0.95260730212842759</v>
      </c>
      <c r="U1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-7.4281466826420228E-5</v>
      </c>
      <c r="V1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-9.3599672290567426E-4</v>
      </c>
      <c r="W1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-6.4192956727993078E-5</v>
      </c>
      <c r="X1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8.7580788402163989E-4</v>
      </c>
      <c r="Y126" s="162" t="str">
        <f>ReportSummary___Track[[#This Row],[Track ID]]&amp;"-"&amp;ReportSummary___Track[[#This Row],[Epoch]]</f>
        <v>250-RL-OP-0047-45881.2916666667</v>
      </c>
      <c r="Z126" s="126">
        <f>SUBTOTAL(103,ReportSummary___Track[[#This Row],[Track ID]])</f>
        <v>1</v>
      </c>
      <c r="AA126" s="114">
        <f>_xlfn.NUMBERVALUE(RIGHT(ReportSummary___Track[[#This Row],[Track ID]],4))</f>
        <v>47</v>
      </c>
      <c r="AB126" s="78"/>
      <c r="AC126" s="1"/>
      <c r="AD126" s="4"/>
      <c r="AE126" s="4"/>
      <c r="AF126" s="4"/>
      <c r="AG126" s="4"/>
      <c r="AH126" s="1"/>
      <c r="AI126" s="1"/>
      <c r="AJ126" s="1"/>
    </row>
    <row r="127" spans="5:36" ht="12.75" x14ac:dyDescent="0.2">
      <c r="E127" s="74">
        <v>45881.291666666664</v>
      </c>
      <c r="F127" s="107" t="s">
        <v>287</v>
      </c>
      <c r="G127" s="142">
        <v>51912.123875350408</v>
      </c>
      <c r="H127" s="142">
        <v>159188.25440524641</v>
      </c>
      <c r="I127" s="142">
        <v>18.886733255176882</v>
      </c>
      <c r="J127" s="142">
        <v>51911.806733444027</v>
      </c>
      <c r="K127" s="142">
        <v>159186.97166968035</v>
      </c>
      <c r="L127" s="142">
        <v>18.873524899190596</v>
      </c>
      <c r="M127" s="145">
        <v>1.3208355986286335E-2</v>
      </c>
      <c r="N127" s="145">
        <v>1.3214249815537595</v>
      </c>
      <c r="O127" s="145">
        <v>1.8245520970623375E-3</v>
      </c>
      <c r="P127" s="145">
        <v>3.2657714143802252E-3</v>
      </c>
      <c r="Q1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2.3890030256268346E-3</v>
      </c>
      <c r="R1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8.2917361177159421E-4</v>
      </c>
      <c r="S1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8.27136262060435E-3</v>
      </c>
      <c r="T1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0.59298116068973172</v>
      </c>
      <c r="U1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-4.2661950439182306E-4</v>
      </c>
      <c r="V1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-7.7445608521298226E-4</v>
      </c>
      <c r="W1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-4.2156833810835792E-4</v>
      </c>
      <c r="X1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1.6440042808341104E-4</v>
      </c>
      <c r="Y127" s="162" t="str">
        <f>ReportSummary___Track[[#This Row],[Track ID]]&amp;"-"&amp;ReportSummary___Track[[#This Row],[Epoch]]</f>
        <v>250-RL-OP-0048-45881.2916666667</v>
      </c>
      <c r="Z127" s="126">
        <f>SUBTOTAL(103,ReportSummary___Track[[#This Row],[Track ID]])</f>
        <v>1</v>
      </c>
      <c r="AA127" s="114">
        <f>_xlfn.NUMBERVALUE(RIGHT(ReportSummary___Track[[#This Row],[Track ID]],4))</f>
        <v>48</v>
      </c>
      <c r="AB127" s="78"/>
      <c r="AC127" s="1"/>
      <c r="AD127" s="4"/>
      <c r="AE127" s="4"/>
      <c r="AF127" s="4"/>
      <c r="AG127" s="4"/>
      <c r="AH127" s="1"/>
      <c r="AI127" s="1"/>
      <c r="AJ127" s="1"/>
    </row>
    <row r="128" spans="5:36" ht="12.75" x14ac:dyDescent="0.2">
      <c r="E128" s="74">
        <v>45881.291666666664</v>
      </c>
      <c r="F128" s="107" t="s">
        <v>288</v>
      </c>
      <c r="G128" s="142">
        <v>51913.0956092044</v>
      </c>
      <c r="H128" s="142">
        <v>159188.01836729329</v>
      </c>
      <c r="I128" s="142">
        <v>18.891137991860795</v>
      </c>
      <c r="J128" s="142">
        <v>51912.77827858401</v>
      </c>
      <c r="K128" s="142">
        <v>159186.73483940892</v>
      </c>
      <c r="L128" s="142">
        <v>18.876910681994985</v>
      </c>
      <c r="M128" s="145">
        <v>1.4227309865809445E-2</v>
      </c>
      <c r="N128" s="145">
        <v>1.3222499646206878</v>
      </c>
      <c r="O128" s="145">
        <v>2.4778159155864898E-3</v>
      </c>
      <c r="P128" s="145">
        <v>3.6798241559132805E-3</v>
      </c>
      <c r="Q1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2.2078504748890282E-3</v>
      </c>
      <c r="R1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9.8226915290489103E-4</v>
      </c>
      <c r="S1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3.6835615375707675E-3</v>
      </c>
      <c r="T1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0.23335501925458857</v>
      </c>
      <c r="U1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-7.7895754195367317E-4</v>
      </c>
      <c r="V1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-6.1355052285239076E-4</v>
      </c>
      <c r="W1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-7.7894371948161734E-4</v>
      </c>
      <c r="X1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-5.4700702785481781E-4</v>
      </c>
      <c r="Y128" s="162" t="str">
        <f>ReportSummary___Track[[#This Row],[Track ID]]&amp;"-"&amp;ReportSummary___Track[[#This Row],[Epoch]]</f>
        <v>250-RL-OP-0049-45881.2916666667</v>
      </c>
      <c r="Z128" s="126">
        <f>SUBTOTAL(103,ReportSummary___Track[[#This Row],[Track ID]])</f>
        <v>1</v>
      </c>
      <c r="AA128" s="114">
        <f>_xlfn.NUMBERVALUE(RIGHT(ReportSummary___Track[[#This Row],[Track ID]],4))</f>
        <v>49</v>
      </c>
      <c r="AB128" s="78"/>
      <c r="AC128" s="1"/>
      <c r="AD128" s="4"/>
      <c r="AE128" s="4"/>
      <c r="AF128" s="4"/>
      <c r="AG128" s="4"/>
      <c r="AH128" s="1"/>
      <c r="AI128" s="1"/>
      <c r="AJ128" s="1"/>
    </row>
    <row r="129" spans="5:36" ht="12.75" x14ac:dyDescent="0.2">
      <c r="E129" s="74">
        <v>45873.291666666664</v>
      </c>
      <c r="F129" s="107" t="s">
        <v>235</v>
      </c>
      <c r="G129" s="142">
        <v>51886.101888003854</v>
      </c>
      <c r="H129" s="142">
        <v>159195.44568170901</v>
      </c>
      <c r="I129" s="142">
        <v>18.86977464079656</v>
      </c>
      <c r="J129" s="142">
        <v>51885.74197615045</v>
      </c>
      <c r="K129" s="142">
        <v>159194.186695724</v>
      </c>
      <c r="L129" s="142">
        <v>18.865787569704999</v>
      </c>
      <c r="M129" s="145">
        <v>3.9870710915614893E-3</v>
      </c>
      <c r="N129" s="145">
        <v>1.3094266491154856</v>
      </c>
      <c r="O129" s="145"/>
      <c r="P129" s="145"/>
      <c r="Q1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-0.28169365443275751</v>
      </c>
      <c r="R1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-0.69152727192411945</v>
      </c>
      <c r="S12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2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9" s="162" t="str">
        <f>ReportSummary___Track[[#This Row],[Track ID]]&amp;"-"&amp;ReportSummary___Track[[#This Row],[Epoch]]</f>
        <v>250-RL-OP-0021-45873.2916666667</v>
      </c>
      <c r="Z129" s="126">
        <f>SUBTOTAL(103,ReportSummary___Track[[#This Row],[Track ID]])</f>
        <v>1</v>
      </c>
      <c r="AA129" s="114">
        <f>_xlfn.NUMBERVALUE(RIGHT(ReportSummary___Track[[#This Row],[Track ID]],4))</f>
        <v>21</v>
      </c>
      <c r="AB129" s="78"/>
      <c r="AC129" s="1"/>
      <c r="AD129" s="4"/>
      <c r="AE129" s="4"/>
      <c r="AF129" s="4"/>
      <c r="AG129" s="4"/>
      <c r="AH129" s="1"/>
      <c r="AI129" s="1"/>
      <c r="AJ129" s="1"/>
    </row>
    <row r="130" spans="5:36" ht="12.75" x14ac:dyDescent="0.2">
      <c r="E130" s="74">
        <v>45873.291666666664</v>
      </c>
      <c r="F130" s="107" t="s">
        <v>236</v>
      </c>
      <c r="G130" s="142">
        <v>51887.0635346048</v>
      </c>
      <c r="H130" s="142">
        <v>159195.17139037082</v>
      </c>
      <c r="I130" s="142">
        <v>18.869497718698447</v>
      </c>
      <c r="J130" s="142">
        <v>51886.703005177442</v>
      </c>
      <c r="K130" s="142">
        <v>159193.91024827689</v>
      </c>
      <c r="L130" s="142">
        <v>18.865652437138895</v>
      </c>
      <c r="M130" s="145">
        <v>3.8452815595526602E-3</v>
      </c>
      <c r="N130" s="145">
        <v>1.3116690265616955</v>
      </c>
      <c r="O130" s="145"/>
      <c r="P130" s="145"/>
      <c r="Q1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-0.62783970314583826</v>
      </c>
      <c r="R1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-0.35978653339063804</v>
      </c>
      <c r="S13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0" s="162" t="str">
        <f>ReportSummary___Track[[#This Row],[Track ID]]&amp;"-"&amp;ReportSummary___Track[[#This Row],[Epoch]]</f>
        <v>250-RL-OP-0022-45873.2916666667</v>
      </c>
      <c r="Z130" s="126">
        <f>SUBTOTAL(103,ReportSummary___Track[[#This Row],[Track ID]])</f>
        <v>1</v>
      </c>
      <c r="AA130" s="114">
        <f>_xlfn.NUMBERVALUE(RIGHT(ReportSummary___Track[[#This Row],[Track ID]],4))</f>
        <v>22</v>
      </c>
      <c r="AB130" s="78"/>
      <c r="AC130" s="1"/>
      <c r="AD130" s="4"/>
      <c r="AE130" s="4"/>
      <c r="AF130" s="4"/>
      <c r="AG130" s="4"/>
      <c r="AH130" s="1"/>
      <c r="AI130" s="1"/>
      <c r="AJ130" s="1"/>
    </row>
    <row r="131" spans="5:36" ht="12.75" x14ac:dyDescent="0.2">
      <c r="E131" s="74">
        <v>45873.291666666664</v>
      </c>
      <c r="F131" s="107" t="s">
        <v>237</v>
      </c>
      <c r="G131" s="142">
        <v>51888.025181205747</v>
      </c>
      <c r="H131" s="142">
        <v>159194.89709903265</v>
      </c>
      <c r="I131" s="142">
        <v>18.869220796600338</v>
      </c>
      <c r="J131" s="142">
        <v>51887.664034204441</v>
      </c>
      <c r="K131" s="142">
        <v>159193.63380082979</v>
      </c>
      <c r="L131" s="142">
        <v>18.865517304572791</v>
      </c>
      <c r="M131" s="145">
        <v>3.7034920275473837E-3</v>
      </c>
      <c r="N131" s="145">
        <v>1.3139114208165081</v>
      </c>
      <c r="O131" s="145"/>
      <c r="P131" s="145"/>
      <c r="Q1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-0.97398575185536629</v>
      </c>
      <c r="R1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-2.8058793879459643E-2</v>
      </c>
      <c r="S13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1" s="162" t="str">
        <f>ReportSummary___Track[[#This Row],[Track ID]]&amp;"-"&amp;ReportSummary___Track[[#This Row],[Epoch]]</f>
        <v>250-RL-OP-0023-45873.2916666667</v>
      </c>
      <c r="Z131" s="126">
        <f>SUBTOTAL(103,ReportSummary___Track[[#This Row],[Track ID]])</f>
        <v>1</v>
      </c>
      <c r="AA131" s="114">
        <f>_xlfn.NUMBERVALUE(RIGHT(ReportSummary___Track[[#This Row],[Track ID]],4))</f>
        <v>23</v>
      </c>
      <c r="AB131" s="78"/>
      <c r="AC131" s="1"/>
      <c r="AD131" s="4"/>
      <c r="AE131" s="4"/>
      <c r="AF131" s="4"/>
      <c r="AG131" s="4"/>
      <c r="AH131" s="1"/>
      <c r="AI131" s="1"/>
      <c r="AJ131" s="1"/>
    </row>
    <row r="132" spans="5:36" ht="12.75" x14ac:dyDescent="0.2">
      <c r="E132" s="74">
        <v>45873.291666666664</v>
      </c>
      <c r="F132" s="107" t="s">
        <v>238</v>
      </c>
      <c r="G132" s="142">
        <v>51888.98628832103</v>
      </c>
      <c r="H132" s="142">
        <v>159194.62201573106</v>
      </c>
      <c r="I132" s="142">
        <v>18.868514730242751</v>
      </c>
      <c r="J132" s="142">
        <v>51888.624103758353</v>
      </c>
      <c r="K132" s="142">
        <v>159193.35707278902</v>
      </c>
      <c r="L132" s="142">
        <v>18.86445322191301</v>
      </c>
      <c r="M132" s="145">
        <v>4.0615083297410592E-3</v>
      </c>
      <c r="N132" s="145">
        <v>1.3157791607683504</v>
      </c>
      <c r="O132" s="145">
        <v>7.4437238179569931E-5</v>
      </c>
      <c r="P132" s="145"/>
      <c r="Q1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-0.70091322933762967</v>
      </c>
      <c r="R1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9.7314365345990694E-3</v>
      </c>
      <c r="S1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-0.41921957490487216</v>
      </c>
      <c r="T13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2" s="162" t="str">
        <f>ReportSummary___Track[[#This Row],[Track ID]]&amp;"-"&amp;ReportSummary___Track[[#This Row],[Epoch]]</f>
        <v>250-RL-OP-0024-45873.2916666667</v>
      </c>
      <c r="Z132" s="126">
        <f>SUBTOTAL(103,ReportSummary___Track[[#This Row],[Track ID]])</f>
        <v>1</v>
      </c>
      <c r="AA132" s="114">
        <f>_xlfn.NUMBERVALUE(RIGHT(ReportSummary___Track[[#This Row],[Track ID]],4))</f>
        <v>24</v>
      </c>
      <c r="AB132" s="78"/>
      <c r="AC132" s="1"/>
      <c r="AD132" s="4"/>
      <c r="AE132" s="4"/>
      <c r="AF132" s="4"/>
      <c r="AG132" s="4"/>
      <c r="AH132" s="1"/>
      <c r="AI132" s="1"/>
      <c r="AJ132" s="1"/>
    </row>
    <row r="133" spans="5:36" ht="12.75" x14ac:dyDescent="0.2">
      <c r="E133" s="74">
        <v>45873.291666666664</v>
      </c>
      <c r="F133" s="107" t="s">
        <v>239</v>
      </c>
      <c r="G133" s="142">
        <v>51889.947664398285</v>
      </c>
      <c r="H133" s="142">
        <v>159194.34677858101</v>
      </c>
      <c r="I133" s="142">
        <v>18.867773577574297</v>
      </c>
      <c r="J133" s="142">
        <v>51889.584962165369</v>
      </c>
      <c r="K133" s="142">
        <v>159193.08003546728</v>
      </c>
      <c r="L133" s="142">
        <v>18.863251548067314</v>
      </c>
      <c r="M133" s="145">
        <v>4.5220295069832162E-3</v>
      </c>
      <c r="N133" s="145">
        <v>1.3176537764826539</v>
      </c>
      <c r="O133" s="145">
        <v>6.76747947430556E-4</v>
      </c>
      <c r="P133" s="145"/>
      <c r="Q1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-0.35756522215990572</v>
      </c>
      <c r="R1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4.7861656904402139E-3</v>
      </c>
      <c r="S1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0.27027448098593254</v>
      </c>
      <c r="T13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3" s="162" t="str">
        <f>ReportSummary___Track[[#This Row],[Track ID]]&amp;"-"&amp;ReportSummary___Track[[#This Row],[Epoch]]</f>
        <v>250-RL-OP-0025-45873.2916666667</v>
      </c>
      <c r="Z133" s="126">
        <f>SUBTOTAL(103,ReportSummary___Track[[#This Row],[Track ID]])</f>
        <v>1</v>
      </c>
      <c r="AA133" s="114">
        <f>_xlfn.NUMBERVALUE(RIGHT(ReportSummary___Track[[#This Row],[Track ID]],4))</f>
        <v>25</v>
      </c>
      <c r="AB133" s="78"/>
      <c r="AC133" s="1"/>
      <c r="AD133" s="4"/>
      <c r="AE133" s="4"/>
      <c r="AF133" s="4"/>
      <c r="AG133" s="4"/>
      <c r="AH133" s="1"/>
      <c r="AI133" s="1"/>
      <c r="AJ133" s="1"/>
    </row>
    <row r="134" spans="5:36" ht="12.75" x14ac:dyDescent="0.2">
      <c r="E134" s="74">
        <v>45873.291666666664</v>
      </c>
      <c r="F134" s="107" t="s">
        <v>240</v>
      </c>
      <c r="G134" s="142">
        <v>51890.909040475541</v>
      </c>
      <c r="H134" s="142">
        <v>159194.07154143095</v>
      </c>
      <c r="I134" s="142">
        <v>18.867032424905847</v>
      </c>
      <c r="J134" s="142">
        <v>51890.545820572392</v>
      </c>
      <c r="K134" s="142">
        <v>159192.80299814555</v>
      </c>
      <c r="L134" s="142">
        <v>18.862049874221618</v>
      </c>
      <c r="M134" s="145">
        <v>4.9825506842289258E-3</v>
      </c>
      <c r="N134" s="145">
        <v>1.3195285486874013</v>
      </c>
      <c r="O134" s="145">
        <v>1.2790586566815421E-3</v>
      </c>
      <c r="P134" s="145"/>
      <c r="Q1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-1.4217214978629045E-2</v>
      </c>
      <c r="R1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-1.1861806870072655E-5</v>
      </c>
      <c r="S1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0.95976853687673724</v>
      </c>
      <c r="T13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4" s="162" t="str">
        <f>ReportSummary___Track[[#This Row],[Track ID]]&amp;"-"&amp;ReportSummary___Track[[#This Row],[Epoch]]</f>
        <v>250-RL-OP-0026-45873.2916666667</v>
      </c>
      <c r="Z134" s="126">
        <f>SUBTOTAL(103,ReportSummary___Track[[#This Row],[Track ID]])</f>
        <v>1</v>
      </c>
      <c r="AA134" s="114">
        <f>_xlfn.NUMBERVALUE(RIGHT(ReportSummary___Track[[#This Row],[Track ID]],4))</f>
        <v>26</v>
      </c>
      <c r="AB134" s="78"/>
      <c r="AC134" s="1"/>
      <c r="AD134" s="4"/>
      <c r="AE134" s="4"/>
      <c r="AF134" s="4"/>
      <c r="AG134" s="4"/>
      <c r="AH134" s="1"/>
      <c r="AI134" s="1"/>
      <c r="AJ134" s="1"/>
    </row>
    <row r="135" spans="5:36" ht="12.75" x14ac:dyDescent="0.2">
      <c r="E135" s="74">
        <v>45873.291666666664</v>
      </c>
      <c r="F135" s="107" t="s">
        <v>241</v>
      </c>
      <c r="G135" s="142">
        <v>51891.870085166687</v>
      </c>
      <c r="H135" s="142">
        <v>159193.79534240576</v>
      </c>
      <c r="I135" s="142">
        <v>18.864661447731827</v>
      </c>
      <c r="J135" s="142">
        <v>51891.504353461787</v>
      </c>
      <c r="K135" s="142">
        <v>159192.52690810763</v>
      </c>
      <c r="L135" s="142">
        <v>18.860283132921658</v>
      </c>
      <c r="M135" s="145">
        <v>4.3783148101681491E-3</v>
      </c>
      <c r="N135" s="145">
        <v>1.3201153049264747</v>
      </c>
      <c r="O135" s="145">
        <v>3.1680648042708981E-4</v>
      </c>
      <c r="P135" s="145">
        <v>3.9124371860665974E-4</v>
      </c>
      <c r="Q1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-0.32463151136497004</v>
      </c>
      <c r="R1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-8.5622790527040138E-2</v>
      </c>
      <c r="S1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0.37628171797265964</v>
      </c>
      <c r="T1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-4.2937856932212526E-2</v>
      </c>
      <c r="U1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35" s="162" t="str">
        <f>ReportSummary___Track[[#This Row],[Track ID]]&amp;"-"&amp;ReportSummary___Track[[#This Row],[Epoch]]</f>
        <v>250-RL-OP-0027-45873.2916666667</v>
      </c>
      <c r="Z135" s="126">
        <f>SUBTOTAL(103,ReportSummary___Track[[#This Row],[Track ID]])</f>
        <v>1</v>
      </c>
      <c r="AA135" s="114">
        <f>_xlfn.NUMBERVALUE(RIGHT(ReportSummary___Track[[#This Row],[Track ID]],4))</f>
        <v>27</v>
      </c>
      <c r="AB135" s="78"/>
      <c r="AC135" s="1"/>
      <c r="AD135" s="4"/>
      <c r="AE135" s="4"/>
      <c r="AF135" s="4"/>
      <c r="AG135" s="4"/>
      <c r="AH135" s="1"/>
      <c r="AI135" s="1"/>
      <c r="AJ135" s="1"/>
    </row>
    <row r="136" spans="5:36" ht="12.75" x14ac:dyDescent="0.2">
      <c r="E136" s="74">
        <v>45873.291666666664</v>
      </c>
      <c r="F136" s="107" t="s">
        <v>242</v>
      </c>
      <c r="G136" s="142">
        <v>51892.831165658921</v>
      </c>
      <c r="H136" s="142">
        <v>159193.51908472509</v>
      </c>
      <c r="I136" s="142">
        <v>18.86221577499791</v>
      </c>
      <c r="J136" s="142">
        <v>51892.465288045249</v>
      </c>
      <c r="K136" s="142">
        <v>159192.25013834573</v>
      </c>
      <c r="L136" s="142">
        <v>18.858487246856445</v>
      </c>
      <c r="M136" s="145">
        <v>3.7285281414654037E-3</v>
      </c>
      <c r="N136" s="145">
        <v>1.3206457677258727</v>
      </c>
      <c r="O136" s="145">
        <v>-7.9350136551781247E-4</v>
      </c>
      <c r="P136" s="145">
        <v>-1.1675341808725648E-4</v>
      </c>
      <c r="Q1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-0.66420417328671988</v>
      </c>
      <c r="R1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-0.17501342233838812</v>
      </c>
      <c r="S1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-0.30663895112681416</v>
      </c>
      <c r="T1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-3.6364470140881622E-2</v>
      </c>
      <c r="U1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36" s="162" t="str">
        <f>ReportSummary___Track[[#This Row],[Track ID]]&amp;"-"&amp;ReportSummary___Track[[#This Row],[Epoch]]</f>
        <v>250-RL-OP-0028-45873.2916666667</v>
      </c>
      <c r="Z136" s="126">
        <f>SUBTOTAL(103,ReportSummary___Track[[#This Row],[Track ID]])</f>
        <v>1</v>
      </c>
      <c r="AA136" s="114">
        <f>_xlfn.NUMBERVALUE(RIGHT(ReportSummary___Track[[#This Row],[Track ID]],4))</f>
        <v>28</v>
      </c>
      <c r="AB136" s="78"/>
      <c r="AC136" s="1"/>
      <c r="AD136" s="4"/>
      <c r="AE136" s="4"/>
      <c r="AF136" s="4"/>
      <c r="AG136" s="4"/>
      <c r="AH136" s="1"/>
      <c r="AI136" s="1"/>
      <c r="AJ136" s="1"/>
    </row>
    <row r="137" spans="5:36" ht="12.75" x14ac:dyDescent="0.2">
      <c r="E137" s="74">
        <v>45873.291666666664</v>
      </c>
      <c r="F137" s="107" t="s">
        <v>243</v>
      </c>
      <c r="G137" s="142">
        <v>51893.791834251315</v>
      </c>
      <c r="H137" s="142">
        <v>159193.24288966472</v>
      </c>
      <c r="I137" s="142">
        <v>18.859926416951399</v>
      </c>
      <c r="J137" s="142">
        <v>51893.426692579691</v>
      </c>
      <c r="K137" s="142">
        <v>159191.97323179542</v>
      </c>
      <c r="L137" s="142">
        <v>18.85670271923307</v>
      </c>
      <c r="M137" s="145">
        <v>3.2236977183295323E-3</v>
      </c>
      <c r="N137" s="145">
        <v>1.3211244974101264</v>
      </c>
      <c r="O137" s="145">
        <v>-1.7588529658993934E-3</v>
      </c>
      <c r="P137" s="145">
        <v>-4.7979430921785138E-4</v>
      </c>
      <c r="Q1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-0.98239242166187069</v>
      </c>
      <c r="R1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-0.27411228763618567</v>
      </c>
      <c r="S1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-0.96817520668324164</v>
      </c>
      <c r="T1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-8.4066698065043965E-3</v>
      </c>
      <c r="U1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37" s="162" t="str">
        <f>ReportSummary___Track[[#This Row],[Track ID]]&amp;"-"&amp;ReportSummary___Track[[#This Row],[Epoch]]</f>
        <v>250-RL-OP-0029-45873.2916666667</v>
      </c>
      <c r="Z137" s="126">
        <f>SUBTOTAL(103,ReportSummary___Track[[#This Row],[Track ID]])</f>
        <v>1</v>
      </c>
      <c r="AA137" s="114">
        <f>_xlfn.NUMBERVALUE(RIGHT(ReportSummary___Track[[#This Row],[Track ID]],4))</f>
        <v>29</v>
      </c>
      <c r="AB137" s="78"/>
      <c r="AC137" s="1"/>
      <c r="AD137" s="4"/>
      <c r="AE137" s="4"/>
      <c r="AF137" s="4"/>
      <c r="AG137" s="4"/>
      <c r="AH137" s="1"/>
      <c r="AI137" s="1"/>
      <c r="AJ137" s="1"/>
    </row>
    <row r="138" spans="5:36" ht="12.75" x14ac:dyDescent="0.2">
      <c r="E138" s="74">
        <v>45873.291666666664</v>
      </c>
      <c r="F138" s="107" t="s">
        <v>269</v>
      </c>
      <c r="G138" s="142">
        <v>51894.75263598399</v>
      </c>
      <c r="H138" s="142">
        <v>159192.96565370166</v>
      </c>
      <c r="I138" s="142">
        <v>18.860427687376433</v>
      </c>
      <c r="J138" s="142">
        <v>51894.387556672729</v>
      </c>
      <c r="K138" s="142">
        <v>159191.69621206418</v>
      </c>
      <c r="L138" s="142">
        <v>18.857215782076423</v>
      </c>
      <c r="M138" s="145">
        <v>3.2119053000094766E-3</v>
      </c>
      <c r="N138" s="145">
        <v>1.3208994249356498</v>
      </c>
      <c r="O138" s="145">
        <v>-1.1664095101586724E-3</v>
      </c>
      <c r="P138" s="145">
        <v>-8.4960302973158264E-4</v>
      </c>
      <c r="Q1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-0.64843439093209554</v>
      </c>
      <c r="R1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-8.5688877341505432E-2</v>
      </c>
      <c r="S1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-0.3238028795671255</v>
      </c>
      <c r="T1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5.2478838405534134E-2</v>
      </c>
      <c r="U1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38" s="162" t="str">
        <f>ReportSummary___Track[[#This Row],[Track ID]]&amp;"-"&amp;ReportSummary___Track[[#This Row],[Epoch]]</f>
        <v>250-RL-OP-0030-45873.2916666667</v>
      </c>
      <c r="Z138" s="126">
        <f>SUBTOTAL(103,ReportSummary___Track[[#This Row],[Track ID]])</f>
        <v>1</v>
      </c>
      <c r="AA138" s="114">
        <f>_xlfn.NUMBERVALUE(RIGHT(ReportSummary___Track[[#This Row],[Track ID]],4))</f>
        <v>30</v>
      </c>
      <c r="AB138" s="78"/>
      <c r="AC138" s="1"/>
      <c r="AD138" s="4"/>
      <c r="AE138" s="4"/>
      <c r="AF138" s="4"/>
      <c r="AG138" s="4"/>
      <c r="AH138" s="1"/>
      <c r="AI138" s="1"/>
      <c r="AJ138" s="1"/>
    </row>
    <row r="139" spans="5:36" ht="12.75" x14ac:dyDescent="0.2">
      <c r="E139" s="74">
        <v>45873.291666666664</v>
      </c>
      <c r="F139" s="107" t="s">
        <v>270</v>
      </c>
      <c r="G139" s="142">
        <v>51895.713437716666</v>
      </c>
      <c r="H139" s="142">
        <v>159192.68841773859</v>
      </c>
      <c r="I139" s="142">
        <v>18.860928957801466</v>
      </c>
      <c r="J139" s="142">
        <v>51895.34842076576</v>
      </c>
      <c r="K139" s="142">
        <v>159191.41919233298</v>
      </c>
      <c r="L139" s="142">
        <v>18.857728844919777</v>
      </c>
      <c r="M139" s="145">
        <v>3.2001128816894209E-3</v>
      </c>
      <c r="N139" s="145">
        <v>1.320674352530969</v>
      </c>
      <c r="O139" s="145">
        <v>-5.284152597759828E-4</v>
      </c>
      <c r="P139" s="145">
        <v>-1.3219166252937953E-3</v>
      </c>
      <c r="Q1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-0.31447636020232039</v>
      </c>
      <c r="R1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0.10264473771637306</v>
      </c>
      <c r="S1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0.34972781308439949</v>
      </c>
      <c r="T1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4.3088861957585323E-2</v>
      </c>
      <c r="U1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39" s="162" t="str">
        <f>ReportSummary___Track[[#This Row],[Track ID]]&amp;"-"&amp;ReportSummary___Track[[#This Row],[Epoch]]</f>
        <v>250-RL-OP-0031-45873.2916666667</v>
      </c>
      <c r="Z139" s="126">
        <f>SUBTOTAL(103,ReportSummary___Track[[#This Row],[Track ID]])</f>
        <v>1</v>
      </c>
      <c r="AA139" s="114">
        <f>_xlfn.NUMBERVALUE(RIGHT(ReportSummary___Track[[#This Row],[Track ID]],4))</f>
        <v>31</v>
      </c>
      <c r="AB139" s="78"/>
      <c r="AC139" s="1"/>
      <c r="AD139" s="4"/>
      <c r="AE139" s="4"/>
      <c r="AF139" s="4"/>
      <c r="AG139" s="4"/>
      <c r="AH139" s="1"/>
      <c r="AI139" s="1"/>
      <c r="AJ139" s="1"/>
    </row>
    <row r="140" spans="5:36" ht="12.75" x14ac:dyDescent="0.2">
      <c r="E140" s="74">
        <v>45873.291666666664</v>
      </c>
      <c r="F140" s="107" t="s">
        <v>271</v>
      </c>
      <c r="G140" s="142">
        <v>51896.675404337235</v>
      </c>
      <c r="H140" s="142">
        <v>159192.41090242262</v>
      </c>
      <c r="I140" s="142">
        <v>18.861498400271905</v>
      </c>
      <c r="J140" s="142">
        <v>51896.308523498657</v>
      </c>
      <c r="K140" s="142">
        <v>159191.14271617067</v>
      </c>
      <c r="L140" s="142">
        <v>18.858247324479837</v>
      </c>
      <c r="M140" s="145">
        <v>3.251075792068292E-3</v>
      </c>
      <c r="N140" s="145">
        <v>1.3201925953631342</v>
      </c>
      <c r="O140" s="145">
        <v>2.7378073738759667E-5</v>
      </c>
      <c r="P140" s="145">
        <v>-1.7314748921606338E-3</v>
      </c>
      <c r="Q1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5.8026000004929301E-5</v>
      </c>
      <c r="R1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0.28457870233711269</v>
      </c>
      <c r="S1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0.98245044766187561</v>
      </c>
      <c r="T1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1.4275240978633974E-2</v>
      </c>
      <c r="U1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0" s="162" t="str">
        <f>ReportSummary___Track[[#This Row],[Track ID]]&amp;"-"&amp;ReportSummary___Track[[#This Row],[Epoch]]</f>
        <v>250-RL-OP-0032-45873.2916666667</v>
      </c>
      <c r="Z140" s="126">
        <f>SUBTOTAL(103,ReportSummary___Track[[#This Row],[Track ID]])</f>
        <v>1</v>
      </c>
      <c r="AA140" s="114">
        <f>_xlfn.NUMBERVALUE(RIGHT(ReportSummary___Track[[#This Row],[Track ID]],4))</f>
        <v>32</v>
      </c>
      <c r="AB140" s="78"/>
      <c r="AC140" s="1"/>
      <c r="AD140" s="4"/>
      <c r="AE140" s="4"/>
      <c r="AF140" s="4"/>
      <c r="AG140" s="4"/>
      <c r="AH140" s="1"/>
      <c r="AI140" s="1"/>
      <c r="AJ140" s="1"/>
    </row>
    <row r="141" spans="5:36" ht="12.75" x14ac:dyDescent="0.2">
      <c r="E141" s="74">
        <v>45873.291666666664</v>
      </c>
      <c r="F141" s="107" t="s">
        <v>272</v>
      </c>
      <c r="G141" s="142">
        <v>51897.636450471109</v>
      </c>
      <c r="H141" s="142">
        <v>159192.13451905019</v>
      </c>
      <c r="I141" s="142">
        <v>18.863098404693126</v>
      </c>
      <c r="J141" s="142">
        <v>51897.270447986921</v>
      </c>
      <c r="K141" s="142">
        <v>159190.86940145129</v>
      </c>
      <c r="L141" s="142">
        <v>18.858833023487737</v>
      </c>
      <c r="M141" s="145">
        <v>4.2653812053892182E-3</v>
      </c>
      <c r="N141" s="145">
        <v>1.3170036260233267</v>
      </c>
      <c r="O141" s="145">
        <v>1.0534759053797416E-3</v>
      </c>
      <c r="P141" s="145">
        <v>-1.1293360477893089E-4</v>
      </c>
      <c r="Q1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9.4060393607264814E-4</v>
      </c>
      <c r="R1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0.42843265369674199</v>
      </c>
      <c r="S1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0.64937499486816819</v>
      </c>
      <c r="T1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0.32557211530104269</v>
      </c>
      <c r="U1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1" s="162" t="str">
        <f>ReportSummary___Track[[#This Row],[Track ID]]&amp;"-"&amp;ReportSummary___Track[[#This Row],[Epoch]]</f>
        <v>250-RL-OP-0033-45873.2916666667</v>
      </c>
      <c r="Z141" s="126">
        <f>SUBTOTAL(103,ReportSummary___Track[[#This Row],[Track ID]])</f>
        <v>1</v>
      </c>
      <c r="AA141" s="114">
        <f>_xlfn.NUMBERVALUE(RIGHT(ReportSummary___Track[[#This Row],[Track ID]],4))</f>
        <v>33</v>
      </c>
      <c r="AB141" s="78"/>
      <c r="AC141" s="1"/>
      <c r="AD141" s="4"/>
      <c r="AE141" s="4"/>
      <c r="AF141" s="4"/>
      <c r="AG141" s="4"/>
      <c r="AH141" s="1"/>
      <c r="AI141" s="1"/>
      <c r="AJ141" s="1"/>
    </row>
    <row r="142" spans="5:36" ht="12.75" x14ac:dyDescent="0.2">
      <c r="E142" s="74">
        <v>45873.291666666664</v>
      </c>
      <c r="F142" s="107" t="s">
        <v>273</v>
      </c>
      <c r="G142" s="142">
        <v>51898.597496604991</v>
      </c>
      <c r="H142" s="142">
        <v>159191.85813567779</v>
      </c>
      <c r="I142" s="142">
        <v>18.86469840911435</v>
      </c>
      <c r="J142" s="142">
        <v>51898.232372475184</v>
      </c>
      <c r="K142" s="142">
        <v>159190.59608673191</v>
      </c>
      <c r="L142" s="142">
        <v>18.859418722495636</v>
      </c>
      <c r="M142" s="145">
        <v>5.279686618713697E-3</v>
      </c>
      <c r="N142" s="145">
        <v>1.3138154539550899</v>
      </c>
      <c r="O142" s="145">
        <v>2.0795737370242762E-3</v>
      </c>
      <c r="P142" s="145">
        <v>1.5511584772482934E-3</v>
      </c>
      <c r="Q1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1.8231818756930807E-3</v>
      </c>
      <c r="R1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0.57228705174461325</v>
      </c>
      <c r="S1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0.31629954207801347</v>
      </c>
      <c r="T1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0.66602735516241296</v>
      </c>
      <c r="U1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2" s="162" t="str">
        <f>ReportSummary___Track[[#This Row],[Track ID]]&amp;"-"&amp;ReportSummary___Track[[#This Row],[Epoch]]</f>
        <v>250-RL-OP-0034-45873.2916666667</v>
      </c>
      <c r="Z142" s="126">
        <f>SUBTOTAL(103,ReportSummary___Track[[#This Row],[Track ID]])</f>
        <v>1</v>
      </c>
      <c r="AA142" s="114">
        <f>_xlfn.NUMBERVALUE(RIGHT(ReportSummary___Track[[#This Row],[Track ID]],4))</f>
        <v>34</v>
      </c>
      <c r="AB142" s="78"/>
      <c r="AC142" s="1"/>
      <c r="AD142" s="4"/>
      <c r="AE142" s="4"/>
      <c r="AF142" s="4"/>
      <c r="AG142" s="4"/>
      <c r="AH142" s="1"/>
      <c r="AI142" s="1"/>
      <c r="AJ142" s="1"/>
    </row>
    <row r="143" spans="5:36" ht="12.75" x14ac:dyDescent="0.2">
      <c r="E143" s="74">
        <v>45873.291666666664</v>
      </c>
      <c r="F143" s="107" t="s">
        <v>274</v>
      </c>
      <c r="G143" s="142">
        <v>51899.557752893597</v>
      </c>
      <c r="H143" s="142">
        <v>159191.58339357786</v>
      </c>
      <c r="I143" s="142">
        <v>18.865938379525691</v>
      </c>
      <c r="J143" s="142">
        <v>51899.203488296611</v>
      </c>
      <c r="K143" s="142">
        <v>159190.32067681968</v>
      </c>
      <c r="L143" s="142">
        <v>18.85971612452855</v>
      </c>
      <c r="M143" s="145">
        <v>6.222254997140908E-3</v>
      </c>
      <c r="N143" s="145">
        <v>1.3114860779006499</v>
      </c>
      <c r="O143" s="145">
        <v>2.971179205072616E-3</v>
      </c>
      <c r="P143" s="145">
        <v>2.9985572788113757E-3</v>
      </c>
      <c r="Q1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-3.0698581454657869E-4</v>
      </c>
      <c r="R1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0.65008170276570354</v>
      </c>
      <c r="S1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-3.65011814551508E-4</v>
      </c>
      <c r="T1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0.98208543584732411</v>
      </c>
      <c r="U1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3" s="162" t="str">
        <f>ReportSummary___Track[[#This Row],[Track ID]]&amp;"-"&amp;ReportSummary___Track[[#This Row],[Epoch]]</f>
        <v>250-RL-OP-0035-45873.2916666667</v>
      </c>
      <c r="Z143" s="126">
        <f>SUBTOTAL(103,ReportSummary___Track[[#This Row],[Track ID]])</f>
        <v>1</v>
      </c>
      <c r="AA143" s="114">
        <f>_xlfn.NUMBERVALUE(RIGHT(ReportSummary___Track[[#This Row],[Track ID]],4))</f>
        <v>35</v>
      </c>
      <c r="AB143" s="78"/>
      <c r="AC143" s="1"/>
      <c r="AD143" s="4"/>
      <c r="AE143" s="4"/>
      <c r="AF143" s="4"/>
      <c r="AG143" s="4"/>
      <c r="AH143" s="1"/>
      <c r="AI143" s="1"/>
      <c r="AJ143" s="1"/>
    </row>
    <row r="144" spans="5:36" ht="12.75" x14ac:dyDescent="0.2">
      <c r="E144" s="74">
        <v>45873.291666666664</v>
      </c>
      <c r="F144" s="107" t="s">
        <v>275</v>
      </c>
      <c r="G144" s="142">
        <v>51900.520801428909</v>
      </c>
      <c r="H144" s="142">
        <v>159191.31406588148</v>
      </c>
      <c r="I144" s="142">
        <v>18.865605835141952</v>
      </c>
      <c r="J144" s="142">
        <v>51900.16613239151</v>
      </c>
      <c r="K144" s="142">
        <v>159190.04990867738</v>
      </c>
      <c r="L144" s="142">
        <v>18.858736500280006</v>
      </c>
      <c r="M144" s="145">
        <v>6.8693348619461858E-3</v>
      </c>
      <c r="N144" s="145">
        <v>1.3129854342437233</v>
      </c>
      <c r="O144" s="145">
        <v>2.6039536565569676E-3</v>
      </c>
      <c r="P144" s="145">
        <v>3.6574295619367092E-3</v>
      </c>
      <c r="Q1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-6.1945315295020009E-3</v>
      </c>
      <c r="R1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0.4313908259985233</v>
      </c>
      <c r="S1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-7.1351354655746491E-3</v>
      </c>
      <c r="T1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0.64223985940259354</v>
      </c>
      <c r="U1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4" s="162" t="str">
        <f>ReportSummary___Track[[#This Row],[Track ID]]&amp;"-"&amp;ReportSummary___Track[[#This Row],[Epoch]]</f>
        <v>250-RL-OP-0036-45873.2916666667</v>
      </c>
      <c r="Z144" s="126">
        <f>SUBTOTAL(103,ReportSummary___Track[[#This Row],[Track ID]])</f>
        <v>1</v>
      </c>
      <c r="AA144" s="114">
        <f>_xlfn.NUMBERVALUE(RIGHT(ReportSummary___Track[[#This Row],[Track ID]],4))</f>
        <v>36</v>
      </c>
      <c r="AB144" s="78"/>
      <c r="AC144" s="1"/>
      <c r="AD144" s="4"/>
      <c r="AE144" s="4"/>
      <c r="AF144" s="4"/>
      <c r="AG144" s="4"/>
      <c r="AH144" s="1"/>
      <c r="AI144" s="1"/>
      <c r="AJ144" s="1"/>
    </row>
    <row r="145" spans="5:36" ht="12.75" x14ac:dyDescent="0.2">
      <c r="E145" s="74">
        <v>45873.291666666664</v>
      </c>
      <c r="F145" s="107" t="s">
        <v>276</v>
      </c>
      <c r="G145" s="142">
        <v>51901.483849964221</v>
      </c>
      <c r="H145" s="142">
        <v>159191.04473818507</v>
      </c>
      <c r="I145" s="142">
        <v>18.865273290758211</v>
      </c>
      <c r="J145" s="142">
        <v>51901.12877648641</v>
      </c>
      <c r="K145" s="142">
        <v>159189.77914053507</v>
      </c>
      <c r="L145" s="142">
        <v>18.857756876031466</v>
      </c>
      <c r="M145" s="145">
        <v>7.5164147267443582E-3</v>
      </c>
      <c r="N145" s="145">
        <v>1.3144851017828856</v>
      </c>
      <c r="O145" s="145">
        <v>2.2367281080306611E-3</v>
      </c>
      <c r="P145" s="145">
        <v>4.3163018450549373E-3</v>
      </c>
      <c r="Q1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-1.2082077248010137E-2</v>
      </c>
      <c r="R1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0.21269518992816927</v>
      </c>
      <c r="S1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-1.3905259123703217E-2</v>
      </c>
      <c r="T1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0.30239428295431026</v>
      </c>
      <c r="U1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5" s="162" t="str">
        <f>ReportSummary___Track[[#This Row],[Track ID]]&amp;"-"&amp;ReportSummary___Track[[#This Row],[Epoch]]</f>
        <v>250-RL-OP-0037-45873.2916666667</v>
      </c>
      <c r="Z145" s="126">
        <f>SUBTOTAL(103,ReportSummary___Track[[#This Row],[Track ID]])</f>
        <v>1</v>
      </c>
      <c r="AA145" s="114">
        <f>_xlfn.NUMBERVALUE(RIGHT(ReportSummary___Track[[#This Row],[Track ID]],4))</f>
        <v>37</v>
      </c>
      <c r="AB145" s="78"/>
      <c r="AC145" s="1"/>
      <c r="AD145" s="4"/>
      <c r="AE145" s="4"/>
      <c r="AF145" s="4"/>
      <c r="AG145" s="4"/>
      <c r="AH145" s="1"/>
      <c r="AI145" s="1"/>
      <c r="AJ145" s="1"/>
    </row>
    <row r="146" spans="5:36" ht="12.75" x14ac:dyDescent="0.2">
      <c r="E146" s="74">
        <v>45873.291666666664</v>
      </c>
      <c r="F146" s="107" t="s">
        <v>277</v>
      </c>
      <c r="G146" s="142">
        <v>51902.447780924784</v>
      </c>
      <c r="H146" s="142">
        <v>159190.77628572396</v>
      </c>
      <c r="I146" s="142">
        <v>18.865124813901463</v>
      </c>
      <c r="J146" s="142">
        <v>51902.099872443272</v>
      </c>
      <c r="K146" s="142">
        <v>159189.50704742008</v>
      </c>
      <c r="L146" s="142">
        <v>18.8569</v>
      </c>
      <c r="M146" s="145">
        <v>8.22481390146379E-3</v>
      </c>
      <c r="N146" s="145">
        <v>1.3160827599777138</v>
      </c>
      <c r="O146" s="145">
        <v>2.002558904322882E-3</v>
      </c>
      <c r="P146" s="145">
        <v>4.973738109395498E-3</v>
      </c>
      <c r="Q1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1.0938077110722588E-5</v>
      </c>
      <c r="R1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5.732857782647649E-2</v>
      </c>
      <c r="S1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3.1792389165730128E-4</v>
      </c>
      <c r="T1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-4.7087922894206713E-5</v>
      </c>
      <c r="U1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6" s="162" t="str">
        <f>ReportSummary___Track[[#This Row],[Track ID]]&amp;"-"&amp;ReportSummary___Track[[#This Row],[Epoch]]</f>
        <v>250-RL-OP-0038-45873.2916666667</v>
      </c>
      <c r="Z146" s="126">
        <f>SUBTOTAL(103,ReportSummary___Track[[#This Row],[Track ID]])</f>
        <v>1</v>
      </c>
      <c r="AA146" s="114">
        <f>_xlfn.NUMBERVALUE(RIGHT(ReportSummary___Track[[#This Row],[Track ID]],4))</f>
        <v>38</v>
      </c>
      <c r="AB146" s="78"/>
      <c r="AC146" s="1"/>
      <c r="AD146" s="4"/>
      <c r="AE146" s="4"/>
      <c r="AF146" s="4"/>
      <c r="AG146" s="4"/>
      <c r="AH146" s="1"/>
      <c r="AI146" s="1"/>
      <c r="AJ146" s="1"/>
    </row>
    <row r="147" spans="5:36" ht="12.75" x14ac:dyDescent="0.2">
      <c r="E147" s="74">
        <v>45873.291666666664</v>
      </c>
      <c r="F147" s="107" t="s">
        <v>278</v>
      </c>
      <c r="G147" s="142">
        <v>51903.412439340806</v>
      </c>
      <c r="H147" s="142">
        <v>159190.51278306151</v>
      </c>
      <c r="I147" s="142">
        <v>18.86582287822732</v>
      </c>
      <c r="J147" s="142">
        <v>51903.064539433311</v>
      </c>
      <c r="K147" s="142">
        <v>159189.24357522361</v>
      </c>
      <c r="L147" s="142">
        <v>18.8569</v>
      </c>
      <c r="M147" s="145">
        <v>8.9228782273202967E-3</v>
      </c>
      <c r="N147" s="145">
        <v>1.3160556596084765</v>
      </c>
      <c r="O147" s="145">
        <v>2.0535433653741109E-3</v>
      </c>
      <c r="P147" s="145">
        <v>4.6574970219310785E-3</v>
      </c>
      <c r="Q1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7.2112985805006247E-5</v>
      </c>
      <c r="R1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0.37795694380471367</v>
      </c>
      <c r="S1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6.2666445153070072E-3</v>
      </c>
      <c r="T1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-8.6849095026764189E-4</v>
      </c>
      <c r="U1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7" s="162" t="str">
        <f>ReportSummary___Track[[#This Row],[Track ID]]&amp;"-"&amp;ReportSummary___Track[[#This Row],[Epoch]]</f>
        <v>250-RL-OP-0039-45873.2916666667</v>
      </c>
      <c r="Z147" s="126">
        <f>SUBTOTAL(103,ReportSummary___Track[[#This Row],[Track ID]])</f>
        <v>1</v>
      </c>
      <c r="AA147" s="114">
        <f>_xlfn.NUMBERVALUE(RIGHT(ReportSummary___Track[[#This Row],[Track ID]],4))</f>
        <v>39</v>
      </c>
      <c r="AB147" s="78"/>
      <c r="AC147" s="1"/>
      <c r="AD147" s="4"/>
      <c r="AE147" s="4"/>
      <c r="AF147" s="4"/>
      <c r="AG147" s="4"/>
      <c r="AH147" s="1"/>
      <c r="AI147" s="1"/>
      <c r="AJ147" s="1"/>
    </row>
    <row r="148" spans="5:36" ht="12.75" x14ac:dyDescent="0.2">
      <c r="E148" s="74">
        <v>45873.291666666664</v>
      </c>
      <c r="F148" s="107" t="s">
        <v>279</v>
      </c>
      <c r="G148" s="142">
        <v>51904.37709775682</v>
      </c>
      <c r="H148" s="142">
        <v>159190.24928039906</v>
      </c>
      <c r="I148" s="142">
        <v>18.866520942553176</v>
      </c>
      <c r="J148" s="142">
        <v>51904.029206423358</v>
      </c>
      <c r="K148" s="142">
        <v>159188.9801030271</v>
      </c>
      <c r="L148" s="142">
        <v>18.8569</v>
      </c>
      <c r="M148" s="145">
        <v>9.6209425531768034E-3</v>
      </c>
      <c r="N148" s="145">
        <v>1.3160289297424979</v>
      </c>
      <c r="O148" s="145">
        <v>2.1045278264324452E-3</v>
      </c>
      <c r="P148" s="145">
        <v>4.3412559344631063E-3</v>
      </c>
      <c r="Q1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1.3328789805200358E-4</v>
      </c>
      <c r="R1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0.6985829528567411</v>
      </c>
      <c r="S1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1.221536514606214E-2</v>
      </c>
      <c r="T1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-1.6898939776410771E-3</v>
      </c>
      <c r="U1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8" s="162" t="str">
        <f>ReportSummary___Track[[#This Row],[Track ID]]&amp;"-"&amp;ReportSummary___Track[[#This Row],[Epoch]]</f>
        <v>250-RL-OP-0040-45873.2916666667</v>
      </c>
      <c r="Z148" s="126">
        <f>SUBTOTAL(103,ReportSummary___Track[[#This Row],[Track ID]])</f>
        <v>1</v>
      </c>
      <c r="AA148" s="114">
        <f>_xlfn.NUMBERVALUE(RIGHT(ReportSummary___Track[[#This Row],[Track ID]],4))</f>
        <v>40</v>
      </c>
      <c r="AB148" s="78"/>
      <c r="AC148" s="1"/>
      <c r="AD148" s="4"/>
      <c r="AE148" s="4"/>
      <c r="AF148" s="4"/>
      <c r="AG148" s="4"/>
      <c r="AH148" s="1"/>
      <c r="AI148" s="1"/>
      <c r="AJ148" s="1"/>
    </row>
    <row r="149" spans="5:36" ht="12.75" x14ac:dyDescent="0.2">
      <c r="E149" s="74">
        <v>45873.291666666664</v>
      </c>
      <c r="F149" s="107" t="s">
        <v>280</v>
      </c>
      <c r="G149" s="142">
        <v>51905.341841450259</v>
      </c>
      <c r="H149" s="142">
        <v>159189.98717913547</v>
      </c>
      <c r="I149" s="142">
        <v>18.867392406740745</v>
      </c>
      <c r="J149" s="142">
        <v>51905.003864651924</v>
      </c>
      <c r="K149" s="142">
        <v>159188.71500367383</v>
      </c>
      <c r="L149" s="142">
        <v>18.857104633955974</v>
      </c>
      <c r="M149" s="145">
        <v>1.0287772784771221E-2</v>
      </c>
      <c r="N149" s="145">
        <v>1.3163451521809648</v>
      </c>
      <c r="O149" s="145">
        <v>2.0629588833074308E-3</v>
      </c>
      <c r="P149" s="145">
        <v>4.0655177876303128E-3</v>
      </c>
      <c r="Q1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5.2204306655312394E-5</v>
      </c>
      <c r="R1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0.90537887921726679</v>
      </c>
      <c r="S1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4.1266229544589805E-5</v>
      </c>
      <c r="T1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3.5919012120189109E-4</v>
      </c>
      <c r="U1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49" s="162" t="str">
        <f>ReportSummary___Track[[#This Row],[Track ID]]&amp;"-"&amp;ReportSummary___Track[[#This Row],[Epoch]]</f>
        <v>250-RL-OP-0041-45873.2916666667</v>
      </c>
      <c r="Z149" s="126">
        <f>SUBTOTAL(103,ReportSummary___Track[[#This Row],[Track ID]])</f>
        <v>1</v>
      </c>
      <c r="AA149" s="114">
        <f>_xlfn.NUMBERVALUE(RIGHT(ReportSummary___Track[[#This Row],[Track ID]],4))</f>
        <v>41</v>
      </c>
      <c r="AB149" s="78"/>
      <c r="AC149" s="1"/>
      <c r="AD149" s="4"/>
      <c r="AE149" s="4"/>
      <c r="AF149" s="4"/>
      <c r="AG149" s="4"/>
      <c r="AH149" s="1"/>
      <c r="AI149" s="1"/>
      <c r="AJ149" s="1"/>
    </row>
    <row r="150" spans="5:36" ht="12.75" x14ac:dyDescent="0.2">
      <c r="E150" s="74">
        <v>45873.291666666664</v>
      </c>
      <c r="F150" s="107" t="s">
        <v>281</v>
      </c>
      <c r="G150" s="142">
        <v>51906.308594977025</v>
      </c>
      <c r="H150" s="142">
        <v>159189.73147487876</v>
      </c>
      <c r="I150" s="142">
        <v>18.869110425193991</v>
      </c>
      <c r="J150" s="142">
        <v>51905.970516824025</v>
      </c>
      <c r="K150" s="142">
        <v>159188.45891499615</v>
      </c>
      <c r="L150" s="142">
        <v>18.85857682068961</v>
      </c>
      <c r="M150" s="145">
        <v>1.0533604504381344E-2</v>
      </c>
      <c r="N150" s="145">
        <v>1.3167446408400343</v>
      </c>
      <c r="O150" s="145">
        <v>1.6107262770610475E-3</v>
      </c>
      <c r="P150" s="145">
        <v>3.6642696424351584E-3</v>
      </c>
      <c r="Q1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4.2777481112921123E-4</v>
      </c>
      <c r="R1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0.46623291486591611</v>
      </c>
      <c r="S1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3.5566182532420498E-4</v>
      </c>
      <c r="T1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6.6223063406312122E-3</v>
      </c>
      <c r="U1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0" s="162" t="str">
        <f>ReportSummary___Track[[#This Row],[Track ID]]&amp;"-"&amp;ReportSummary___Track[[#This Row],[Epoch]]</f>
        <v>250-RL-OP-0042-45873.2916666667</v>
      </c>
      <c r="Z150" s="126">
        <f>SUBTOTAL(103,ReportSummary___Track[[#This Row],[Track ID]])</f>
        <v>1</v>
      </c>
      <c r="AA150" s="114">
        <f>_xlfn.NUMBERVALUE(RIGHT(ReportSummary___Track[[#This Row],[Track ID]],4))</f>
        <v>42</v>
      </c>
      <c r="AB150" s="78"/>
      <c r="AC150" s="1"/>
      <c r="AD150" s="4"/>
      <c r="AE150" s="4"/>
      <c r="AF150" s="4"/>
      <c r="AG150" s="4"/>
      <c r="AH150" s="1"/>
      <c r="AI150" s="1"/>
      <c r="AJ150" s="1"/>
    </row>
    <row r="151" spans="5:36" ht="12.75" x14ac:dyDescent="0.2">
      <c r="E151" s="74">
        <v>45873.291666666664</v>
      </c>
      <c r="F151" s="107" t="s">
        <v>282</v>
      </c>
      <c r="G151" s="142">
        <v>51907.275348503783</v>
      </c>
      <c r="H151" s="142">
        <v>159189.47577062206</v>
      </c>
      <c r="I151" s="142">
        <v>18.870828443647241</v>
      </c>
      <c r="J151" s="142">
        <v>51906.937168996134</v>
      </c>
      <c r="K151" s="142">
        <v>159188.20282631848</v>
      </c>
      <c r="L151" s="142">
        <v>18.860049007423246</v>
      </c>
      <c r="M151" s="145">
        <v>1.077943622399502E-2</v>
      </c>
      <c r="N151" s="145">
        <v>1.3171441742089982</v>
      </c>
      <c r="O151" s="145">
        <v>1.158493670818217E-3</v>
      </c>
      <c r="P151" s="145">
        <v>3.2630214972506622E-3</v>
      </c>
      <c r="Q1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8.0334531915582374E-4</v>
      </c>
      <c r="R1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2.7088383372841918E-2</v>
      </c>
      <c r="S1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6.7005742110382016E-4</v>
      </c>
      <c r="T1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1.2885422567165961E-2</v>
      </c>
      <c r="U1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1" s="162" t="str">
        <f>ReportSummary___Track[[#This Row],[Track ID]]&amp;"-"&amp;ReportSummary___Track[[#This Row],[Epoch]]</f>
        <v>250-RL-OP-0043-45873.2916666667</v>
      </c>
      <c r="Z151" s="126">
        <f>SUBTOTAL(103,ReportSummary___Track[[#This Row],[Track ID]])</f>
        <v>1</v>
      </c>
      <c r="AA151" s="114">
        <f>_xlfn.NUMBERVALUE(RIGHT(ReportSummary___Track[[#This Row],[Track ID]],4))</f>
        <v>43</v>
      </c>
      <c r="AB151" s="78"/>
      <c r="AC151" s="1"/>
      <c r="AD151" s="4"/>
      <c r="AE151" s="4"/>
      <c r="AF151" s="4"/>
      <c r="AG151" s="4"/>
      <c r="AH151" s="1"/>
      <c r="AI151" s="1"/>
      <c r="AJ151" s="1"/>
    </row>
    <row r="152" spans="5:36" ht="12.75" x14ac:dyDescent="0.2">
      <c r="E152" s="74">
        <v>45873.291666666664</v>
      </c>
      <c r="F152" s="107" t="s">
        <v>283</v>
      </c>
      <c r="G152" s="142">
        <v>51908.242837315098</v>
      </c>
      <c r="H152" s="142">
        <v>159189.22362192487</v>
      </c>
      <c r="I152" s="142">
        <v>18.872859426244496</v>
      </c>
      <c r="J152" s="142">
        <v>51907.905490809295</v>
      </c>
      <c r="K152" s="142">
        <v>159187.95009902434</v>
      </c>
      <c r="L152" s="142">
        <v>18.861831223906176</v>
      </c>
      <c r="M152" s="145">
        <v>1.1028202338319915E-2</v>
      </c>
      <c r="N152" s="145">
        <v>1.3174918840009942</v>
      </c>
      <c r="O152" s="145">
        <v>7.4042955354869378E-4</v>
      </c>
      <c r="P152" s="145">
        <v>2.8033884368561246E-3</v>
      </c>
      <c r="Q1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-2.004980288461411E-4</v>
      </c>
      <c r="R1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-0.13215779642794523</v>
      </c>
      <c r="S1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-2.5270233550145349E-4</v>
      </c>
      <c r="T1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-2.1143610595686368E-4</v>
      </c>
      <c r="U1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2" s="162" t="str">
        <f>ReportSummary___Track[[#This Row],[Track ID]]&amp;"-"&amp;ReportSummary___Track[[#This Row],[Epoch]]</f>
        <v>250-RL-OP-0044-45873.2916666667</v>
      </c>
      <c r="Z152" s="126">
        <f>SUBTOTAL(103,ReportSummary___Track[[#This Row],[Track ID]])</f>
        <v>1</v>
      </c>
      <c r="AA152" s="114">
        <f>_xlfn.NUMBERVALUE(RIGHT(ReportSummary___Track[[#This Row],[Track ID]],4))</f>
        <v>44</v>
      </c>
      <c r="AB152" s="78"/>
      <c r="AC152" s="1"/>
      <c r="AD152" s="4"/>
      <c r="AE152" s="4"/>
      <c r="AF152" s="4"/>
      <c r="AG152" s="4"/>
      <c r="AH152" s="1"/>
      <c r="AI152" s="1"/>
      <c r="AJ152" s="1"/>
    </row>
    <row r="153" spans="5:36" ht="12.75" x14ac:dyDescent="0.2">
      <c r="E153" s="74">
        <v>45873.291666666664</v>
      </c>
      <c r="F153" s="107" t="s">
        <v>284</v>
      </c>
      <c r="G153" s="142">
        <v>51909.212441955213</v>
      </c>
      <c r="H153" s="142">
        <v>159188.9789598452</v>
      </c>
      <c r="I153" s="142">
        <v>18.875562874638629</v>
      </c>
      <c r="J153" s="142">
        <v>51908.874743372122</v>
      </c>
      <c r="K153" s="142">
        <v>159187.70404215946</v>
      </c>
      <c r="L153" s="142">
        <v>18.864174019583121</v>
      </c>
      <c r="M153" s="145">
        <v>1.1388855055507463E-2</v>
      </c>
      <c r="N153" s="145">
        <v>1.3189333358708428</v>
      </c>
      <c r="O153" s="145">
        <v>8.5525055112611881E-4</v>
      </c>
      <c r="P153" s="145">
        <v>2.4659768281871663E-3</v>
      </c>
      <c r="Q1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-8.311933115123793E-4</v>
      </c>
      <c r="R1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0.25869675483836119</v>
      </c>
      <c r="S1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-1.2589681226415905E-3</v>
      </c>
      <c r="T1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-9.0330629731738554E-4</v>
      </c>
      <c r="U1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3" s="162" t="str">
        <f>ReportSummary___Track[[#This Row],[Track ID]]&amp;"-"&amp;ReportSummary___Track[[#This Row],[Epoch]]</f>
        <v>250-RL-OP-0045-45873.2916666667</v>
      </c>
      <c r="Z153" s="126">
        <f>SUBTOTAL(103,ReportSummary___Track[[#This Row],[Track ID]])</f>
        <v>1</v>
      </c>
      <c r="AA153" s="114">
        <f>_xlfn.NUMBERVALUE(RIGHT(ReportSummary___Track[[#This Row],[Track ID]],4))</f>
        <v>45</v>
      </c>
      <c r="AB153" s="78"/>
      <c r="AC153" s="1"/>
      <c r="AD153" s="4"/>
      <c r="AE153" s="4"/>
      <c r="AF153" s="4"/>
      <c r="AG153" s="4"/>
      <c r="AH153" s="1"/>
      <c r="AI153" s="1"/>
      <c r="AJ153" s="1"/>
    </row>
    <row r="154" spans="5:36" ht="12.75" x14ac:dyDescent="0.2">
      <c r="E154" s="74">
        <v>45873.291666666664</v>
      </c>
      <c r="F154" s="107" t="s">
        <v>285</v>
      </c>
      <c r="G154" s="142">
        <v>51910.182046595335</v>
      </c>
      <c r="H154" s="142">
        <v>159188.73429776554</v>
      </c>
      <c r="I154" s="142">
        <v>18.878266323032761</v>
      </c>
      <c r="J154" s="142">
        <v>51909.843995934956</v>
      </c>
      <c r="K154" s="142">
        <v>159187.4579852946</v>
      </c>
      <c r="L154" s="142">
        <v>18.866516815260066</v>
      </c>
      <c r="M154" s="145">
        <v>1.1749507772695011E-2</v>
      </c>
      <c r="N154" s="145">
        <v>1.3203748798614652</v>
      </c>
      <c r="O154" s="145">
        <v>9.7007154869999113E-4</v>
      </c>
      <c r="P154" s="145">
        <v>2.1285652195182081E-3</v>
      </c>
      <c r="Q1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-1.4618885906259038E-3</v>
      </c>
      <c r="R1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0.64954916197712542</v>
      </c>
      <c r="S1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-2.2652339097817276E-3</v>
      </c>
      <c r="T1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-1.5951764886779074E-3</v>
      </c>
      <c r="U1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4" s="162" t="str">
        <f>ReportSummary___Track[[#This Row],[Track ID]]&amp;"-"&amp;ReportSummary___Track[[#This Row],[Epoch]]</f>
        <v>250-RL-OP-0046-45873.2916666667</v>
      </c>
      <c r="Z154" s="126">
        <f>SUBTOTAL(103,ReportSummary___Track[[#This Row],[Track ID]])</f>
        <v>1</v>
      </c>
      <c r="AA154" s="114">
        <f>_xlfn.NUMBERVALUE(RIGHT(ReportSummary___Track[[#This Row],[Track ID]],4))</f>
        <v>46</v>
      </c>
      <c r="AB154" s="78"/>
      <c r="AC154" s="1"/>
      <c r="AD154" s="4"/>
      <c r="AE154" s="4"/>
      <c r="AF154" s="4"/>
      <c r="AG154" s="4"/>
      <c r="AH154" s="1"/>
      <c r="AI154" s="1"/>
      <c r="AJ154" s="1"/>
    </row>
    <row r="155" spans="5:36" ht="12.75" x14ac:dyDescent="0.2">
      <c r="E155" s="74">
        <v>45873.291666666664</v>
      </c>
      <c r="F155" s="107" t="s">
        <v>286</v>
      </c>
      <c r="G155" s="142">
        <v>51911.152137059078</v>
      </c>
      <c r="H155" s="142">
        <v>159188.49142637121</v>
      </c>
      <c r="I155" s="142">
        <v>18.88140254939486</v>
      </c>
      <c r="J155" s="142">
        <v>51910.835192576567</v>
      </c>
      <c r="K155" s="142">
        <v>159187.2085174784</v>
      </c>
      <c r="L155" s="142">
        <v>18.869138865821263</v>
      </c>
      <c r="M155" s="145">
        <v>1.2263683573596751E-2</v>
      </c>
      <c r="N155" s="145">
        <v>1.3215367683817341</v>
      </c>
      <c r="O155" s="145">
        <v>1.2354812352768363E-3</v>
      </c>
      <c r="P155" s="145">
        <v>1.9759107888255301E-3</v>
      </c>
      <c r="Q1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7.685162241344301E-2</v>
      </c>
      <c r="R1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0.9366725106618734</v>
      </c>
      <c r="S1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7.7052120442289151E-2</v>
      </c>
      <c r="T1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7.6799418106787698E-2</v>
      </c>
      <c r="U1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5" s="162" t="str">
        <f>ReportSummary___Track[[#This Row],[Track ID]]&amp;"-"&amp;ReportSummary___Track[[#This Row],[Epoch]]</f>
        <v>250-RL-OP-0047-45873.2916666667</v>
      </c>
      <c r="Z155" s="126">
        <f>SUBTOTAL(103,ReportSummary___Track[[#This Row],[Track ID]])</f>
        <v>1</v>
      </c>
      <c r="AA155" s="114">
        <f>_xlfn.NUMBERVALUE(RIGHT(ReportSummary___Track[[#This Row],[Track ID]],4))</f>
        <v>47</v>
      </c>
      <c r="AB155" s="78"/>
      <c r="AC155" s="1"/>
      <c r="AD155" s="4"/>
      <c r="AE155" s="4"/>
      <c r="AF155" s="4"/>
      <c r="AG155" s="4"/>
      <c r="AH155" s="1"/>
      <c r="AI155" s="1"/>
      <c r="AJ155" s="1"/>
    </row>
    <row r="156" spans="5:36" ht="12.75" x14ac:dyDescent="0.2">
      <c r="E156" s="74">
        <v>45873.291666666664</v>
      </c>
      <c r="F156" s="107" t="s">
        <v>287</v>
      </c>
      <c r="G156" s="142">
        <v>51912.12384986307</v>
      </c>
      <c r="H156" s="142">
        <v>159188.25530858763</v>
      </c>
      <c r="I156" s="142">
        <v>18.88615847631544</v>
      </c>
      <c r="J156" s="142">
        <v>51911.806757288294</v>
      </c>
      <c r="K156" s="142">
        <v>159186.97176749387</v>
      </c>
      <c r="L156" s="142">
        <v>18.872523500824762</v>
      </c>
      <c r="M156" s="145">
        <v>1.3634975490678158E-2</v>
      </c>
      <c r="N156" s="145">
        <v>1.3221994376389725</v>
      </c>
      <c r="O156" s="145">
        <v>2.2461204351706954E-3</v>
      </c>
      <c r="P156" s="145">
        <v>3.1013709862968142E-3</v>
      </c>
      <c r="Q1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0.42900850741744989</v>
      </c>
      <c r="R1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0.77528525882475385</v>
      </c>
      <c r="S1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0.42983970072896227</v>
      </c>
      <c r="T1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0.42858073260632068</v>
      </c>
      <c r="U1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6" s="162" t="str">
        <f>ReportSummary___Track[[#This Row],[Track ID]]&amp;"-"&amp;ReportSummary___Track[[#This Row],[Epoch]]</f>
        <v>250-RL-OP-0048-45873.2916666667</v>
      </c>
      <c r="Z156" s="126">
        <f>SUBTOTAL(103,ReportSummary___Track[[#This Row],[Track ID]])</f>
        <v>1</v>
      </c>
      <c r="AA156" s="114">
        <f>_xlfn.NUMBERVALUE(RIGHT(ReportSummary___Track[[#This Row],[Track ID]],4))</f>
        <v>48</v>
      </c>
      <c r="AB156" s="78"/>
      <c r="AC156" s="1"/>
      <c r="AD156" s="4"/>
      <c r="AE156" s="4"/>
      <c r="AF156" s="4"/>
      <c r="AG156" s="4"/>
      <c r="AH156" s="1"/>
      <c r="AI156" s="1"/>
      <c r="AJ156" s="1"/>
    </row>
    <row r="157" spans="5:36" ht="12.75" x14ac:dyDescent="0.2">
      <c r="E157" s="74">
        <v>45873.291666666664</v>
      </c>
      <c r="F157" s="107" t="s">
        <v>288</v>
      </c>
      <c r="G157" s="142">
        <v>51913.095562667055</v>
      </c>
      <c r="H157" s="142">
        <v>159188.01919080404</v>
      </c>
      <c r="I157" s="142">
        <v>18.890914403236021</v>
      </c>
      <c r="J157" s="142">
        <v>51912.77832200002</v>
      </c>
      <c r="K157" s="142">
        <v>159186.73501750935</v>
      </c>
      <c r="L157" s="142">
        <v>18.875908135828258</v>
      </c>
      <c r="M157" s="145">
        <v>1.5006267407763119E-2</v>
      </c>
      <c r="N157" s="145">
        <v>1.3228635151435402</v>
      </c>
      <c r="O157" s="145">
        <v>3.2567596350681072E-3</v>
      </c>
      <c r="P157" s="145">
        <v>4.2268311837680983E-3</v>
      </c>
      <c r="Q1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0.7811653924285622</v>
      </c>
      <c r="R1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0.61453279200529565</v>
      </c>
      <c r="S1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0.7826272810191881</v>
      </c>
      <c r="T1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0.78036204710940638</v>
      </c>
      <c r="U1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0</v>
      </c>
      <c r="X1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0</v>
      </c>
      <c r="Y157" s="162" t="str">
        <f>ReportSummary___Track[[#This Row],[Track ID]]&amp;"-"&amp;ReportSummary___Track[[#This Row],[Epoch]]</f>
        <v>250-RL-OP-0049-45873.2916666667</v>
      </c>
      <c r="Z157" s="126">
        <f>SUBTOTAL(103,ReportSummary___Track[[#This Row],[Track ID]])</f>
        <v>1</v>
      </c>
      <c r="AA157" s="114">
        <f>_xlfn.NUMBERVALUE(RIGHT(ReportSummary___Track[[#This Row],[Track ID]],4))</f>
        <v>49</v>
      </c>
      <c r="AB157" s="78"/>
      <c r="AC157" s="1"/>
      <c r="AD157" s="4"/>
      <c r="AE157" s="4"/>
      <c r="AF157" s="4"/>
      <c r="AG157" s="4"/>
      <c r="AH157" s="1"/>
      <c r="AI157" s="1"/>
      <c r="AJ157" s="1"/>
    </row>
    <row r="158" spans="5:36" ht="12.75" x14ac:dyDescent="0.2">
      <c r="E158" s="74">
        <v>45869.291666666664</v>
      </c>
      <c r="F158" s="107" t="s">
        <v>235</v>
      </c>
      <c r="G158" s="142">
        <v>51886.101888003854</v>
      </c>
      <c r="H158" s="142">
        <v>159195.44568170901</v>
      </c>
      <c r="I158" s="142">
        <v>18.86977464079656</v>
      </c>
      <c r="J158" s="142">
        <v>51885.742954659283</v>
      </c>
      <c r="K158" s="142">
        <v>159194.18662102622</v>
      </c>
      <c r="L158" s="142">
        <v>18.865787533191366</v>
      </c>
      <c r="M158" s="145">
        <v>3.9871076051944954E-3</v>
      </c>
      <c r="N158" s="145">
        <v>1.3092298674457663</v>
      </c>
      <c r="O158" s="145"/>
      <c r="P158" s="145"/>
      <c r="Q1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-0.28165714079975146</v>
      </c>
      <c r="R1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-0.8883089416433787</v>
      </c>
      <c r="S15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5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3.651363300605226E-8</v>
      </c>
      <c r="V1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-1.9678166971925926E-4</v>
      </c>
      <c r="W15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5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58" s="162" t="str">
        <f>ReportSummary___Track[[#This Row],[Track ID]]&amp;"-"&amp;ReportSummary___Track[[#This Row],[Epoch]]</f>
        <v>250-RL-OP-0021-45869.2916666667</v>
      </c>
      <c r="Z158" s="126">
        <f>SUBTOTAL(103,ReportSummary___Track[[#This Row],[Track ID]])</f>
        <v>1</v>
      </c>
      <c r="AA158" s="114">
        <f>_xlfn.NUMBERVALUE(RIGHT(ReportSummary___Track[[#This Row],[Track ID]],4))</f>
        <v>21</v>
      </c>
      <c r="AB158" s="78"/>
      <c r="AC158" s="1"/>
      <c r="AD158" s="4"/>
      <c r="AE158" s="4"/>
      <c r="AF158" s="4"/>
      <c r="AG158" s="4"/>
      <c r="AH158" s="1"/>
      <c r="AI158" s="1"/>
      <c r="AJ158" s="1"/>
    </row>
    <row r="159" spans="5:36" ht="12.75" x14ac:dyDescent="0.2">
      <c r="E159" s="74">
        <v>45869.291666666664</v>
      </c>
      <c r="F159" s="107" t="s">
        <v>236</v>
      </c>
      <c r="G159" s="142">
        <v>51887.0635346048</v>
      </c>
      <c r="H159" s="142">
        <v>159195.17139037082</v>
      </c>
      <c r="I159" s="142">
        <v>18.869497718698447</v>
      </c>
      <c r="J159" s="142">
        <v>51886.703957855534</v>
      </c>
      <c r="K159" s="142">
        <v>159193.91008379814</v>
      </c>
      <c r="L159" s="142">
        <v>18.865652356738678</v>
      </c>
      <c r="M159" s="145">
        <v>3.8453619597689226E-3</v>
      </c>
      <c r="N159" s="145">
        <v>1.3115656657972146</v>
      </c>
      <c r="O159" s="145"/>
      <c r="P159" s="145"/>
      <c r="Q1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-0.62775930292957582</v>
      </c>
      <c r="R1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-0.46314729787155784</v>
      </c>
      <c r="S15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5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8.0400216262432878E-8</v>
      </c>
      <c r="V1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-1.033607644809198E-4</v>
      </c>
      <c r="W15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5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59" s="162" t="str">
        <f>ReportSummary___Track[[#This Row],[Track ID]]&amp;"-"&amp;ReportSummary___Track[[#This Row],[Epoch]]</f>
        <v>250-RL-OP-0022-45869.2916666667</v>
      </c>
      <c r="Z159" s="126">
        <f>SUBTOTAL(103,ReportSummary___Track[[#This Row],[Track ID]])</f>
        <v>1</v>
      </c>
      <c r="AA159" s="114">
        <f>_xlfn.NUMBERVALUE(RIGHT(ReportSummary___Track[[#This Row],[Track ID]],4))</f>
        <v>22</v>
      </c>
      <c r="AB159" s="78"/>
      <c r="AC159" s="1"/>
      <c r="AD159" s="4"/>
      <c r="AE159" s="4"/>
      <c r="AF159" s="4"/>
      <c r="AG159" s="4"/>
      <c r="AH159" s="1"/>
      <c r="AI159" s="1"/>
      <c r="AJ159" s="1"/>
    </row>
    <row r="160" spans="5:36" ht="12.75" x14ac:dyDescent="0.2">
      <c r="E160" s="74">
        <v>45869.291666666664</v>
      </c>
      <c r="F160" s="107" t="s">
        <v>237</v>
      </c>
      <c r="G160" s="142">
        <v>51888.025181205747</v>
      </c>
      <c r="H160" s="142">
        <v>159194.89709903265</v>
      </c>
      <c r="I160" s="142">
        <v>18.869220796600338</v>
      </c>
      <c r="J160" s="142">
        <v>51887.664961051785</v>
      </c>
      <c r="K160" s="142">
        <v>159193.63354657005</v>
      </c>
      <c r="L160" s="142">
        <v>18.865517180285991</v>
      </c>
      <c r="M160" s="145">
        <v>3.7036163143469025E-3</v>
      </c>
      <c r="N160" s="145">
        <v>1.3139014810187717</v>
      </c>
      <c r="O160" s="145"/>
      <c r="P160" s="145"/>
      <c r="Q1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-0.97386146505584748</v>
      </c>
      <c r="R1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-3.7998591615906463E-2</v>
      </c>
      <c r="S16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6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1.242867995188135E-7</v>
      </c>
      <c r="V1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-9.9397977364468204E-6</v>
      </c>
      <c r="W16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6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60" s="162" t="str">
        <f>ReportSummary___Track[[#This Row],[Track ID]]&amp;"-"&amp;ReportSummary___Track[[#This Row],[Epoch]]</f>
        <v>250-RL-OP-0023-45869.2916666667</v>
      </c>
      <c r="Z160" s="126">
        <f>SUBTOTAL(103,ReportSummary___Track[[#This Row],[Track ID]])</f>
        <v>1</v>
      </c>
      <c r="AA160" s="114">
        <f>_xlfn.NUMBERVALUE(RIGHT(ReportSummary___Track[[#This Row],[Track ID]],4))</f>
        <v>23</v>
      </c>
      <c r="AB160" s="78"/>
      <c r="AC160" s="1"/>
      <c r="AD160" s="4"/>
      <c r="AE160" s="4"/>
      <c r="AF160" s="4"/>
      <c r="AG160" s="4"/>
      <c r="AH160" s="1"/>
      <c r="AI160" s="1"/>
      <c r="AJ160" s="1"/>
    </row>
    <row r="161" spans="5:36" ht="12.75" x14ac:dyDescent="0.2">
      <c r="E161" s="74">
        <v>45869.291666666664</v>
      </c>
      <c r="F161" s="107" t="s">
        <v>238</v>
      </c>
      <c r="G161" s="142">
        <v>51888.986288492531</v>
      </c>
      <c r="H161" s="142">
        <v>159194.62201568196</v>
      </c>
      <c r="I161" s="142">
        <v>18.868826216423926</v>
      </c>
      <c r="J161" s="142">
        <v>51888.624104054346</v>
      </c>
      <c r="K161" s="142">
        <v>159193.35707270369</v>
      </c>
      <c r="L161" s="142">
        <v>18.864752301102019</v>
      </c>
      <c r="M161" s="145">
        <v>4.0739153219071511E-3</v>
      </c>
      <c r="N161" s="145">
        <v>1.3157791996908479</v>
      </c>
      <c r="O161" s="145">
        <v>8.6807716712655747E-5</v>
      </c>
      <c r="P161" s="145"/>
      <c r="Q1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-0.6885062371715378</v>
      </c>
      <c r="R1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9.7703590320463718E-3</v>
      </c>
      <c r="S1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-0.40684909637178635</v>
      </c>
      <c r="T16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1.2406992166091868E-5</v>
      </c>
      <c r="V1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3.8922497447302362E-8</v>
      </c>
      <c r="W1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1.2370478533085816E-5</v>
      </c>
      <c r="X16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61" s="162" t="str">
        <f>ReportSummary___Track[[#This Row],[Track ID]]&amp;"-"&amp;ReportSummary___Track[[#This Row],[Epoch]]</f>
        <v>250-RL-OP-0024-45869.2916666667</v>
      </c>
      <c r="Z161" s="126">
        <f>SUBTOTAL(103,ReportSummary___Track[[#This Row],[Track ID]])</f>
        <v>1</v>
      </c>
      <c r="AA161" s="114">
        <f>_xlfn.NUMBERVALUE(RIGHT(ReportSummary___Track[[#This Row],[Track ID]],4))</f>
        <v>24</v>
      </c>
      <c r="AB161" s="78"/>
      <c r="AC161" s="1"/>
      <c r="AD161" s="4"/>
      <c r="AE161" s="4"/>
      <c r="AF161" s="4"/>
      <c r="AG161" s="4"/>
      <c r="AH161" s="1"/>
      <c r="AI161" s="1"/>
      <c r="AJ161" s="1"/>
    </row>
    <row r="162" spans="5:36" ht="12.75" x14ac:dyDescent="0.2">
      <c r="E162" s="74">
        <v>45869.291666666664</v>
      </c>
      <c r="F162" s="107" t="s">
        <v>239</v>
      </c>
      <c r="G162" s="142">
        <v>51889.947664755273</v>
      </c>
      <c r="H162" s="142">
        <v>159194.34677847879</v>
      </c>
      <c r="I162" s="142">
        <v>18.868421951254046</v>
      </c>
      <c r="J162" s="142">
        <v>51889.584962801164</v>
      </c>
      <c r="K162" s="142">
        <v>159193.08003528396</v>
      </c>
      <c r="L162" s="142">
        <v>18.863893962337269</v>
      </c>
      <c r="M162" s="145">
        <v>4.5279889167773035E-3</v>
      </c>
      <c r="N162" s="145">
        <v>1.3176537981809908</v>
      </c>
      <c r="O162" s="145">
        <v>6.8262695700838094E-4</v>
      </c>
      <c r="P162" s="145"/>
      <c r="Q1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-0.35160581236581834</v>
      </c>
      <c r="R1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4.8078640273452322E-3</v>
      </c>
      <c r="S1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0.27615349056375749</v>
      </c>
      <c r="T16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5.959409794087378E-6</v>
      </c>
      <c r="V1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2.1698336905018323E-8</v>
      </c>
      <c r="W1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5.8790095778249452E-6</v>
      </c>
      <c r="X16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62" s="162" t="str">
        <f>ReportSummary___Track[[#This Row],[Track ID]]&amp;"-"&amp;ReportSummary___Track[[#This Row],[Epoch]]</f>
        <v>250-RL-OP-0025-45869.2916666667</v>
      </c>
      <c r="Z162" s="126">
        <f>SUBTOTAL(103,ReportSummary___Track[[#This Row],[Track ID]])</f>
        <v>1</v>
      </c>
      <c r="AA162" s="114">
        <f>_xlfn.NUMBERVALUE(RIGHT(ReportSummary___Track[[#This Row],[Track ID]],4))</f>
        <v>25</v>
      </c>
      <c r="AB162" s="78"/>
      <c r="AC162" s="1"/>
      <c r="AD162" s="4"/>
      <c r="AE162" s="4"/>
      <c r="AF162" s="4"/>
      <c r="AG162" s="4"/>
      <c r="AH162" s="1"/>
      <c r="AI162" s="1"/>
      <c r="AJ162" s="1"/>
    </row>
    <row r="163" spans="5:36" ht="12.75" x14ac:dyDescent="0.2">
      <c r="E163" s="74">
        <v>45869.291666666664</v>
      </c>
      <c r="F163" s="107" t="s">
        <v>240</v>
      </c>
      <c r="G163" s="142">
        <v>51890.909041018014</v>
      </c>
      <c r="H163" s="142">
        <v>159194.07154127565</v>
      </c>
      <c r="I163" s="142">
        <v>18.868017686084166</v>
      </c>
      <c r="J163" s="142">
        <v>51890.545821547981</v>
      </c>
      <c r="K163" s="142">
        <v>159192.80299786426</v>
      </c>
      <c r="L163" s="142">
        <v>18.863035623572515</v>
      </c>
      <c r="M163" s="145">
        <v>4.9820625116510087E-3</v>
      </c>
      <c r="N163" s="145">
        <v>1.3195285487449451</v>
      </c>
      <c r="O163" s="145">
        <v>1.2784461973041061E-3</v>
      </c>
      <c r="P163" s="145"/>
      <c r="Q1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-1.4705387556546157E-2</v>
      </c>
      <c r="R1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-1.1804263122527914E-5</v>
      </c>
      <c r="S1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0.95915607749930132</v>
      </c>
      <c r="T16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-4.8817257791711199E-7</v>
      </c>
      <c r="V1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5.7543747544741564E-11</v>
      </c>
      <c r="W1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-6.1245937743592549E-7</v>
      </c>
      <c r="X16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63" s="162" t="str">
        <f>ReportSummary___Track[[#This Row],[Track ID]]&amp;"-"&amp;ReportSummary___Track[[#This Row],[Epoch]]</f>
        <v>250-RL-OP-0026-45869.2916666667</v>
      </c>
      <c r="Z163" s="126">
        <f>SUBTOTAL(103,ReportSummary___Track[[#This Row],[Track ID]])</f>
        <v>1</v>
      </c>
      <c r="AA163" s="114">
        <f>_xlfn.NUMBERVALUE(RIGHT(ReportSummary___Track[[#This Row],[Track ID]],4))</f>
        <v>26</v>
      </c>
      <c r="AB163" s="78"/>
      <c r="AC163" s="1"/>
      <c r="AD163" s="4"/>
      <c r="AE163" s="4"/>
      <c r="AF163" s="4"/>
      <c r="AG163" s="4"/>
      <c r="AH163" s="1"/>
      <c r="AI163" s="1"/>
      <c r="AJ163" s="1"/>
    </row>
    <row r="164" spans="5:36" ht="12.75" x14ac:dyDescent="0.2">
      <c r="E164" s="74">
        <v>45869.291666666664</v>
      </c>
      <c r="F164" s="107" t="s">
        <v>241</v>
      </c>
      <c r="G164" s="142">
        <v>51891.870085166687</v>
      </c>
      <c r="H164" s="142">
        <v>159193.79534240576</v>
      </c>
      <c r="I164" s="142">
        <v>18.865661447731828</v>
      </c>
      <c r="J164" s="142">
        <v>51891.504352850017</v>
      </c>
      <c r="K164" s="142">
        <v>159192.52690828382</v>
      </c>
      <c r="L164" s="142">
        <v>18.860959197096111</v>
      </c>
      <c r="M164" s="145">
        <v>4.7022506357166094E-3</v>
      </c>
      <c r="N164" s="145">
        <v>1.3201164192322909</v>
      </c>
      <c r="O164" s="145">
        <v>6.2833531380945828E-4</v>
      </c>
      <c r="P164" s="145">
        <v>7.1514303052211403E-4</v>
      </c>
      <c r="Q1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-6.9568581650969463E-4</v>
      </c>
      <c r="R1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-8.4508484710754672E-2</v>
      </c>
      <c r="S1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0.68781055135502811</v>
      </c>
      <c r="T1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0.28096145498324177</v>
      </c>
      <c r="U1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3.2393582554846034E-4</v>
      </c>
      <c r="V1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1.1143058162854658E-6</v>
      </c>
      <c r="W1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3.1152883338236848E-4</v>
      </c>
      <c r="X1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3.2389931191545429E-4</v>
      </c>
      <c r="Y164" s="162" t="str">
        <f>ReportSummary___Track[[#This Row],[Track ID]]&amp;"-"&amp;ReportSummary___Track[[#This Row],[Epoch]]</f>
        <v>250-RL-OP-0027-45869.2916666667</v>
      </c>
      <c r="Z164" s="126">
        <f>SUBTOTAL(103,ReportSummary___Track[[#This Row],[Track ID]])</f>
        <v>1</v>
      </c>
      <c r="AA164" s="114">
        <f>_xlfn.NUMBERVALUE(RIGHT(ReportSummary___Track[[#This Row],[Track ID]],4))</f>
        <v>27</v>
      </c>
      <c r="AB164" s="78"/>
      <c r="AC164" s="1"/>
      <c r="AD164" s="4"/>
      <c r="AE164" s="4"/>
      <c r="AF164" s="4"/>
      <c r="AG164" s="4"/>
      <c r="AH164" s="1"/>
      <c r="AI164" s="1"/>
      <c r="AJ164" s="1"/>
    </row>
    <row r="165" spans="5:36" ht="12.75" x14ac:dyDescent="0.2">
      <c r="E165" s="74">
        <v>45869.291666666664</v>
      </c>
      <c r="F165" s="107" t="s">
        <v>242</v>
      </c>
      <c r="G165" s="142">
        <v>51892.831165658921</v>
      </c>
      <c r="H165" s="142">
        <v>159193.51908472509</v>
      </c>
      <c r="I165" s="142">
        <v>18.863215774997911</v>
      </c>
      <c r="J165" s="142">
        <v>51892.465286793558</v>
      </c>
      <c r="K165" s="142">
        <v>159192.25013870624</v>
      </c>
      <c r="L165" s="142">
        <v>18.858824466025101</v>
      </c>
      <c r="M165" s="145">
        <v>4.3913089728100374E-3</v>
      </c>
      <c r="N165" s="145">
        <v>1.3206478056180186</v>
      </c>
      <c r="O165" s="145">
        <v>-1.3667994396726613E-4</v>
      </c>
      <c r="P165" s="145">
        <v>5.4594701304111481E-4</v>
      </c>
      <c r="Q1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-1.4233419420861537E-3</v>
      </c>
      <c r="R1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-0.17297553019246514</v>
      </c>
      <c r="S1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0.35018247042373218</v>
      </c>
      <c r="T1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0.62633596098748967</v>
      </c>
      <c r="U1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6.6278083134463373E-4</v>
      </c>
      <c r="V1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2.0378921459229815E-6</v>
      </c>
      <c r="W1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6.5682142155054635E-4</v>
      </c>
      <c r="X1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6.6270043112837129E-4</v>
      </c>
      <c r="Y165" s="162" t="str">
        <f>ReportSummary___Track[[#This Row],[Track ID]]&amp;"-"&amp;ReportSummary___Track[[#This Row],[Epoch]]</f>
        <v>250-RL-OP-0028-45869.2916666667</v>
      </c>
      <c r="Z165" s="126">
        <f>SUBTOTAL(103,ReportSummary___Track[[#This Row],[Track ID]])</f>
        <v>1</v>
      </c>
      <c r="AA165" s="114">
        <f>_xlfn.NUMBERVALUE(RIGHT(ReportSummary___Track[[#This Row],[Track ID]],4))</f>
        <v>28</v>
      </c>
      <c r="AB165" s="78"/>
      <c r="AC165" s="1"/>
      <c r="AD165" s="4"/>
      <c r="AE165" s="4"/>
      <c r="AF165" s="4"/>
      <c r="AG165" s="4"/>
      <c r="AH165" s="1"/>
      <c r="AI165" s="1"/>
      <c r="AJ165" s="1"/>
    </row>
    <row r="166" spans="5:36" ht="12.75" x14ac:dyDescent="0.2">
      <c r="E166" s="74">
        <v>45869.291666666664</v>
      </c>
      <c r="F166" s="107" t="s">
        <v>243</v>
      </c>
      <c r="G166" s="142">
        <v>51893.791838945894</v>
      </c>
      <c r="H166" s="142">
        <v>159193.24290592305</v>
      </c>
      <c r="I166" s="142">
        <v>18.860908806466888</v>
      </c>
      <c r="J166" s="142">
        <v>51893.426692579691</v>
      </c>
      <c r="K166" s="142">
        <v>159191.97323179542</v>
      </c>
      <c r="L166" s="142">
        <v>18.85670271923307</v>
      </c>
      <c r="M166" s="145">
        <v>4.2060872338183231E-3</v>
      </c>
      <c r="N166" s="145">
        <v>1.3211441822507177</v>
      </c>
      <c r="O166" s="145">
        <v>-7.7597527783268561E-4</v>
      </c>
      <c r="P166" s="145">
        <v>5.0247091947142053E-4</v>
      </c>
      <c r="Q1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-2.9061730799639918E-6</v>
      </c>
      <c r="R1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-0.2544274470448471</v>
      </c>
      <c r="S1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1.4702481383466193E-2</v>
      </c>
      <c r="T1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0.97385855888276751</v>
      </c>
      <c r="U1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9.8238951548879072E-4</v>
      </c>
      <c r="V1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1.968484059133857E-5</v>
      </c>
      <c r="W1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9.8287768806670783E-4</v>
      </c>
      <c r="X1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9.8226522868927191E-4</v>
      </c>
      <c r="Y166" s="162" t="str">
        <f>ReportSummary___Track[[#This Row],[Track ID]]&amp;"-"&amp;ReportSummary___Track[[#This Row],[Epoch]]</f>
        <v>250-RL-OP-0029-45869.2916666667</v>
      </c>
      <c r="Z166" s="126">
        <f>SUBTOTAL(103,ReportSummary___Track[[#This Row],[Track ID]])</f>
        <v>1</v>
      </c>
      <c r="AA166" s="114">
        <f>_xlfn.NUMBERVALUE(RIGHT(ReportSummary___Track[[#This Row],[Track ID]],4))</f>
        <v>29</v>
      </c>
      <c r="AB166" s="78"/>
      <c r="AC166" s="1"/>
      <c r="AD166" s="4"/>
      <c r="AE166" s="4"/>
      <c r="AF166" s="4"/>
      <c r="AG166" s="4"/>
      <c r="AH166" s="1"/>
      <c r="AI166" s="1"/>
      <c r="AJ166" s="1"/>
    </row>
    <row r="167" spans="5:36" ht="12.75" x14ac:dyDescent="0.2">
      <c r="E167" s="74">
        <v>45869.291666666664</v>
      </c>
      <c r="F167" s="107" t="s">
        <v>269</v>
      </c>
      <c r="G167" s="142">
        <v>51894.752729759806</v>
      </c>
      <c r="H167" s="142">
        <v>159192.96597846717</v>
      </c>
      <c r="I167" s="142">
        <v>18.861075912100414</v>
      </c>
      <c r="J167" s="142">
        <v>51894.387556672729</v>
      </c>
      <c r="K167" s="142">
        <v>159191.69621206418</v>
      </c>
      <c r="L167" s="142">
        <v>18.857215782076423</v>
      </c>
      <c r="M167" s="145">
        <v>3.8601300239911041E-3</v>
      </c>
      <c r="N167" s="145">
        <v>1.3212391919238418</v>
      </c>
      <c r="O167" s="145">
        <v>-8.4212061172550534E-4</v>
      </c>
      <c r="P167" s="145">
        <v>-2.1378529791604706E-4</v>
      </c>
      <c r="Q1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-2.0966695046809036E-4</v>
      </c>
      <c r="R1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0.25407811085043086</v>
      </c>
      <c r="S1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4.8601886604160427E-4</v>
      </c>
      <c r="T1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0.68829657022106971</v>
      </c>
      <c r="U1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6.4822472398162745E-4</v>
      </c>
      <c r="V1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3.3976698819193629E-4</v>
      </c>
      <c r="W1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3.2428889843316711E-4</v>
      </c>
      <c r="X1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6.3581773181553558E-4</v>
      </c>
      <c r="Y167" s="162" t="str">
        <f>ReportSummary___Track[[#This Row],[Track ID]]&amp;"-"&amp;ReportSummary___Track[[#This Row],[Epoch]]</f>
        <v>250-RL-OP-0030-45869.2916666667</v>
      </c>
      <c r="Z167" s="126">
        <f>SUBTOTAL(103,ReportSummary___Track[[#This Row],[Track ID]])</f>
        <v>1</v>
      </c>
      <c r="AA167" s="114">
        <f>_xlfn.NUMBERVALUE(RIGHT(ReportSummary___Track[[#This Row],[Track ID]],4))</f>
        <v>30</v>
      </c>
      <c r="AB167" s="78"/>
      <c r="AC167" s="1"/>
      <c r="AD167" s="4"/>
      <c r="AE167" s="4"/>
      <c r="AF167" s="4"/>
      <c r="AG167" s="4"/>
      <c r="AH167" s="1"/>
      <c r="AI167" s="1"/>
      <c r="AJ167" s="1"/>
    </row>
    <row r="168" spans="5:36" ht="12.75" x14ac:dyDescent="0.2">
      <c r="E168" s="74">
        <v>45869.291666666664</v>
      </c>
      <c r="F168" s="107" t="s">
        <v>270</v>
      </c>
      <c r="G168" s="142">
        <v>51895.713620573719</v>
      </c>
      <c r="H168" s="142">
        <v>159192.68905101132</v>
      </c>
      <c r="I168" s="142">
        <v>18.861243017733944</v>
      </c>
      <c r="J168" s="142">
        <v>51895.34842076576</v>
      </c>
      <c r="K168" s="142">
        <v>159191.41919233298</v>
      </c>
      <c r="L168" s="142">
        <v>18.857728844919777</v>
      </c>
      <c r="M168" s="145">
        <v>3.5141728141674378E-3</v>
      </c>
      <c r="N168" s="145">
        <v>1.3213342923317339</v>
      </c>
      <c r="O168" s="145">
        <v>-8.7713615864259964E-4</v>
      </c>
      <c r="P168" s="145">
        <v>-1.0138161026098658E-3</v>
      </c>
      <c r="Q1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-4.1642772430350306E-4</v>
      </c>
      <c r="R1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0.76258453848132568</v>
      </c>
      <c r="S1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1.0069142177826507E-3</v>
      </c>
      <c r="T1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0.35118938464151483</v>
      </c>
      <c r="U1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3.1405993247801689E-4</v>
      </c>
      <c r="V1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6.5993980076495262E-4</v>
      </c>
      <c r="W1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-3.4872089886661684E-4</v>
      </c>
      <c r="X1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3.0810052268392951E-4</v>
      </c>
      <c r="Y168" s="162" t="str">
        <f>ReportSummary___Track[[#This Row],[Track ID]]&amp;"-"&amp;ReportSummary___Track[[#This Row],[Epoch]]</f>
        <v>250-RL-OP-0031-45869.2916666667</v>
      </c>
      <c r="Z168" s="126">
        <f>SUBTOTAL(103,ReportSummary___Track[[#This Row],[Track ID]])</f>
        <v>1</v>
      </c>
      <c r="AA168" s="114">
        <f>_xlfn.NUMBERVALUE(RIGHT(ReportSummary___Track[[#This Row],[Track ID]],4))</f>
        <v>31</v>
      </c>
      <c r="AB168" s="78"/>
      <c r="AC168" s="1"/>
      <c r="AD168" s="4"/>
      <c r="AE168" s="4"/>
      <c r="AF168" s="4"/>
      <c r="AG168" s="4"/>
      <c r="AH168" s="1"/>
      <c r="AI168" s="1"/>
      <c r="AJ168" s="1"/>
    </row>
    <row r="169" spans="5:36" ht="12.75" x14ac:dyDescent="0.2">
      <c r="E169" s="74">
        <v>45869.291666666664</v>
      </c>
      <c r="F169" s="107" t="s">
        <v>271</v>
      </c>
      <c r="G169" s="142">
        <v>51896.675400289481</v>
      </c>
      <c r="H169" s="142">
        <v>159192.41188835373</v>
      </c>
      <c r="I169" s="142">
        <v>18.861498357934735</v>
      </c>
      <c r="J169" s="142">
        <v>51896.308530813891</v>
      </c>
      <c r="K169" s="142">
        <v>159191.14274193271</v>
      </c>
      <c r="L169" s="142">
        <v>18.85824732893396</v>
      </c>
      <c r="M169" s="145">
        <v>3.2510290007756737E-3</v>
      </c>
      <c r="N169" s="145">
        <v>1.3211118118095491</v>
      </c>
      <c r="O169" s="145">
        <v>-9.5505823304264936E-4</v>
      </c>
      <c r="P169" s="145">
        <v>-1.731033510875335E-3</v>
      </c>
      <c r="Q1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1.1234707386620357E-5</v>
      </c>
      <c r="R1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1.2037951487520182</v>
      </c>
      <c r="S1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1.4140880466584349E-5</v>
      </c>
      <c r="T1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1.4716622263932777E-2</v>
      </c>
      <c r="U1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-4.6791292618308944E-8</v>
      </c>
      <c r="V1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9.1921644641490552E-4</v>
      </c>
      <c r="W1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-9.8243630678140903E-4</v>
      </c>
      <c r="X1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4.4138128529880305E-7</v>
      </c>
      <c r="Y169" s="162" t="str">
        <f>ReportSummary___Track[[#This Row],[Track ID]]&amp;"-"&amp;ReportSummary___Track[[#This Row],[Epoch]]</f>
        <v>250-RL-OP-0032-45869.2916666667</v>
      </c>
      <c r="Z169" s="126">
        <f>SUBTOTAL(103,ReportSummary___Track[[#This Row],[Track ID]])</f>
        <v>1</v>
      </c>
      <c r="AA169" s="114">
        <f>_xlfn.NUMBERVALUE(RIGHT(ReportSummary___Track[[#This Row],[Track ID]],4))</f>
        <v>32</v>
      </c>
      <c r="AB169" s="78"/>
      <c r="AC169" s="1"/>
      <c r="AD169" s="4"/>
      <c r="AE169" s="4"/>
      <c r="AF169" s="4"/>
      <c r="AG169" s="4"/>
      <c r="AH169" s="1"/>
      <c r="AI169" s="1"/>
      <c r="AJ169" s="1"/>
    </row>
    <row r="170" spans="5:36" ht="12.75" x14ac:dyDescent="0.2">
      <c r="E170" s="74">
        <v>45869.291666666664</v>
      </c>
      <c r="F170" s="107" t="s">
        <v>272</v>
      </c>
      <c r="G170" s="142">
        <v>51897.636380606236</v>
      </c>
      <c r="H170" s="142">
        <v>159192.13527621914</v>
      </c>
      <c r="I170" s="142">
        <v>18.863097673946701</v>
      </c>
      <c r="J170" s="142">
        <v>51897.27054583728</v>
      </c>
      <c r="K170" s="142">
        <v>159190.86974605056</v>
      </c>
      <c r="L170" s="142">
        <v>18.858833083067108</v>
      </c>
      <c r="M170" s="145">
        <v>4.2645908795932996E-3</v>
      </c>
      <c r="N170" s="145">
        <v>1.3173533590052764</v>
      </c>
      <c r="O170" s="145">
        <v>4.0446085560219558E-4</v>
      </c>
      <c r="P170" s="145">
        <v>-4.3765975612330976E-4</v>
      </c>
      <c r="Q1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1.5027814015411423E-4</v>
      </c>
      <c r="R1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0.77816563564647723</v>
      </c>
      <c r="S1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3.5994509062220459E-4</v>
      </c>
      <c r="T1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8.4596395666380886E-4</v>
      </c>
      <c r="U1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-7.9032579591853391E-7</v>
      </c>
      <c r="V1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3.4973298194973523E-4</v>
      </c>
      <c r="W1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-6.4901504977754598E-4</v>
      </c>
      <c r="X1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-3.2472615134437888E-4</v>
      </c>
      <c r="Y170" s="162" t="str">
        <f>ReportSummary___Track[[#This Row],[Track ID]]&amp;"-"&amp;ReportSummary___Track[[#This Row],[Epoch]]</f>
        <v>250-RL-OP-0033-45869.2916666667</v>
      </c>
      <c r="Z170" s="126">
        <f>SUBTOTAL(103,ReportSummary___Track[[#This Row],[Track ID]])</f>
        <v>1</v>
      </c>
      <c r="AA170" s="114">
        <f>_xlfn.NUMBERVALUE(RIGHT(ReportSummary___Track[[#This Row],[Track ID]],4))</f>
        <v>33</v>
      </c>
      <c r="AB170" s="78"/>
      <c r="AC170" s="1"/>
      <c r="AD170" s="4"/>
      <c r="AE170" s="4"/>
      <c r="AF170" s="4"/>
      <c r="AG170" s="4"/>
      <c r="AH170" s="1"/>
      <c r="AI170" s="1"/>
      <c r="AJ170" s="1"/>
    </row>
    <row r="171" spans="5:36" ht="12.75" x14ac:dyDescent="0.2">
      <c r="E171" s="74">
        <v>45869.291666666664</v>
      </c>
      <c r="F171" s="107" t="s">
        <v>273</v>
      </c>
      <c r="G171" s="142">
        <v>51898.597360922991</v>
      </c>
      <c r="H171" s="142">
        <v>159191.85866408455</v>
      </c>
      <c r="I171" s="142">
        <v>18.864696989958667</v>
      </c>
      <c r="J171" s="142">
        <v>51898.232560860662</v>
      </c>
      <c r="K171" s="142">
        <v>159190.59675016839</v>
      </c>
      <c r="L171" s="142">
        <v>18.859418837200259</v>
      </c>
      <c r="M171" s="145">
        <v>5.2781527584073729E-3</v>
      </c>
      <c r="N171" s="145">
        <v>1.3135957049852005</v>
      </c>
      <c r="O171" s="145">
        <v>1.7639799442399351E-3</v>
      </c>
      <c r="P171" s="145">
        <v>8.8684378559733545E-4</v>
      </c>
      <c r="Q1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2.8932156936889442E-4</v>
      </c>
      <c r="R1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0.35253808185520263</v>
      </c>
      <c r="S1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7.0574929367239747E-4</v>
      </c>
      <c r="T1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1.7126635114550481E-3</v>
      </c>
      <c r="U1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-1.5338603063241862E-6</v>
      </c>
      <c r="V1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-2.1974896988941062E-4</v>
      </c>
      <c r="W1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-3.1559379278434108E-4</v>
      </c>
      <c r="X1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-6.6431469165095791E-4</v>
      </c>
      <c r="Y171" s="162" t="str">
        <f>ReportSummary___Track[[#This Row],[Track ID]]&amp;"-"&amp;ReportSummary___Track[[#This Row],[Epoch]]</f>
        <v>250-RL-OP-0034-45869.2916666667</v>
      </c>
      <c r="Z171" s="126">
        <f>SUBTOTAL(103,ReportSummary___Track[[#This Row],[Track ID]])</f>
        <v>1</v>
      </c>
      <c r="AA171" s="114">
        <f>_xlfn.NUMBERVALUE(RIGHT(ReportSummary___Track[[#This Row],[Track ID]],4))</f>
        <v>34</v>
      </c>
      <c r="AB171" s="78"/>
      <c r="AC171" s="1"/>
      <c r="AD171" s="4"/>
      <c r="AE171" s="4"/>
      <c r="AF171" s="4"/>
      <c r="AG171" s="4"/>
      <c r="AH171" s="1"/>
      <c r="AI171" s="1"/>
      <c r="AJ171" s="1"/>
    </row>
    <row r="172" spans="5:36" ht="12.75" x14ac:dyDescent="0.2">
      <c r="E172" s="74">
        <v>45869.291666666664</v>
      </c>
      <c r="F172" s="107" t="s">
        <v>274</v>
      </c>
      <c r="G172" s="142">
        <v>51899.558764406611</v>
      </c>
      <c r="H172" s="142">
        <v>159191.58343476392</v>
      </c>
      <c r="I172" s="142">
        <v>18.86593835426369</v>
      </c>
      <c r="J172" s="142">
        <v>51899.20347231318</v>
      </c>
      <c r="K172" s="142">
        <v>159190.32162002905</v>
      </c>
      <c r="L172" s="142">
        <v>18.859716140793914</v>
      </c>
      <c r="M172" s="145">
        <v>6.2222134697762499E-3</v>
      </c>
      <c r="N172" s="145">
        <v>1.310895729159425</v>
      </c>
      <c r="O172" s="145">
        <v>2.9711844690005762E-3</v>
      </c>
      <c r="P172" s="145">
        <v>2.0161262359579268E-3</v>
      </c>
      <c r="Q1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-3.4851317920470137E-4</v>
      </c>
      <c r="R1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5.9732961540825968E-2</v>
      </c>
      <c r="S1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-3.5974788659132173E-4</v>
      </c>
      <c r="T1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-3.4560700612473738E-4</v>
      </c>
      <c r="U1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-4.1527364658122679E-8</v>
      </c>
      <c r="V1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-5.9034874122487757E-4</v>
      </c>
      <c r="W1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5.2639279601862654E-9</v>
      </c>
      <c r="X1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-9.8243104285344884E-4</v>
      </c>
      <c r="Y172" s="162" t="str">
        <f>ReportSummary___Track[[#This Row],[Track ID]]&amp;"-"&amp;ReportSummary___Track[[#This Row],[Epoch]]</f>
        <v>250-RL-OP-0035-45869.2916666667</v>
      </c>
      <c r="Z172" s="126">
        <f>SUBTOTAL(103,ReportSummary___Track[[#This Row],[Track ID]])</f>
        <v>1</v>
      </c>
      <c r="AA172" s="114">
        <f>_xlfn.NUMBERVALUE(RIGHT(ReportSummary___Track[[#This Row],[Track ID]],4))</f>
        <v>35</v>
      </c>
      <c r="AB172" s="78"/>
      <c r="AC172" s="1"/>
      <c r="AD172" s="4"/>
      <c r="AE172" s="4"/>
      <c r="AF172" s="4"/>
      <c r="AG172" s="4"/>
      <c r="AH172" s="1"/>
      <c r="AI172" s="1"/>
      <c r="AJ172" s="1"/>
    </row>
    <row r="173" spans="5:36" ht="12.75" x14ac:dyDescent="0.2">
      <c r="E173" s="74">
        <v>45869.291666666664</v>
      </c>
      <c r="F173" s="107" t="s">
        <v>275</v>
      </c>
      <c r="G173" s="142">
        <v>51900.521875073719</v>
      </c>
      <c r="H173" s="142">
        <v>159191.31432933433</v>
      </c>
      <c r="I173" s="142">
        <v>18.865605673549666</v>
      </c>
      <c r="J173" s="142">
        <v>51900.166031253939</v>
      </c>
      <c r="K173" s="142">
        <v>159190.05054932597</v>
      </c>
      <c r="L173" s="142">
        <v>18.858736603201553</v>
      </c>
      <c r="M173" s="145">
        <v>6.8690703481131266E-3</v>
      </c>
      <c r="N173" s="145">
        <v>1.3129401805628116</v>
      </c>
      <c r="O173" s="145">
        <v>2.6044794685198269E-3</v>
      </c>
      <c r="P173" s="145">
        <v>3.0089403241220225E-3</v>
      </c>
      <c r="Q1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-6.4590453625612554E-3</v>
      </c>
      <c r="R1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0.38613714508684005</v>
      </c>
      <c r="S1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-6.6093235027153696E-3</v>
      </c>
      <c r="T1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-6.249378412093165E-3</v>
      </c>
      <c r="U1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-2.6451383305925447E-7</v>
      </c>
      <c r="V1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-4.5253680911683247E-5</v>
      </c>
      <c r="W1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5.2581196285927945E-7</v>
      </c>
      <c r="X1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-6.484892378146867E-4</v>
      </c>
      <c r="Y173" s="162" t="str">
        <f>ReportSummary___Track[[#This Row],[Track ID]]&amp;"-"&amp;ReportSummary___Track[[#This Row],[Epoch]]</f>
        <v>250-RL-OP-0036-45869.2916666667</v>
      </c>
      <c r="Z173" s="126">
        <f>SUBTOTAL(103,ReportSummary___Track[[#This Row],[Track ID]])</f>
        <v>1</v>
      </c>
      <c r="AA173" s="114">
        <f>_xlfn.NUMBERVALUE(RIGHT(ReportSummary___Track[[#This Row],[Track ID]],4))</f>
        <v>36</v>
      </c>
      <c r="AB173" s="78"/>
      <c r="AC173" s="1"/>
      <c r="AD173" s="4"/>
      <c r="AE173" s="4"/>
      <c r="AF173" s="4"/>
      <c r="AG173" s="4"/>
      <c r="AH173" s="1"/>
      <c r="AI173" s="1"/>
      <c r="AJ173" s="1"/>
    </row>
    <row r="174" spans="5:36" ht="12.75" x14ac:dyDescent="0.2">
      <c r="E174" s="74">
        <v>45869.291666666664</v>
      </c>
      <c r="F174" s="107" t="s">
        <v>276</v>
      </c>
      <c r="G174" s="142">
        <v>51901.484985740819</v>
      </c>
      <c r="H174" s="142">
        <v>159191.04522390474</v>
      </c>
      <c r="I174" s="142">
        <v>18.865272992835639</v>
      </c>
      <c r="J174" s="142">
        <v>51901.128590194705</v>
      </c>
      <c r="K174" s="142">
        <v>159189.77947862289</v>
      </c>
      <c r="L174" s="142">
        <v>18.857757065609192</v>
      </c>
      <c r="M174" s="145">
        <v>7.5159272264464505E-3</v>
      </c>
      <c r="N174" s="145">
        <v>1.3149849402123159</v>
      </c>
      <c r="O174" s="145">
        <v>2.2377744680390776E-3</v>
      </c>
      <c r="P174" s="145">
        <v>4.0017544122790127E-3</v>
      </c>
      <c r="Q1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-1.2569577545917809E-2</v>
      </c>
      <c r="R1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0.71253361935852411</v>
      </c>
      <c r="S1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-1.2858899115286704E-2</v>
      </c>
      <c r="T1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-1.2153149821614306E-2</v>
      </c>
      <c r="U1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-4.8750029790767258E-7</v>
      </c>
      <c r="V1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4.9983842943035484E-4</v>
      </c>
      <c r="W1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1.0463600084165137E-6</v>
      </c>
      <c r="X1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-3.1454743277592456E-4</v>
      </c>
      <c r="Y174" s="162" t="str">
        <f>ReportSummary___Track[[#This Row],[Track ID]]&amp;"-"&amp;ReportSummary___Track[[#This Row],[Epoch]]</f>
        <v>250-RL-OP-0037-45869.2916666667</v>
      </c>
      <c r="Z174" s="126">
        <f>SUBTOTAL(103,ReportSummary___Track[[#This Row],[Track ID]])</f>
        <v>1</v>
      </c>
      <c r="AA174" s="114">
        <f>_xlfn.NUMBERVALUE(RIGHT(ReportSummary___Track[[#This Row],[Track ID]],4))</f>
        <v>37</v>
      </c>
      <c r="AB174" s="78"/>
      <c r="AC174" s="1"/>
      <c r="AD174" s="4"/>
      <c r="AE174" s="4"/>
      <c r="AF174" s="4"/>
      <c r="AG174" s="4"/>
      <c r="AH174" s="1"/>
      <c r="AI174" s="1"/>
      <c r="AJ174" s="1"/>
    </row>
    <row r="175" spans="5:36" ht="12.75" x14ac:dyDescent="0.2">
      <c r="E175" s="74">
        <v>45869.291666666664</v>
      </c>
      <c r="F175" s="107" t="s">
        <v>277</v>
      </c>
      <c r="G175" s="142">
        <v>51902.447765809411</v>
      </c>
      <c r="H175" s="142">
        <v>159190.77723042283</v>
      </c>
      <c r="I175" s="142">
        <v>18.865124802963386</v>
      </c>
      <c r="J175" s="142">
        <v>51902.099872443272</v>
      </c>
      <c r="K175" s="142">
        <v>159189.50704742008</v>
      </c>
      <c r="L175" s="142">
        <v>18.8569</v>
      </c>
      <c r="M175" s="145">
        <v>8.2248029633866793E-3</v>
      </c>
      <c r="N175" s="145">
        <v>1.3169898640705298</v>
      </c>
      <c r="O175" s="145">
        <v>2.0025894936104294E-3</v>
      </c>
      <c r="P175" s="145">
        <v>4.9737739626110056E-3</v>
      </c>
      <c r="Q1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0.96443267064239002</v>
      </c>
      <c r="S1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3.4851317920470137E-4</v>
      </c>
      <c r="T1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-1.1234707386620357E-5</v>
      </c>
      <c r="U1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1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9.0710409281591353E-4</v>
      </c>
      <c r="W1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3.058928754740009E-8</v>
      </c>
      <c r="X1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3.5853215507586356E-8</v>
      </c>
      <c r="Y175" s="162" t="str">
        <f>ReportSummary___Track[[#This Row],[Track ID]]&amp;"-"&amp;ReportSummary___Track[[#This Row],[Epoch]]</f>
        <v>250-RL-OP-0038-45869.2916666667</v>
      </c>
      <c r="Z175" s="126">
        <f>SUBTOTAL(103,ReportSummary___Track[[#This Row],[Track ID]])</f>
        <v>1</v>
      </c>
      <c r="AA175" s="114">
        <f>_xlfn.NUMBERVALUE(RIGHT(ReportSummary___Track[[#This Row],[Track ID]],4))</f>
        <v>38</v>
      </c>
      <c r="AB175" s="78"/>
      <c r="AC175" s="1"/>
      <c r="AD175" s="4"/>
      <c r="AE175" s="4"/>
      <c r="AF175" s="4"/>
      <c r="AG175" s="4"/>
      <c r="AH175" s="1"/>
      <c r="AI175" s="1"/>
      <c r="AJ175" s="1"/>
    </row>
    <row r="176" spans="5:36" ht="12.75" x14ac:dyDescent="0.2">
      <c r="E176" s="74">
        <v>45869.291666666664</v>
      </c>
      <c r="F176" s="107" t="s">
        <v>278</v>
      </c>
      <c r="G176" s="142">
        <v>51903.412339687522</v>
      </c>
      <c r="H176" s="142">
        <v>159190.51341847001</v>
      </c>
      <c r="I176" s="142">
        <v>18.865822806114334</v>
      </c>
      <c r="J176" s="142">
        <v>51903.064539433311</v>
      </c>
      <c r="K176" s="142">
        <v>159189.24357522361</v>
      </c>
      <c r="L176" s="142">
        <v>18.8569</v>
      </c>
      <c r="M176" s="145">
        <v>8.9228061143344917E-3</v>
      </c>
      <c r="N176" s="145">
        <v>1.3166421319969854</v>
      </c>
      <c r="O176" s="145">
        <v>2.0537357662213651E-3</v>
      </c>
      <c r="P176" s="145">
        <v>4.658215234741192E-3</v>
      </c>
      <c r="Q1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0.96442933231366545</v>
      </c>
      <c r="S1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6.4590453625612554E-3</v>
      </c>
      <c r="T1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-1.5027814015411423E-4</v>
      </c>
      <c r="U1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1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5.8647238850895178E-4</v>
      </c>
      <c r="W1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1.9240084725424822E-7</v>
      </c>
      <c r="X1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7.1821281011352767E-7</v>
      </c>
      <c r="Y176" s="162" t="str">
        <f>ReportSummary___Track[[#This Row],[Track ID]]&amp;"-"&amp;ReportSummary___Track[[#This Row],[Epoch]]</f>
        <v>250-RL-OP-0039-45869.2916666667</v>
      </c>
      <c r="Z176" s="126">
        <f>SUBTOTAL(103,ReportSummary___Track[[#This Row],[Track ID]])</f>
        <v>1</v>
      </c>
      <c r="AA176" s="114">
        <f>_xlfn.NUMBERVALUE(RIGHT(ReportSummary___Track[[#This Row],[Track ID]],4))</f>
        <v>39</v>
      </c>
      <c r="AB176" s="78"/>
      <c r="AC176" s="1"/>
      <c r="AD176" s="4"/>
      <c r="AE176" s="4"/>
      <c r="AF176" s="4"/>
      <c r="AG176" s="4"/>
      <c r="AH176" s="1"/>
      <c r="AI176" s="1"/>
      <c r="AJ176" s="1"/>
    </row>
    <row r="177" spans="5:36" ht="12.75" x14ac:dyDescent="0.2">
      <c r="E177" s="74">
        <v>45869.291666666664</v>
      </c>
      <c r="F177" s="107" t="s">
        <v>279</v>
      </c>
      <c r="G177" s="142">
        <v>51904.37691356564</v>
      </c>
      <c r="H177" s="142">
        <v>159190.2496065172</v>
      </c>
      <c r="I177" s="142">
        <v>18.866520809265278</v>
      </c>
      <c r="J177" s="142">
        <v>51904.029206423358</v>
      </c>
      <c r="K177" s="142">
        <v>159188.9801030271</v>
      </c>
      <c r="L177" s="142">
        <v>18.8569</v>
      </c>
      <c r="M177" s="145">
        <v>9.6208092652787514E-3</v>
      </c>
      <c r="N177" s="145">
        <v>1.3162947725086962</v>
      </c>
      <c r="O177" s="145">
        <v>2.1048820388323009E-3</v>
      </c>
      <c r="P177" s="145">
        <v>4.3426565068713785E-3</v>
      </c>
      <c r="Q1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0.96442571905508423</v>
      </c>
      <c r="S1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1.2569577545917809E-2</v>
      </c>
      <c r="T1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-2.8932156936889442E-4</v>
      </c>
      <c r="U1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-1.3328789805200358E-7</v>
      </c>
      <c r="V1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2.6584276619834313E-4</v>
      </c>
      <c r="W1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3.5421239985566899E-7</v>
      </c>
      <c r="X1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1.4005724082721827E-6</v>
      </c>
      <c r="Y177" s="162" t="str">
        <f>ReportSummary___Track[[#This Row],[Track ID]]&amp;"-"&amp;ReportSummary___Track[[#This Row],[Epoch]]</f>
        <v>250-RL-OP-0040-45869.2916666667</v>
      </c>
      <c r="Z177" s="126">
        <f>SUBTOTAL(103,ReportSummary___Track[[#This Row],[Track ID]])</f>
        <v>1</v>
      </c>
      <c r="AA177" s="114">
        <f>_xlfn.NUMBERVALUE(RIGHT(ReportSummary___Track[[#This Row],[Track ID]],4))</f>
        <v>40</v>
      </c>
      <c r="AB177" s="78"/>
      <c r="AC177" s="1"/>
      <c r="AD177" s="4"/>
      <c r="AE177" s="4"/>
      <c r="AF177" s="4"/>
      <c r="AG177" s="4"/>
      <c r="AH177" s="1"/>
      <c r="AI177" s="1"/>
      <c r="AJ177" s="1"/>
    </row>
    <row r="178" spans="5:36" ht="12.75" x14ac:dyDescent="0.2">
      <c r="E178" s="74">
        <v>45869.291666666664</v>
      </c>
      <c r="F178" s="107" t="s">
        <v>280</v>
      </c>
      <c r="G178" s="142">
        <v>51905.341841450259</v>
      </c>
      <c r="H178" s="142">
        <v>159189.98717913547</v>
      </c>
      <c r="I178" s="142">
        <v>18.867392406740745</v>
      </c>
      <c r="J178" s="142">
        <v>51905.003864651924</v>
      </c>
      <c r="K178" s="142">
        <v>159188.71500367383</v>
      </c>
      <c r="L178" s="142">
        <v>18.857104633955974</v>
      </c>
      <c r="M178" s="145">
        <v>1.0287772784771221E-2</v>
      </c>
      <c r="N178" s="145">
        <v>1.3163451521809648</v>
      </c>
      <c r="O178" s="145">
        <v>2.0629698213845415E-3</v>
      </c>
      <c r="P178" s="145">
        <v>4.0655593149949709E-3</v>
      </c>
      <c r="Q1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5.2204306655312394E-5</v>
      </c>
      <c r="R1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0.90537887921726679</v>
      </c>
      <c r="S1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5.2204306655312394E-5</v>
      </c>
      <c r="T1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4.0071748586001377E-4</v>
      </c>
      <c r="U1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1.0938077110722588E-8</v>
      </c>
      <c r="X1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4.1527364658122679E-8</v>
      </c>
      <c r="Y178" s="162" t="str">
        <f>ReportSummary___Track[[#This Row],[Track ID]]&amp;"-"&amp;ReportSummary___Track[[#This Row],[Epoch]]</f>
        <v>250-RL-OP-0041-45869.2916666667</v>
      </c>
      <c r="Z178" s="126">
        <f>SUBTOTAL(103,ReportSummary___Track[[#This Row],[Track ID]])</f>
        <v>1</v>
      </c>
      <c r="AA178" s="114">
        <f>_xlfn.NUMBERVALUE(RIGHT(ReportSummary___Track[[#This Row],[Track ID]],4))</f>
        <v>41</v>
      </c>
      <c r="AB178" s="78"/>
      <c r="AC178" s="1"/>
      <c r="AD178" s="4"/>
      <c r="AE178" s="4"/>
      <c r="AF178" s="4"/>
      <c r="AG178" s="4"/>
      <c r="AH178" s="1"/>
      <c r="AI178" s="1"/>
      <c r="AJ178" s="1"/>
    </row>
    <row r="179" spans="5:36" ht="12.75" x14ac:dyDescent="0.2">
      <c r="E179" s="74">
        <v>45869.291666666664</v>
      </c>
      <c r="F179" s="107" t="s">
        <v>281</v>
      </c>
      <c r="G179" s="142">
        <v>51906.308594977025</v>
      </c>
      <c r="H179" s="142">
        <v>159189.73147487876</v>
      </c>
      <c r="I179" s="142">
        <v>18.869110425193991</v>
      </c>
      <c r="J179" s="142">
        <v>51905.970516824025</v>
      </c>
      <c r="K179" s="142">
        <v>159188.45891499615</v>
      </c>
      <c r="L179" s="142">
        <v>18.85857682068961</v>
      </c>
      <c r="M179" s="145">
        <v>1.0533604504381344E-2</v>
      </c>
      <c r="N179" s="145">
        <v>1.3167446408400343</v>
      </c>
      <c r="O179" s="145">
        <v>1.6107983900468525E-3</v>
      </c>
      <c r="P179" s="145">
        <v>3.6645341562682177E-3</v>
      </c>
      <c r="Q1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4.2777481112921123E-4</v>
      </c>
      <c r="R1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0.46623291486591611</v>
      </c>
      <c r="S1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4.2777481112921123E-4</v>
      </c>
      <c r="T1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6.8868201736904666E-3</v>
      </c>
      <c r="U1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7.2112985805006247E-8</v>
      </c>
      <c r="X1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2.6451383305925447E-7</v>
      </c>
      <c r="Y179" s="162" t="str">
        <f>ReportSummary___Track[[#This Row],[Track ID]]&amp;"-"&amp;ReportSummary___Track[[#This Row],[Epoch]]</f>
        <v>250-RL-OP-0042-45869.2916666667</v>
      </c>
      <c r="Z179" s="126">
        <f>SUBTOTAL(103,ReportSummary___Track[[#This Row],[Track ID]])</f>
        <v>1</v>
      </c>
      <c r="AA179" s="114">
        <f>_xlfn.NUMBERVALUE(RIGHT(ReportSummary___Track[[#This Row],[Track ID]],4))</f>
        <v>42</v>
      </c>
      <c r="AB179" s="78"/>
      <c r="AC179" s="1"/>
      <c r="AD179" s="4"/>
      <c r="AE179" s="4"/>
      <c r="AF179" s="4"/>
      <c r="AG179" s="4"/>
      <c r="AH179" s="1"/>
      <c r="AI179" s="1"/>
      <c r="AJ179" s="1"/>
    </row>
    <row r="180" spans="5:36" ht="12.75" x14ac:dyDescent="0.2">
      <c r="E180" s="74">
        <v>45869.291666666664</v>
      </c>
      <c r="F180" s="107" t="s">
        <v>282</v>
      </c>
      <c r="G180" s="142">
        <v>51907.275348503783</v>
      </c>
      <c r="H180" s="142">
        <v>159189.47577062206</v>
      </c>
      <c r="I180" s="142">
        <v>18.870828443647241</v>
      </c>
      <c r="J180" s="142">
        <v>51906.937168996134</v>
      </c>
      <c r="K180" s="142">
        <v>159188.20282631848</v>
      </c>
      <c r="L180" s="142">
        <v>18.860049007423246</v>
      </c>
      <c r="M180" s="145">
        <v>1.077943622399502E-2</v>
      </c>
      <c r="N180" s="145">
        <v>1.3171441742089982</v>
      </c>
      <c r="O180" s="145">
        <v>1.158626958716269E-3</v>
      </c>
      <c r="P180" s="145">
        <v>3.2635089975485698E-3</v>
      </c>
      <c r="Q1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8.0334531915582374E-4</v>
      </c>
      <c r="R1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2.7088383372841918E-2</v>
      </c>
      <c r="S1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8.0334531915582374E-4</v>
      </c>
      <c r="T1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1.3372922865073633E-2</v>
      </c>
      <c r="U1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1.3328789805200358E-7</v>
      </c>
      <c r="X1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4.8750029790767258E-7</v>
      </c>
      <c r="Y180" s="162" t="str">
        <f>ReportSummary___Track[[#This Row],[Track ID]]&amp;"-"&amp;ReportSummary___Track[[#This Row],[Epoch]]</f>
        <v>250-RL-OP-0043-45869.2916666667</v>
      </c>
      <c r="Z180" s="126">
        <f>SUBTOTAL(103,ReportSummary___Track[[#This Row],[Track ID]])</f>
        <v>1</v>
      </c>
      <c r="AA180" s="114">
        <f>_xlfn.NUMBERVALUE(RIGHT(ReportSummary___Track[[#This Row],[Track ID]],4))</f>
        <v>43</v>
      </c>
      <c r="AB180" s="78"/>
      <c r="AC180" s="1"/>
      <c r="AD180" s="4"/>
      <c r="AE180" s="4"/>
      <c r="AF180" s="4"/>
      <c r="AG180" s="4"/>
      <c r="AH180" s="1"/>
      <c r="AI180" s="1"/>
      <c r="AJ180" s="1"/>
    </row>
    <row r="181" spans="5:36" ht="12.75" x14ac:dyDescent="0.2">
      <c r="E181" s="74">
        <v>45869.291666666664</v>
      </c>
      <c r="F181" s="107" t="s">
        <v>283</v>
      </c>
      <c r="G181" s="142">
        <v>51908.242837030943</v>
      </c>
      <c r="H181" s="142">
        <v>159189.22362199659</v>
      </c>
      <c r="I181" s="142">
        <v>18.872961738006055</v>
      </c>
      <c r="J181" s="142">
        <v>51907.905490809295</v>
      </c>
      <c r="K181" s="142">
        <v>159187.95009902434</v>
      </c>
      <c r="L181" s="142">
        <v>18.861831223906176</v>
      </c>
      <c r="M181" s="145">
        <v>1.1130514099878752E-2</v>
      </c>
      <c r="N181" s="145">
        <v>1.3174927409445805</v>
      </c>
      <c r="O181" s="145">
        <v>8.4274131510753136E-4</v>
      </c>
      <c r="P181" s="145">
        <v>2.9057111364920729E-3</v>
      </c>
      <c r="Q1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0.10211126352999145</v>
      </c>
      <c r="R1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-0.13130085284163151</v>
      </c>
      <c r="S1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0.10205905922333613</v>
      </c>
      <c r="T1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0.10211126352999145</v>
      </c>
      <c r="U1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1.0231176155883759E-4</v>
      </c>
      <c r="V1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8.569435863137187E-7</v>
      </c>
      <c r="W1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1.0231176155883759E-4</v>
      </c>
      <c r="X1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1.0232269963594831E-4</v>
      </c>
      <c r="Y181" s="162" t="str">
        <f>ReportSummary___Track[[#This Row],[Track ID]]&amp;"-"&amp;ReportSummary___Track[[#This Row],[Epoch]]</f>
        <v>250-RL-OP-0044-45869.2916666667</v>
      </c>
      <c r="Z181" s="126">
        <f>SUBTOTAL(103,ReportSummary___Track[[#This Row],[Track ID]])</f>
        <v>1</v>
      </c>
      <c r="AA181" s="114">
        <f>_xlfn.NUMBERVALUE(RIGHT(ReportSummary___Track[[#This Row],[Track ID]],4))</f>
        <v>44</v>
      </c>
      <c r="AB181" s="78"/>
      <c r="AC181" s="1"/>
      <c r="AD181" s="4"/>
      <c r="AE181" s="4"/>
      <c r="AF181" s="4"/>
      <c r="AG181" s="4"/>
      <c r="AH181" s="1"/>
      <c r="AI181" s="1"/>
      <c r="AJ181" s="1"/>
    </row>
    <row r="182" spans="5:36" ht="12.75" x14ac:dyDescent="0.2">
      <c r="E182" s="74">
        <v>45869.291666666664</v>
      </c>
      <c r="F182" s="107" t="s">
        <v>284</v>
      </c>
      <c r="G182" s="142">
        <v>51909.212440777213</v>
      </c>
      <c r="H182" s="142">
        <v>159188.97896014244</v>
      </c>
      <c r="I182" s="142">
        <v>18.875987022705825</v>
      </c>
      <c r="J182" s="142">
        <v>51908.874743372122</v>
      </c>
      <c r="K182" s="142">
        <v>159187.70404215946</v>
      </c>
      <c r="L182" s="142">
        <v>18.864174019583121</v>
      </c>
      <c r="M182" s="145">
        <v>1.1813003122703947E-2</v>
      </c>
      <c r="N182" s="145">
        <v>1.3189370522451869</v>
      </c>
      <c r="O182" s="145">
        <v>1.2793986183226025E-3</v>
      </c>
      <c r="P182" s="145">
        <v>2.890197008369455E-3</v>
      </c>
      <c r="Q1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0.4233168738849713</v>
      </c>
      <c r="R1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0.26241312918240389</v>
      </c>
      <c r="S1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0.42288909907384209</v>
      </c>
      <c r="T1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0.4233168738849713</v>
      </c>
      <c r="U1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4.2414806719648368E-4</v>
      </c>
      <c r="V1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3.7163743440427055E-6</v>
      </c>
      <c r="W1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4.2414806719648368E-4</v>
      </c>
      <c r="X1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4.2422018018228869E-4</v>
      </c>
      <c r="Y182" s="162" t="str">
        <f>ReportSummary___Track[[#This Row],[Track ID]]&amp;"-"&amp;ReportSummary___Track[[#This Row],[Epoch]]</f>
        <v>250-RL-OP-0045-45869.2916666667</v>
      </c>
      <c r="Z182" s="126">
        <f>SUBTOTAL(103,ReportSummary___Track[[#This Row],[Track ID]])</f>
        <v>1</v>
      </c>
      <c r="AA182" s="114">
        <f>_xlfn.NUMBERVALUE(RIGHT(ReportSummary___Track[[#This Row],[Track ID]],4))</f>
        <v>45</v>
      </c>
      <c r="AB182" s="78"/>
      <c r="AC182" s="1"/>
      <c r="AD182" s="4"/>
      <c r="AE182" s="4"/>
      <c r="AF182" s="4"/>
      <c r="AG182" s="4"/>
      <c r="AH182" s="1"/>
      <c r="AI182" s="1"/>
      <c r="AJ182" s="1"/>
    </row>
    <row r="183" spans="5:36" ht="12.75" x14ac:dyDescent="0.2">
      <c r="E183" s="74">
        <v>45869.291666666664</v>
      </c>
      <c r="F183" s="107" t="s">
        <v>285</v>
      </c>
      <c r="G183" s="142">
        <v>51910.182044523492</v>
      </c>
      <c r="H183" s="142">
        <v>159188.73429828833</v>
      </c>
      <c r="I183" s="142">
        <v>18.879012307405592</v>
      </c>
      <c r="J183" s="142">
        <v>51909.843995934956</v>
      </c>
      <c r="K183" s="142">
        <v>159187.4579852946</v>
      </c>
      <c r="L183" s="142">
        <v>18.866516815260066</v>
      </c>
      <c r="M183" s="145">
        <v>1.2495492145525589E-2</v>
      </c>
      <c r="N183" s="145">
        <v>1.3203817037057346</v>
      </c>
      <c r="O183" s="145">
        <v>1.7160559215305682E-3</v>
      </c>
      <c r="P183" s="145">
        <v>2.8746828802468372E-3</v>
      </c>
      <c r="Q1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0.74452248423995115</v>
      </c>
      <c r="R1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0.65637300624654671</v>
      </c>
      <c r="S1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0.74371913892079533</v>
      </c>
      <c r="T1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0.74452248423995115</v>
      </c>
      <c r="U1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7.4598437283057706E-4</v>
      </c>
      <c r="V1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6.8238442694212864E-6</v>
      </c>
      <c r="W1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7.4598437283057706E-4</v>
      </c>
      <c r="X1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7.4611766072862906E-4</v>
      </c>
      <c r="Y183" s="162" t="str">
        <f>ReportSummary___Track[[#This Row],[Track ID]]&amp;"-"&amp;ReportSummary___Track[[#This Row],[Epoch]]</f>
        <v>250-RL-OP-0046-45869.2916666667</v>
      </c>
      <c r="Z183" s="126">
        <f>SUBTOTAL(103,ReportSummary___Track[[#This Row],[Track ID]])</f>
        <v>1</v>
      </c>
      <c r="AA183" s="114">
        <f>_xlfn.NUMBERVALUE(RIGHT(ReportSummary___Track[[#This Row],[Track ID]],4))</f>
        <v>46</v>
      </c>
      <c r="AB183" s="78"/>
      <c r="AC183" s="1"/>
      <c r="AD183" s="4"/>
      <c r="AE183" s="4"/>
      <c r="AF183" s="4"/>
      <c r="AG183" s="4"/>
      <c r="AH183" s="1"/>
      <c r="AI183" s="1"/>
      <c r="AJ183" s="1"/>
    </row>
    <row r="184" spans="5:36" ht="12.75" x14ac:dyDescent="0.2">
      <c r="E184" s="74">
        <v>45869.291666666664</v>
      </c>
      <c r="F184" s="107" t="s">
        <v>286</v>
      </c>
      <c r="G184" s="142">
        <v>51911.152124583568</v>
      </c>
      <c r="H184" s="142">
        <v>159188.49137362183</v>
      </c>
      <c r="I184" s="142">
        <v>18.882328441829323</v>
      </c>
      <c r="J184" s="142">
        <v>51910.835192576567</v>
      </c>
      <c r="K184" s="142">
        <v>159187.2085174784</v>
      </c>
      <c r="L184" s="142">
        <v>18.869138865821263</v>
      </c>
      <c r="M184" s="145">
        <v>1.3189576008059589E-2</v>
      </c>
      <c r="N184" s="145">
        <v>1.3214914856745565</v>
      </c>
      <c r="O184" s="145">
        <v>2.059061908180837E-3</v>
      </c>
      <c r="P184" s="145">
        <v>2.9018032232883684E-3</v>
      </c>
      <c r="Q1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1.0027440568762813</v>
      </c>
      <c r="R1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0.89138980348435481</v>
      </c>
      <c r="S1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0.90063279334628987</v>
      </c>
      <c r="T1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1.002691852569626</v>
      </c>
      <c r="U1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9.2589243446283831E-4</v>
      </c>
      <c r="V1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-4.5282707177518589E-5</v>
      </c>
      <c r="W1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8.2358067290400072E-4</v>
      </c>
      <c r="X1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9.2589243446283831E-4</v>
      </c>
      <c r="Y184" s="162" t="str">
        <f>ReportSummary___Track[[#This Row],[Track ID]]&amp;"-"&amp;ReportSummary___Track[[#This Row],[Epoch]]</f>
        <v>250-RL-OP-0047-45869.2916666667</v>
      </c>
      <c r="Z184" s="126">
        <f>SUBTOTAL(103,ReportSummary___Track[[#This Row],[Track ID]])</f>
        <v>1</v>
      </c>
      <c r="AA184" s="114">
        <f>_xlfn.NUMBERVALUE(RIGHT(ReportSummary___Track[[#This Row],[Track ID]],4))</f>
        <v>47</v>
      </c>
      <c r="AB184" s="78"/>
      <c r="AC184" s="1"/>
      <c r="AD184" s="4"/>
      <c r="AE184" s="4"/>
      <c r="AF184" s="4"/>
      <c r="AG184" s="4"/>
      <c r="AH184" s="1"/>
      <c r="AI184" s="1"/>
      <c r="AJ184" s="1"/>
    </row>
    <row r="185" spans="5:36" ht="12.75" x14ac:dyDescent="0.2">
      <c r="E185" s="74">
        <v>45869.291666666664</v>
      </c>
      <c r="F185" s="107" t="s">
        <v>287</v>
      </c>
      <c r="G185" s="142">
        <v>51912.123778205809</v>
      </c>
      <c r="H185" s="142">
        <v>159188.25500560392</v>
      </c>
      <c r="I185" s="142">
        <v>18.886732814833678</v>
      </c>
      <c r="J185" s="142">
        <v>51911.806757288294</v>
      </c>
      <c r="K185" s="142">
        <v>159186.97176749387</v>
      </c>
      <c r="L185" s="142">
        <v>18.872523500824762</v>
      </c>
      <c r="M185" s="145">
        <v>1.4209314008915896E-2</v>
      </c>
      <c r="N185" s="145">
        <v>1.3218941764827725</v>
      </c>
      <c r="O185" s="145">
        <v>2.3963108862119498E-3</v>
      </c>
      <c r="P185" s="145">
        <v>3.6757095045345523E-3</v>
      </c>
      <c r="Q1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1.003347025655188</v>
      </c>
      <c r="R1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0.47002410262475536</v>
      </c>
      <c r="S1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0.58003015177021666</v>
      </c>
      <c r="T1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1.0029192508440588</v>
      </c>
      <c r="U1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5.7433851823773807E-4</v>
      </c>
      <c r="V1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-3.052611561999985E-4</v>
      </c>
      <c r="W1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1.5019045104125439E-4</v>
      </c>
      <c r="X1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5.7433851823773807E-4</v>
      </c>
      <c r="Y185" s="162" t="str">
        <f>ReportSummary___Track[[#This Row],[Track ID]]&amp;"-"&amp;ReportSummary___Track[[#This Row],[Epoch]]</f>
        <v>250-RL-OP-0048-45869.2916666667</v>
      </c>
      <c r="Z185" s="126">
        <f>SUBTOTAL(103,ReportSummary___Track[[#This Row],[Track ID]])</f>
        <v>1</v>
      </c>
      <c r="AA185" s="114">
        <f>_xlfn.NUMBERVALUE(RIGHT(ReportSummary___Track[[#This Row],[Track ID]],4))</f>
        <v>48</v>
      </c>
      <c r="AB185" s="78"/>
      <c r="AC185" s="1"/>
      <c r="AD185" s="4"/>
      <c r="AE185" s="4"/>
      <c r="AF185" s="4"/>
      <c r="AG185" s="4"/>
      <c r="AH185" s="1"/>
      <c r="AI185" s="1"/>
      <c r="AJ185" s="1"/>
    </row>
    <row r="186" spans="5:36" ht="12.75" x14ac:dyDescent="0.2">
      <c r="E186" s="74">
        <v>45869.291666666664</v>
      </c>
      <c r="F186" s="107" t="s">
        <v>288</v>
      </c>
      <c r="G186" s="142">
        <v>51913.095431828042</v>
      </c>
      <c r="H186" s="142">
        <v>159188.01863758601</v>
      </c>
      <c r="I186" s="142">
        <v>18.89113718783803</v>
      </c>
      <c r="J186" s="142">
        <v>51912.77832200002</v>
      </c>
      <c r="K186" s="142">
        <v>159186.73501750935</v>
      </c>
      <c r="L186" s="142">
        <v>18.875908135828258</v>
      </c>
      <c r="M186" s="145">
        <v>1.5229052009772204E-2</v>
      </c>
      <c r="N186" s="145">
        <v>1.3222976473780419</v>
      </c>
      <c r="O186" s="145">
        <v>2.7335598642466152E-3</v>
      </c>
      <c r="P186" s="145">
        <v>4.4496157857771834E-3</v>
      </c>
      <c r="Q1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1.0039499944376473</v>
      </c>
      <c r="R1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4.8665026507022091E-2</v>
      </c>
      <c r="S1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0.25942751019769617</v>
      </c>
      <c r="T1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1.0031466491184915</v>
      </c>
      <c r="U1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2.2278460200908512E-4</v>
      </c>
      <c r="V1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-5.6586776549827356E-4</v>
      </c>
      <c r="W1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-5.2319977082149194E-4</v>
      </c>
      <c r="X1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2.2278460200908512E-4</v>
      </c>
      <c r="Y186" s="162" t="str">
        <f>ReportSummary___Track[[#This Row],[Track ID]]&amp;"-"&amp;ReportSummary___Track[[#This Row],[Epoch]]</f>
        <v>250-RL-OP-0049-45869.2916666667</v>
      </c>
      <c r="Z186" s="126">
        <f>SUBTOTAL(103,ReportSummary___Track[[#This Row],[Track ID]])</f>
        <v>1</v>
      </c>
      <c r="AA186" s="114">
        <f>_xlfn.NUMBERVALUE(RIGHT(ReportSummary___Track[[#This Row],[Track ID]],4))</f>
        <v>49</v>
      </c>
      <c r="AB186" s="78"/>
      <c r="AC186" s="1"/>
      <c r="AD186" s="4"/>
      <c r="AE186" s="4"/>
      <c r="AF186" s="4"/>
      <c r="AG186" s="4"/>
      <c r="AH186" s="1"/>
      <c r="AI186" s="1"/>
      <c r="AJ186" s="1"/>
    </row>
    <row r="187" spans="5:36" ht="12.75" x14ac:dyDescent="0.2">
      <c r="E187" s="74">
        <v>45867.270833333336</v>
      </c>
      <c r="F187" s="107" t="s">
        <v>235</v>
      </c>
      <c r="G187" s="142">
        <v>51886.101888003854</v>
      </c>
      <c r="H187" s="142">
        <v>159195.44568170901</v>
      </c>
      <c r="I187" s="142">
        <v>18.86977464079656</v>
      </c>
      <c r="J187" s="142">
        <v>51885.743029345111</v>
      </c>
      <c r="K187" s="142">
        <v>159194.186880728</v>
      </c>
      <c r="L187" s="142">
        <v>18.86578752268592</v>
      </c>
      <c r="M187" s="145">
        <v>3.9871181106398978E-3</v>
      </c>
      <c r="N187" s="145">
        <v>1.3089596418017535</v>
      </c>
      <c r="O187" s="145"/>
      <c r="P187" s="145"/>
      <c r="Q1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-0.28164663535434897</v>
      </c>
      <c r="R1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-1.1585345856561791</v>
      </c>
      <c r="S18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8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4.7019078408538917E-8</v>
      </c>
      <c r="V1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-4.6700731373205961E-4</v>
      </c>
      <c r="W18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8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87" s="162" t="str">
        <f>ReportSummary___Track[[#This Row],[Track ID]]&amp;"-"&amp;ReportSummary___Track[[#This Row],[Epoch]]</f>
        <v>250-RL-OP-0021-45867.2708333333</v>
      </c>
      <c r="Z187" s="126">
        <f>SUBTOTAL(103,ReportSummary___Track[[#This Row],[Track ID]])</f>
        <v>1</v>
      </c>
      <c r="AA187" s="114">
        <f>_xlfn.NUMBERVALUE(RIGHT(ReportSummary___Track[[#This Row],[Track ID]],4))</f>
        <v>21</v>
      </c>
      <c r="AB187" s="78"/>
      <c r="AC187" s="1"/>
      <c r="AD187" s="4"/>
      <c r="AE187" s="4"/>
      <c r="AF187" s="4"/>
      <c r="AG187" s="4"/>
      <c r="AH187" s="1"/>
      <c r="AI187" s="1"/>
      <c r="AJ187" s="1"/>
    </row>
    <row r="188" spans="5:36" ht="12.75" x14ac:dyDescent="0.2">
      <c r="E188" s="74">
        <v>45867.270833333336</v>
      </c>
      <c r="F188" s="107" t="s">
        <v>236</v>
      </c>
      <c r="G188" s="142">
        <v>51887.0635346048</v>
      </c>
      <c r="H188" s="142">
        <v>159195.17139037082</v>
      </c>
      <c r="I188" s="142">
        <v>18.869497718698447</v>
      </c>
      <c r="J188" s="142">
        <v>51886.704122307987</v>
      </c>
      <c r="K188" s="142">
        <v>159193.91065564146</v>
      </c>
      <c r="L188" s="142">
        <v>18.865652333606498</v>
      </c>
      <c r="M188" s="145">
        <v>3.845385091949538E-3</v>
      </c>
      <c r="N188" s="145">
        <v>1.3109706495122111</v>
      </c>
      <c r="O188" s="145"/>
      <c r="P188" s="145"/>
      <c r="Q1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-0.62773617074896038</v>
      </c>
      <c r="R1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-1.0581635828750269</v>
      </c>
      <c r="S18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8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1.0353239687788118E-7</v>
      </c>
      <c r="V1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-6.9837704948438883E-4</v>
      </c>
      <c r="W18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8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88" s="162" t="str">
        <f>ReportSummary___Track[[#This Row],[Track ID]]&amp;"-"&amp;ReportSummary___Track[[#This Row],[Epoch]]</f>
        <v>250-RL-OP-0022-45867.2708333333</v>
      </c>
      <c r="Z188" s="126">
        <f>SUBTOTAL(103,ReportSummary___Track[[#This Row],[Track ID]])</f>
        <v>1</v>
      </c>
      <c r="AA188" s="114">
        <f>_xlfn.NUMBERVALUE(RIGHT(ReportSummary___Track[[#This Row],[Track ID]],4))</f>
        <v>22</v>
      </c>
      <c r="AB188" s="78"/>
      <c r="AC188" s="1"/>
      <c r="AD188" s="4"/>
      <c r="AE188" s="4"/>
      <c r="AF188" s="4"/>
      <c r="AG188" s="4"/>
      <c r="AH188" s="1"/>
      <c r="AI188" s="1"/>
      <c r="AJ188" s="1"/>
    </row>
    <row r="189" spans="5:36" ht="12.75" x14ac:dyDescent="0.2">
      <c r="E189" s="74">
        <v>45867.270833333336</v>
      </c>
      <c r="F189" s="107" t="s">
        <v>237</v>
      </c>
      <c r="G189" s="142">
        <v>51888.025181205747</v>
      </c>
      <c r="H189" s="142">
        <v>159194.89709903265</v>
      </c>
      <c r="I189" s="142">
        <v>18.869220796600338</v>
      </c>
      <c r="J189" s="142">
        <v>51887.665215270863</v>
      </c>
      <c r="K189" s="142">
        <v>159193.63443055493</v>
      </c>
      <c r="L189" s="142">
        <v>18.865517144527075</v>
      </c>
      <c r="M189" s="145">
        <v>3.7036520732627309E-3</v>
      </c>
      <c r="N189" s="145">
        <v>1.3129816738799744</v>
      </c>
      <c r="O189" s="145"/>
      <c r="P189" s="145"/>
      <c r="Q1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-0.97382570614001907</v>
      </c>
      <c r="R1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-0.95780573041315265</v>
      </c>
      <c r="S18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8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1.6004571534722345E-7</v>
      </c>
      <c r="V1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-9.29746936533693E-4</v>
      </c>
      <c r="W18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8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89" s="162" t="str">
        <f>ReportSummary___Track[[#This Row],[Track ID]]&amp;"-"&amp;ReportSummary___Track[[#This Row],[Epoch]]</f>
        <v>250-RL-OP-0023-45867.2708333333</v>
      </c>
      <c r="Z189" s="126">
        <f>SUBTOTAL(103,ReportSummary___Track[[#This Row],[Track ID]])</f>
        <v>1</v>
      </c>
      <c r="AA189" s="114">
        <f>_xlfn.NUMBERVALUE(RIGHT(ReportSummary___Track[[#This Row],[Track ID]],4))</f>
        <v>23</v>
      </c>
      <c r="AB189" s="78"/>
      <c r="AC189" s="1"/>
      <c r="AD189" s="4"/>
      <c r="AE189" s="4"/>
      <c r="AF189" s="4"/>
      <c r="AG189" s="4"/>
      <c r="AH189" s="1"/>
      <c r="AI189" s="1"/>
      <c r="AJ189" s="1"/>
    </row>
    <row r="190" spans="5:36" ht="12.75" x14ac:dyDescent="0.2">
      <c r="E190" s="74">
        <v>45867.270833333336</v>
      </c>
      <c r="F190" s="107" t="s">
        <v>238</v>
      </c>
      <c r="G190" s="142">
        <v>51888.986288492531</v>
      </c>
      <c r="H190" s="142">
        <v>159194.62201568196</v>
      </c>
      <c r="I190" s="142">
        <v>18.868826216423926</v>
      </c>
      <c r="J190" s="142">
        <v>51888.624024403252</v>
      </c>
      <c r="K190" s="142">
        <v>159193.35779661778</v>
      </c>
      <c r="L190" s="142">
        <v>18.864752372254646</v>
      </c>
      <c r="M190" s="145">
        <v>4.0738441692802496E-3</v>
      </c>
      <c r="N190" s="145">
        <v>1.3151052082700625</v>
      </c>
      <c r="O190" s="145">
        <v>8.6726058640351766E-5</v>
      </c>
      <c r="P190" s="145"/>
      <c r="Q1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-0.6885773897984393</v>
      </c>
      <c r="R1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-0.66422106175334505</v>
      </c>
      <c r="S1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-0.40693075444409033</v>
      </c>
      <c r="T19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1.2335839539190374E-5</v>
      </c>
      <c r="V1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-6.7395249828794412E-4</v>
      </c>
      <c r="W1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1.2288820460781835E-5</v>
      </c>
      <c r="X19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90" s="162" t="str">
        <f>ReportSummary___Track[[#This Row],[Track ID]]&amp;"-"&amp;ReportSummary___Track[[#This Row],[Epoch]]</f>
        <v>250-RL-OP-0024-45867.2708333333</v>
      </c>
      <c r="Z190" s="126">
        <f>SUBTOTAL(103,ReportSummary___Track[[#This Row],[Track ID]])</f>
        <v>1</v>
      </c>
      <c r="AA190" s="114">
        <f>_xlfn.NUMBERVALUE(RIGHT(ReportSummary___Track[[#This Row],[Track ID]],4))</f>
        <v>24</v>
      </c>
      <c r="AB190" s="78"/>
      <c r="AC190" s="1"/>
      <c r="AD190" s="4"/>
      <c r="AE190" s="4"/>
      <c r="AF190" s="4"/>
      <c r="AG190" s="4"/>
      <c r="AH190" s="1"/>
      <c r="AI190" s="1"/>
      <c r="AJ190" s="1"/>
    </row>
    <row r="191" spans="5:36" ht="12.75" x14ac:dyDescent="0.2">
      <c r="E191" s="74">
        <v>45867.270833333336</v>
      </c>
      <c r="F191" s="107" t="s">
        <v>239</v>
      </c>
      <c r="G191" s="142">
        <v>51889.947664755273</v>
      </c>
      <c r="H191" s="142">
        <v>159194.34677847879</v>
      </c>
      <c r="I191" s="142">
        <v>18.868421951254046</v>
      </c>
      <c r="J191" s="142">
        <v>51889.584791712696</v>
      </c>
      <c r="K191" s="142">
        <v>159193.08044225874</v>
      </c>
      <c r="L191" s="142">
        <v>18.863894115171242</v>
      </c>
      <c r="M191" s="145">
        <v>4.5278360828042707E-3</v>
      </c>
      <c r="N191" s="145">
        <v>1.3173096707118943</v>
      </c>
      <c r="O191" s="145">
        <v>6.8245099085473271E-4</v>
      </c>
      <c r="P191" s="145"/>
      <c r="Q1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-0.35175864633885112</v>
      </c>
      <c r="R1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-0.33931960506916603</v>
      </c>
      <c r="S1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0.27597752441010925</v>
      </c>
      <c r="T19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5.8065758210545937E-6</v>
      </c>
      <c r="V1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-3.4410577075960624E-4</v>
      </c>
      <c r="W1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5.7030434241767125E-6</v>
      </c>
      <c r="X19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91" s="162" t="str">
        <f>ReportSummary___Track[[#This Row],[Track ID]]&amp;"-"&amp;ReportSummary___Track[[#This Row],[Epoch]]</f>
        <v>250-RL-OP-0025-45867.2708333333</v>
      </c>
      <c r="Z191" s="126">
        <f>SUBTOTAL(103,ReportSummary___Track[[#This Row],[Track ID]])</f>
        <v>1</v>
      </c>
      <c r="AA191" s="114">
        <f>_xlfn.NUMBERVALUE(RIGHT(ReportSummary___Track[[#This Row],[Track ID]],4))</f>
        <v>25</v>
      </c>
      <c r="AB191" s="78"/>
      <c r="AC191" s="1"/>
      <c r="AD191" s="4"/>
      <c r="AE191" s="4"/>
      <c r="AF191" s="4"/>
      <c r="AG191" s="4"/>
      <c r="AH191" s="1"/>
      <c r="AI191" s="1"/>
      <c r="AJ191" s="1"/>
    </row>
    <row r="192" spans="5:36" ht="12.75" x14ac:dyDescent="0.2">
      <c r="E192" s="74">
        <v>45867.270833333336</v>
      </c>
      <c r="F192" s="107" t="s">
        <v>240</v>
      </c>
      <c r="G192" s="142">
        <v>51890.909041018014</v>
      </c>
      <c r="H192" s="142">
        <v>159194.07154127565</v>
      </c>
      <c r="I192" s="142">
        <v>18.868017686084166</v>
      </c>
      <c r="J192" s="142">
        <v>51890.545559022146</v>
      </c>
      <c r="K192" s="142">
        <v>159192.80308789967</v>
      </c>
      <c r="L192" s="142">
        <v>18.863035858087837</v>
      </c>
      <c r="M192" s="145">
        <v>4.9818279963282919E-3</v>
      </c>
      <c r="N192" s="145">
        <v>1.3195142844960253</v>
      </c>
      <c r="O192" s="145">
        <v>1.2781759230655609E-3</v>
      </c>
      <c r="P192" s="145"/>
      <c r="Q1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-1.4939902879262945E-2</v>
      </c>
      <c r="R1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-1.4276053182937787E-2</v>
      </c>
      <c r="S1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0.95888580326075612</v>
      </c>
      <c r="T19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-7.2268790063390043E-7</v>
      </c>
      <c r="V1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-1.4264191376067714E-5</v>
      </c>
      <c r="W1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-8.8273361598112388E-7</v>
      </c>
      <c r="X19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92" s="162" t="str">
        <f>ReportSummary___Track[[#This Row],[Track ID]]&amp;"-"&amp;ReportSummary___Track[[#This Row],[Epoch]]</f>
        <v>250-RL-OP-0026-45867.2708333333</v>
      </c>
      <c r="Z192" s="126">
        <f>SUBTOTAL(103,ReportSummary___Track[[#This Row],[Track ID]])</f>
        <v>1</v>
      </c>
      <c r="AA192" s="114">
        <f>_xlfn.NUMBERVALUE(RIGHT(ReportSummary___Track[[#This Row],[Track ID]],4))</f>
        <v>26</v>
      </c>
      <c r="AB192" s="78"/>
      <c r="AC192" s="1"/>
      <c r="AD192" s="4"/>
      <c r="AE192" s="4"/>
      <c r="AF192" s="4"/>
      <c r="AG192" s="4"/>
      <c r="AH192" s="1"/>
      <c r="AI192" s="1"/>
      <c r="AJ192" s="1"/>
    </row>
    <row r="193" spans="5:36" ht="12.75" x14ac:dyDescent="0.2">
      <c r="E193" s="74">
        <v>45867.270833333336</v>
      </c>
      <c r="F193" s="107" t="s">
        <v>241</v>
      </c>
      <c r="G193" s="142">
        <v>51891.870085166687</v>
      </c>
      <c r="H193" s="142">
        <v>159193.79534240576</v>
      </c>
      <c r="I193" s="142">
        <v>18.865661447731828</v>
      </c>
      <c r="J193" s="142">
        <v>51891.504352850017</v>
      </c>
      <c r="K193" s="142">
        <v>159192.52690828382</v>
      </c>
      <c r="L193" s="142">
        <v>18.860959197096111</v>
      </c>
      <c r="M193" s="145">
        <v>4.7022506357166094E-3</v>
      </c>
      <c r="N193" s="145">
        <v>1.3201164192322909</v>
      </c>
      <c r="O193" s="145">
        <v>6.2840646643635978E-4</v>
      </c>
      <c r="P193" s="145">
        <v>7.1513252507671154E-4</v>
      </c>
      <c r="Q1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-6.9568581650969463E-4</v>
      </c>
      <c r="R1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-8.4508484710754672E-2</v>
      </c>
      <c r="S1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0.6878817039819296</v>
      </c>
      <c r="T1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0.28095094953783928</v>
      </c>
      <c r="U1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3.2393582554846034E-4</v>
      </c>
      <c r="V1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1.1143058162854658E-6</v>
      </c>
      <c r="W1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3.1159998600926997E-4</v>
      </c>
      <c r="X1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3.238888064700518E-4</v>
      </c>
      <c r="Y193" s="162" t="str">
        <f>ReportSummary___Track[[#This Row],[Track ID]]&amp;"-"&amp;ReportSummary___Track[[#This Row],[Epoch]]</f>
        <v>250-RL-OP-0027-45867.2708333333</v>
      </c>
      <c r="Z193" s="126">
        <f>SUBTOTAL(103,ReportSummary___Track[[#This Row],[Track ID]])</f>
        <v>1</v>
      </c>
      <c r="AA193" s="114">
        <f>_xlfn.NUMBERVALUE(RIGHT(ReportSummary___Track[[#This Row],[Track ID]],4))</f>
        <v>27</v>
      </c>
      <c r="AB193" s="78"/>
      <c r="AC193" s="1"/>
      <c r="AD193" s="4"/>
      <c r="AE193" s="4"/>
      <c r="AF193" s="4"/>
      <c r="AG193" s="4"/>
      <c r="AH193" s="1"/>
      <c r="AI193" s="1"/>
      <c r="AJ193" s="1"/>
    </row>
    <row r="194" spans="5:36" ht="12.75" x14ac:dyDescent="0.2">
      <c r="E194" s="74">
        <v>45867.270833333336</v>
      </c>
      <c r="F194" s="107" t="s">
        <v>242</v>
      </c>
      <c r="G194" s="142">
        <v>51892.831165658921</v>
      </c>
      <c r="H194" s="142">
        <v>159193.51908472509</v>
      </c>
      <c r="I194" s="142">
        <v>18.863215774997911</v>
      </c>
      <c r="J194" s="142">
        <v>51892.465286793558</v>
      </c>
      <c r="K194" s="142">
        <v>159192.25013870624</v>
      </c>
      <c r="L194" s="142">
        <v>18.858824466025101</v>
      </c>
      <c r="M194" s="145">
        <v>4.3913089728100374E-3</v>
      </c>
      <c r="N194" s="145">
        <v>1.3206478056180186</v>
      </c>
      <c r="O194" s="145">
        <v>-1.3652710999423334E-4</v>
      </c>
      <c r="P194" s="145">
        <v>5.4592388086049937E-4</v>
      </c>
      <c r="Q1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-1.4233419420861537E-3</v>
      </c>
      <c r="R1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-0.17297553019246514</v>
      </c>
      <c r="S1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0.35033530439676497</v>
      </c>
      <c r="T1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0.62631282880687422</v>
      </c>
      <c r="U1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6.6278083134463373E-4</v>
      </c>
      <c r="V1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2.0378921459229815E-6</v>
      </c>
      <c r="W1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6.5697425552357913E-4</v>
      </c>
      <c r="X1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6.6267729894775584E-4</v>
      </c>
      <c r="Y194" s="162" t="str">
        <f>ReportSummary___Track[[#This Row],[Track ID]]&amp;"-"&amp;ReportSummary___Track[[#This Row],[Epoch]]</f>
        <v>250-RL-OP-0028-45867.2708333333</v>
      </c>
      <c r="Z194" s="126">
        <f>SUBTOTAL(103,ReportSummary___Track[[#This Row],[Track ID]])</f>
        <v>1</v>
      </c>
      <c r="AA194" s="114">
        <f>_xlfn.NUMBERVALUE(RIGHT(ReportSummary___Track[[#This Row],[Track ID]],4))</f>
        <v>28</v>
      </c>
      <c r="AB194" s="78"/>
      <c r="AC194" s="1"/>
      <c r="AD194" s="4"/>
      <c r="AE194" s="4"/>
      <c r="AF194" s="4"/>
      <c r="AG194" s="4"/>
      <c r="AH194" s="1"/>
      <c r="AI194" s="1"/>
      <c r="AJ194" s="1"/>
    </row>
    <row r="195" spans="5:36" ht="12.75" x14ac:dyDescent="0.2">
      <c r="E195" s="74">
        <v>45867.270833333336</v>
      </c>
      <c r="F195" s="107" t="s">
        <v>243</v>
      </c>
      <c r="G195" s="142">
        <v>51893.791838945894</v>
      </c>
      <c r="H195" s="142">
        <v>159193.24290592305</v>
      </c>
      <c r="I195" s="142">
        <v>18.860908806466888</v>
      </c>
      <c r="J195" s="142">
        <v>51893.426692718742</v>
      </c>
      <c r="K195" s="142">
        <v>159191.97323227779</v>
      </c>
      <c r="L195" s="142">
        <v>18.856702718339658</v>
      </c>
      <c r="M195" s="145">
        <v>4.20608812722989E-3</v>
      </c>
      <c r="N195" s="145">
        <v>1.3211436802472951</v>
      </c>
      <c r="O195" s="145">
        <v>-7.7573986909840187E-4</v>
      </c>
      <c r="P195" s="145">
        <v>5.0243605396715907E-4</v>
      </c>
      <c r="Q1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-2.0127615130149934E-6</v>
      </c>
      <c r="R1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-0.25492945046745596</v>
      </c>
      <c r="S1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1.493789011774993E-2</v>
      </c>
      <c r="T1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0.97382369337850605</v>
      </c>
      <c r="U1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9.8239040890035767E-4</v>
      </c>
      <c r="V1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1.9182837168729705E-5</v>
      </c>
      <c r="W1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9.8311309680099157E-4</v>
      </c>
      <c r="X1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9.8223036318501045E-4</v>
      </c>
      <c r="Y195" s="162" t="str">
        <f>ReportSummary___Track[[#This Row],[Track ID]]&amp;"-"&amp;ReportSummary___Track[[#This Row],[Epoch]]</f>
        <v>250-RL-OP-0029-45867.2708333333</v>
      </c>
      <c r="Z195" s="126">
        <f>SUBTOTAL(103,ReportSummary___Track[[#This Row],[Track ID]])</f>
        <v>1</v>
      </c>
      <c r="AA195" s="114">
        <f>_xlfn.NUMBERVALUE(RIGHT(ReportSummary___Track[[#This Row],[Track ID]],4))</f>
        <v>29</v>
      </c>
      <c r="AB195" s="78"/>
      <c r="AC195" s="1"/>
      <c r="AD195" s="4"/>
      <c r="AE195" s="4"/>
      <c r="AF195" s="4"/>
      <c r="AG195" s="4"/>
      <c r="AH195" s="1"/>
      <c r="AI195" s="1"/>
      <c r="AJ195" s="1"/>
    </row>
    <row r="196" spans="5:36" ht="12.75" x14ac:dyDescent="0.2">
      <c r="E196" s="74">
        <v>45867.270833333336</v>
      </c>
      <c r="F196" s="107" t="s">
        <v>269</v>
      </c>
      <c r="G196" s="142">
        <v>51894.752729759806</v>
      </c>
      <c r="H196" s="142">
        <v>159192.96597846717</v>
      </c>
      <c r="I196" s="142">
        <v>18.861075912100414</v>
      </c>
      <c r="J196" s="142">
        <v>51894.387583047202</v>
      </c>
      <c r="K196" s="142">
        <v>159191.69630356206</v>
      </c>
      <c r="L196" s="142">
        <v>18.857215612615047</v>
      </c>
      <c r="M196" s="145">
        <v>3.8602994853675909E-3</v>
      </c>
      <c r="N196" s="145">
        <v>1.3211439695596803</v>
      </c>
      <c r="O196" s="145">
        <v>-8.4195115034901846E-4</v>
      </c>
      <c r="P196" s="145">
        <v>-2.1354468391265868E-4</v>
      </c>
      <c r="Q1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-4.0205573981211273E-5</v>
      </c>
      <c r="R1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0.1588557466889462</v>
      </c>
      <c r="S1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6.5548024252848336E-4</v>
      </c>
      <c r="T1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0.68853718422445809</v>
      </c>
      <c r="U1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6.4839418535811433E-4</v>
      </c>
      <c r="V1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2.4454462403045163E-4</v>
      </c>
      <c r="W1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3.2445835980965398E-4</v>
      </c>
      <c r="X1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6.3605834581892395E-4</v>
      </c>
      <c r="Y196" s="162" t="str">
        <f>ReportSummary___Track[[#This Row],[Track ID]]&amp;"-"&amp;ReportSummary___Track[[#This Row],[Epoch]]</f>
        <v>250-RL-OP-0030-45867.2708333333</v>
      </c>
      <c r="Z196" s="126">
        <f>SUBTOTAL(103,ReportSummary___Track[[#This Row],[Track ID]])</f>
        <v>1</v>
      </c>
      <c r="AA196" s="114">
        <f>_xlfn.NUMBERVALUE(RIGHT(ReportSummary___Track[[#This Row],[Track ID]],4))</f>
        <v>30</v>
      </c>
      <c r="AB196" s="78"/>
      <c r="AC196" s="1"/>
      <c r="AD196" s="1"/>
      <c r="AE196" s="1"/>
      <c r="AF196" s="1"/>
      <c r="AG196" s="1"/>
      <c r="AH196" s="1"/>
      <c r="AI196" s="1"/>
      <c r="AJ196" s="1"/>
    </row>
    <row r="197" spans="5:36" ht="12.75" x14ac:dyDescent="0.2">
      <c r="E197" s="74">
        <v>45867.270833333336</v>
      </c>
      <c r="F197" s="107" t="s">
        <v>270</v>
      </c>
      <c r="G197" s="142">
        <v>51895.713620573719</v>
      </c>
      <c r="H197" s="142">
        <v>159192.68905101132</v>
      </c>
      <c r="I197" s="142">
        <v>18.861243017733944</v>
      </c>
      <c r="J197" s="142">
        <v>51895.348473375663</v>
      </c>
      <c r="K197" s="142">
        <v>159191.4193748463</v>
      </c>
      <c r="L197" s="142">
        <v>18.857728506890432</v>
      </c>
      <c r="M197" s="145">
        <v>3.5145108435123973E-3</v>
      </c>
      <c r="N197" s="145">
        <v>1.3211443494340338</v>
      </c>
      <c r="O197" s="145">
        <v>-8.7679812929764012E-4</v>
      </c>
      <c r="P197" s="145">
        <v>-1.0133252392918735E-3</v>
      </c>
      <c r="Q1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-7.8398379343980196E-5</v>
      </c>
      <c r="R1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0.57264164078119073</v>
      </c>
      <c r="S1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1.3449435627421735E-3</v>
      </c>
      <c r="T1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0.35168024795950714</v>
      </c>
      <c r="U1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3.1439796182297641E-4</v>
      </c>
      <c r="V1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4.6999690306481767E-4</v>
      </c>
      <c r="W1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-3.4838286952165731E-4</v>
      </c>
      <c r="X1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3.0859138600192182E-4</v>
      </c>
      <c r="Y197" s="162" t="str">
        <f>ReportSummary___Track[[#This Row],[Track ID]]&amp;"-"&amp;ReportSummary___Track[[#This Row],[Epoch]]</f>
        <v>250-RL-OP-0031-45867.2708333333</v>
      </c>
      <c r="Z197" s="126">
        <f>SUBTOTAL(103,ReportSummary___Track[[#This Row],[Track ID]])</f>
        <v>1</v>
      </c>
      <c r="AA197" s="114">
        <f>_xlfn.NUMBERVALUE(RIGHT(ReportSummary___Track[[#This Row],[Track ID]],4))</f>
        <v>31</v>
      </c>
      <c r="AB197" s="78"/>
      <c r="AC197" s="1"/>
      <c r="AD197" s="1"/>
      <c r="AE197" s="1"/>
      <c r="AF197" s="1"/>
      <c r="AG197" s="1"/>
      <c r="AH197" s="1"/>
      <c r="AI197" s="1"/>
      <c r="AJ197" s="1"/>
    </row>
    <row r="198" spans="5:36" ht="12.75" x14ac:dyDescent="0.2">
      <c r="E198" s="74">
        <v>45867.270833333336</v>
      </c>
      <c r="F198" s="107" t="s">
        <v>271</v>
      </c>
      <c r="G198" s="142">
        <v>51896.675405970513</v>
      </c>
      <c r="H198" s="142">
        <v>159192.41190810269</v>
      </c>
      <c r="I198" s="142">
        <v>18.861498367389412</v>
      </c>
      <c r="J198" s="142">
        <v>51896.309528737984</v>
      </c>
      <c r="K198" s="142">
        <v>159191.14273461874</v>
      </c>
      <c r="L198" s="142">
        <v>18.85824734462722</v>
      </c>
      <c r="M198" s="145">
        <v>3.2510227621926902E-3</v>
      </c>
      <c r="N198" s="145">
        <v>1.3208626161658641</v>
      </c>
      <c r="O198" s="145">
        <v>-9.5506536503719985E-4</v>
      </c>
      <c r="P198" s="145">
        <v>-1.7308052341356017E-3</v>
      </c>
      <c r="Q1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4.9961244030782836E-6</v>
      </c>
      <c r="R1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0.95459950506704416</v>
      </c>
      <c r="S1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7.008885916093277E-6</v>
      </c>
      <c r="T1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1.4944899003666023E-2</v>
      </c>
      <c r="U1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-5.3029875601851018E-8</v>
      </c>
      <c r="V1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6.7002080272993148E-4</v>
      </c>
      <c r="W1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-9.8244343877595952E-4</v>
      </c>
      <c r="X1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6.6965802503204941E-7</v>
      </c>
      <c r="Y198" s="162" t="str">
        <f>ReportSummary___Track[[#This Row],[Track ID]]&amp;"-"&amp;ReportSummary___Track[[#This Row],[Epoch]]</f>
        <v>250-RL-OP-0032-45867.2708333333</v>
      </c>
      <c r="Z198" s="126">
        <f>SUBTOTAL(103,ReportSummary___Track[[#This Row],[Track ID]])</f>
        <v>1</v>
      </c>
      <c r="AA198" s="114">
        <f>_xlfn.NUMBERVALUE(RIGHT(ReportSummary___Track[[#This Row],[Track ID]],4))</f>
        <v>32</v>
      </c>
      <c r="AB198" s="78"/>
      <c r="AC198" s="1"/>
      <c r="AD198" s="1"/>
      <c r="AE198" s="1"/>
      <c r="AF198" s="1"/>
      <c r="AG198" s="1"/>
      <c r="AH198" s="1"/>
      <c r="AI198" s="1"/>
      <c r="AJ198" s="1"/>
    </row>
    <row r="199" spans="5:36" ht="12.75" x14ac:dyDescent="0.2">
      <c r="E199" s="74">
        <v>45867.270833333336</v>
      </c>
      <c r="F199" s="107" t="s">
        <v>272</v>
      </c>
      <c r="G199" s="142">
        <v>51897.63647866169</v>
      </c>
      <c r="H199" s="142">
        <v>159192.13561708952</v>
      </c>
      <c r="I199" s="142">
        <v>18.863097837135957</v>
      </c>
      <c r="J199" s="142">
        <v>51897.271518069443</v>
      </c>
      <c r="K199" s="142">
        <v>159190.86964821699</v>
      </c>
      <c r="L199" s="142">
        <v>18.858833292983896</v>
      </c>
      <c r="M199" s="145">
        <v>4.2645441520612337E-3</v>
      </c>
      <c r="N199" s="145">
        <v>1.3175323929350897</v>
      </c>
      <c r="O199" s="145">
        <v>4.0424466669364278E-4</v>
      </c>
      <c r="P199" s="145">
        <v>-4.3770648365537568E-4</v>
      </c>
      <c r="Q1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1.0355060808819871E-4</v>
      </c>
      <c r="R1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0.95719956545980978</v>
      </c>
      <c r="S1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1.4375618206940999E-4</v>
      </c>
      <c r="T1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7.9923642459789335E-4</v>
      </c>
      <c r="U1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-8.3705332798444942E-7</v>
      </c>
      <c r="V1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5.2876691176306778E-4</v>
      </c>
      <c r="W1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-6.4923123868609878E-4</v>
      </c>
      <c r="X1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-3.2477287887644479E-4</v>
      </c>
      <c r="Y199" s="162" t="str">
        <f>ReportSummary___Track[[#This Row],[Track ID]]&amp;"-"&amp;ReportSummary___Track[[#This Row],[Epoch]]</f>
        <v>250-RL-OP-0033-45867.2708333333</v>
      </c>
      <c r="Z199" s="126">
        <f>SUBTOTAL(103,ReportSummary___Track[[#This Row],[Track ID]])</f>
        <v>1</v>
      </c>
      <c r="AA199" s="114">
        <f>_xlfn.NUMBERVALUE(RIGHT(ReportSummary___Track[[#This Row],[Track ID]],4))</f>
        <v>33</v>
      </c>
      <c r="AB199" s="78"/>
      <c r="AC199" s="1"/>
      <c r="AD199" s="1"/>
      <c r="AE199" s="1"/>
      <c r="AF199" s="1"/>
      <c r="AG199" s="1"/>
      <c r="AH199" s="1"/>
      <c r="AI199" s="1"/>
      <c r="AJ199" s="1"/>
    </row>
    <row r="200" spans="5:36" ht="12.75" x14ac:dyDescent="0.2">
      <c r="E200" s="74">
        <v>45867.270833333336</v>
      </c>
      <c r="F200" s="107" t="s">
        <v>273</v>
      </c>
      <c r="G200" s="142">
        <v>51898.597551352876</v>
      </c>
      <c r="H200" s="142">
        <v>159191.85932607634</v>
      </c>
      <c r="I200" s="142">
        <v>18.864697306882498</v>
      </c>
      <c r="J200" s="142">
        <v>51898.233507400902</v>
      </c>
      <c r="K200" s="142">
        <v>159190.59656181524</v>
      </c>
      <c r="L200" s="142">
        <v>18.859419241340571</v>
      </c>
      <c r="M200" s="145">
        <v>5.2780655419262246E-3</v>
      </c>
      <c r="N200" s="145">
        <v>1.3142029660847832</v>
      </c>
      <c r="O200" s="145">
        <v>1.7635546984138273E-3</v>
      </c>
      <c r="P200" s="145">
        <v>8.8675656911618717E-4</v>
      </c>
      <c r="Q2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2.0210508822060547E-4</v>
      </c>
      <c r="R2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0.95979918143784815</v>
      </c>
      <c r="S2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2.8050346756458566E-4</v>
      </c>
      <c r="T2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1.6254470303067592E-3</v>
      </c>
      <c r="U2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-1.6210767874724752E-6</v>
      </c>
      <c r="V2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3.875121296932349E-4</v>
      </c>
      <c r="W2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-3.1601903861044889E-4</v>
      </c>
      <c r="X2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-6.644019081321062E-4</v>
      </c>
      <c r="Y200" s="162" t="str">
        <f>ReportSummary___Track[[#This Row],[Track ID]]&amp;"-"&amp;ReportSummary___Track[[#This Row],[Epoch]]</f>
        <v>250-RL-OP-0034-45867.2708333333</v>
      </c>
      <c r="Z200" s="126">
        <f>SUBTOTAL(103,ReportSummary___Track[[#This Row],[Track ID]])</f>
        <v>1</v>
      </c>
      <c r="AA200" s="114">
        <f>_xlfn.NUMBERVALUE(RIGHT(ReportSummary___Track[[#This Row],[Track ID]],4))</f>
        <v>34</v>
      </c>
      <c r="AB200" s="78"/>
      <c r="AC200" s="1"/>
      <c r="AD200" s="1"/>
      <c r="AE200" s="1"/>
      <c r="AF200" s="1"/>
      <c r="AG200" s="1"/>
      <c r="AH200" s="1"/>
      <c r="AI200" s="1"/>
      <c r="AJ200" s="1"/>
    </row>
    <row r="201" spans="5:36" ht="12.75" x14ac:dyDescent="0.2">
      <c r="E201" s="74">
        <v>45867.270833333336</v>
      </c>
      <c r="F201" s="107" t="s">
        <v>274</v>
      </c>
      <c r="G201" s="142">
        <v>51899.558748431518</v>
      </c>
      <c r="H201" s="142">
        <v>159191.58437758734</v>
      </c>
      <c r="I201" s="142">
        <v>18.866</v>
      </c>
      <c r="J201" s="142">
        <v>51899.203488344778</v>
      </c>
      <c r="K201" s="142">
        <v>159190.32167680617</v>
      </c>
      <c r="L201" s="142">
        <v>18.859777416319687</v>
      </c>
      <c r="M201" s="145">
        <v>6.2225836803122547E-3</v>
      </c>
      <c r="N201" s="145">
        <v>1.3117399561425083</v>
      </c>
      <c r="O201" s="145">
        <v>2.9715609181195646E-3</v>
      </c>
      <c r="P201" s="145">
        <v>2.0164955530823647E-3</v>
      </c>
      <c r="Q2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2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0.90395994462411089</v>
      </c>
      <c r="S2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1.67012323970539E-5</v>
      </c>
      <c r="T2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2.3710118313147177E-5</v>
      </c>
      <c r="U2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2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2.5387824185840735E-4</v>
      </c>
      <c r="W2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3.817130469485619E-7</v>
      </c>
      <c r="X2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-9.8206172572901096E-4</v>
      </c>
      <c r="Y201" s="162" t="str">
        <f>ReportSummary___Track[[#This Row],[Track ID]]&amp;"-"&amp;ReportSummary___Track[[#This Row],[Epoch]]</f>
        <v>250-RL-OP-0035-45867.2708333333</v>
      </c>
      <c r="Z201" s="126">
        <f>SUBTOTAL(103,ReportSummary___Track[[#This Row],[Track ID]])</f>
        <v>1</v>
      </c>
      <c r="AA201" s="114">
        <f>_xlfn.NUMBERVALUE(RIGHT(ReportSummary___Track[[#This Row],[Track ID]],4))</f>
        <v>35</v>
      </c>
      <c r="AB201" s="78"/>
      <c r="AC201" s="1"/>
      <c r="AD201" s="1"/>
      <c r="AE201" s="1"/>
      <c r="AF201" s="1"/>
      <c r="AG201" s="1"/>
      <c r="AH201" s="1"/>
      <c r="AI201" s="1"/>
      <c r="AJ201" s="1"/>
    </row>
    <row r="202" spans="5:36" ht="12.75" x14ac:dyDescent="0.2">
      <c r="E202" s="74">
        <v>45867.270833333336</v>
      </c>
      <c r="F202" s="107" t="s">
        <v>275</v>
      </c>
      <c r="G202" s="142">
        <v>51900.521772886575</v>
      </c>
      <c r="H202" s="142">
        <v>159191.31496359556</v>
      </c>
      <c r="I202" s="142">
        <v>18.866</v>
      </c>
      <c r="J202" s="142">
        <v>51900.166132696293</v>
      </c>
      <c r="K202" s="142">
        <v>159190.05090859169</v>
      </c>
      <c r="L202" s="142">
        <v>18.859124333313233</v>
      </c>
      <c r="M202" s="145">
        <v>6.8756666867670901E-3</v>
      </c>
      <c r="N202" s="145">
        <v>1.3131497525281857</v>
      </c>
      <c r="O202" s="145">
        <v>2.6111225347058564E-3</v>
      </c>
      <c r="P202" s="145">
        <v>3.0153672013994992E-3</v>
      </c>
      <c r="Q2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2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0.59570911046091801</v>
      </c>
      <c r="S2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3.3742683314130772E-5</v>
      </c>
      <c r="T2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1.7749886538354076E-4</v>
      </c>
      <c r="U2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2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1.6431828446239471E-4</v>
      </c>
      <c r="W2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7.1688781488887798E-6</v>
      </c>
      <c r="X2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-6.4206236053721E-4</v>
      </c>
      <c r="Y202" s="162" t="str">
        <f>ReportSummary___Track[[#This Row],[Track ID]]&amp;"-"&amp;ReportSummary___Track[[#This Row],[Epoch]]</f>
        <v>250-RL-OP-0036-45867.2708333333</v>
      </c>
      <c r="Z202" s="126">
        <f>SUBTOTAL(103,ReportSummary___Track[[#This Row],[Track ID]])</f>
        <v>1</v>
      </c>
      <c r="AA202" s="114">
        <f>_xlfn.NUMBERVALUE(RIGHT(ReportSummary___Track[[#This Row],[Track ID]],4))</f>
        <v>36</v>
      </c>
      <c r="AB202" s="78"/>
      <c r="AC202" s="1"/>
      <c r="AD202" s="1"/>
      <c r="AE202" s="1"/>
      <c r="AF202" s="1"/>
      <c r="AG202" s="1"/>
      <c r="AH202" s="1"/>
      <c r="AI202" s="1"/>
      <c r="AJ202" s="1"/>
    </row>
    <row r="203" spans="5:36" ht="12.75" x14ac:dyDescent="0.2">
      <c r="E203" s="74">
        <v>45867.270833333336</v>
      </c>
      <c r="F203" s="107" t="s">
        <v>276</v>
      </c>
      <c r="G203" s="142">
        <v>51901.484797341633</v>
      </c>
      <c r="H203" s="142">
        <v>159191.04554960379</v>
      </c>
      <c r="I203" s="142">
        <v>18.866</v>
      </c>
      <c r="J203" s="142">
        <v>51901.128777047808</v>
      </c>
      <c r="K203" s="142">
        <v>159189.7801403772</v>
      </c>
      <c r="L203" s="142">
        <v>18.858471250306778</v>
      </c>
      <c r="M203" s="145">
        <v>7.5287496932219256E-3</v>
      </c>
      <c r="N203" s="145">
        <v>1.314559866426573</v>
      </c>
      <c r="O203" s="145">
        <v>2.250684151295701E-3</v>
      </c>
      <c r="P203" s="145">
        <v>4.0142388497095283E-3</v>
      </c>
      <c r="Q2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2.5288922955724047E-4</v>
      </c>
      <c r="R2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0.28745983361555538</v>
      </c>
      <c r="S2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5.0784141336635003E-5</v>
      </c>
      <c r="T2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3.3128760890122066E-4</v>
      </c>
      <c r="U2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1.2334966477567377E-5</v>
      </c>
      <c r="V2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7.4764643687386112E-5</v>
      </c>
      <c r="W2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1.3956043265039852E-5</v>
      </c>
      <c r="X2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-3.0206299534540904E-4</v>
      </c>
      <c r="Y203" s="162" t="str">
        <f>ReportSummary___Track[[#This Row],[Track ID]]&amp;"-"&amp;ReportSummary___Track[[#This Row],[Epoch]]</f>
        <v>250-RL-OP-0037-45867.2708333333</v>
      </c>
      <c r="Z203" s="126">
        <f>SUBTOTAL(103,ReportSummary___Track[[#This Row],[Track ID]])</f>
        <v>1</v>
      </c>
      <c r="AA203" s="114">
        <f>_xlfn.NUMBERVALUE(RIGHT(ReportSummary___Track[[#This Row],[Track ID]],4))</f>
        <v>37</v>
      </c>
      <c r="AB203" s="78"/>
      <c r="AC203" s="1"/>
      <c r="AD203" s="1"/>
      <c r="AE203" s="1"/>
      <c r="AF203" s="1"/>
      <c r="AG203" s="1"/>
      <c r="AH203" s="1"/>
      <c r="AI203" s="1"/>
      <c r="AJ203" s="1"/>
    </row>
    <row r="204" spans="5:36" ht="12.75" x14ac:dyDescent="0.2">
      <c r="E204" s="74">
        <v>45867.270833333336</v>
      </c>
      <c r="F204" s="107" t="s">
        <v>277</v>
      </c>
      <c r="G204" s="142">
        <v>51902.447765839897</v>
      </c>
      <c r="H204" s="142">
        <v>159190.77723041447</v>
      </c>
      <c r="I204" s="142">
        <v>18.866065372992377</v>
      </c>
      <c r="J204" s="142">
        <v>51902.09986111318</v>
      </c>
      <c r="K204" s="142">
        <v>159189.50800599082</v>
      </c>
      <c r="L204" s="142">
        <v>18.857855476208933</v>
      </c>
      <c r="M204" s="145">
        <v>8.2098967834447478E-3</v>
      </c>
      <c r="N204" s="145">
        <v>1.3160682880744929</v>
      </c>
      <c r="O204" s="145">
        <v>1.9873131031324931E-3</v>
      </c>
      <c r="P204" s="145">
        <v>4.9588740212520577E-3</v>
      </c>
      <c r="Q2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-1.4906179941931441E-2</v>
      </c>
      <c r="R2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4.285667460557363E-2</v>
      </c>
      <c r="S2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-1.4927877298731573E-2</v>
      </c>
      <c r="T2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-1.4911176066334519E-2</v>
      </c>
      <c r="U2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-1.4917118019042164E-5</v>
      </c>
      <c r="V2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-1.447190322090286E-5</v>
      </c>
      <c r="W2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-1.5245801190388875E-5</v>
      </c>
      <c r="X2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-1.4864088143440313E-5</v>
      </c>
      <c r="Y204" s="162" t="str">
        <f>ReportSummary___Track[[#This Row],[Track ID]]&amp;"-"&amp;ReportSummary___Track[[#This Row],[Epoch]]</f>
        <v>250-RL-OP-0038-45867.2708333333</v>
      </c>
      <c r="Z204" s="126">
        <f>SUBTOTAL(103,ReportSummary___Track[[#This Row],[Track ID]])</f>
        <v>1</v>
      </c>
      <c r="AA204" s="114">
        <f>_xlfn.NUMBERVALUE(RIGHT(ReportSummary___Track[[#This Row],[Track ID]],4))</f>
        <v>38</v>
      </c>
      <c r="AB204" s="78"/>
      <c r="AC204" s="1"/>
      <c r="AD204" s="1"/>
      <c r="AE204" s="1"/>
      <c r="AF204" s="1"/>
      <c r="AG204" s="1"/>
      <c r="AH204" s="1"/>
      <c r="AI204" s="1"/>
      <c r="AJ204" s="1"/>
    </row>
    <row r="205" spans="5:36" ht="12.75" x14ac:dyDescent="0.2">
      <c r="E205" s="74">
        <v>45867.270833333336</v>
      </c>
      <c r="F205" s="107" t="s">
        <v>278</v>
      </c>
      <c r="G205" s="142">
        <v>51903.412339888513</v>
      </c>
      <c r="H205" s="142">
        <v>159190.51341841504</v>
      </c>
      <c r="I205" s="142">
        <v>18.86643099375512</v>
      </c>
      <c r="J205" s="142">
        <v>51903.064443423893</v>
      </c>
      <c r="K205" s="142">
        <v>159189.24422415838</v>
      </c>
      <c r="L205" s="142">
        <v>18.857522712449068</v>
      </c>
      <c r="M205" s="145">
        <v>8.908281306052146E-3</v>
      </c>
      <c r="N205" s="145">
        <v>1.3160415528049694</v>
      </c>
      <c r="O205" s="145">
        <v>2.0326146192850558E-3</v>
      </c>
      <c r="P205" s="145">
        <v>4.6437371539909122E-3</v>
      </c>
      <c r="Q2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-1.4524808282345703E-2</v>
      </c>
      <c r="R2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0.36385014029760576</v>
      </c>
      <c r="S2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-1.4662101573748032E-2</v>
      </c>
      <c r="T2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-1.4628358890433901E-2</v>
      </c>
      <c r="U2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-1.4596921268150709E-5</v>
      </c>
      <c r="V2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-1.4106803507107912E-5</v>
      </c>
      <c r="W2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-2.0928746089055039E-5</v>
      </c>
      <c r="X2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-1.3759867940166259E-5</v>
      </c>
      <c r="Y205" s="162" t="str">
        <f>ReportSummary___Track[[#This Row],[Track ID]]&amp;"-"&amp;ReportSummary___Track[[#This Row],[Epoch]]</f>
        <v>250-RL-OP-0039-45867.2708333333</v>
      </c>
      <c r="Z205" s="126">
        <f>SUBTOTAL(103,ReportSummary___Track[[#This Row],[Track ID]])</f>
        <v>1</v>
      </c>
      <c r="AA205" s="114">
        <f>_xlfn.NUMBERVALUE(RIGHT(ReportSummary___Track[[#This Row],[Track ID]],4))</f>
        <v>39</v>
      </c>
      <c r="AB205" s="78"/>
      <c r="AC205" s="1"/>
      <c r="AD205" s="1"/>
      <c r="AE205" s="1"/>
      <c r="AF205" s="1"/>
      <c r="AG205" s="1"/>
      <c r="AH205" s="1"/>
      <c r="AI205" s="1"/>
      <c r="AJ205" s="1"/>
    </row>
    <row r="206" spans="5:36" ht="12.75" x14ac:dyDescent="0.2">
      <c r="E206" s="74">
        <v>45867.270833333336</v>
      </c>
      <c r="F206" s="107" t="s">
        <v>279</v>
      </c>
      <c r="G206" s="142">
        <v>51904.376913937129</v>
      </c>
      <c r="H206" s="142">
        <v>159190.2496064156</v>
      </c>
      <c r="I206" s="142">
        <v>18.866796614517863</v>
      </c>
      <c r="J206" s="142">
        <v>51904.029025734613</v>
      </c>
      <c r="K206" s="142">
        <v>159188.98044232593</v>
      </c>
      <c r="L206" s="142">
        <v>18.857189948689204</v>
      </c>
      <c r="M206" s="145">
        <v>9.6066658286595441E-3</v>
      </c>
      <c r="N206" s="145">
        <v>1.3160151883533651</v>
      </c>
      <c r="O206" s="145">
        <v>2.0779161354376185E-3</v>
      </c>
      <c r="P206" s="145">
        <v>4.3286002867333195E-3</v>
      </c>
      <c r="Q2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-1.414343661920725E-2</v>
      </c>
      <c r="R2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0.684841563723948</v>
      </c>
      <c r="S2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-1.4396325848764491E-2</v>
      </c>
      <c r="T2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-1.4345541707427856E-2</v>
      </c>
      <c r="U2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-1.4276724517259254E-5</v>
      </c>
      <c r="V2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-1.3741389132793103E-5</v>
      </c>
      <c r="W2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-2.6611690994826631E-5</v>
      </c>
      <c r="X2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-1.2655647729786779E-5</v>
      </c>
      <c r="Y206" s="162" t="str">
        <f>ReportSummary___Track[[#This Row],[Track ID]]&amp;"-"&amp;ReportSummary___Track[[#This Row],[Epoch]]</f>
        <v>250-RL-OP-0040-45867.2708333333</v>
      </c>
      <c r="Z206" s="126">
        <f>SUBTOTAL(103,ReportSummary___Track[[#This Row],[Track ID]])</f>
        <v>1</v>
      </c>
      <c r="AA206" s="114">
        <f>_xlfn.NUMBERVALUE(RIGHT(ReportSummary___Track[[#This Row],[Track ID]],4))</f>
        <v>40</v>
      </c>
      <c r="AB206" s="78"/>
      <c r="AC206" s="1"/>
      <c r="AD206" s="1"/>
      <c r="AE206" s="1"/>
      <c r="AF206" s="1"/>
      <c r="AG206" s="1"/>
      <c r="AH206" s="1"/>
      <c r="AI206" s="1"/>
      <c r="AJ206" s="1"/>
    </row>
    <row r="207" spans="5:36" ht="12.75" x14ac:dyDescent="0.2">
      <c r="E207" s="74">
        <v>45867.270833333336</v>
      </c>
      <c r="F207" s="107" t="s">
        <v>280</v>
      </c>
      <c r="G207" s="142">
        <v>51905.341856193925</v>
      </c>
      <c r="H207" s="142">
        <v>159189.98723491601</v>
      </c>
      <c r="I207" s="142">
        <v>18.867392432941728</v>
      </c>
      <c r="J207" s="142">
        <v>51905.003864651924</v>
      </c>
      <c r="K207" s="142">
        <v>159188.71500367383</v>
      </c>
      <c r="L207" s="142">
        <v>18.857104633955974</v>
      </c>
      <c r="M207" s="145">
        <v>1.0287798985753938E-2</v>
      </c>
      <c r="N207" s="145">
        <v>1.3164028467222328</v>
      </c>
      <c r="O207" s="145">
        <v>2.0779022023091898E-3</v>
      </c>
      <c r="P207" s="145">
        <v>4.0652153054416829E-3</v>
      </c>
      <c r="Q2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7.8405289372085463E-5</v>
      </c>
      <c r="R2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0.96307342048529421</v>
      </c>
      <c r="S2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1.4984585231303527E-2</v>
      </c>
      <c r="T2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5.6707932571953279E-5</v>
      </c>
      <c r="U2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2.6200982716773069E-8</v>
      </c>
      <c r="V2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5.7694541268027422E-5</v>
      </c>
      <c r="W2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1.4943319001758937E-5</v>
      </c>
      <c r="X2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-3.0248218862993781E-7</v>
      </c>
      <c r="Y207" s="162" t="str">
        <f>ReportSummary___Track[[#This Row],[Track ID]]&amp;"-"&amp;ReportSummary___Track[[#This Row],[Epoch]]</f>
        <v>250-RL-OP-0041-45867.2708333333</v>
      </c>
      <c r="Z207" s="126">
        <f>SUBTOTAL(103,ReportSummary___Track[[#This Row],[Track ID]])</f>
        <v>1</v>
      </c>
      <c r="AA207" s="114">
        <f>_xlfn.NUMBERVALUE(RIGHT(ReportSummary___Track[[#This Row],[Track ID]],4))</f>
        <v>41</v>
      </c>
      <c r="AB207" s="78"/>
      <c r="AC207" s="1"/>
      <c r="AD207" s="1"/>
      <c r="AE207" s="1"/>
      <c r="AF207" s="1"/>
      <c r="AG207" s="1"/>
      <c r="AH207" s="1"/>
      <c r="AI207" s="1"/>
      <c r="AJ207" s="1"/>
    </row>
    <row r="208" spans="5:36" ht="12.75" x14ac:dyDescent="0.2">
      <c r="E208" s="74">
        <v>45867.270833333336</v>
      </c>
      <c r="F208" s="107" t="s">
        <v>281</v>
      </c>
      <c r="G208" s="142">
        <v>51906.308696346234</v>
      </c>
      <c r="H208" s="142">
        <v>159189.73185839443</v>
      </c>
      <c r="I208" s="142">
        <v>18.869110605337301</v>
      </c>
      <c r="J208" s="142">
        <v>51905.970516824025</v>
      </c>
      <c r="K208" s="142">
        <v>159188.45891499615</v>
      </c>
      <c r="L208" s="142">
        <v>18.85857682068961</v>
      </c>
      <c r="M208" s="145">
        <v>1.0533784647691391E-2</v>
      </c>
      <c r="N208" s="145">
        <v>1.3171413155284277</v>
      </c>
      <c r="O208" s="145">
        <v>1.625503341639245E-3</v>
      </c>
      <c r="P208" s="145">
        <v>3.6581179609243009E-3</v>
      </c>
      <c r="Q2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6.0791812117599875E-4</v>
      </c>
      <c r="R2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0.86290760325935523</v>
      </c>
      <c r="S2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1.5132726403521701E-2</v>
      </c>
      <c r="T2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4.7062482977366926E-4</v>
      </c>
      <c r="U2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1.8014331004678752E-7</v>
      </c>
      <c r="V2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3.9667468839343911E-4</v>
      </c>
      <c r="W2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1.4777064578197496E-5</v>
      </c>
      <c r="X2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-6.1516815108575429E-6</v>
      </c>
      <c r="Y208" s="162" t="str">
        <f>ReportSummary___Track[[#This Row],[Track ID]]&amp;"-"&amp;ReportSummary___Track[[#This Row],[Epoch]]</f>
        <v>250-RL-OP-0042-45867.2708333333</v>
      </c>
      <c r="Z208" s="126">
        <f>SUBTOTAL(103,ReportSummary___Track[[#This Row],[Track ID]])</f>
        <v>1</v>
      </c>
      <c r="AA208" s="114">
        <f>_xlfn.NUMBERVALUE(RIGHT(ReportSummary___Track[[#This Row],[Track ID]],4))</f>
        <v>42</v>
      </c>
      <c r="AB208" s="78"/>
      <c r="AC208" s="1"/>
      <c r="AD208" s="1"/>
      <c r="AE208" s="1"/>
      <c r="AF208" s="1"/>
      <c r="AG208" s="1"/>
      <c r="AH208" s="1"/>
      <c r="AI208" s="1"/>
      <c r="AJ208" s="1"/>
    </row>
    <row r="209" spans="5:36" ht="12.75" x14ac:dyDescent="0.2">
      <c r="E209" s="74">
        <v>45867.270833333336</v>
      </c>
      <c r="F209" s="107" t="s">
        <v>282</v>
      </c>
      <c r="G209" s="142">
        <v>51907.275536498542</v>
      </c>
      <c r="H209" s="142">
        <v>159189.47648187287</v>
      </c>
      <c r="I209" s="142">
        <v>18.870828777732875</v>
      </c>
      <c r="J209" s="142">
        <v>51906.937168996134</v>
      </c>
      <c r="K209" s="142">
        <v>159188.20282631848</v>
      </c>
      <c r="L209" s="142">
        <v>18.860049007423246</v>
      </c>
      <c r="M209" s="145">
        <v>1.0779770309628844E-2</v>
      </c>
      <c r="N209" s="145">
        <v>1.3178798281248316</v>
      </c>
      <c r="O209" s="145">
        <v>1.1731044809693003E-3</v>
      </c>
      <c r="P209" s="145">
        <v>3.2510206164069189E-3</v>
      </c>
      <c r="Q2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1.137430952979912E-3</v>
      </c>
      <c r="R2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0.7627422992062538</v>
      </c>
      <c r="S2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1.5280867572187162E-2</v>
      </c>
      <c r="T2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8.8454172342267157E-4</v>
      </c>
      <c r="U2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3.3408563382408829E-7</v>
      </c>
      <c r="V2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7.3565391583341189E-4</v>
      </c>
      <c r="W2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1.4610810151083342E-5</v>
      </c>
      <c r="X2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-1.2000880843743289E-5</v>
      </c>
      <c r="Y209" s="162" t="str">
        <f>ReportSummary___Track[[#This Row],[Track ID]]&amp;"-"&amp;ReportSummary___Track[[#This Row],[Epoch]]</f>
        <v>250-RL-OP-0043-45867.2708333333</v>
      </c>
      <c r="Z209" s="126">
        <f>SUBTOTAL(103,ReportSummary___Track[[#This Row],[Track ID]])</f>
        <v>1</v>
      </c>
      <c r="AA209" s="114">
        <f>_xlfn.NUMBERVALUE(RIGHT(ReportSummary___Track[[#This Row],[Track ID]],4))</f>
        <v>43</v>
      </c>
      <c r="AB209" s="78"/>
      <c r="AC209" s="1"/>
      <c r="AD209" s="1"/>
      <c r="AE209" s="1"/>
      <c r="AF209" s="1"/>
      <c r="AG209" s="1"/>
      <c r="AH209" s="1"/>
      <c r="AI209" s="1"/>
      <c r="AJ209" s="1"/>
    </row>
    <row r="210" spans="5:36" ht="12.75" x14ac:dyDescent="0.2">
      <c r="E210" s="74">
        <v>45867.270833333336</v>
      </c>
      <c r="F210" s="107" t="s">
        <v>283</v>
      </c>
      <c r="G210" s="142">
        <v>51908.24281274675</v>
      </c>
      <c r="H210" s="142">
        <v>159189.22452581974</v>
      </c>
      <c r="I210" s="142">
        <v>18.872961662236339</v>
      </c>
      <c r="J210" s="142">
        <v>51907.905517584324</v>
      </c>
      <c r="K210" s="142">
        <v>159187.95020456347</v>
      </c>
      <c r="L210" s="142">
        <v>18.861831288624529</v>
      </c>
      <c r="M210" s="145">
        <v>1.1130373611809574E-2</v>
      </c>
      <c r="N210" s="145">
        <v>1.3182513326289838</v>
      </c>
      <c r="O210" s="145">
        <v>8.425746260556366E-4</v>
      </c>
      <c r="P210" s="145">
        <v>2.9204768283648264E-3</v>
      </c>
      <c r="Q2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0.10197077546081346</v>
      </c>
      <c r="R2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0.62729083156165544</v>
      </c>
      <c r="S2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0.10189237017144137</v>
      </c>
      <c r="T2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0.1168769554027449</v>
      </c>
      <c r="U2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1.021712734896596E-4</v>
      </c>
      <c r="V2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7.5944862798960067E-4</v>
      </c>
      <c r="W2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1.0214507250694282E-4</v>
      </c>
      <c r="X2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1.1708839150870176E-4</v>
      </c>
      <c r="Y210" s="162" t="str">
        <f>ReportSummary___Track[[#This Row],[Track ID]]&amp;"-"&amp;ReportSummary___Track[[#This Row],[Epoch]]</f>
        <v>250-RL-OP-0044-45867.2708333333</v>
      </c>
      <c r="Z210" s="126">
        <f>SUBTOTAL(103,ReportSummary___Track[[#This Row],[Track ID]])</f>
        <v>1</v>
      </c>
      <c r="AA210" s="114">
        <f>_xlfn.NUMBERVALUE(RIGHT(ReportSummary___Track[[#This Row],[Track ID]],4))</f>
        <v>44</v>
      </c>
      <c r="AB210" s="78"/>
      <c r="AC210" s="1"/>
      <c r="AD210" s="1"/>
      <c r="AE210" s="1"/>
      <c r="AF210" s="1"/>
      <c r="AG210" s="1"/>
      <c r="AH210" s="1"/>
      <c r="AI210" s="1"/>
      <c r="AJ210" s="1"/>
    </row>
    <row r="211" spans="5:36" ht="12.75" x14ac:dyDescent="0.2">
      <c r="E211" s="74">
        <v>45867.270833333336</v>
      </c>
      <c r="F211" s="107" t="s">
        <v>284</v>
      </c>
      <c r="G211" s="142">
        <v>51909.212340103608</v>
      </c>
      <c r="H211" s="142">
        <v>159188.97956142767</v>
      </c>
      <c r="I211" s="142">
        <v>18.875986708591611</v>
      </c>
      <c r="J211" s="142">
        <v>51908.874845612299</v>
      </c>
      <c r="K211" s="142">
        <v>159187.7044451595</v>
      </c>
      <c r="L211" s="142">
        <v>18.864174266709455</v>
      </c>
      <c r="M211" s="145">
        <v>1.1812441882156577E-2</v>
      </c>
      <c r="N211" s="145">
        <v>1.3190767842665618</v>
      </c>
      <c r="O211" s="145">
        <v>1.2786572344651859E-3</v>
      </c>
      <c r="P211" s="145">
        <v>2.9041605761044309E-3</v>
      </c>
      <c r="Q2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0.42275563333760147</v>
      </c>
      <c r="R2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0.40214515055736477</v>
      </c>
      <c r="S2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0.42214771521642547</v>
      </c>
      <c r="T2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0.43728044161994717</v>
      </c>
      <c r="U2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4.2358682664911385E-4</v>
      </c>
      <c r="V2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1.4344839571900359E-4</v>
      </c>
      <c r="W2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4.2340668333906706E-4</v>
      </c>
      <c r="X2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4.3818374791726455E-4</v>
      </c>
      <c r="Y211" s="162" t="str">
        <f>ReportSummary___Track[[#This Row],[Track ID]]&amp;"-"&amp;ReportSummary___Track[[#This Row],[Epoch]]</f>
        <v>250-RL-OP-0045-45867.2708333333</v>
      </c>
      <c r="Z211" s="126">
        <f>SUBTOTAL(103,ReportSummary___Track[[#This Row],[Track ID]])</f>
        <v>1</v>
      </c>
      <c r="AA211" s="114">
        <f>_xlfn.NUMBERVALUE(RIGHT(ReportSummary___Track[[#This Row],[Track ID]],4))</f>
        <v>45</v>
      </c>
      <c r="AB211" s="78"/>
      <c r="AC211" s="1"/>
      <c r="AD211" s="1"/>
      <c r="AE211" s="1"/>
      <c r="AF211" s="1"/>
      <c r="AG211" s="1"/>
      <c r="AH211" s="1"/>
      <c r="AI211" s="1"/>
      <c r="AJ211" s="1"/>
    </row>
    <row r="212" spans="5:36" ht="12.75" x14ac:dyDescent="0.2">
      <c r="E212" s="74">
        <v>45867.270833333336</v>
      </c>
      <c r="F212" s="107" t="s">
        <v>285</v>
      </c>
      <c r="G212" s="142">
        <v>51910.181867460473</v>
      </c>
      <c r="H212" s="142">
        <v>159188.73459703557</v>
      </c>
      <c r="I212" s="142">
        <v>18.87901175494688</v>
      </c>
      <c r="J212" s="142">
        <v>51909.844173640267</v>
      </c>
      <c r="K212" s="142">
        <v>159187.45868575553</v>
      </c>
      <c r="L212" s="142">
        <v>18.86651724479438</v>
      </c>
      <c r="M212" s="145">
        <v>1.2494510152500027E-2</v>
      </c>
      <c r="N212" s="145">
        <v>1.3199025810739242</v>
      </c>
      <c r="O212" s="145">
        <v>1.7147398428711824E-3</v>
      </c>
      <c r="P212" s="145">
        <v>2.8878443238404827E-3</v>
      </c>
      <c r="Q2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0.74354049121438948</v>
      </c>
      <c r="R2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0.17725037443616642</v>
      </c>
      <c r="S2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0.74240306026140956</v>
      </c>
      <c r="T2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0.75768392783359673</v>
      </c>
      <c r="U2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7.4500237980501538E-4</v>
      </c>
      <c r="V2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-4.72298787540959E-4</v>
      </c>
      <c r="W2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7.4466829417119129E-4</v>
      </c>
      <c r="X2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7.5927910432227463E-4</v>
      </c>
      <c r="Y212" s="162" t="str">
        <f>ReportSummary___Track[[#This Row],[Track ID]]&amp;"-"&amp;ReportSummary___Track[[#This Row],[Epoch]]</f>
        <v>250-RL-OP-0046-45867.2708333333</v>
      </c>
      <c r="Z212" s="126">
        <f>SUBTOTAL(103,ReportSummary___Track[[#This Row],[Track ID]])</f>
        <v>1</v>
      </c>
      <c r="AA212" s="114">
        <f>_xlfn.NUMBERVALUE(RIGHT(ReportSummary___Track[[#This Row],[Track ID]],4))</f>
        <v>46</v>
      </c>
      <c r="AB212" s="78"/>
      <c r="AC212" s="1"/>
      <c r="AD212" s="1"/>
      <c r="AE212" s="1"/>
      <c r="AF212" s="1"/>
      <c r="AG212" s="1"/>
      <c r="AH212" s="1"/>
      <c r="AI212" s="1"/>
      <c r="AJ212" s="1"/>
    </row>
    <row r="213" spans="5:36" ht="12.75" x14ac:dyDescent="0.2">
      <c r="E213" s="74">
        <v>45867.270833333336</v>
      </c>
      <c r="F213" s="107" t="s">
        <v>286</v>
      </c>
      <c r="G213" s="142">
        <v>51911.152141496423</v>
      </c>
      <c r="H213" s="142">
        <v>159188.49144319948</v>
      </c>
      <c r="I213" s="142">
        <v>18.882328518492972</v>
      </c>
      <c r="J213" s="142">
        <v>51910.835175044966</v>
      </c>
      <c r="K213" s="142">
        <v>159187.20944558506</v>
      </c>
      <c r="L213" s="142">
        <v>18.869138804746513</v>
      </c>
      <c r="M213" s="145">
        <v>1.318971374645983E-2</v>
      </c>
      <c r="N213" s="145">
        <v>1.3206663406349857</v>
      </c>
      <c r="O213" s="145">
        <v>2.059340134650256E-3</v>
      </c>
      <c r="P213" s="145">
        <v>2.9019147607058926E-3</v>
      </c>
      <c r="Q2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1.0028817952765223</v>
      </c>
      <c r="R2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6.6244763913481108E-2</v>
      </c>
      <c r="S2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0.90091101981570887</v>
      </c>
      <c r="T2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1.0028033899871502</v>
      </c>
      <c r="U2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9.2603017286307931E-4</v>
      </c>
      <c r="V2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-8.7042774674839229E-4</v>
      </c>
      <c r="W2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8.2385889937341972E-4</v>
      </c>
      <c r="X2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9.2600397188036254E-4</v>
      </c>
      <c r="Y213" s="162" t="str">
        <f>ReportSummary___Track[[#This Row],[Track ID]]&amp;"-"&amp;ReportSummary___Track[[#This Row],[Epoch]]</f>
        <v>250-RL-OP-0047-45867.2708333333</v>
      </c>
      <c r="Z213" s="126">
        <f>SUBTOTAL(103,ReportSummary___Track[[#This Row],[Track ID]])</f>
        <v>1</v>
      </c>
      <c r="AA213" s="114">
        <f>_xlfn.NUMBERVALUE(RIGHT(ReportSummary___Track[[#This Row],[Track ID]],4))</f>
        <v>47</v>
      </c>
      <c r="AB213" s="78"/>
      <c r="AC213" s="1"/>
      <c r="AD213" s="1"/>
      <c r="AE213" s="1"/>
      <c r="AF213" s="1"/>
      <c r="AG213" s="1"/>
      <c r="AH213" s="1"/>
      <c r="AI213" s="1"/>
      <c r="AJ213" s="1"/>
    </row>
    <row r="214" spans="5:36" ht="12.75" x14ac:dyDescent="0.2">
      <c r="E214" s="74">
        <v>45867.270833333336</v>
      </c>
      <c r="F214" s="107" t="s">
        <v>287</v>
      </c>
      <c r="G214" s="142">
        <v>51912.123875350415</v>
      </c>
      <c r="H214" s="142">
        <v>159188.2554052464</v>
      </c>
      <c r="I214" s="142">
        <v>18.886733255176896</v>
      </c>
      <c r="J214" s="142">
        <v>51911.806659447015</v>
      </c>
      <c r="K214" s="142">
        <v>159186.97236626773</v>
      </c>
      <c r="L214" s="142">
        <v>18.872523159975596</v>
      </c>
      <c r="M214" s="145">
        <v>1.4210095201299566E-2</v>
      </c>
      <c r="N214" s="145">
        <v>1.3217476600920004</v>
      </c>
      <c r="O214" s="145">
        <v>2.3976533191429894E-3</v>
      </c>
      <c r="P214" s="145">
        <v>3.6763105536081753E-3</v>
      </c>
      <c r="Q2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1.0041282180388578</v>
      </c>
      <c r="R2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0.32350771185263305</v>
      </c>
      <c r="S2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0.5813725847012563</v>
      </c>
      <c r="T2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1.0035202999176818</v>
      </c>
      <c r="U2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5.7511971062140788E-4</v>
      </c>
      <c r="V2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-4.517775469721208E-4</v>
      </c>
      <c r="W2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1.5153288397229403E-4</v>
      </c>
      <c r="X2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5.7493956731136109E-4</v>
      </c>
      <c r="Y214" s="162" t="str">
        <f>ReportSummary___Track[[#This Row],[Track ID]]&amp;"-"&amp;ReportSummary___Track[[#This Row],[Epoch]]</f>
        <v>250-RL-OP-0048-45867.2708333333</v>
      </c>
      <c r="Z214" s="126">
        <f>SUBTOTAL(103,ReportSummary___Track[[#This Row],[Track ID]])</f>
        <v>1</v>
      </c>
      <c r="AA214" s="114">
        <f>_xlfn.NUMBERVALUE(RIGHT(ReportSummary___Track[[#This Row],[Track ID]],4))</f>
        <v>48</v>
      </c>
      <c r="AB214" s="78"/>
      <c r="AC214" s="1"/>
      <c r="AD214" s="1"/>
      <c r="AE214" s="1"/>
      <c r="AF214" s="1"/>
      <c r="AG214" s="1"/>
      <c r="AH214" s="1"/>
      <c r="AI214" s="1"/>
      <c r="AJ214" s="1"/>
    </row>
    <row r="215" spans="5:36" ht="12.75" x14ac:dyDescent="0.2">
      <c r="E215" s="74">
        <v>45867.270833333336</v>
      </c>
      <c r="F215" s="107" t="s">
        <v>288</v>
      </c>
      <c r="G215" s="142">
        <v>51913.095609204407</v>
      </c>
      <c r="H215" s="142">
        <v>159188.01936729331</v>
      </c>
      <c r="I215" s="142">
        <v>18.89113799186082</v>
      </c>
      <c r="J215" s="142">
        <v>51912.778143849064</v>
      </c>
      <c r="K215" s="142">
        <v>159186.73528695037</v>
      </c>
      <c r="L215" s="142">
        <v>18.875907515204684</v>
      </c>
      <c r="M215" s="145">
        <v>1.523047665613575E-2</v>
      </c>
      <c r="N215" s="145">
        <v>1.3228297495876211</v>
      </c>
      <c r="O215" s="145">
        <v>2.7359665036357228E-3</v>
      </c>
      <c r="P215" s="145">
        <v>4.4507063465069052E-3</v>
      </c>
      <c r="Q2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1.0053746408011932</v>
      </c>
      <c r="R2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0.5807672360862437</v>
      </c>
      <c r="S2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0.26183414958680373</v>
      </c>
      <c r="T2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1.0042372098482133</v>
      </c>
      <c r="U2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2.2420924837263101E-4</v>
      </c>
      <c r="V2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-3.3765555919051948E-5</v>
      </c>
      <c r="W2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-5.2079313143238437E-4</v>
      </c>
      <c r="X2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2.2387516273880692E-4</v>
      </c>
      <c r="Y215" s="162" t="str">
        <f>ReportSummary___Track[[#This Row],[Track ID]]&amp;"-"&amp;ReportSummary___Track[[#This Row],[Epoch]]</f>
        <v>250-RL-OP-0049-45867.2708333333</v>
      </c>
      <c r="Z215" s="126">
        <f>SUBTOTAL(103,ReportSummary___Track[[#This Row],[Track ID]])</f>
        <v>1</v>
      </c>
      <c r="AA215" s="114">
        <f>_xlfn.NUMBERVALUE(RIGHT(ReportSummary___Track[[#This Row],[Track ID]],4))</f>
        <v>49</v>
      </c>
      <c r="AB215" s="78"/>
      <c r="AC215" s="1"/>
      <c r="AD215" s="1"/>
      <c r="AE215" s="1"/>
      <c r="AF215" s="1"/>
      <c r="AG215" s="1"/>
      <c r="AH215" s="1"/>
      <c r="AI215" s="1"/>
      <c r="AJ215" s="1"/>
    </row>
    <row r="216" spans="5:36" ht="12.75" x14ac:dyDescent="0.2">
      <c r="E216" s="74">
        <v>45863.25</v>
      </c>
      <c r="F216" s="107" t="s">
        <v>235</v>
      </c>
      <c r="G216" s="142">
        <v>51886.101888003854</v>
      </c>
      <c r="H216" s="142">
        <v>159195.44568170901</v>
      </c>
      <c r="I216" s="142">
        <v>18.86977464079656</v>
      </c>
      <c r="J216" s="142">
        <v>51885.743029345111</v>
      </c>
      <c r="K216" s="142">
        <v>159194.18588072801</v>
      </c>
      <c r="L216" s="142">
        <v>18.86578752268592</v>
      </c>
      <c r="M216" s="145">
        <v>3.9871181106398978E-3</v>
      </c>
      <c r="N216" s="145">
        <v>1.3099213509981491</v>
      </c>
      <c r="O216" s="145"/>
      <c r="P216" s="145"/>
      <c r="Q2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-0.28164663535434897</v>
      </c>
      <c r="R2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-0.1968253892605798</v>
      </c>
      <c r="S21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1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4.7019078408538917E-8</v>
      </c>
      <c r="V2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4.9470188266353965E-4</v>
      </c>
      <c r="W21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1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16" s="162" t="str">
        <f>ReportSummary___Track[[#This Row],[Track ID]]&amp;"-"&amp;ReportSummary___Track[[#This Row],[Epoch]]</f>
        <v>250-RL-OP-0021-45863.25</v>
      </c>
      <c r="Z216" s="126">
        <f>SUBTOTAL(103,ReportSummary___Track[[#This Row],[Track ID]])</f>
        <v>1</v>
      </c>
      <c r="AA216" s="114">
        <f>_xlfn.NUMBERVALUE(RIGHT(ReportSummary___Track[[#This Row],[Track ID]],4))</f>
        <v>21</v>
      </c>
      <c r="AB216" s="78"/>
      <c r="AC216" s="1"/>
      <c r="AD216" s="1"/>
      <c r="AE216" s="1"/>
      <c r="AF216" s="1"/>
      <c r="AG216" s="1"/>
      <c r="AH216" s="1"/>
      <c r="AI216" s="1"/>
      <c r="AJ216" s="1"/>
    </row>
    <row r="217" spans="5:36" ht="12.75" x14ac:dyDescent="0.2">
      <c r="E217" s="74">
        <v>45863.25</v>
      </c>
      <c r="F217" s="107" t="s">
        <v>236</v>
      </c>
      <c r="G217" s="142">
        <v>51887.0635346048</v>
      </c>
      <c r="H217" s="142">
        <v>159195.17139037082</v>
      </c>
      <c r="I217" s="142">
        <v>18.869497718698447</v>
      </c>
      <c r="J217" s="142">
        <v>51886.704122307987</v>
      </c>
      <c r="K217" s="142">
        <v>159193.90965564147</v>
      </c>
      <c r="L217" s="142">
        <v>18.865652333606498</v>
      </c>
      <c r="M217" s="145">
        <v>3.845385091949538E-3</v>
      </c>
      <c r="N217" s="145">
        <v>1.311932358513253</v>
      </c>
      <c r="O217" s="145"/>
      <c r="P217" s="145"/>
      <c r="Q2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-0.62773617074896038</v>
      </c>
      <c r="R2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-9.6454581833160802E-2</v>
      </c>
      <c r="S21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1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1.0353239687788118E-7</v>
      </c>
      <c r="V2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2.6333195155747724E-4</v>
      </c>
      <c r="W21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1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17" s="162" t="str">
        <f>ReportSummary___Track[[#This Row],[Track ID]]&amp;"-"&amp;ReportSummary___Track[[#This Row],[Epoch]]</f>
        <v>250-RL-OP-0022-45863.25</v>
      </c>
      <c r="Z217" s="126">
        <f>SUBTOTAL(103,ReportSummary___Track[[#This Row],[Track ID]])</f>
        <v>1</v>
      </c>
      <c r="AA217" s="114">
        <f>_xlfn.NUMBERVALUE(RIGHT(ReportSummary___Track[[#This Row],[Track ID]],4))</f>
        <v>22</v>
      </c>
      <c r="AB217" s="78"/>
      <c r="AC217" s="1"/>
      <c r="AD217" s="1"/>
      <c r="AE217" s="1"/>
      <c r="AF217" s="1"/>
      <c r="AG217" s="1"/>
      <c r="AH217" s="1"/>
      <c r="AI217" s="1"/>
      <c r="AJ217" s="1"/>
    </row>
    <row r="218" spans="5:36" ht="12.75" x14ac:dyDescent="0.2">
      <c r="E218" s="74">
        <v>45863.25</v>
      </c>
      <c r="F218" s="107" t="s">
        <v>237</v>
      </c>
      <c r="G218" s="142">
        <v>51888.025181205747</v>
      </c>
      <c r="H218" s="142">
        <v>159194.89709903265</v>
      </c>
      <c r="I218" s="142">
        <v>18.869220796600338</v>
      </c>
      <c r="J218" s="142">
        <v>51887.665215270863</v>
      </c>
      <c r="K218" s="142">
        <v>159193.63343055494</v>
      </c>
      <c r="L218" s="142">
        <v>18.865517144527075</v>
      </c>
      <c r="M218" s="145">
        <v>3.7036520732627309E-3</v>
      </c>
      <c r="N218" s="145">
        <v>1.3139433826740909</v>
      </c>
      <c r="O218" s="145"/>
      <c r="P218" s="145"/>
      <c r="Q2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-0.97382570614001907</v>
      </c>
      <c r="R2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3.9030637033476978E-3</v>
      </c>
      <c r="S21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1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1.6004571534722345E-7</v>
      </c>
      <c r="V2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3.196185758280734E-5</v>
      </c>
      <c r="W21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1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18" s="162" t="str">
        <f>ReportSummary___Track[[#This Row],[Track ID]]&amp;"-"&amp;ReportSummary___Track[[#This Row],[Epoch]]</f>
        <v>250-RL-OP-0023-45863.25</v>
      </c>
      <c r="Z218" s="126">
        <f>SUBTOTAL(103,ReportSummary___Track[[#This Row],[Track ID]])</f>
        <v>1</v>
      </c>
      <c r="AA218" s="114">
        <f>_xlfn.NUMBERVALUE(RIGHT(ReportSummary___Track[[#This Row],[Track ID]],4))</f>
        <v>23</v>
      </c>
      <c r="AB218" s="78"/>
      <c r="AC218" s="1"/>
      <c r="AD218" s="1"/>
      <c r="AE218" s="1"/>
      <c r="AF218" s="1"/>
      <c r="AG218" s="1"/>
      <c r="AH218" s="1"/>
      <c r="AI218" s="1"/>
      <c r="AJ218" s="1"/>
    </row>
    <row r="219" spans="5:36" ht="12.75" x14ac:dyDescent="0.2">
      <c r="E219" s="74">
        <v>45863.25</v>
      </c>
      <c r="F219" s="107" t="s">
        <v>238</v>
      </c>
      <c r="G219" s="142">
        <v>51888.986288492531</v>
      </c>
      <c r="H219" s="142">
        <v>159194.62201568196</v>
      </c>
      <c r="I219" s="142">
        <v>18.868826216423926</v>
      </c>
      <c r="J219" s="142">
        <v>51888.624104054346</v>
      </c>
      <c r="K219" s="142">
        <v>159193.35707270369</v>
      </c>
      <c r="L219" s="142">
        <v>18.864752301102019</v>
      </c>
      <c r="M219" s="145">
        <v>4.0739153219071511E-3</v>
      </c>
      <c r="N219" s="145">
        <v>1.3157791996908479</v>
      </c>
      <c r="O219" s="145">
        <v>8.679721126725326E-5</v>
      </c>
      <c r="P219" s="145"/>
      <c r="Q2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-0.6885062371715378</v>
      </c>
      <c r="R2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9.7703590320463718E-3</v>
      </c>
      <c r="S2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-0.40685960181718883</v>
      </c>
      <c r="T21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1.2406992166091868E-5</v>
      </c>
      <c r="V2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3.8922497447302362E-8</v>
      </c>
      <c r="W2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1.2359973087683329E-5</v>
      </c>
      <c r="X21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19" s="162" t="str">
        <f>ReportSummary___Track[[#This Row],[Track ID]]&amp;"-"&amp;ReportSummary___Track[[#This Row],[Epoch]]</f>
        <v>250-RL-OP-0024-45863.25</v>
      </c>
      <c r="Z219" s="126">
        <f>SUBTOTAL(103,ReportSummary___Track[[#This Row],[Track ID]])</f>
        <v>1</v>
      </c>
      <c r="AA219" s="114">
        <f>_xlfn.NUMBERVALUE(RIGHT(ReportSummary___Track[[#This Row],[Track ID]],4))</f>
        <v>24</v>
      </c>
      <c r="AB219" s="78"/>
      <c r="AC219" s="1"/>
      <c r="AD219" s="1"/>
      <c r="AE219" s="1"/>
      <c r="AF219" s="1"/>
      <c r="AG219" s="1"/>
      <c r="AH219" s="1"/>
      <c r="AI219" s="1"/>
      <c r="AJ219" s="1"/>
    </row>
    <row r="220" spans="5:36" ht="12.75" x14ac:dyDescent="0.2">
      <c r="E220" s="74">
        <v>45863.25</v>
      </c>
      <c r="F220" s="107" t="s">
        <v>239</v>
      </c>
      <c r="G220" s="142">
        <v>51889.947664755273</v>
      </c>
      <c r="H220" s="142">
        <v>159194.34677847879</v>
      </c>
      <c r="I220" s="142">
        <v>18.868421951254046</v>
      </c>
      <c r="J220" s="142">
        <v>51889.584962801164</v>
      </c>
      <c r="K220" s="142">
        <v>159193.08003528396</v>
      </c>
      <c r="L220" s="142">
        <v>18.863893962337269</v>
      </c>
      <c r="M220" s="145">
        <v>4.5279889167773035E-3</v>
      </c>
      <c r="N220" s="145">
        <v>1.3176537981809908</v>
      </c>
      <c r="O220" s="145">
        <v>6.8260382482776549E-4</v>
      </c>
      <c r="P220" s="145"/>
      <c r="Q2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-0.35160581236581834</v>
      </c>
      <c r="R2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4.8078640273452322E-3</v>
      </c>
      <c r="S2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0.27613035838314204</v>
      </c>
      <c r="T22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5.959409794087378E-6</v>
      </c>
      <c r="V2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2.1698336905018323E-8</v>
      </c>
      <c r="W2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5.8558773972094968E-6</v>
      </c>
      <c r="X22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20" s="162" t="str">
        <f>ReportSummary___Track[[#This Row],[Track ID]]&amp;"-"&amp;ReportSummary___Track[[#This Row],[Epoch]]</f>
        <v>250-RL-OP-0025-45863.25</v>
      </c>
      <c r="Z220" s="126">
        <f>SUBTOTAL(103,ReportSummary___Track[[#This Row],[Track ID]])</f>
        <v>1</v>
      </c>
      <c r="AA220" s="114">
        <f>_xlfn.NUMBERVALUE(RIGHT(ReportSummary___Track[[#This Row],[Track ID]],4))</f>
        <v>25</v>
      </c>
      <c r="AB220" s="78"/>
      <c r="AC220" s="1"/>
      <c r="AD220" s="1"/>
      <c r="AE220" s="1"/>
      <c r="AF220" s="1"/>
      <c r="AG220" s="1"/>
      <c r="AH220" s="1"/>
      <c r="AI220" s="1"/>
      <c r="AJ220" s="1"/>
    </row>
    <row r="221" spans="5:36" ht="12.75" x14ac:dyDescent="0.2">
      <c r="E221" s="74">
        <v>45863.25</v>
      </c>
      <c r="F221" s="107" t="s">
        <v>240</v>
      </c>
      <c r="G221" s="142">
        <v>51890.909041018014</v>
      </c>
      <c r="H221" s="142">
        <v>159194.07154127565</v>
      </c>
      <c r="I221" s="142">
        <v>18.868017686084166</v>
      </c>
      <c r="J221" s="142">
        <v>51890.545821547981</v>
      </c>
      <c r="K221" s="142">
        <v>159192.80299786426</v>
      </c>
      <c r="L221" s="142">
        <v>18.863035623572515</v>
      </c>
      <c r="M221" s="145">
        <v>4.9820625116510087E-3</v>
      </c>
      <c r="N221" s="145">
        <v>1.3195285487449451</v>
      </c>
      <c r="O221" s="145">
        <v>1.2784104383882777E-3</v>
      </c>
      <c r="P221" s="145"/>
      <c r="Q2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-1.4705387556546157E-2</v>
      </c>
      <c r="R2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-1.1804263122527914E-5</v>
      </c>
      <c r="S2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0.95912031858347291</v>
      </c>
      <c r="T22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-4.8817257791711199E-7</v>
      </c>
      <c r="V2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5.7543747544741564E-11</v>
      </c>
      <c r="W2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-6.4821829326433544E-7</v>
      </c>
      <c r="X22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21" s="162" t="str">
        <f>ReportSummary___Track[[#This Row],[Track ID]]&amp;"-"&amp;ReportSummary___Track[[#This Row],[Epoch]]</f>
        <v>250-RL-OP-0026-45863.25</v>
      </c>
      <c r="Z221" s="126">
        <f>SUBTOTAL(103,ReportSummary___Track[[#This Row],[Track ID]])</f>
        <v>1</v>
      </c>
      <c r="AA221" s="114">
        <f>_xlfn.NUMBERVALUE(RIGHT(ReportSummary___Track[[#This Row],[Track ID]],4))</f>
        <v>26</v>
      </c>
      <c r="AB221" s="78"/>
      <c r="AC221" s="1"/>
      <c r="AD221" s="1"/>
      <c r="AE221" s="1"/>
      <c r="AF221" s="1"/>
      <c r="AG221" s="1"/>
      <c r="AH221" s="1"/>
      <c r="AI221" s="1"/>
      <c r="AJ221" s="1"/>
    </row>
    <row r="222" spans="5:36" ht="12.75" x14ac:dyDescent="0.2">
      <c r="E222" s="74">
        <v>45863.25</v>
      </c>
      <c r="F222" s="107" t="s">
        <v>241</v>
      </c>
      <c r="G222" s="142">
        <v>51891.870085166687</v>
      </c>
      <c r="H222" s="142">
        <v>159193.79534240576</v>
      </c>
      <c r="I222" s="142">
        <v>18.865661447731828</v>
      </c>
      <c r="J222" s="142">
        <v>51891.504353461787</v>
      </c>
      <c r="K222" s="142">
        <v>159192.52690810763</v>
      </c>
      <c r="L222" s="142">
        <v>18.861283132921656</v>
      </c>
      <c r="M222" s="145">
        <v>4.3783148101717018E-3</v>
      </c>
      <c r="N222" s="145">
        <v>1.3201153049264747</v>
      </c>
      <c r="O222" s="145">
        <v>3.0439948826455066E-4</v>
      </c>
      <c r="P222" s="145">
        <v>3.9119669953180392E-4</v>
      </c>
      <c r="Q2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-0.32463151136141732</v>
      </c>
      <c r="R2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-8.5622790527040138E-2</v>
      </c>
      <c r="S2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0.36387472581012048</v>
      </c>
      <c r="T2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-4.2984876007068351E-2</v>
      </c>
      <c r="U2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2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2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-1.2406992162539154E-5</v>
      </c>
      <c r="X2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-4.7019074855825238E-8</v>
      </c>
      <c r="Y222" s="162" t="str">
        <f>ReportSummary___Track[[#This Row],[Track ID]]&amp;"-"&amp;ReportSummary___Track[[#This Row],[Epoch]]</f>
        <v>250-RL-OP-0027-45863.25</v>
      </c>
      <c r="Z222" s="126">
        <f>SUBTOTAL(103,ReportSummary___Track[[#This Row],[Track ID]])</f>
        <v>1</v>
      </c>
      <c r="AA222" s="114">
        <f>_xlfn.NUMBERVALUE(RIGHT(ReportSummary___Track[[#This Row],[Track ID]],4))</f>
        <v>27</v>
      </c>
      <c r="AB222" s="78"/>
      <c r="AC222" s="1"/>
      <c r="AD222" s="1"/>
      <c r="AE222" s="1"/>
      <c r="AF222" s="1"/>
      <c r="AG222" s="1"/>
      <c r="AH222" s="1"/>
      <c r="AI222" s="1"/>
      <c r="AJ222" s="1"/>
    </row>
    <row r="223" spans="5:36" ht="12.75" x14ac:dyDescent="0.2">
      <c r="E223" s="74">
        <v>45863.25</v>
      </c>
      <c r="F223" s="107" t="s">
        <v>242</v>
      </c>
      <c r="G223" s="142">
        <v>51892.831165658921</v>
      </c>
      <c r="H223" s="142">
        <v>159193.51908472509</v>
      </c>
      <c r="I223" s="142">
        <v>18.863215774997911</v>
      </c>
      <c r="J223" s="142">
        <v>51892.465288045249</v>
      </c>
      <c r="K223" s="142">
        <v>159192.25013834573</v>
      </c>
      <c r="L223" s="142">
        <v>18.859487246856443</v>
      </c>
      <c r="M223" s="145">
        <v>3.7285281414689564E-3</v>
      </c>
      <c r="N223" s="145">
        <v>1.3206457677258727</v>
      </c>
      <c r="O223" s="145">
        <v>-7.9946077530834714E-4</v>
      </c>
      <c r="P223" s="145">
        <v>-1.1685695048058165E-4</v>
      </c>
      <c r="Q2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-0.66420417328316717</v>
      </c>
      <c r="R2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-0.17501342233838812</v>
      </c>
      <c r="S2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-0.31259836091734883</v>
      </c>
      <c r="T2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-3.6468002534206789E-2</v>
      </c>
      <c r="U2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2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2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-5.9594097905346644E-6</v>
      </c>
      <c r="X2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-1.035323933251675E-7</v>
      </c>
      <c r="Y223" s="162" t="str">
        <f>ReportSummary___Track[[#This Row],[Track ID]]&amp;"-"&amp;ReportSummary___Track[[#This Row],[Epoch]]</f>
        <v>250-RL-OP-0028-45863.25</v>
      </c>
      <c r="Z223" s="126">
        <f>SUBTOTAL(103,ReportSummary___Track[[#This Row],[Track ID]])</f>
        <v>1</v>
      </c>
      <c r="AA223" s="114">
        <f>_xlfn.NUMBERVALUE(RIGHT(ReportSummary___Track[[#This Row],[Track ID]],4))</f>
        <v>28</v>
      </c>
      <c r="AB223" s="78"/>
      <c r="AC223" s="1"/>
      <c r="AD223" s="1"/>
      <c r="AE223" s="1"/>
      <c r="AF223" s="1"/>
      <c r="AG223" s="1"/>
      <c r="AH223" s="1"/>
      <c r="AI223" s="1"/>
      <c r="AJ223" s="1"/>
    </row>
    <row r="224" spans="5:36" ht="12.75" x14ac:dyDescent="0.2">
      <c r="E224" s="74">
        <v>45863.25</v>
      </c>
      <c r="F224" s="107" t="s">
        <v>243</v>
      </c>
      <c r="G224" s="142">
        <v>51893.791834256968</v>
      </c>
      <c r="H224" s="142">
        <v>159193.24288966309</v>
      </c>
      <c r="I224" s="142">
        <v>18.860908805651452</v>
      </c>
      <c r="J224" s="142">
        <v>51893.426692719338</v>
      </c>
      <c r="K224" s="142">
        <v>159191.97323227764</v>
      </c>
      <c r="L224" s="142">
        <v>18.857700906113323</v>
      </c>
      <c r="M224" s="145">
        <v>3.2078995381290554E-3</v>
      </c>
      <c r="N224" s="145">
        <v>1.3211239569190114</v>
      </c>
      <c r="O224" s="145">
        <v>-1.7741629735219533E-3</v>
      </c>
      <c r="P224" s="145">
        <v>-4.9575253513367556E-4</v>
      </c>
      <c r="Q2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-0.99819060186234765</v>
      </c>
      <c r="R2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-0.27465277875116101</v>
      </c>
      <c r="S2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-0.98348521430580149</v>
      </c>
      <c r="T2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-2.4364895722328583E-2</v>
      </c>
      <c r="U2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-1.5798180200476963E-5</v>
      </c>
      <c r="V2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-5.4049111497533886E-7</v>
      </c>
      <c r="W2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-1.5310007622559851E-5</v>
      </c>
      <c r="X2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-1.5958225915824187E-5</v>
      </c>
      <c r="Y224" s="162" t="str">
        <f>ReportSummary___Track[[#This Row],[Track ID]]&amp;"-"&amp;ReportSummary___Track[[#This Row],[Epoch]]</f>
        <v>250-RL-OP-0029-45863.25</v>
      </c>
      <c r="Z224" s="126">
        <f>SUBTOTAL(103,ReportSummary___Track[[#This Row],[Track ID]])</f>
        <v>1</v>
      </c>
      <c r="AA224" s="114">
        <f>_xlfn.NUMBERVALUE(RIGHT(ReportSummary___Track[[#This Row],[Track ID]],4))</f>
        <v>29</v>
      </c>
      <c r="AB224" s="78"/>
      <c r="AC224" s="1"/>
      <c r="AD224" s="1"/>
      <c r="AE224" s="1"/>
      <c r="AF224" s="1"/>
      <c r="AG224" s="1"/>
      <c r="AH224" s="1"/>
      <c r="AI224" s="1"/>
      <c r="AJ224" s="1"/>
    </row>
    <row r="225" spans="5:36" ht="12.75" x14ac:dyDescent="0.2">
      <c r="E225" s="74">
        <v>45863.25</v>
      </c>
      <c r="F225" s="107" t="s">
        <v>269</v>
      </c>
      <c r="G225" s="142">
        <v>51894.752636096942</v>
      </c>
      <c r="H225" s="142">
        <v>159192.96565366906</v>
      </c>
      <c r="I225" s="142">
        <v>18.861075895811787</v>
      </c>
      <c r="J225" s="142">
        <v>51894.38758316014</v>
      </c>
      <c r="K225" s="142">
        <v>159191.69630352949</v>
      </c>
      <c r="L225" s="142">
        <v>18.857871870891774</v>
      </c>
      <c r="M225" s="145">
        <v>3.2040249200129267E-3</v>
      </c>
      <c r="N225" s="145">
        <v>1.3208041827876726</v>
      </c>
      <c r="O225" s="145">
        <v>-1.1742898901587751E-3</v>
      </c>
      <c r="P225" s="145">
        <v>-8.698904018942244E-4</v>
      </c>
      <c r="Q2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-0.65631477092864543</v>
      </c>
      <c r="R2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-0.18093102531868688</v>
      </c>
      <c r="S2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-0.33168325956722811</v>
      </c>
      <c r="T2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3.2191466242892375E-2</v>
      </c>
      <c r="U2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-7.8803799965498911E-6</v>
      </c>
      <c r="V2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-9.5242147977181446E-5</v>
      </c>
      <c r="W2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-7.8803800001026048E-6</v>
      </c>
      <c r="X2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-2.0287372162641759E-5</v>
      </c>
      <c r="Y225" s="162" t="str">
        <f>ReportSummary___Track[[#This Row],[Track ID]]&amp;"-"&amp;ReportSummary___Track[[#This Row],[Epoch]]</f>
        <v>250-RL-OP-0030-45863.25</v>
      </c>
      <c r="Z225" s="126">
        <f>SUBTOTAL(103,ReportSummary___Track[[#This Row],[Track ID]])</f>
        <v>1</v>
      </c>
      <c r="AA225" s="114">
        <f>_xlfn.NUMBERVALUE(RIGHT(ReportSummary___Track[[#This Row],[Track ID]],4))</f>
        <v>30</v>
      </c>
      <c r="AB225" s="78"/>
      <c r="AC225" s="1"/>
      <c r="AD225" s="1"/>
      <c r="AE225" s="1"/>
      <c r="AF225" s="1"/>
      <c r="AG225" s="1"/>
      <c r="AH225" s="1"/>
      <c r="AI225" s="1"/>
      <c r="AJ225" s="1"/>
    </row>
    <row r="226" spans="5:36" ht="12.75" x14ac:dyDescent="0.2">
      <c r="E226" s="74">
        <v>45863.25</v>
      </c>
      <c r="F226" s="107" t="s">
        <v>270</v>
      </c>
      <c r="G226" s="142">
        <v>51895.713437936924</v>
      </c>
      <c r="H226" s="142">
        <v>159192.68841767506</v>
      </c>
      <c r="I226" s="142">
        <v>18.861242985972126</v>
      </c>
      <c r="J226" s="142">
        <v>51895.348473600949</v>
      </c>
      <c r="K226" s="142">
        <v>159191.41937478137</v>
      </c>
      <c r="L226" s="142">
        <v>18.858042835670226</v>
      </c>
      <c r="M226" s="145">
        <v>3.2001503019003508E-3</v>
      </c>
      <c r="N226" s="145">
        <v>1.3204844086636449</v>
      </c>
      <c r="O226" s="145">
        <v>-5.2837783956860562E-4</v>
      </c>
      <c r="P226" s="145">
        <v>-1.3278386148769528E-3</v>
      </c>
      <c r="Q2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-0.3144389399913905</v>
      </c>
      <c r="R2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-8.7299129607698589E-2</v>
      </c>
      <c r="S2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0.34976523329177667</v>
      </c>
      <c r="T2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3.716687237442784E-2</v>
      </c>
      <c r="U2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3.7420210929894893E-8</v>
      </c>
      <c r="V2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-1.8994386732407165E-4</v>
      </c>
      <c r="W2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3.7420207377181214E-8</v>
      </c>
      <c r="X2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-5.9219895831574831E-6</v>
      </c>
      <c r="Y226" s="162" t="str">
        <f>ReportSummary___Track[[#This Row],[Track ID]]&amp;"-"&amp;ReportSummary___Track[[#This Row],[Epoch]]</f>
        <v>250-RL-OP-0031-45863.25</v>
      </c>
      <c r="Z226" s="126">
        <f>SUBTOTAL(103,ReportSummary___Track[[#This Row],[Track ID]])</f>
        <v>1</v>
      </c>
      <c r="AA226" s="114">
        <f>_xlfn.NUMBERVALUE(RIGHT(ReportSummary___Track[[#This Row],[Track ID]],4))</f>
        <v>31</v>
      </c>
      <c r="AB226" s="78"/>
      <c r="AC226" s="1"/>
      <c r="AD226" s="1"/>
      <c r="AE226" s="1"/>
      <c r="AF226" s="1"/>
      <c r="AG226" s="1"/>
      <c r="AH226" s="1"/>
      <c r="AI226" s="1"/>
      <c r="AJ226" s="1"/>
    </row>
    <row r="227" spans="5:36" ht="12.75" x14ac:dyDescent="0.2">
      <c r="E227" s="74">
        <v>45863.25</v>
      </c>
      <c r="F227" s="107" t="s">
        <v>271</v>
      </c>
      <c r="G227" s="142">
        <v>51896.675405970513</v>
      </c>
      <c r="H227" s="142">
        <v>159192.4109081027</v>
      </c>
      <c r="I227" s="142">
        <v>18.861498367389412</v>
      </c>
      <c r="J227" s="142">
        <v>51896.309521418087</v>
      </c>
      <c r="K227" s="142">
        <v>159191.14270884954</v>
      </c>
      <c r="L227" s="142">
        <v>18.858247340168667</v>
      </c>
      <c r="M227" s="145">
        <v>3.2510272207453283E-3</v>
      </c>
      <c r="N227" s="145">
        <v>1.3199285664733269</v>
      </c>
      <c r="O227" s="145">
        <v>4.3127682616272978E-5</v>
      </c>
      <c r="P227" s="145">
        <v>-1.7310352909056803E-3</v>
      </c>
      <c r="Q2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9.4546770412762271E-6</v>
      </c>
      <c r="R2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2.0549812529857547E-2</v>
      </c>
      <c r="S2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0.99820005653938892</v>
      </c>
      <c r="T2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1.4714842233587433E-2</v>
      </c>
      <c r="U2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-4.8571322963653074E-8</v>
      </c>
      <c r="V2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-2.6402888980725514E-4</v>
      </c>
      <c r="W2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1.574960887751331E-5</v>
      </c>
      <c r="X2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4.3960125495345892E-7</v>
      </c>
      <c r="Y227" s="162" t="str">
        <f>ReportSummary___Track[[#This Row],[Track ID]]&amp;"-"&amp;ReportSummary___Track[[#This Row],[Epoch]]</f>
        <v>250-RL-OP-0032-45863.25</v>
      </c>
      <c r="Z227" s="126">
        <f>SUBTOTAL(103,ReportSummary___Track[[#This Row],[Track ID]])</f>
        <v>1</v>
      </c>
      <c r="AA227" s="114">
        <f>_xlfn.NUMBERVALUE(RIGHT(ReportSummary___Track[[#This Row],[Track ID]],4))</f>
        <v>32</v>
      </c>
      <c r="AB227" s="78"/>
      <c r="AC227" s="1"/>
      <c r="AD227" s="1"/>
      <c r="AE227" s="1"/>
      <c r="AF227" s="1"/>
      <c r="AG227" s="1"/>
      <c r="AH227" s="1"/>
      <c r="AI227" s="1"/>
      <c r="AJ227" s="1"/>
    </row>
    <row r="228" spans="5:36" ht="12.75" x14ac:dyDescent="0.2">
      <c r="E228" s="74">
        <v>45863.25</v>
      </c>
      <c r="F228" s="107" t="s">
        <v>272</v>
      </c>
      <c r="G228" s="142">
        <v>51897.63647866169</v>
      </c>
      <c r="H228" s="142">
        <v>159192.13461708953</v>
      </c>
      <c r="I228" s="142">
        <v>18.863097837135957</v>
      </c>
      <c r="J228" s="142">
        <v>51897.271420156809</v>
      </c>
      <c r="K228" s="142">
        <v>159190.8693035219</v>
      </c>
      <c r="L228" s="142">
        <v>18.858833233345244</v>
      </c>
      <c r="M228" s="145">
        <v>4.2646037907125844E-3</v>
      </c>
      <c r="N228" s="145">
        <v>1.3169298854693512</v>
      </c>
      <c r="O228" s="145">
        <v>1.0605788706996577E-3</v>
      </c>
      <c r="P228" s="145">
        <v>-1.1371101945911732E-4</v>
      </c>
      <c r="Q2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1.6318925943892282E-4</v>
      </c>
      <c r="R2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0.35469209972127658</v>
      </c>
      <c r="S2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0.65647796018808435</v>
      </c>
      <c r="T2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0.32479470062085625</v>
      </c>
      <c r="U2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-7.7741467663372532E-7</v>
      </c>
      <c r="V2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-7.3740553975465417E-5</v>
      </c>
      <c r="W2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7.1029653199161658E-6</v>
      </c>
      <c r="X2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-7.77414680186439E-7</v>
      </c>
      <c r="Y228" s="162" t="str">
        <f>ReportSummary___Track[[#This Row],[Track ID]]&amp;"-"&amp;ReportSummary___Track[[#This Row],[Epoch]]</f>
        <v>250-RL-OP-0033-45863.25</v>
      </c>
      <c r="Z228" s="126">
        <f>SUBTOTAL(103,ReportSummary___Track[[#This Row],[Track ID]])</f>
        <v>1</v>
      </c>
      <c r="AA228" s="114">
        <f>_xlfn.NUMBERVALUE(RIGHT(ReportSummary___Track[[#This Row],[Track ID]],4))</f>
        <v>33</v>
      </c>
      <c r="AB228" s="78"/>
      <c r="AC228" s="1"/>
      <c r="AD228" s="1"/>
      <c r="AE228" s="1"/>
      <c r="AF228" s="1"/>
      <c r="AG228" s="1"/>
      <c r="AH228" s="1"/>
      <c r="AI228" s="1"/>
      <c r="AJ228" s="1"/>
    </row>
    <row r="229" spans="5:36" ht="12.75" x14ac:dyDescent="0.2">
      <c r="E229" s="74">
        <v>45863.25</v>
      </c>
      <c r="F229" s="107" t="s">
        <v>273</v>
      </c>
      <c r="G229" s="142">
        <v>51898.597551352876</v>
      </c>
      <c r="H229" s="142">
        <v>159191.85832607636</v>
      </c>
      <c r="I229" s="142">
        <v>18.864697306882498</v>
      </c>
      <c r="J229" s="142">
        <v>51898.233318895531</v>
      </c>
      <c r="K229" s="142">
        <v>159190.59589819427</v>
      </c>
      <c r="L229" s="142">
        <v>18.859419126521821</v>
      </c>
      <c r="M229" s="145">
        <v>5.2781803606762878E-3</v>
      </c>
      <c r="N229" s="145">
        <v>1.3139319996269359</v>
      </c>
      <c r="O229" s="145">
        <v>2.0780300587759371E-3</v>
      </c>
      <c r="P229" s="145">
        <v>1.5496522192073314E-3</v>
      </c>
      <c r="Q2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3.1692383828385573E-4</v>
      </c>
      <c r="R2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0.68883272359054892</v>
      </c>
      <c r="S2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0.31475586382967435</v>
      </c>
      <c r="T2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0.66452109712145102</v>
      </c>
      <c r="U2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-1.5062580374092249E-6</v>
      </c>
      <c r="V2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1.1654567184593567E-4</v>
      </c>
      <c r="W2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-1.5436782483391198E-6</v>
      </c>
      <c r="X2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-1.5062580409619386E-6</v>
      </c>
      <c r="Y229" s="162" t="str">
        <f>ReportSummary___Track[[#This Row],[Track ID]]&amp;"-"&amp;ReportSummary___Track[[#This Row],[Epoch]]</f>
        <v>250-RL-OP-0034-45863.25</v>
      </c>
      <c r="Z229" s="126">
        <f>SUBTOTAL(103,ReportSummary___Track[[#This Row],[Track ID]])</f>
        <v>1</v>
      </c>
      <c r="AA229" s="114">
        <f>_xlfn.NUMBERVALUE(RIGHT(ReportSummary___Track[[#This Row],[Track ID]],4))</f>
        <v>34</v>
      </c>
      <c r="AB229" s="78"/>
      <c r="AC229" s="1"/>
      <c r="AD229" s="1"/>
      <c r="AE229" s="1"/>
      <c r="AF229" s="1"/>
      <c r="AG229" s="1"/>
      <c r="AH229" s="1"/>
      <c r="AI229" s="1"/>
      <c r="AJ229" s="1"/>
    </row>
    <row r="230" spans="5:36" ht="12.75" x14ac:dyDescent="0.2">
      <c r="E230" s="74">
        <v>45863.25</v>
      </c>
      <c r="F230" s="107" t="s">
        <v>274</v>
      </c>
      <c r="G230" s="142">
        <v>51899.558764416484</v>
      </c>
      <c r="H230" s="142">
        <v>159191.58343476115</v>
      </c>
      <c r="I230" s="142">
        <v>18.866</v>
      </c>
      <c r="J230" s="142">
        <v>51899.203488344778</v>
      </c>
      <c r="K230" s="142">
        <v>159190.32067680615</v>
      </c>
      <c r="L230" s="142">
        <v>18.859777416319687</v>
      </c>
      <c r="M230" s="145">
        <v>6.2225836803122547E-3</v>
      </c>
      <c r="N230" s="145">
        <v>1.3117993217704011</v>
      </c>
      <c r="O230" s="145">
        <v>2.9715564595669264E-3</v>
      </c>
      <c r="P230" s="145">
        <v>3.0146841421831994E-3</v>
      </c>
      <c r="Q2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2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0.96332557251699313</v>
      </c>
      <c r="S2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1.2242679758855957E-5</v>
      </c>
      <c r="T2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0.99821229921914778</v>
      </c>
      <c r="U2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2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3.1324386975128959E-4</v>
      </c>
      <c r="W2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3.7725449431036395E-7</v>
      </c>
      <c r="X2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1.6126863371823674E-5</v>
      </c>
      <c r="Y230" s="162" t="str">
        <f>ReportSummary___Track[[#This Row],[Track ID]]&amp;"-"&amp;ReportSummary___Track[[#This Row],[Epoch]]</f>
        <v>250-RL-OP-0035-45863.25</v>
      </c>
      <c r="Z230" s="126">
        <f>SUBTOTAL(103,ReportSummary___Track[[#This Row],[Track ID]])</f>
        <v>1</v>
      </c>
      <c r="AA230" s="114">
        <f>_xlfn.NUMBERVALUE(RIGHT(ReportSummary___Track[[#This Row],[Track ID]],4))</f>
        <v>35</v>
      </c>
      <c r="AB230" s="78"/>
      <c r="AC230" s="1"/>
      <c r="AD230" s="1"/>
      <c r="AE230" s="1"/>
      <c r="AF230" s="1"/>
      <c r="AG230" s="1"/>
      <c r="AH230" s="1"/>
      <c r="AI230" s="1"/>
      <c r="AJ230" s="1"/>
    </row>
    <row r="231" spans="5:36" ht="12.75" x14ac:dyDescent="0.2">
      <c r="E231" s="74">
        <v>45863.25</v>
      </c>
      <c r="F231" s="107" t="s">
        <v>275</v>
      </c>
      <c r="G231" s="142">
        <v>51900.521875136888</v>
      </c>
      <c r="H231" s="142">
        <v>159191.31432931666</v>
      </c>
      <c r="I231" s="142">
        <v>18.866</v>
      </c>
      <c r="J231" s="142">
        <v>51900.166132696293</v>
      </c>
      <c r="K231" s="142">
        <v>159190.04990859167</v>
      </c>
      <c r="L231" s="142">
        <v>18.859124333313233</v>
      </c>
      <c r="M231" s="145">
        <v>6.8756666867670901E-3</v>
      </c>
      <c r="N231" s="145">
        <v>1.3135294928691137</v>
      </c>
      <c r="O231" s="145">
        <v>2.6110628960545057E-3</v>
      </c>
      <c r="P231" s="145">
        <v>3.6716417667541634E-3</v>
      </c>
      <c r="Q2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2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0.97544945138894334</v>
      </c>
      <c r="S2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-2.5895968036593331E-5</v>
      </c>
      <c r="T2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0.65645206422004776</v>
      </c>
      <c r="U2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2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5.4405862539042005E-4</v>
      </c>
      <c r="W2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7.1092394975380557E-6</v>
      </c>
      <c r="X2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1.4212204817454221E-5</v>
      </c>
      <c r="Y231" s="162" t="str">
        <f>ReportSummary___Track[[#This Row],[Track ID]]&amp;"-"&amp;ReportSummary___Track[[#This Row],[Epoch]]</f>
        <v>250-RL-OP-0036-45863.25</v>
      </c>
      <c r="Z231" s="126">
        <f>SUBTOTAL(103,ReportSummary___Track[[#This Row],[Track ID]])</f>
        <v>1</v>
      </c>
      <c r="AA231" s="114">
        <f>_xlfn.NUMBERVALUE(RIGHT(ReportSummary___Track[[#This Row],[Track ID]],4))</f>
        <v>36</v>
      </c>
      <c r="AB231" s="78"/>
      <c r="AC231" s="1"/>
      <c r="AD231" s="1"/>
      <c r="AE231" s="1"/>
      <c r="AF231" s="1"/>
      <c r="AG231" s="1"/>
      <c r="AH231" s="1"/>
      <c r="AI231" s="1"/>
      <c r="AJ231" s="1"/>
    </row>
    <row r="232" spans="5:36" ht="12.75" x14ac:dyDescent="0.2">
      <c r="E232" s="74">
        <v>45863.25</v>
      </c>
      <c r="F232" s="107" t="s">
        <v>276</v>
      </c>
      <c r="G232" s="142">
        <v>51901.484985857292</v>
      </c>
      <c r="H232" s="142">
        <v>159191.04522387221</v>
      </c>
      <c r="I232" s="142">
        <v>18.866</v>
      </c>
      <c r="J232" s="142">
        <v>51901.128777047808</v>
      </c>
      <c r="K232" s="142">
        <v>159189.77914037718</v>
      </c>
      <c r="L232" s="142">
        <v>18.858471250306778</v>
      </c>
      <c r="M232" s="145">
        <v>7.5287496932219256E-3</v>
      </c>
      <c r="N232" s="145">
        <v>1.315259979773282</v>
      </c>
      <c r="O232" s="145">
        <v>2.2505693325456377E-3</v>
      </c>
      <c r="P232" s="145">
        <v>4.3285993913215748E-3</v>
      </c>
      <c r="Q2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2.5288922955724047E-4</v>
      </c>
      <c r="R2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0.98757318032460795</v>
      </c>
      <c r="S2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-6.4034608726615261E-5</v>
      </c>
      <c r="T2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0.31469182922094774</v>
      </c>
      <c r="U2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1.2334966477567377E-5</v>
      </c>
      <c r="V2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7.7487799039643868E-4</v>
      </c>
      <c r="W2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1.3841224514976602E-5</v>
      </c>
      <c r="X2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1.2297546266637482E-5</v>
      </c>
      <c r="Y232" s="162" t="str">
        <f>ReportSummary___Track[[#This Row],[Track ID]]&amp;"-"&amp;ReportSummary___Track[[#This Row],[Epoch]]</f>
        <v>250-RL-OP-0037-45863.25</v>
      </c>
      <c r="Z232" s="126">
        <f>SUBTOTAL(103,ReportSummary___Track[[#This Row],[Track ID]])</f>
        <v>1</v>
      </c>
      <c r="AA232" s="114">
        <f>_xlfn.NUMBERVALUE(RIGHT(ReportSummary___Track[[#This Row],[Track ID]],4))</f>
        <v>37</v>
      </c>
      <c r="AB232" s="78"/>
      <c r="AC232" s="1"/>
      <c r="AD232" s="1"/>
      <c r="AE232" s="1"/>
      <c r="AF232" s="1"/>
      <c r="AG232" s="1"/>
      <c r="AH232" s="1"/>
      <c r="AI232" s="1"/>
      <c r="AJ232" s="1"/>
    </row>
    <row r="233" spans="5:36" ht="12.75" x14ac:dyDescent="0.2">
      <c r="E233" s="74">
        <v>45863.25</v>
      </c>
      <c r="F233" s="107" t="s">
        <v>277</v>
      </c>
      <c r="G233" s="142">
        <v>51902.447765839897</v>
      </c>
      <c r="H233" s="142">
        <v>159190.77723041447</v>
      </c>
      <c r="I233" s="142">
        <v>18.866065372992377</v>
      </c>
      <c r="J233" s="142">
        <v>51902.099872443272</v>
      </c>
      <c r="K233" s="142">
        <v>159189.50704742008</v>
      </c>
      <c r="L233" s="142">
        <v>18.857900000000001</v>
      </c>
      <c r="M233" s="145">
        <v>8.1653729923765184E-3</v>
      </c>
      <c r="N233" s="145">
        <v>1.3169894942593887</v>
      </c>
      <c r="O233" s="145">
        <v>1.9427893120642636E-3</v>
      </c>
      <c r="P233" s="145">
        <v>4.91434577163119E-3</v>
      </c>
      <c r="Q2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2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0.96406285950134674</v>
      </c>
      <c r="S2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-5.945166836696103E-2</v>
      </c>
      <c r="T2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-5.9439425687202174E-2</v>
      </c>
      <c r="U2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2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9.0673428167487025E-4</v>
      </c>
      <c r="W2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-5.9769592258618331E-5</v>
      </c>
      <c r="X2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-5.9392337764307968E-5</v>
      </c>
      <c r="Y233" s="162" t="str">
        <f>ReportSummary___Track[[#This Row],[Track ID]]&amp;"-"&amp;ReportSummary___Track[[#This Row],[Epoch]]</f>
        <v>250-RL-OP-0038-45863.25</v>
      </c>
      <c r="Z233" s="126">
        <f>SUBTOTAL(103,ReportSummary___Track[[#This Row],[Track ID]])</f>
        <v>1</v>
      </c>
      <c r="AA233" s="114">
        <f>_xlfn.NUMBERVALUE(RIGHT(ReportSummary___Track[[#This Row],[Track ID]],4))</f>
        <v>38</v>
      </c>
      <c r="AB233" s="78"/>
      <c r="AC233" s="1"/>
      <c r="AD233" s="1"/>
      <c r="AE233" s="1"/>
      <c r="AF233" s="1"/>
      <c r="AG233" s="1"/>
      <c r="AH233" s="1"/>
      <c r="AI233" s="1"/>
      <c r="AJ233" s="1"/>
    </row>
    <row r="234" spans="5:36" ht="12.75" x14ac:dyDescent="0.2">
      <c r="E234" s="74">
        <v>45863.25</v>
      </c>
      <c r="F234" s="107" t="s">
        <v>278</v>
      </c>
      <c r="G234" s="142">
        <v>51903.412339888513</v>
      </c>
      <c r="H234" s="142">
        <v>159190.51341841504</v>
      </c>
      <c r="I234" s="142">
        <v>18.86643099375512</v>
      </c>
      <c r="J234" s="142">
        <v>51903.064539433311</v>
      </c>
      <c r="K234" s="142">
        <v>159189.24357522361</v>
      </c>
      <c r="L234" s="142">
        <v>18.857900000000001</v>
      </c>
      <c r="M234" s="145">
        <v>8.5309937551194537E-3</v>
      </c>
      <c r="N234" s="145">
        <v>1.3166395350740066</v>
      </c>
      <c r="O234" s="145">
        <v>1.6553270683523635E-3</v>
      </c>
      <c r="P234" s="145">
        <v>4.2663899644068692E-3</v>
      </c>
      <c r="Q2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-0.39181235921503799</v>
      </c>
      <c r="R2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0.96183240933478409</v>
      </c>
      <c r="S2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-0.39194965250644032</v>
      </c>
      <c r="T2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-0.39197554847447691</v>
      </c>
      <c r="U2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-3.9188447220084299E-4</v>
      </c>
      <c r="V2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5.8387546553007041E-4</v>
      </c>
      <c r="W2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-3.9821629702174732E-4</v>
      </c>
      <c r="X2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-3.9110705752420927E-4</v>
      </c>
      <c r="Y234" s="162" t="str">
        <f>ReportSummary___Track[[#This Row],[Track ID]]&amp;"-"&amp;ReportSummary___Track[[#This Row],[Epoch]]</f>
        <v>250-RL-OP-0039-45863.25</v>
      </c>
      <c r="Z234" s="126">
        <f>SUBTOTAL(103,ReportSummary___Track[[#This Row],[Track ID]])</f>
        <v>1</v>
      </c>
      <c r="AA234" s="114">
        <f>_xlfn.NUMBERVALUE(RIGHT(ReportSummary___Track[[#This Row],[Track ID]],4))</f>
        <v>39</v>
      </c>
      <c r="AB234" s="78"/>
      <c r="AC234" s="1"/>
      <c r="AD234" s="1"/>
      <c r="AE234" s="1"/>
      <c r="AF234" s="1"/>
      <c r="AG234" s="1"/>
      <c r="AH234" s="1"/>
      <c r="AI234" s="1"/>
      <c r="AJ234" s="1"/>
    </row>
    <row r="235" spans="5:36" ht="12.75" x14ac:dyDescent="0.2">
      <c r="E235" s="74">
        <v>45863.25</v>
      </c>
      <c r="F235" s="107" t="s">
        <v>279</v>
      </c>
      <c r="G235" s="142">
        <v>51904.376913937129</v>
      </c>
      <c r="H235" s="142">
        <v>159190.2496064156</v>
      </c>
      <c r="I235" s="142">
        <v>18.866796614517863</v>
      </c>
      <c r="J235" s="142">
        <v>51904.029206423358</v>
      </c>
      <c r="K235" s="142">
        <v>159188.9801030271</v>
      </c>
      <c r="L235" s="142">
        <v>18.857900000000001</v>
      </c>
      <c r="M235" s="145">
        <v>8.896614517862389E-3</v>
      </c>
      <c r="N235" s="145">
        <v>1.3162896787122653</v>
      </c>
      <c r="O235" s="145">
        <v>1.3678648246404634E-3</v>
      </c>
      <c r="P235" s="145">
        <v>3.6184341571861012E-3</v>
      </c>
      <c r="Q2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-0.72419474741636236</v>
      </c>
      <c r="R2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0.95933192262420697</v>
      </c>
      <c r="S2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-0.7244476366459196</v>
      </c>
      <c r="T2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-0.72451167125464622</v>
      </c>
      <c r="U2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-7.2432803531441436E-4</v>
      </c>
      <c r="V2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2.6074896976746587E-4</v>
      </c>
      <c r="W2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-7.3666300179198174E-4</v>
      </c>
      <c r="X2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-7.2282177727700514E-4</v>
      </c>
      <c r="Y235" s="162" t="str">
        <f>ReportSummary___Track[[#This Row],[Track ID]]&amp;"-"&amp;ReportSummary___Track[[#This Row],[Epoch]]</f>
        <v>250-RL-OP-0040-45863.25</v>
      </c>
      <c r="Z235" s="126">
        <f>SUBTOTAL(103,ReportSummary___Track[[#This Row],[Track ID]])</f>
        <v>1</v>
      </c>
      <c r="AA235" s="114">
        <f>_xlfn.NUMBERVALUE(RIGHT(ReportSummary___Track[[#This Row],[Track ID]],4))</f>
        <v>40</v>
      </c>
      <c r="AB235" s="78"/>
      <c r="AC235" s="1"/>
      <c r="AD235" s="1"/>
      <c r="AE235" s="1"/>
      <c r="AF235" s="1"/>
      <c r="AG235" s="1"/>
      <c r="AH235" s="1"/>
      <c r="AI235" s="1"/>
      <c r="AJ235" s="1"/>
    </row>
    <row r="236" spans="5:36" ht="12.75" x14ac:dyDescent="0.2">
      <c r="E236" s="74">
        <v>45863.25</v>
      </c>
      <c r="F236" s="107" t="s">
        <v>280</v>
      </c>
      <c r="G236" s="142">
        <v>51905.341856193925</v>
      </c>
      <c r="H236" s="142">
        <v>159189.98723491601</v>
      </c>
      <c r="I236" s="142">
        <v>18.867392432941728</v>
      </c>
      <c r="J236" s="142">
        <v>51905.003864714286</v>
      </c>
      <c r="K236" s="142">
        <v>159188.7150036573</v>
      </c>
      <c r="L236" s="142">
        <v>18.858054723306822</v>
      </c>
      <c r="M236" s="145">
        <v>9.3377096349058775E-3</v>
      </c>
      <c r="N236" s="145">
        <v>1.3163957644942081</v>
      </c>
      <c r="O236" s="145">
        <v>1.1723366425293591E-3</v>
      </c>
      <c r="P236" s="145">
        <v>3.1151259545936227E-3</v>
      </c>
      <c r="Q2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-0.95001094555868804</v>
      </c>
      <c r="R2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0.95599119246059239</v>
      </c>
      <c r="S2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-0.89058097454852714</v>
      </c>
      <c r="T2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-0.95003264291548817</v>
      </c>
      <c r="U2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-9.5006314986534335E-4</v>
      </c>
      <c r="V2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5.0612313243325602E-5</v>
      </c>
      <c r="W2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-8.9062224077807173E-4</v>
      </c>
      <c r="X2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-9.5039183303669006E-4</v>
      </c>
      <c r="Y236" s="162" t="str">
        <f>ReportSummary___Track[[#This Row],[Track ID]]&amp;"-"&amp;ReportSummary___Track[[#This Row],[Epoch]]</f>
        <v>250-RL-OP-0041-45863.25</v>
      </c>
      <c r="Z236" s="126">
        <f>SUBTOTAL(103,ReportSummary___Track[[#This Row],[Track ID]])</f>
        <v>1</v>
      </c>
      <c r="AA236" s="114">
        <f>_xlfn.NUMBERVALUE(RIGHT(ReportSummary___Track[[#This Row],[Track ID]],4))</f>
        <v>41</v>
      </c>
      <c r="AB236" s="78"/>
      <c r="AC236" s="1"/>
      <c r="AD236" s="1"/>
      <c r="AE236" s="1"/>
      <c r="AF236" s="1"/>
      <c r="AG236" s="1"/>
      <c r="AH236" s="1"/>
      <c r="AI236" s="1"/>
      <c r="AJ236" s="1"/>
    </row>
    <row r="237" spans="5:36" ht="12.75" x14ac:dyDescent="0.2">
      <c r="E237" s="74">
        <v>45863.25</v>
      </c>
      <c r="F237" s="107" t="s">
        <v>281</v>
      </c>
      <c r="G237" s="142">
        <v>51906.308696346234</v>
      </c>
      <c r="H237" s="142">
        <v>159189.73185839443</v>
      </c>
      <c r="I237" s="142">
        <v>18.869110605337301</v>
      </c>
      <c r="J237" s="142">
        <v>51905.970517335067</v>
      </c>
      <c r="K237" s="142">
        <v>159188.45891486076</v>
      </c>
      <c r="L237" s="142">
        <v>18.859167840622082</v>
      </c>
      <c r="M237" s="145">
        <v>9.9427647152197096E-3</v>
      </c>
      <c r="N237" s="145">
        <v>1.3171367210985072</v>
      </c>
      <c r="O237" s="145">
        <v>1.4117709601002559E-3</v>
      </c>
      <c r="P237" s="145">
        <v>3.0670980284526195E-3</v>
      </c>
      <c r="Q2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-0.59041201435050539</v>
      </c>
      <c r="R2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0.85831317333884272</v>
      </c>
      <c r="S2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-0.1985996551354674</v>
      </c>
      <c r="T2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-0.59054930764190772</v>
      </c>
      <c r="U2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-5.908397891616346E-4</v>
      </c>
      <c r="V2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3.920802584729266E-4</v>
      </c>
      <c r="W2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-1.9895531696079161E-4</v>
      </c>
      <c r="X2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-5.9717161398253893E-4</v>
      </c>
      <c r="Y237" s="162" t="str">
        <f>ReportSummary___Track[[#This Row],[Track ID]]&amp;"-"&amp;ReportSummary___Track[[#This Row],[Epoch]]</f>
        <v>250-RL-OP-0042-45863.25</v>
      </c>
      <c r="Z237" s="126">
        <f>SUBTOTAL(103,ReportSummary___Track[[#This Row],[Track ID]])</f>
        <v>1</v>
      </c>
      <c r="AA237" s="114">
        <f>_xlfn.NUMBERVALUE(RIGHT(ReportSummary___Track[[#This Row],[Track ID]],4))</f>
        <v>42</v>
      </c>
      <c r="AB237" s="78"/>
      <c r="AC237" s="1"/>
      <c r="AD237" s="1"/>
      <c r="AE237" s="1"/>
      <c r="AF237" s="1"/>
      <c r="AG237" s="1"/>
      <c r="AH237" s="1"/>
      <c r="AI237" s="1"/>
      <c r="AJ237" s="1"/>
    </row>
    <row r="238" spans="5:36" ht="12.75" x14ac:dyDescent="0.2">
      <c r="E238" s="74">
        <v>45863.25</v>
      </c>
      <c r="F238" s="107" t="s">
        <v>282</v>
      </c>
      <c r="G238" s="142">
        <v>51907.275536498542</v>
      </c>
      <c r="H238" s="142">
        <v>159189.47648187287</v>
      </c>
      <c r="I238" s="142">
        <v>18.870828777732875</v>
      </c>
      <c r="J238" s="142">
        <v>51906.937169955847</v>
      </c>
      <c r="K238" s="142">
        <v>159188.20282606423</v>
      </c>
      <c r="L238" s="142">
        <v>18.860280957937338</v>
      </c>
      <c r="M238" s="145">
        <v>1.0547819795537094E-2</v>
      </c>
      <c r="N238" s="145">
        <v>1.3178779505776561</v>
      </c>
      <c r="O238" s="145">
        <v>1.6512052776747055E-3</v>
      </c>
      <c r="P238" s="145">
        <v>3.0190701023151689E-3</v>
      </c>
      <c r="Q2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-0.23081308313877003</v>
      </c>
      <c r="R2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0.76086475203074322</v>
      </c>
      <c r="S2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0.49338166427759234</v>
      </c>
      <c r="T2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-0.23106597236832727</v>
      </c>
      <c r="U2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-2.3161642845792585E-4</v>
      </c>
      <c r="V2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7.337763686579013E-4</v>
      </c>
      <c r="W2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4.9271160685648852E-4</v>
      </c>
      <c r="X2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-2.4395139493549323E-4</v>
      </c>
      <c r="Y238" s="162" t="str">
        <f>ReportSummary___Track[[#This Row],[Track ID]]&amp;"-"&amp;ReportSummary___Track[[#This Row],[Epoch]]</f>
        <v>250-RL-OP-0043-45863.25</v>
      </c>
      <c r="Z238" s="126">
        <f>SUBTOTAL(103,ReportSummary___Track[[#This Row],[Track ID]])</f>
        <v>1</v>
      </c>
      <c r="AA238" s="114">
        <f>_xlfn.NUMBERVALUE(RIGHT(ReportSummary___Track[[#This Row],[Track ID]],4))</f>
        <v>43</v>
      </c>
      <c r="AB238" s="78"/>
      <c r="AC238" s="1"/>
      <c r="AD238" s="1"/>
      <c r="AE238" s="1"/>
      <c r="AF238" s="1"/>
      <c r="AG238" s="1"/>
      <c r="AH238" s="1"/>
      <c r="AI238" s="1"/>
      <c r="AJ238" s="1"/>
    </row>
    <row r="239" spans="5:36" ht="12.75" x14ac:dyDescent="0.2">
      <c r="E239" s="74">
        <v>45863.25</v>
      </c>
      <c r="F239" s="107" t="s">
        <v>283</v>
      </c>
      <c r="G239" s="142">
        <v>51908.24281274675</v>
      </c>
      <c r="H239" s="142">
        <v>159189.22452581974</v>
      </c>
      <c r="I239" s="142">
        <v>18.872961662236339</v>
      </c>
      <c r="J239" s="142">
        <v>51907.905517584324</v>
      </c>
      <c r="K239" s="142">
        <v>159187.95020456347</v>
      </c>
      <c r="L239" s="142">
        <v>18.861831288624529</v>
      </c>
      <c r="M239" s="145">
        <v>1.1130373611809574E-2</v>
      </c>
      <c r="N239" s="145">
        <v>1.3182513326289838</v>
      </c>
      <c r="O239" s="145">
        <v>1.7926639769036967E-3</v>
      </c>
      <c r="P239" s="145">
        <v>2.9650006194330558E-3</v>
      </c>
      <c r="Q2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0.10197077546081346</v>
      </c>
      <c r="R2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0.62729083156165544</v>
      </c>
      <c r="S2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1.0519817210195015</v>
      </c>
      <c r="T2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0.16140074647097435</v>
      </c>
      <c r="U2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1.021712734896596E-4</v>
      </c>
      <c r="V2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7.5944862798960067E-4</v>
      </c>
      <c r="W2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1.0522344233550029E-3</v>
      </c>
      <c r="X2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1.6161218257693122E-4</v>
      </c>
      <c r="Y239" s="162" t="str">
        <f>ReportSummary___Track[[#This Row],[Track ID]]&amp;"-"&amp;ReportSummary___Track[[#This Row],[Epoch]]</f>
        <v>250-RL-OP-0044-45863.25</v>
      </c>
      <c r="Z239" s="126">
        <f>SUBTOTAL(103,ReportSummary___Track[[#This Row],[Track ID]])</f>
        <v>1</v>
      </c>
      <c r="AA239" s="114">
        <f>_xlfn.NUMBERVALUE(RIGHT(ReportSummary___Track[[#This Row],[Track ID]],4))</f>
        <v>44</v>
      </c>
      <c r="AB239" s="78"/>
      <c r="AC239" s="1"/>
      <c r="AD239" s="1"/>
      <c r="AE239" s="1"/>
      <c r="AF239" s="1"/>
      <c r="AG239" s="1"/>
      <c r="AH239" s="1"/>
      <c r="AI239" s="1"/>
      <c r="AJ239" s="1"/>
    </row>
    <row r="240" spans="5:36" ht="12.75" x14ac:dyDescent="0.2">
      <c r="E240" s="74">
        <v>45863.25</v>
      </c>
      <c r="F240" s="107" t="s">
        <v>284</v>
      </c>
      <c r="G240" s="142">
        <v>51909.212340103608</v>
      </c>
      <c r="H240" s="142">
        <v>159188.97956142767</v>
      </c>
      <c r="I240" s="142">
        <v>18.875986708591611</v>
      </c>
      <c r="J240" s="142">
        <v>51908.874845612299</v>
      </c>
      <c r="K240" s="142">
        <v>159187.7044451595</v>
      </c>
      <c r="L240" s="142">
        <v>18.864174266709455</v>
      </c>
      <c r="M240" s="145">
        <v>1.1812441882156577E-2</v>
      </c>
      <c r="N240" s="145">
        <v>1.3190767842665618</v>
      </c>
      <c r="O240" s="145">
        <v>1.8696771669368673E-3</v>
      </c>
      <c r="P240" s="145">
        <v>3.2814481270371232E-3</v>
      </c>
      <c r="Q2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0.42275563333760147</v>
      </c>
      <c r="R2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0.40214515055736477</v>
      </c>
      <c r="S2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1.0131676476881069</v>
      </c>
      <c r="T2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0.81456799255263945</v>
      </c>
      <c r="U2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4.2358682664911385E-4</v>
      </c>
      <c r="V2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1.4344839571900359E-4</v>
      </c>
      <c r="W2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1.0144266158107484E-3</v>
      </c>
      <c r="X2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8.1547129884995684E-4</v>
      </c>
      <c r="Y240" s="162" t="str">
        <f>ReportSummary___Track[[#This Row],[Track ID]]&amp;"-"&amp;ReportSummary___Track[[#This Row],[Epoch]]</f>
        <v>250-RL-OP-0045-45863.25</v>
      </c>
      <c r="Z240" s="126">
        <f>SUBTOTAL(103,ReportSummary___Track[[#This Row],[Track ID]])</f>
        <v>1</v>
      </c>
      <c r="AA240" s="114">
        <f>_xlfn.NUMBERVALUE(RIGHT(ReportSummary___Track[[#This Row],[Track ID]],4))</f>
        <v>45</v>
      </c>
      <c r="AB240" s="78"/>
      <c r="AC240" s="1"/>
      <c r="AD240" s="1"/>
      <c r="AE240" s="1"/>
      <c r="AF240" s="1"/>
      <c r="AG240" s="1"/>
      <c r="AH240" s="1"/>
      <c r="AI240" s="1"/>
      <c r="AJ240" s="1"/>
    </row>
    <row r="241" spans="5:36" ht="12.75" x14ac:dyDescent="0.2">
      <c r="E241" s="74">
        <v>45863.25</v>
      </c>
      <c r="F241" s="107" t="s">
        <v>285</v>
      </c>
      <c r="G241" s="142">
        <v>51910.181867460473</v>
      </c>
      <c r="H241" s="142">
        <v>159188.73459703557</v>
      </c>
      <c r="I241" s="142">
        <v>18.87901175494688</v>
      </c>
      <c r="J241" s="142">
        <v>51909.844173640267</v>
      </c>
      <c r="K241" s="142">
        <v>159187.45868575553</v>
      </c>
      <c r="L241" s="142">
        <v>18.86651724479438</v>
      </c>
      <c r="M241" s="145">
        <v>1.2494510152500027E-2</v>
      </c>
      <c r="N241" s="145">
        <v>1.3199025810739242</v>
      </c>
      <c r="O241" s="145">
        <v>1.9466903569629324E-3</v>
      </c>
      <c r="P241" s="145">
        <v>3.5978956346376378E-3</v>
      </c>
      <c r="Q2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0.74354049121438948</v>
      </c>
      <c r="R2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0.17725037443616642</v>
      </c>
      <c r="S2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0.9743535743531595</v>
      </c>
      <c r="T2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1.4677352386307518</v>
      </c>
      <c r="U2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7.4500237980501538E-4</v>
      </c>
      <c r="V2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-4.72298787540959E-4</v>
      </c>
      <c r="W2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9.7661880826294123E-4</v>
      </c>
      <c r="X2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1.4693304151194297E-3</v>
      </c>
      <c r="Y241" s="162" t="str">
        <f>ReportSummary___Track[[#This Row],[Track ID]]&amp;"-"&amp;ReportSummary___Track[[#This Row],[Epoch]]</f>
        <v>250-RL-OP-0046-45863.25</v>
      </c>
      <c r="Z241" s="126">
        <f>SUBTOTAL(103,ReportSummary___Track[[#This Row],[Track ID]])</f>
        <v>1</v>
      </c>
      <c r="AA241" s="114">
        <f>_xlfn.NUMBERVALUE(RIGHT(ReportSummary___Track[[#This Row],[Track ID]],4))</f>
        <v>46</v>
      </c>
      <c r="AB241" s="78"/>
      <c r="AC241" s="1"/>
      <c r="AD241" s="1"/>
      <c r="AE241" s="1"/>
      <c r="AF241" s="1"/>
      <c r="AG241" s="1"/>
      <c r="AH241" s="1"/>
      <c r="AI241" s="1"/>
      <c r="AJ241" s="1"/>
    </row>
    <row r="242" spans="5:36" ht="12.75" x14ac:dyDescent="0.2">
      <c r="E242" s="74">
        <v>45863.25</v>
      </c>
      <c r="F242" s="107" t="s">
        <v>286</v>
      </c>
      <c r="G242" s="142">
        <v>51911.152137387231</v>
      </c>
      <c r="H242" s="142">
        <v>159188.4914262915</v>
      </c>
      <c r="I242" s="142">
        <v>18.882328834015588</v>
      </c>
      <c r="J242" s="142">
        <v>51910.835192576567</v>
      </c>
      <c r="K242" s="142">
        <v>159187.20951747842</v>
      </c>
      <c r="L242" s="142">
        <v>18.869138865821263</v>
      </c>
      <c r="M242" s="145">
        <v>1.3189968194325274E-2</v>
      </c>
      <c r="N242" s="145">
        <v>1.3205749480113378</v>
      </c>
      <c r="O242" s="145">
        <v>2.0595945825157003E-3</v>
      </c>
      <c r="P242" s="145">
        <v>3.852258559419397E-3</v>
      </c>
      <c r="Q2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1.0031362431419666</v>
      </c>
      <c r="R2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-2.5147859734397926E-2</v>
      </c>
      <c r="S2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0.90116546768115313</v>
      </c>
      <c r="T2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1.9531471887006546</v>
      </c>
      <c r="U2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9.2628462072852358E-4</v>
      </c>
      <c r="V2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-9.6182037039627133E-4</v>
      </c>
      <c r="W2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8.2411334723886398E-4</v>
      </c>
      <c r="X2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1.8763477705938669E-3</v>
      </c>
      <c r="Y242" s="162" t="str">
        <f>ReportSummary___Track[[#This Row],[Track ID]]&amp;"-"&amp;ReportSummary___Track[[#This Row],[Epoch]]</f>
        <v>250-RL-OP-0047-45863.25</v>
      </c>
      <c r="Z242" s="126">
        <f>SUBTOTAL(103,ReportSummary___Track[[#This Row],[Track ID]])</f>
        <v>1</v>
      </c>
      <c r="AA242" s="114">
        <f>_xlfn.NUMBERVALUE(RIGHT(ReportSummary___Track[[#This Row],[Track ID]],4))</f>
        <v>47</v>
      </c>
      <c r="AB242" s="78"/>
      <c r="AC242" s="1"/>
      <c r="AD242" s="1"/>
      <c r="AE242" s="1"/>
      <c r="AF242" s="1"/>
      <c r="AG242" s="1"/>
      <c r="AH242" s="1"/>
      <c r="AI242" s="1"/>
      <c r="AJ242" s="1"/>
    </row>
    <row r="243" spans="5:36" ht="12.75" x14ac:dyDescent="0.2">
      <c r="E243" s="74">
        <v>45863.25</v>
      </c>
      <c r="F243" s="107" t="s">
        <v>287</v>
      </c>
      <c r="G243" s="142">
        <v>51912.123851747914</v>
      </c>
      <c r="H243" s="142">
        <v>159188.25530812965</v>
      </c>
      <c r="I243" s="142">
        <v>18.886735067486118</v>
      </c>
      <c r="J243" s="142">
        <v>51911.806757288294</v>
      </c>
      <c r="K243" s="142">
        <v>159186.97276749389</v>
      </c>
      <c r="L243" s="142">
        <v>18.872523500824752</v>
      </c>
      <c r="M243" s="145">
        <v>1.4211566661366248E-2</v>
      </c>
      <c r="N243" s="145">
        <v>1.3212347813017442</v>
      </c>
      <c r="O243" s="145">
        <v>2.3991247792096715E-3</v>
      </c>
      <c r="P243" s="145">
        <v>4.2688019461465387E-3</v>
      </c>
      <c r="Q2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1.0055996781055399</v>
      </c>
      <c r="R2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-0.18937107840355516</v>
      </c>
      <c r="S2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0.58284404476793839</v>
      </c>
      <c r="T2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1.5960116924560452</v>
      </c>
      <c r="U2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5.7659117068808996E-4</v>
      </c>
      <c r="V2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-9.6465633722830901E-4</v>
      </c>
      <c r="W2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1.5300434403897611E-4</v>
      </c>
      <c r="X2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1.1674309598497246E-3</v>
      </c>
      <c r="Y243" s="162" t="str">
        <f>ReportSummary___Track[[#This Row],[Track ID]]&amp;"-"&amp;ReportSummary___Track[[#This Row],[Epoch]]</f>
        <v>250-RL-OP-0048-45863.25</v>
      </c>
      <c r="Z243" s="126">
        <f>SUBTOTAL(103,ReportSummary___Track[[#This Row],[Track ID]])</f>
        <v>1</v>
      </c>
      <c r="AA243" s="114">
        <f>_xlfn.NUMBERVALUE(RIGHT(ReportSummary___Track[[#This Row],[Track ID]],4))</f>
        <v>48</v>
      </c>
      <c r="AB243" s="78"/>
      <c r="AC243" s="1"/>
      <c r="AD243" s="1"/>
      <c r="AE243" s="1"/>
      <c r="AF243" s="1"/>
      <c r="AG243" s="1"/>
      <c r="AH243" s="1"/>
      <c r="AI243" s="1"/>
      <c r="AJ243" s="1"/>
    </row>
    <row r="244" spans="5:36" ht="12.75" x14ac:dyDescent="0.2">
      <c r="E244" s="74">
        <v>45863.25</v>
      </c>
      <c r="F244" s="107" t="s">
        <v>288</v>
      </c>
      <c r="G244" s="142">
        <v>51913.09556610859</v>
      </c>
      <c r="H244" s="142">
        <v>159188.0191899678</v>
      </c>
      <c r="I244" s="142">
        <v>18.891141300956644</v>
      </c>
      <c r="J244" s="142">
        <v>51912.778322000013</v>
      </c>
      <c r="K244" s="142">
        <v>159186.73601750933</v>
      </c>
      <c r="L244" s="142">
        <v>18.87590813582824</v>
      </c>
      <c r="M244" s="145">
        <v>1.523316512840367E-2</v>
      </c>
      <c r="N244" s="145">
        <v>1.3218953937126621</v>
      </c>
      <c r="O244" s="145">
        <v>2.7386549759036427E-3</v>
      </c>
      <c r="P244" s="145">
        <v>4.6853453328665751E-3</v>
      </c>
      <c r="Q2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1.0080631130691131</v>
      </c>
      <c r="R2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-0.35358863887280378</v>
      </c>
      <c r="S2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0.26452262185472364</v>
      </c>
      <c r="T2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1.2388761962078831</v>
      </c>
      <c r="U2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2.2689772064055092E-4</v>
      </c>
      <c r="V2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-9.6812143087809943E-4</v>
      </c>
      <c r="W2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-5.1810465916446446E-4</v>
      </c>
      <c r="X2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4.5851414909847676E-4</v>
      </c>
      <c r="Y244" s="162" t="str">
        <f>ReportSummary___Track[[#This Row],[Track ID]]&amp;"-"&amp;ReportSummary___Track[[#This Row],[Epoch]]</f>
        <v>250-RL-OP-0049-45863.25</v>
      </c>
      <c r="Z244" s="126">
        <f>SUBTOTAL(103,ReportSummary___Track[[#This Row],[Track ID]])</f>
        <v>1</v>
      </c>
      <c r="AA244" s="114">
        <f>_xlfn.NUMBERVALUE(RIGHT(ReportSummary___Track[[#This Row],[Track ID]],4))</f>
        <v>49</v>
      </c>
      <c r="AB244" s="78"/>
      <c r="AC244" s="1"/>
      <c r="AD244" s="1"/>
      <c r="AE244" s="1"/>
      <c r="AF244" s="1"/>
      <c r="AG244" s="1"/>
      <c r="AH244" s="1"/>
      <c r="AI244" s="1"/>
      <c r="AJ244" s="1"/>
    </row>
    <row r="245" spans="5:36" ht="12.75" x14ac:dyDescent="0.2">
      <c r="E245" s="74">
        <v>45859.270833333336</v>
      </c>
      <c r="F245" s="107" t="s">
        <v>235</v>
      </c>
      <c r="G245" s="142">
        <v>51886.101888003854</v>
      </c>
      <c r="H245" s="142">
        <v>159195.44568170901</v>
      </c>
      <c r="I245" s="142">
        <v>18.86977464079656</v>
      </c>
      <c r="J245" s="142">
        <v>51885.742050789791</v>
      </c>
      <c r="K245" s="142">
        <v>159194.18595535541</v>
      </c>
      <c r="L245" s="142">
        <v>18.865787559209785</v>
      </c>
      <c r="M245" s="145">
        <v>3.9870815867750764E-3</v>
      </c>
      <c r="N245" s="145">
        <v>1.3101180112494399</v>
      </c>
      <c r="O245" s="145"/>
      <c r="P245" s="145"/>
      <c r="Q2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-0.28168315921917042</v>
      </c>
      <c r="R2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-1.6513796974315653E-4</v>
      </c>
      <c r="S24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4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1.0495213587091712E-8</v>
      </c>
      <c r="V2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6.9136213395437629E-4</v>
      </c>
      <c r="W24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4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45" s="162" t="str">
        <f>ReportSummary___Track[[#This Row],[Track ID]]&amp;"-"&amp;ReportSummary___Track[[#This Row],[Epoch]]</f>
        <v>250-RL-OP-0021-45859.2708333333</v>
      </c>
      <c r="Z245" s="126">
        <f>SUBTOTAL(103,ReportSummary___Track[[#This Row],[Track ID]])</f>
        <v>1</v>
      </c>
      <c r="AA245" s="114">
        <f>_xlfn.NUMBERVALUE(RIGHT(ReportSummary___Track[[#This Row],[Track ID]],4))</f>
        <v>21</v>
      </c>
      <c r="AB245" s="78"/>
      <c r="AC245" s="1"/>
      <c r="AD245" s="1"/>
      <c r="AE245" s="1"/>
      <c r="AF245" s="1"/>
      <c r="AG245" s="1"/>
      <c r="AH245" s="1"/>
      <c r="AI245" s="1"/>
      <c r="AJ245" s="1"/>
    </row>
    <row r="246" spans="5:36" ht="12.75" x14ac:dyDescent="0.2">
      <c r="E246" s="74">
        <v>45859.270833333336</v>
      </c>
      <c r="F246" s="107" t="s">
        <v>236</v>
      </c>
      <c r="G246" s="142">
        <v>51887.0635346048</v>
      </c>
      <c r="H246" s="142">
        <v>159195.17139037082</v>
      </c>
      <c r="I246" s="142">
        <v>18.869497718698447</v>
      </c>
      <c r="J246" s="142">
        <v>51886.703169527536</v>
      </c>
      <c r="K246" s="142">
        <v>159193.90981996525</v>
      </c>
      <c r="L246" s="142">
        <v>18.865652414029238</v>
      </c>
      <c r="M246" s="145">
        <v>3.8453046692090709E-3</v>
      </c>
      <c r="N246" s="145">
        <v>1.3120356944363132</v>
      </c>
      <c r="O246" s="145"/>
      <c r="P246" s="145"/>
      <c r="Q2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-0.62781659348942753</v>
      </c>
      <c r="R2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6.8813412270607444E-3</v>
      </c>
      <c r="S24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4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2.310965641072471E-8</v>
      </c>
      <c r="V2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3.6666787461769879E-4</v>
      </c>
      <c r="W24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4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46" s="162" t="str">
        <f>ReportSummary___Track[[#This Row],[Track ID]]&amp;"-"&amp;ReportSummary___Track[[#This Row],[Epoch]]</f>
        <v>250-RL-OP-0022-45859.2708333333</v>
      </c>
      <c r="Z246" s="126">
        <f>SUBTOTAL(103,ReportSummary___Track[[#This Row],[Track ID]])</f>
        <v>1</v>
      </c>
      <c r="AA246" s="114">
        <f>_xlfn.NUMBERVALUE(RIGHT(ReportSummary___Track[[#This Row],[Track ID]],4))</f>
        <v>22</v>
      </c>
      <c r="AB246" s="78"/>
      <c r="AC246" s="1"/>
      <c r="AD246" s="1"/>
      <c r="AE246" s="1"/>
      <c r="AF246" s="1"/>
      <c r="AG246" s="1"/>
      <c r="AH246" s="1"/>
      <c r="AI246" s="1"/>
      <c r="AJ246" s="1"/>
    </row>
    <row r="247" spans="5:36" ht="12.75" x14ac:dyDescent="0.2">
      <c r="E247" s="74">
        <v>45859.270833333336</v>
      </c>
      <c r="F247" s="107" t="s">
        <v>237</v>
      </c>
      <c r="G247" s="142">
        <v>51888.025181205747</v>
      </c>
      <c r="H247" s="142">
        <v>159194.89709903265</v>
      </c>
      <c r="I247" s="142">
        <v>18.869220796600338</v>
      </c>
      <c r="J247" s="142">
        <v>51887.664288265281</v>
      </c>
      <c r="K247" s="142">
        <v>159193.63368457509</v>
      </c>
      <c r="L247" s="142">
        <v>18.865517268848695</v>
      </c>
      <c r="M247" s="145">
        <v>3.7035277516430654E-3</v>
      </c>
      <c r="N247" s="145">
        <v>1.3139533942111896</v>
      </c>
      <c r="O247" s="145"/>
      <c r="P247" s="145"/>
      <c r="Q2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-0.97395002775968464</v>
      </c>
      <c r="R2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1.3914600802023003E-2</v>
      </c>
      <c r="S24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4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3.572409568164403E-8</v>
      </c>
      <c r="V2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4.1973394681482645E-5</v>
      </c>
      <c r="W24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4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47" s="162" t="str">
        <f>ReportSummary___Track[[#This Row],[Track ID]]&amp;"-"&amp;ReportSummary___Track[[#This Row],[Epoch]]</f>
        <v>250-RL-OP-0023-45859.2708333333</v>
      </c>
      <c r="Z247" s="126">
        <f>SUBTOTAL(103,ReportSummary___Track[[#This Row],[Track ID]])</f>
        <v>1</v>
      </c>
      <c r="AA247" s="114">
        <f>_xlfn.NUMBERVALUE(RIGHT(ReportSummary___Track[[#This Row],[Track ID]],4))</f>
        <v>23</v>
      </c>
      <c r="AB247" s="78"/>
      <c r="AC247" s="1"/>
      <c r="AD247" s="1"/>
      <c r="AE247" s="1"/>
      <c r="AF247" s="1"/>
      <c r="AG247" s="1"/>
      <c r="AH247" s="1"/>
      <c r="AI247" s="1"/>
      <c r="AJ247" s="1"/>
    </row>
    <row r="248" spans="5:36" ht="12.75" x14ac:dyDescent="0.2">
      <c r="E248" s="74">
        <v>45859.270833333336</v>
      </c>
      <c r="F248" s="107" t="s">
        <v>238</v>
      </c>
      <c r="G248" s="142">
        <v>51888.98628832103</v>
      </c>
      <c r="H248" s="142">
        <v>159194.62201573106</v>
      </c>
      <c r="I248" s="142">
        <v>18.868514730242751</v>
      </c>
      <c r="J248" s="142">
        <v>51888.624024107339</v>
      </c>
      <c r="K248" s="142">
        <v>159193.35679670321</v>
      </c>
      <c r="L248" s="142">
        <v>18.864453321526579</v>
      </c>
      <c r="M248" s="145">
        <v>4.0614087161721102E-3</v>
      </c>
      <c r="N248" s="145">
        <v>1.3160665043929041</v>
      </c>
      <c r="O248" s="145">
        <v>7.4327129397033787E-5</v>
      </c>
      <c r="P248" s="145"/>
      <c r="Q2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2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0.29707506108822557</v>
      </c>
      <c r="S2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-0.41932968368740831</v>
      </c>
      <c r="T24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2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2.873436245536265E-4</v>
      </c>
      <c r="W2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-1.1010878253614464E-7</v>
      </c>
      <c r="X24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48" s="162" t="str">
        <f>ReportSummary___Track[[#This Row],[Track ID]]&amp;"-"&amp;ReportSummary___Track[[#This Row],[Epoch]]</f>
        <v>250-RL-OP-0024-45859.2708333333</v>
      </c>
      <c r="Z248" s="126">
        <f>SUBTOTAL(103,ReportSummary___Track[[#This Row],[Track ID]])</f>
        <v>1</v>
      </c>
      <c r="AA248" s="114">
        <f>_xlfn.NUMBERVALUE(RIGHT(ReportSummary___Track[[#This Row],[Track ID]],4))</f>
        <v>24</v>
      </c>
      <c r="AB248" s="78"/>
      <c r="AC248" s="1"/>
      <c r="AD248" s="1"/>
      <c r="AE248" s="1"/>
      <c r="AF248" s="1"/>
      <c r="AG248" s="1"/>
      <c r="AH248" s="1"/>
      <c r="AI248" s="1"/>
      <c r="AJ248" s="1"/>
    </row>
    <row r="249" spans="5:36" ht="12.75" x14ac:dyDescent="0.2">
      <c r="E249" s="74">
        <v>45859.270833333336</v>
      </c>
      <c r="F249" s="107" t="s">
        <v>239</v>
      </c>
      <c r="G249" s="142">
        <v>51889.947664398285</v>
      </c>
      <c r="H249" s="142">
        <v>159194.34677858101</v>
      </c>
      <c r="I249" s="142">
        <v>18.867773577574297</v>
      </c>
      <c r="J249" s="142">
        <v>51889.58479107709</v>
      </c>
      <c r="K249" s="142">
        <v>159193.07944244222</v>
      </c>
      <c r="L249" s="142">
        <v>18.86325176203465</v>
      </c>
      <c r="M249" s="145">
        <v>4.5218155396469228E-3</v>
      </c>
      <c r="N249" s="145">
        <v>1.318270982281057</v>
      </c>
      <c r="O249" s="145">
        <v>6.7651087043785196E-4</v>
      </c>
      <c r="P249" s="145"/>
      <c r="Q2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-0.35777918949619902</v>
      </c>
      <c r="R2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0.62199196409351565</v>
      </c>
      <c r="S2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0.27003740399322851</v>
      </c>
      <c r="T24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-2.1396733629330811E-7</v>
      </c>
      <c r="V2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6.1720579840307543E-4</v>
      </c>
      <c r="W2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-2.3707699270403282E-7</v>
      </c>
      <c r="X24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49" s="162" t="str">
        <f>ReportSummary___Track[[#This Row],[Track ID]]&amp;"-"&amp;ReportSummary___Track[[#This Row],[Epoch]]</f>
        <v>250-RL-OP-0025-45859.2708333333</v>
      </c>
      <c r="Z249" s="126">
        <f>SUBTOTAL(103,ReportSummary___Track[[#This Row],[Track ID]])</f>
        <v>1</v>
      </c>
      <c r="AA249" s="114">
        <f>_xlfn.NUMBERVALUE(RIGHT(ReportSummary___Track[[#This Row],[Track ID]],4))</f>
        <v>25</v>
      </c>
      <c r="AB249" s="78"/>
      <c r="AC249" s="1"/>
      <c r="AD249" s="1"/>
      <c r="AE249" s="1"/>
      <c r="AF249" s="1"/>
      <c r="AG249" s="1"/>
      <c r="AH249" s="1"/>
      <c r="AI249" s="1"/>
      <c r="AJ249" s="1"/>
    </row>
    <row r="250" spans="5:36" ht="12.75" x14ac:dyDescent="0.2">
      <c r="E250" s="74">
        <v>45859.270833333336</v>
      </c>
      <c r="F250" s="107" t="s">
        <v>240</v>
      </c>
      <c r="G250" s="142">
        <v>51890.909040475541</v>
      </c>
      <c r="H250" s="142">
        <v>159194.07154143095</v>
      </c>
      <c r="I250" s="142">
        <v>18.867032424905847</v>
      </c>
      <c r="J250" s="142">
        <v>51890.545558046833</v>
      </c>
      <c r="K250" s="142">
        <v>159192.80208818123</v>
      </c>
      <c r="L250" s="142">
        <v>18.862050202542722</v>
      </c>
      <c r="M250" s="145">
        <v>4.9822223631252882E-3</v>
      </c>
      <c r="N250" s="145">
        <v>1.3204756157381756</v>
      </c>
      <c r="O250" s="145">
        <v>1.2786946114822229E-3</v>
      </c>
      <c r="P250" s="145"/>
      <c r="Q2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-1.4545536082266608E-2</v>
      </c>
      <c r="R2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0.94705518896742724</v>
      </c>
      <c r="S2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0.95940449167741804</v>
      </c>
      <c r="T25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-3.2832110363756328E-7</v>
      </c>
      <c r="V2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9.4706705077429731E-4</v>
      </c>
      <c r="W2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-3.6404519931920731E-7</v>
      </c>
      <c r="X25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50" s="162" t="str">
        <f>ReportSummary___Track[[#This Row],[Track ID]]&amp;"-"&amp;ReportSummary___Track[[#This Row],[Epoch]]</f>
        <v>250-RL-OP-0026-45859.2708333333</v>
      </c>
      <c r="Z250" s="126">
        <f>SUBTOTAL(103,ReportSummary___Track[[#This Row],[Track ID]])</f>
        <v>1</v>
      </c>
      <c r="AA250" s="114">
        <f>_xlfn.NUMBERVALUE(RIGHT(ReportSummary___Track[[#This Row],[Track ID]],4))</f>
        <v>26</v>
      </c>
      <c r="AB250" s="78"/>
      <c r="AC250" s="1"/>
      <c r="AD250" s="1"/>
      <c r="AE250" s="1"/>
      <c r="AF250" s="1"/>
      <c r="AG250" s="1"/>
      <c r="AH250" s="1"/>
      <c r="AI250" s="1"/>
      <c r="AJ250" s="1"/>
    </row>
    <row r="251" spans="5:36" ht="12.75" x14ac:dyDescent="0.2">
      <c r="E251" s="74">
        <v>45859.270833333336</v>
      </c>
      <c r="F251" s="107" t="s">
        <v>241</v>
      </c>
      <c r="G251" s="142">
        <v>51891.869998393515</v>
      </c>
      <c r="H251" s="142">
        <v>159193.7950380058</v>
      </c>
      <c r="I251" s="142">
        <v>18.864991011003045</v>
      </c>
      <c r="J251" s="142">
        <v>51891.504353461787</v>
      </c>
      <c r="K251" s="142">
        <v>159192.52590810764</v>
      </c>
      <c r="L251" s="142">
        <v>18.860283132921658</v>
      </c>
      <c r="M251" s="145">
        <v>4.7078780813869514E-3</v>
      </c>
      <c r="N251" s="145">
        <v>1.3207607953879337</v>
      </c>
      <c r="O251" s="145">
        <v>6.4646936521484122E-4</v>
      </c>
      <c r="P251" s="145">
        <v>7.20796494611875E-4</v>
      </c>
      <c r="Q2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4.9317598538323182E-3</v>
      </c>
      <c r="R2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0.55986767093196832</v>
      </c>
      <c r="S2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0.70594460276041104</v>
      </c>
      <c r="T2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0.28661491907300274</v>
      </c>
      <c r="U2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3.2956327121880236E-4</v>
      </c>
      <c r="V2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6.4549046145900846E-4</v>
      </c>
      <c r="W2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3.2966288478775141E-4</v>
      </c>
      <c r="X2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3.2955277600521526E-4</v>
      </c>
      <c r="Y251" s="162" t="str">
        <f>ReportSummary___Track[[#This Row],[Track ID]]&amp;"-"&amp;ReportSummary___Track[[#This Row],[Epoch]]</f>
        <v>250-RL-OP-0027-45859.2708333333</v>
      </c>
      <c r="Z251" s="126">
        <f>SUBTOTAL(103,ReportSummary___Track[[#This Row],[Track ID]])</f>
        <v>1</v>
      </c>
      <c r="AA251" s="114">
        <f>_xlfn.NUMBERVALUE(RIGHT(ReportSummary___Track[[#This Row],[Track ID]],4))</f>
        <v>27</v>
      </c>
      <c r="AB251" s="78"/>
      <c r="AC251" s="1"/>
      <c r="AD251" s="1"/>
      <c r="AE251" s="1"/>
      <c r="AF251" s="1"/>
      <c r="AG251" s="1"/>
      <c r="AH251" s="1"/>
      <c r="AI251" s="1"/>
      <c r="AJ251" s="1"/>
    </row>
    <row r="252" spans="5:36" ht="12.75" x14ac:dyDescent="0.2">
      <c r="E252" s="74">
        <v>45859.270833333336</v>
      </c>
      <c r="F252" s="107" t="s">
        <v>242</v>
      </c>
      <c r="G252" s="142">
        <v>51892.830988137823</v>
      </c>
      <c r="H252" s="142">
        <v>159193.51846198176</v>
      </c>
      <c r="I252" s="142">
        <v>18.862889997619913</v>
      </c>
      <c r="J252" s="142">
        <v>51892.465288045249</v>
      </c>
      <c r="K252" s="142">
        <v>159192.24913834574</v>
      </c>
      <c r="L252" s="142">
        <v>18.858487246856445</v>
      </c>
      <c r="M252" s="145">
        <v>4.4027507634680774E-3</v>
      </c>
      <c r="N252" s="145">
        <v>1.3209611784169029</v>
      </c>
      <c r="O252" s="145">
        <v>-1.1906477617884548E-4</v>
      </c>
      <c r="P252" s="145">
        <v>5.5744609425900649E-4</v>
      </c>
      <c r="Q2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1.0018448715953809E-2</v>
      </c>
      <c r="R2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0.14039726869174984</v>
      </c>
      <c r="S2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0.36779763821215283</v>
      </c>
      <c r="T2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0.63783504220538134</v>
      </c>
      <c r="U2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6.7422262200267369E-4</v>
      </c>
      <c r="V2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3.1541069103013797E-4</v>
      </c>
      <c r="W2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6.74436589338967E-4</v>
      </c>
      <c r="X2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6.7419951234626296E-4</v>
      </c>
      <c r="Y252" s="162" t="str">
        <f>ReportSummary___Track[[#This Row],[Track ID]]&amp;"-"&amp;ReportSummary___Track[[#This Row],[Epoch]]</f>
        <v>250-RL-OP-0028-45859.2708333333</v>
      </c>
      <c r="Z252" s="126">
        <f>SUBTOTAL(103,ReportSummary___Track[[#This Row],[Track ID]])</f>
        <v>1</v>
      </c>
      <c r="AA252" s="114">
        <f>_xlfn.NUMBERVALUE(RIGHT(ReportSummary___Track[[#This Row],[Track ID]],4))</f>
        <v>28</v>
      </c>
      <c r="AB252" s="78"/>
      <c r="AC252" s="1"/>
      <c r="AD252" s="1"/>
      <c r="AE252" s="1"/>
      <c r="AF252" s="1"/>
      <c r="AG252" s="1"/>
      <c r="AH252" s="1"/>
      <c r="AI252" s="1"/>
      <c r="AJ252" s="1"/>
    </row>
    <row r="253" spans="5:36" ht="12.75" x14ac:dyDescent="0.2">
      <c r="E253" s="74">
        <v>45859.270833333336</v>
      </c>
      <c r="F253" s="107" t="s">
        <v>243</v>
      </c>
      <c r="G253" s="142">
        <v>51893.791838945894</v>
      </c>
      <c r="H253" s="142">
        <v>159193.24190592306</v>
      </c>
      <c r="I253" s="142">
        <v>18.860908806466888</v>
      </c>
      <c r="J253" s="142">
        <v>51893.426692579691</v>
      </c>
      <c r="K253" s="142">
        <v>159191.97223179543</v>
      </c>
      <c r="L253" s="142">
        <v>18.85670271923307</v>
      </c>
      <c r="M253" s="145">
        <v>4.2060872338183231E-3</v>
      </c>
      <c r="N253" s="145">
        <v>1.3211441822507177</v>
      </c>
      <c r="O253" s="145">
        <v>-7.7613512930696515E-4</v>
      </c>
      <c r="P253" s="145">
        <v>5.025594821752577E-4</v>
      </c>
      <c r="Q2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-2.9061730799639918E-6</v>
      </c>
      <c r="R2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-0.2544274470448471</v>
      </c>
      <c r="S2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1.4542629909186644E-2</v>
      </c>
      <c r="T2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0.97394712158660468</v>
      </c>
      <c r="U2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9.8238951548879072E-4</v>
      </c>
      <c r="V2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1.968484059133857E-5</v>
      </c>
      <c r="W2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9.8271783659242828E-4</v>
      </c>
      <c r="X2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9.8235379139310908E-4</v>
      </c>
      <c r="Y253" s="162" t="str">
        <f>ReportSummary___Track[[#This Row],[Track ID]]&amp;"-"&amp;ReportSummary___Track[[#This Row],[Epoch]]</f>
        <v>250-RL-OP-0029-45859.2708333333</v>
      </c>
      <c r="Z253" s="126">
        <f>SUBTOTAL(103,ReportSummary___Track[[#This Row],[Track ID]])</f>
        <v>1</v>
      </c>
      <c r="AA253" s="114">
        <f>_xlfn.NUMBERVALUE(RIGHT(ReportSummary___Track[[#This Row],[Track ID]],4))</f>
        <v>29</v>
      </c>
      <c r="AB253" s="78"/>
      <c r="AC253" s="1"/>
      <c r="AD253" s="1"/>
      <c r="AE253" s="1"/>
      <c r="AF253" s="1"/>
      <c r="AG253" s="1"/>
      <c r="AH253" s="1"/>
      <c r="AI253" s="1"/>
      <c r="AJ253" s="1"/>
    </row>
    <row r="254" spans="5:36" ht="12.75" x14ac:dyDescent="0.2">
      <c r="E254" s="74">
        <v>45859.270833333336</v>
      </c>
      <c r="F254" s="107" t="s">
        <v>269</v>
      </c>
      <c r="G254" s="142">
        <v>51894.752729759806</v>
      </c>
      <c r="H254" s="142">
        <v>159192.96497846718</v>
      </c>
      <c r="I254" s="142">
        <v>18.861075912100414</v>
      </c>
      <c r="J254" s="142">
        <v>51894.387556672729</v>
      </c>
      <c r="K254" s="142">
        <v>159191.69521206419</v>
      </c>
      <c r="L254" s="142">
        <v>18.857215782076423</v>
      </c>
      <c r="M254" s="145">
        <v>3.8601300239911041E-3</v>
      </c>
      <c r="N254" s="145">
        <v>1.3212391919238418</v>
      </c>
      <c r="O254" s="145">
        <v>-8.4774805739584735E-4</v>
      </c>
      <c r="P254" s="145">
        <v>-2.0127869218100614E-4</v>
      </c>
      <c r="Q2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-2.0966695046809036E-4</v>
      </c>
      <c r="R2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0.25407811085043086</v>
      </c>
      <c r="S2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-5.1414268043004085E-3</v>
      </c>
      <c r="T2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0.70080317595611064</v>
      </c>
      <c r="U2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6.4822472398162745E-4</v>
      </c>
      <c r="V2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3.3976698819193629E-4</v>
      </c>
      <c r="W2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3.1866145276282509E-4</v>
      </c>
      <c r="X2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6.483243375505765E-4</v>
      </c>
      <c r="Y254" s="162" t="str">
        <f>ReportSummary___Track[[#This Row],[Track ID]]&amp;"-"&amp;ReportSummary___Track[[#This Row],[Epoch]]</f>
        <v>250-RL-OP-0030-45859.2708333333</v>
      </c>
      <c r="Z254" s="126">
        <f>SUBTOTAL(103,ReportSummary___Track[[#This Row],[Track ID]])</f>
        <v>1</v>
      </c>
      <c r="AA254" s="114">
        <f>_xlfn.NUMBERVALUE(RIGHT(ReportSummary___Track[[#This Row],[Track ID]],4))</f>
        <v>30</v>
      </c>
      <c r="AB254" s="78"/>
      <c r="AC254" s="1"/>
      <c r="AD254" s="1"/>
      <c r="AE254" s="1"/>
      <c r="AF254" s="1"/>
      <c r="AG254" s="1"/>
      <c r="AH254" s="1"/>
      <c r="AI254" s="1"/>
      <c r="AJ254" s="1"/>
    </row>
    <row r="255" spans="5:36" ht="12.75" x14ac:dyDescent="0.2">
      <c r="E255" s="74">
        <v>45859.270833333336</v>
      </c>
      <c r="F255" s="107" t="s">
        <v>270</v>
      </c>
      <c r="G255" s="142">
        <v>51895.713620573719</v>
      </c>
      <c r="H255" s="142">
        <v>159192.68805101133</v>
      </c>
      <c r="I255" s="142">
        <v>18.861243017733944</v>
      </c>
      <c r="J255" s="142">
        <v>51895.34842076576</v>
      </c>
      <c r="K255" s="142">
        <v>159191.41819233299</v>
      </c>
      <c r="L255" s="142">
        <v>18.857728844919777</v>
      </c>
      <c r="M255" s="145">
        <v>3.5141728141674378E-3</v>
      </c>
      <c r="N255" s="145">
        <v>1.3213342923317339</v>
      </c>
      <c r="O255" s="145">
        <v>-8.885779493006396E-4</v>
      </c>
      <c r="P255" s="145">
        <v>-1.0076427254794851E-3</v>
      </c>
      <c r="Q2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-4.1642772430350306E-4</v>
      </c>
      <c r="R2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0.76258453848132568</v>
      </c>
      <c r="S2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-1.0434876440257312E-2</v>
      </c>
      <c r="T2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0.35736276177189552</v>
      </c>
      <c r="U2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3.1405993247801689E-4</v>
      </c>
      <c r="V2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6.5993980076495262E-4</v>
      </c>
      <c r="W2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-3.601626895246568E-4</v>
      </c>
      <c r="X2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3.142738998143102E-4</v>
      </c>
      <c r="Y255" s="162" t="str">
        <f>ReportSummary___Track[[#This Row],[Track ID]]&amp;"-"&amp;ReportSummary___Track[[#This Row],[Epoch]]</f>
        <v>250-RL-OP-0031-45859.2708333333</v>
      </c>
      <c r="Z255" s="126">
        <f>SUBTOTAL(103,ReportSummary___Track[[#This Row],[Track ID]])</f>
        <v>1</v>
      </c>
      <c r="AA255" s="114">
        <f>_xlfn.NUMBERVALUE(RIGHT(ReportSummary___Track[[#This Row],[Track ID]],4))</f>
        <v>31</v>
      </c>
      <c r="AB255" s="78"/>
      <c r="AG255" s="1"/>
      <c r="AH255" s="1"/>
      <c r="AI255" s="1"/>
      <c r="AJ255" s="1"/>
    </row>
    <row r="256" spans="5:36" ht="12.75" x14ac:dyDescent="0.2">
      <c r="E256" s="74">
        <v>45859.270833333336</v>
      </c>
      <c r="F256" s="107" t="s">
        <v>271</v>
      </c>
      <c r="G256" s="142">
        <v>51896.675404337235</v>
      </c>
      <c r="H256" s="142">
        <v>159192.41090242262</v>
      </c>
      <c r="I256" s="142">
        <v>18.861498400271905</v>
      </c>
      <c r="J256" s="142">
        <v>51896.308530813891</v>
      </c>
      <c r="K256" s="142">
        <v>159191.14174193272</v>
      </c>
      <c r="L256" s="142">
        <v>18.85824732893396</v>
      </c>
      <c r="M256" s="145">
        <v>3.2510713379458878E-3</v>
      </c>
      <c r="N256" s="145">
        <v>1.3211264514502137</v>
      </c>
      <c r="O256" s="145">
        <v>-9.5501589587243529E-4</v>
      </c>
      <c r="P256" s="145">
        <v>-1.7311510251794004E-3</v>
      </c>
      <c r="Q2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5.3571877600688822E-5</v>
      </c>
      <c r="R2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1.2184347894166336</v>
      </c>
      <c r="S2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5.6478050680652814E-5</v>
      </c>
      <c r="T2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1.4599107959867297E-2</v>
      </c>
      <c r="U2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-4.4541224042404792E-9</v>
      </c>
      <c r="V2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9.3385608707952095E-4</v>
      </c>
      <c r="W2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-9.8239396961119496E-4</v>
      </c>
      <c r="X2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3.238669812333228E-7</v>
      </c>
      <c r="Y256" s="162" t="str">
        <f>ReportSummary___Track[[#This Row],[Track ID]]&amp;"-"&amp;ReportSummary___Track[[#This Row],[Epoch]]</f>
        <v>250-RL-OP-0032-45859.2708333333</v>
      </c>
      <c r="Z256" s="126">
        <f>SUBTOTAL(103,ReportSummary___Track[[#This Row],[Track ID]])</f>
        <v>1</v>
      </c>
      <c r="AA256" s="114">
        <f>_xlfn.NUMBERVALUE(RIGHT(ReportSummary___Track[[#This Row],[Track ID]],4))</f>
        <v>32</v>
      </c>
      <c r="AB256" s="78"/>
      <c r="AG256" s="1"/>
      <c r="AH256" s="1"/>
      <c r="AI256" s="1"/>
      <c r="AJ256" s="1"/>
    </row>
    <row r="257" spans="5:36" ht="12.75" x14ac:dyDescent="0.2">
      <c r="E257" s="74">
        <v>45859.270833333336</v>
      </c>
      <c r="F257" s="107" t="s">
        <v>272</v>
      </c>
      <c r="G257" s="142">
        <v>51897.636450471109</v>
      </c>
      <c r="H257" s="142">
        <v>159192.13451905019</v>
      </c>
      <c r="I257" s="142">
        <v>18.863098404693126</v>
      </c>
      <c r="J257" s="142">
        <v>51897.270545837273</v>
      </c>
      <c r="K257" s="142">
        <v>159190.86874605055</v>
      </c>
      <c r="L257" s="142">
        <v>18.858833083067108</v>
      </c>
      <c r="M257" s="145">
        <v>4.2653216260184479E-3</v>
      </c>
      <c r="N257" s="145">
        <v>1.3176060415221669</v>
      </c>
      <c r="O257" s="145">
        <v>4.0519160202734383E-4</v>
      </c>
      <c r="P257" s="145">
        <v>-4.4255645536850352E-4</v>
      </c>
      <c r="Q2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8.810245653023685E-4</v>
      </c>
      <c r="R2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1.0308481525369562</v>
      </c>
      <c r="S2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1.0906915157704589E-3</v>
      </c>
      <c r="T2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-4.0507352885299497E-3</v>
      </c>
      <c r="U2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-5.9579370770279638E-8</v>
      </c>
      <c r="V2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6.0241549884021417E-4</v>
      </c>
      <c r="W2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-6.4828430335239773E-4</v>
      </c>
      <c r="X2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-3.2962285058957264E-4</v>
      </c>
      <c r="Y257" s="162" t="str">
        <f>ReportSummary___Track[[#This Row],[Track ID]]&amp;"-"&amp;ReportSummary___Track[[#This Row],[Epoch]]</f>
        <v>250-RL-OP-0033-45859.2708333333</v>
      </c>
      <c r="Z257" s="126">
        <f>SUBTOTAL(103,ReportSummary___Track[[#This Row],[Track ID]])</f>
        <v>1</v>
      </c>
      <c r="AA257" s="114">
        <f>_xlfn.NUMBERVALUE(RIGHT(ReportSummary___Track[[#This Row],[Track ID]],4))</f>
        <v>33</v>
      </c>
      <c r="AB257" s="78"/>
      <c r="AG257" s="1"/>
      <c r="AH257" s="1"/>
      <c r="AI257" s="1"/>
      <c r="AJ257" s="1"/>
    </row>
    <row r="258" spans="5:36" ht="12.75" x14ac:dyDescent="0.2">
      <c r="E258" s="74">
        <v>45859.270833333336</v>
      </c>
      <c r="F258" s="107" t="s">
        <v>273</v>
      </c>
      <c r="G258" s="142">
        <v>51898.597496604991</v>
      </c>
      <c r="H258" s="142">
        <v>159191.85813567779</v>
      </c>
      <c r="I258" s="142">
        <v>18.86469840911435</v>
      </c>
      <c r="J258" s="142">
        <v>51898.232560860655</v>
      </c>
      <c r="K258" s="142">
        <v>159190.59575016837</v>
      </c>
      <c r="L258" s="142">
        <v>18.859418837200256</v>
      </c>
      <c r="M258" s="145">
        <v>5.2795719140945607E-3</v>
      </c>
      <c r="N258" s="145">
        <v>1.3140864300913908</v>
      </c>
      <c r="O258" s="145">
        <v>1.765399099927123E-3</v>
      </c>
      <c r="P258" s="145">
        <v>8.7682115062648336E-4</v>
      </c>
      <c r="Q2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1.7084772565567619E-3</v>
      </c>
      <c r="R2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0.8432631880455066</v>
      </c>
      <c r="S2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2.1249049808602649E-3</v>
      </c>
      <c r="T2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-8.3099714593970475E-3</v>
      </c>
      <c r="U2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-1.147046191363188E-7</v>
      </c>
      <c r="V2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2.7097613630089334E-4</v>
      </c>
      <c r="W2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-3.1417463709715321E-4</v>
      </c>
      <c r="X2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-6.7433732662181001E-4</v>
      </c>
      <c r="Y258" s="162" t="str">
        <f>ReportSummary___Track[[#This Row],[Track ID]]&amp;"-"&amp;ReportSummary___Track[[#This Row],[Epoch]]</f>
        <v>250-RL-OP-0034-45859.2708333333</v>
      </c>
      <c r="Z258" s="126">
        <f>SUBTOTAL(103,ReportSummary___Track[[#This Row],[Track ID]])</f>
        <v>1</v>
      </c>
      <c r="AA258" s="114">
        <f>_xlfn.NUMBERVALUE(RIGHT(ReportSummary___Track[[#This Row],[Track ID]],4))</f>
        <v>34</v>
      </c>
      <c r="AB258" s="78"/>
      <c r="AG258" s="1"/>
      <c r="AH258" s="1"/>
      <c r="AI258" s="1"/>
      <c r="AJ258" s="1"/>
    </row>
    <row r="259" spans="5:36" ht="12.75" x14ac:dyDescent="0.2">
      <c r="E259" s="74">
        <v>45859.270833333336</v>
      </c>
      <c r="F259" s="107" t="s">
        <v>274</v>
      </c>
      <c r="G259" s="142">
        <v>51899.557752903464</v>
      </c>
      <c r="H259" s="142">
        <v>159191.5833935751</v>
      </c>
      <c r="I259" s="142">
        <v>18.866</v>
      </c>
      <c r="J259" s="142">
        <v>51899.203472361332</v>
      </c>
      <c r="K259" s="142">
        <v>159190.32062001547</v>
      </c>
      <c r="L259" s="142">
        <v>18.859777427163273</v>
      </c>
      <c r="M259" s="145">
        <v>6.2225728367266697E-3</v>
      </c>
      <c r="N259" s="145">
        <v>1.3115450757988991</v>
      </c>
      <c r="O259" s="145">
        <v>2.971501498780782E-3</v>
      </c>
      <c r="P259" s="145">
        <v>2.0164856029083467E-3</v>
      </c>
      <c r="Q2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2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0.70907960101496137</v>
      </c>
      <c r="S2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-4.271810638556417E-5</v>
      </c>
      <c r="T2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1.3759944295088644E-5</v>
      </c>
      <c r="U2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2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5.899789824925783E-5</v>
      </c>
      <c r="W2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3.2229370816594383E-7</v>
      </c>
      <c r="X2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-9.8207167590302902E-4</v>
      </c>
      <c r="Y259" s="162" t="str">
        <f>ReportSummary___Track[[#This Row],[Track ID]]&amp;"-"&amp;ReportSummary___Track[[#This Row],[Epoch]]</f>
        <v>250-RL-OP-0035-45859.2708333333</v>
      </c>
      <c r="Z259" s="126">
        <f>SUBTOTAL(103,ReportSummary___Track[[#This Row],[Track ID]])</f>
        <v>1</v>
      </c>
      <c r="AA259" s="114">
        <f>_xlfn.NUMBERVALUE(RIGHT(ReportSummary___Track[[#This Row],[Track ID]],4))</f>
        <v>35</v>
      </c>
      <c r="AB259" s="78"/>
      <c r="AG259" s="1"/>
      <c r="AH259" s="1"/>
      <c r="AI259" s="1"/>
      <c r="AJ259" s="1"/>
    </row>
    <row r="260" spans="5:36" ht="12.75" x14ac:dyDescent="0.2">
      <c r="E260" s="74">
        <v>45859.270833333336</v>
      </c>
      <c r="F260" s="107" t="s">
        <v>275</v>
      </c>
      <c r="G260" s="142">
        <v>51900.520801492021</v>
      </c>
      <c r="H260" s="142">
        <v>159191.31406586381</v>
      </c>
      <c r="I260" s="142">
        <v>18.866</v>
      </c>
      <c r="J260" s="142">
        <v>51900.166031558641</v>
      </c>
      <c r="K260" s="142">
        <v>159190.04954924015</v>
      </c>
      <c r="L260" s="142">
        <v>18.859124401927648</v>
      </c>
      <c r="M260" s="145">
        <v>6.8755980723516075E-3</v>
      </c>
      <c r="N260" s="145">
        <v>1.3133587746672584</v>
      </c>
      <c r="O260" s="145">
        <v>2.6102764463331596E-3</v>
      </c>
      <c r="P260" s="145">
        <v>3.0154680483605034E-3</v>
      </c>
      <c r="Q2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2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0.80473124953361896</v>
      </c>
      <c r="S2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-8.1234568938270968E-4</v>
      </c>
      <c r="T2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2.7834582638774918E-4</v>
      </c>
      <c r="U2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2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3.7334042353509567E-4</v>
      </c>
      <c r="W2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6.3227897761919394E-6</v>
      </c>
      <c r="X2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-6.4196151357620579E-4</v>
      </c>
      <c r="Y260" s="162" t="str">
        <f>ReportSummary___Track[[#This Row],[Track ID]]&amp;"-"&amp;ReportSummary___Track[[#This Row],[Epoch]]</f>
        <v>250-RL-OP-0036-45859.2708333333</v>
      </c>
      <c r="Z260" s="126">
        <f>SUBTOTAL(103,ReportSummary___Track[[#This Row],[Track ID]])</f>
        <v>1</v>
      </c>
      <c r="AA260" s="114">
        <f>_xlfn.NUMBERVALUE(RIGHT(ReportSummary___Track[[#This Row],[Track ID]],4))</f>
        <v>36</v>
      </c>
      <c r="AB260" s="78"/>
      <c r="AG260" s="1"/>
      <c r="AH260" s="1"/>
      <c r="AI260" s="1"/>
      <c r="AJ260" s="1"/>
    </row>
    <row r="261" spans="5:36" ht="12.75" x14ac:dyDescent="0.2">
      <c r="E261" s="74">
        <v>45859.270833333336</v>
      </c>
      <c r="F261" s="107" t="s">
        <v>276</v>
      </c>
      <c r="G261" s="142">
        <v>51901.483850080585</v>
      </c>
      <c r="H261" s="142">
        <v>159191.04473815253</v>
      </c>
      <c r="I261" s="142">
        <v>18.866</v>
      </c>
      <c r="J261" s="142">
        <v>51901.128590755958</v>
      </c>
      <c r="K261" s="142">
        <v>159189.77847846484</v>
      </c>
      <c r="L261" s="142">
        <v>18.858471376692027</v>
      </c>
      <c r="M261" s="145">
        <v>7.5286233079729925E-3</v>
      </c>
      <c r="N261" s="145">
        <v>1.3151727888663709</v>
      </c>
      <c r="O261" s="145">
        <v>2.2490513938784318E-3</v>
      </c>
      <c r="P261" s="145">
        <v>4.0144504938055547E-3</v>
      </c>
      <c r="Q2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1.2650398062419299E-4</v>
      </c>
      <c r="R2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0.90038227341349142</v>
      </c>
      <c r="S2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-1.5819732759325689E-3</v>
      </c>
      <c r="T2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5.4293170492769605E-4</v>
      </c>
      <c r="U2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1.220858122863433E-5</v>
      </c>
      <c r="V2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6.8768708348532215E-4</v>
      </c>
      <c r="W2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1.2323285847770649E-5</v>
      </c>
      <c r="X2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-3.0185135124938256E-4</v>
      </c>
      <c r="Y261" s="162" t="str">
        <f>ReportSummary___Track[[#This Row],[Track ID]]&amp;"-"&amp;ReportSummary___Track[[#This Row],[Epoch]]</f>
        <v>250-RL-OP-0037-45859.2708333333</v>
      </c>
      <c r="Z261" s="126">
        <f>SUBTOTAL(103,ReportSummary___Track[[#This Row],[Track ID]])</f>
        <v>1</v>
      </c>
      <c r="AA261" s="114">
        <f>_xlfn.NUMBERVALUE(RIGHT(ReportSummary___Track[[#This Row],[Track ID]],4))</f>
        <v>37</v>
      </c>
      <c r="AB261" s="78"/>
      <c r="AG261" s="1"/>
      <c r="AH261" s="1"/>
      <c r="AI261" s="1"/>
      <c r="AJ261" s="1"/>
    </row>
    <row r="262" spans="5:36" ht="12.75" x14ac:dyDescent="0.2">
      <c r="E262" s="74">
        <v>45859.270833333336</v>
      </c>
      <c r="F262" s="107" t="s">
        <v>277</v>
      </c>
      <c r="G262" s="142">
        <v>51902.447765839897</v>
      </c>
      <c r="H262" s="142">
        <v>159190.77623041449</v>
      </c>
      <c r="I262" s="142">
        <v>18.866065372992377</v>
      </c>
      <c r="J262" s="142">
        <v>51902.099872443272</v>
      </c>
      <c r="K262" s="142">
        <v>159189.50604742009</v>
      </c>
      <c r="L262" s="142">
        <v>18.857900000000001</v>
      </c>
      <c r="M262" s="145">
        <v>8.1653729923765184E-3</v>
      </c>
      <c r="N262" s="145">
        <v>1.3169894942593887</v>
      </c>
      <c r="O262" s="145">
        <v>1.9428001556498486E-3</v>
      </c>
      <c r="P262" s="145">
        <v>4.9143016544306306E-3</v>
      </c>
      <c r="Q2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2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0.96406285950134674</v>
      </c>
      <c r="S2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-5.9440824781376023E-2</v>
      </c>
      <c r="T2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-5.9483542887761587E-2</v>
      </c>
      <c r="U2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2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9.0673428167487025E-4</v>
      </c>
      <c r="W2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-5.9758748673033324E-5</v>
      </c>
      <c r="X2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-5.943645496486738E-5</v>
      </c>
      <c r="Y262" s="162" t="str">
        <f>ReportSummary___Track[[#This Row],[Track ID]]&amp;"-"&amp;ReportSummary___Track[[#This Row],[Epoch]]</f>
        <v>250-RL-OP-0038-45859.2708333333</v>
      </c>
      <c r="Z262" s="126">
        <f>SUBTOTAL(103,ReportSummary___Track[[#This Row],[Track ID]])</f>
        <v>1</v>
      </c>
      <c r="AA262" s="114">
        <f>_xlfn.NUMBERVALUE(RIGHT(ReportSummary___Track[[#This Row],[Track ID]],4))</f>
        <v>38</v>
      </c>
      <c r="AB262" s="78"/>
      <c r="AG262" s="1"/>
      <c r="AH262" s="1"/>
      <c r="AI262" s="1"/>
      <c r="AJ262" s="1"/>
    </row>
    <row r="263" spans="5:36" ht="12.75" x14ac:dyDescent="0.2">
      <c r="E263" s="74">
        <v>45859.270833333336</v>
      </c>
      <c r="F263" s="107" t="s">
        <v>278</v>
      </c>
      <c r="G263" s="142">
        <v>51903.412339888513</v>
      </c>
      <c r="H263" s="142">
        <v>159190.51241841505</v>
      </c>
      <c r="I263" s="142">
        <v>18.86643099375512</v>
      </c>
      <c r="J263" s="142">
        <v>51903.064539433311</v>
      </c>
      <c r="K263" s="142">
        <v>159189.24257522359</v>
      </c>
      <c r="L263" s="142">
        <v>18.857900000000001</v>
      </c>
      <c r="M263" s="145">
        <v>8.5309937551194537E-3</v>
      </c>
      <c r="N263" s="145">
        <v>1.3166395351020761</v>
      </c>
      <c r="O263" s="145">
        <v>1.6553956827678462E-3</v>
      </c>
      <c r="P263" s="145">
        <v>4.2656721291010058E-3</v>
      </c>
      <c r="Q2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-0.39181235921503799</v>
      </c>
      <c r="R2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0.96183243740433078</v>
      </c>
      <c r="S2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-0.39188103809095765</v>
      </c>
      <c r="T2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-0.39269338378034035</v>
      </c>
      <c r="U2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-3.9188447220084299E-4</v>
      </c>
      <c r="V2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5.838754935996171E-4</v>
      </c>
      <c r="W2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-3.9814768260626465E-4</v>
      </c>
      <c r="X2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-3.9182489283007271E-4</v>
      </c>
      <c r="Y263" s="162" t="str">
        <f>ReportSummary___Track[[#This Row],[Track ID]]&amp;"-"&amp;ReportSummary___Track[[#This Row],[Epoch]]</f>
        <v>250-RL-OP-0039-45859.2708333333</v>
      </c>
      <c r="Z263" s="126">
        <f>SUBTOTAL(103,ReportSummary___Track[[#This Row],[Track ID]])</f>
        <v>1</v>
      </c>
      <c r="AA263" s="114">
        <f>_xlfn.NUMBERVALUE(RIGHT(ReportSummary___Track[[#This Row],[Track ID]],4))</f>
        <v>39</v>
      </c>
      <c r="AB263" s="78"/>
      <c r="AG263" s="1"/>
      <c r="AH263" s="1"/>
      <c r="AI263" s="1"/>
      <c r="AJ263" s="1"/>
    </row>
    <row r="264" spans="5:36" ht="12.75" x14ac:dyDescent="0.2">
      <c r="E264" s="74">
        <v>45859.270833333336</v>
      </c>
      <c r="F264" s="107" t="s">
        <v>279</v>
      </c>
      <c r="G264" s="142">
        <v>51904.376913937129</v>
      </c>
      <c r="H264" s="142">
        <v>159190.24860641561</v>
      </c>
      <c r="I264" s="142">
        <v>18.866796614517863</v>
      </c>
      <c r="J264" s="142">
        <v>51904.029206423351</v>
      </c>
      <c r="K264" s="142">
        <v>159188.97910302709</v>
      </c>
      <c r="L264" s="142">
        <v>18.857900000000001</v>
      </c>
      <c r="M264" s="145">
        <v>8.896614517862389E-3</v>
      </c>
      <c r="N264" s="145">
        <v>1.3162896787422567</v>
      </c>
      <c r="O264" s="145">
        <v>1.3679912098893965E-3</v>
      </c>
      <c r="P264" s="145">
        <v>3.6170426037678283E-3</v>
      </c>
      <c r="Q2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-0.72419474741636236</v>
      </c>
      <c r="R2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0.95933195261554971</v>
      </c>
      <c r="S2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-0.72432125139698655</v>
      </c>
      <c r="T2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-0.72590322467291912</v>
      </c>
      <c r="U2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-7.2432803531441436E-4</v>
      </c>
      <c r="V2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2.6074899975880861E-4</v>
      </c>
      <c r="W2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-7.3653661654304869E-4</v>
      </c>
      <c r="X2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-7.2421333069527805E-4</v>
      </c>
      <c r="Y264" s="162" t="str">
        <f>ReportSummary___Track[[#This Row],[Track ID]]&amp;"-"&amp;ReportSummary___Track[[#This Row],[Epoch]]</f>
        <v>250-RL-OP-0040-45859.2708333333</v>
      </c>
      <c r="Z264" s="126">
        <f>SUBTOTAL(103,ReportSummary___Track[[#This Row],[Track ID]])</f>
        <v>1</v>
      </c>
      <c r="AA264" s="114">
        <f>_xlfn.NUMBERVALUE(RIGHT(ReportSummary___Track[[#This Row],[Track ID]],4))</f>
        <v>40</v>
      </c>
      <c r="AB264" s="78"/>
      <c r="AG264" s="1"/>
      <c r="AH264" s="1"/>
      <c r="AI264" s="1"/>
      <c r="AJ264" s="1"/>
    </row>
    <row r="265" spans="5:36" ht="12.75" x14ac:dyDescent="0.2">
      <c r="E265" s="74">
        <v>45859.270833333336</v>
      </c>
      <c r="F265" s="107" t="s">
        <v>280</v>
      </c>
      <c r="G265" s="142">
        <v>51905.341841450259</v>
      </c>
      <c r="H265" s="142">
        <v>159189.98617913548</v>
      </c>
      <c r="I265" s="142">
        <v>18.867392406740745</v>
      </c>
      <c r="J265" s="142">
        <v>51905.003864714286</v>
      </c>
      <c r="K265" s="142">
        <v>159188.71400365728</v>
      </c>
      <c r="L265" s="142">
        <v>18.858054723306822</v>
      </c>
      <c r="M265" s="145">
        <v>9.3376834339231607E-3</v>
      </c>
      <c r="N265" s="145">
        <v>1.3163380696895652</v>
      </c>
      <c r="O265" s="145">
        <v>1.1723104415466423E-3</v>
      </c>
      <c r="P265" s="145">
        <v>3.115110597196491E-3</v>
      </c>
      <c r="Q2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-0.95003714654140481</v>
      </c>
      <c r="R2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0.8982963878176875</v>
      </c>
      <c r="S2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-0.89060717553124391</v>
      </c>
      <c r="T2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-0.95004800031261993</v>
      </c>
      <c r="U2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-9.5008935084806012E-4</v>
      </c>
      <c r="V2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-7.0824913995792826E-6</v>
      </c>
      <c r="W2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-8.906484417607885E-4</v>
      </c>
      <c r="X2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-9.5040719043382182E-4</v>
      </c>
      <c r="Y265" s="162" t="str">
        <f>ReportSummary___Track[[#This Row],[Track ID]]&amp;"-"&amp;ReportSummary___Track[[#This Row],[Epoch]]</f>
        <v>250-RL-OP-0041-45859.2708333333</v>
      </c>
      <c r="Z265" s="126">
        <f>SUBTOTAL(103,ReportSummary___Track[[#This Row],[Track ID]])</f>
        <v>1</v>
      </c>
      <c r="AA265" s="114">
        <f>_xlfn.NUMBERVALUE(RIGHT(ReportSummary___Track[[#This Row],[Track ID]],4))</f>
        <v>41</v>
      </c>
      <c r="AB265" s="78"/>
      <c r="AG265" s="1"/>
      <c r="AH265" s="1"/>
      <c r="AI265" s="1"/>
      <c r="AJ265" s="1"/>
    </row>
    <row r="266" spans="5:36" ht="12.75" x14ac:dyDescent="0.2">
      <c r="E266" s="74">
        <v>45859.270833333336</v>
      </c>
      <c r="F266" s="107" t="s">
        <v>281</v>
      </c>
      <c r="G266" s="142">
        <v>51906.308594977025</v>
      </c>
      <c r="H266" s="142">
        <v>159189.73047487877</v>
      </c>
      <c r="I266" s="142">
        <v>18.869110425193991</v>
      </c>
      <c r="J266" s="142">
        <v>51905.970517335067</v>
      </c>
      <c r="K266" s="142">
        <v>159188.45791486077</v>
      </c>
      <c r="L266" s="142">
        <v>18.859167840622085</v>
      </c>
      <c r="M266" s="145">
        <v>9.9425845719061101E-3</v>
      </c>
      <c r="N266" s="145">
        <v>1.3167400451067841</v>
      </c>
      <c r="O266" s="145">
        <v>1.4115908167866564E-3</v>
      </c>
      <c r="P266" s="145">
        <v>3.0669864995545026E-3</v>
      </c>
      <c r="Q2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-0.59059215766410489</v>
      </c>
      <c r="R2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0.46163718161573719</v>
      </c>
      <c r="S2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-0.1987797984490669</v>
      </c>
      <c r="T2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-0.59066083654002455</v>
      </c>
      <c r="U2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-5.910199324752341E-4</v>
      </c>
      <c r="V2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-4.5957332501789239E-6</v>
      </c>
      <c r="W2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-1.9913546027439111E-4</v>
      </c>
      <c r="X2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-5.9728314288065576E-4</v>
      </c>
      <c r="Y266" s="162" t="str">
        <f>ReportSummary___Track[[#This Row],[Track ID]]&amp;"-"&amp;ReportSummary___Track[[#This Row],[Epoch]]</f>
        <v>250-RL-OP-0042-45859.2708333333</v>
      </c>
      <c r="Z266" s="126">
        <f>SUBTOTAL(103,ReportSummary___Track[[#This Row],[Track ID]])</f>
        <v>1</v>
      </c>
      <c r="AA266" s="114">
        <f>_xlfn.NUMBERVALUE(RIGHT(ReportSummary___Track[[#This Row],[Track ID]],4))</f>
        <v>42</v>
      </c>
      <c r="AB266" s="78"/>
      <c r="AG266" s="1"/>
      <c r="AH266" s="1"/>
      <c r="AI266" s="1"/>
      <c r="AJ266" s="1"/>
    </row>
    <row r="267" spans="5:36" ht="12.75" x14ac:dyDescent="0.2">
      <c r="E267" s="74">
        <v>45859.270833333336</v>
      </c>
      <c r="F267" s="107" t="s">
        <v>282</v>
      </c>
      <c r="G267" s="142">
        <v>51907.275348503783</v>
      </c>
      <c r="H267" s="142">
        <v>159189.47477062207</v>
      </c>
      <c r="I267" s="142">
        <v>18.870828443647241</v>
      </c>
      <c r="J267" s="142">
        <v>51906.937169955847</v>
      </c>
      <c r="K267" s="142">
        <v>159188.20182606424</v>
      </c>
      <c r="L267" s="142">
        <v>18.860280957937345</v>
      </c>
      <c r="M267" s="145">
        <v>1.0547485709896165E-2</v>
      </c>
      <c r="N267" s="145">
        <v>1.3171422956716876</v>
      </c>
      <c r="O267" s="145">
        <v>1.650871192033776E-3</v>
      </c>
      <c r="P267" s="145">
        <v>3.0188624019231725E-3</v>
      </c>
      <c r="Q2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-0.23114716877969954</v>
      </c>
      <c r="R2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2.5209846062246299E-2</v>
      </c>
      <c r="S2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0.49304757863666282</v>
      </c>
      <c r="T2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-0.23127367276032373</v>
      </c>
      <c r="U2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-2.3195051409885536E-4</v>
      </c>
      <c r="V2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-1.8785373105956182E-6</v>
      </c>
      <c r="W2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4.92377521215559E-4</v>
      </c>
      <c r="X2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-2.4415909532748969E-4</v>
      </c>
      <c r="Y267" s="162" t="str">
        <f>ReportSummary___Track[[#This Row],[Track ID]]&amp;"-"&amp;ReportSummary___Track[[#This Row],[Epoch]]</f>
        <v>250-RL-OP-0043-45859.2708333333</v>
      </c>
      <c r="Z267" s="126">
        <f>SUBTOTAL(103,ReportSummary___Track[[#This Row],[Track ID]])</f>
        <v>1</v>
      </c>
      <c r="AA267" s="114">
        <f>_xlfn.NUMBERVALUE(RIGHT(ReportSummary___Track[[#This Row],[Track ID]],4))</f>
        <v>43</v>
      </c>
      <c r="AB267" s="78"/>
      <c r="AG267" s="1"/>
      <c r="AH267" s="1"/>
      <c r="AI267" s="1"/>
      <c r="AJ267" s="1"/>
    </row>
    <row r="268" spans="5:36" ht="12.75" x14ac:dyDescent="0.2">
      <c r="E268" s="74">
        <v>45859.270833333336</v>
      </c>
      <c r="F268" s="107" t="s">
        <v>283</v>
      </c>
      <c r="G268" s="142">
        <v>51908.242837030943</v>
      </c>
      <c r="H268" s="142">
        <v>159189.2226219966</v>
      </c>
      <c r="I268" s="142">
        <v>18.872961738006055</v>
      </c>
      <c r="J268" s="142">
        <v>51907.905517584324</v>
      </c>
      <c r="K268" s="142">
        <v>159187.94920456348</v>
      </c>
      <c r="L268" s="142">
        <v>18.861831288624526</v>
      </c>
      <c r="M268" s="145">
        <v>1.1130449381528962E-2</v>
      </c>
      <c r="N268" s="145">
        <v>1.3173838677187426</v>
      </c>
      <c r="O268" s="145">
        <v>1.7927659476058011E-3</v>
      </c>
      <c r="P268" s="145">
        <v>2.9650763891524434E-3</v>
      </c>
      <c r="Q2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0.10204654518020106</v>
      </c>
      <c r="R2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-0.24017407867948926</v>
      </c>
      <c r="S2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1.0520836917216059</v>
      </c>
      <c r="T2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0.16147651619036196</v>
      </c>
      <c r="U2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1.0224704320904721E-4</v>
      </c>
      <c r="V2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-1.0801628225154403E-4</v>
      </c>
      <c r="W2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1.0523363940571073E-3</v>
      </c>
      <c r="X2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1.6168795229631883E-4</v>
      </c>
      <c r="Y268" s="162" t="str">
        <f>ReportSummary___Track[[#This Row],[Track ID]]&amp;"-"&amp;ReportSummary___Track[[#This Row],[Epoch]]</f>
        <v>250-RL-OP-0044-45859.2708333333</v>
      </c>
      <c r="Z268" s="126">
        <f>SUBTOTAL(103,ReportSummary___Track[[#This Row],[Track ID]])</f>
        <v>1</v>
      </c>
      <c r="AA268" s="114">
        <f>_xlfn.NUMBERVALUE(RIGHT(ReportSummary___Track[[#This Row],[Track ID]],4))</f>
        <v>44</v>
      </c>
      <c r="AB268" s="78"/>
      <c r="AG268" s="1"/>
      <c r="AH268" s="1"/>
      <c r="AI268" s="1"/>
      <c r="AJ268" s="1"/>
    </row>
    <row r="269" spans="5:36" ht="12.75" x14ac:dyDescent="0.2">
      <c r="E269" s="74">
        <v>45859.270833333336</v>
      </c>
      <c r="F269" s="107" t="s">
        <v>284</v>
      </c>
      <c r="G269" s="142">
        <v>51909.212440777213</v>
      </c>
      <c r="H269" s="142">
        <v>159188.97796014245</v>
      </c>
      <c r="I269" s="142">
        <v>18.875987022705825</v>
      </c>
      <c r="J269" s="142">
        <v>51908.874845612292</v>
      </c>
      <c r="K269" s="142">
        <v>159187.70344515948</v>
      </c>
      <c r="L269" s="142">
        <v>18.864174266709448</v>
      </c>
      <c r="M269" s="145">
        <v>1.1812755996377433E-2</v>
      </c>
      <c r="N269" s="145">
        <v>1.3185213226950872</v>
      </c>
      <c r="O269" s="145">
        <v>1.870171424471323E-3</v>
      </c>
      <c r="P269" s="145">
        <v>3.2817622412579794E-3</v>
      </c>
      <c r="Q2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0.42306974755845772</v>
      </c>
      <c r="R2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-0.15331642091731545</v>
      </c>
      <c r="S2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1.0136619052225626</v>
      </c>
      <c r="T2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0.81488210677349571</v>
      </c>
      <c r="U2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4.239009408699701E-4</v>
      </c>
      <c r="V2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-4.1201317575567664E-4</v>
      </c>
      <c r="W2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1.0149208733452042E-3</v>
      </c>
      <c r="X2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8.1578541307081309E-4</v>
      </c>
      <c r="Y269" s="162" t="str">
        <f>ReportSummary___Track[[#This Row],[Track ID]]&amp;"-"&amp;ReportSummary___Track[[#This Row],[Epoch]]</f>
        <v>250-RL-OP-0045-45859.2708333333</v>
      </c>
      <c r="Z269" s="126">
        <f>SUBTOTAL(103,ReportSummary___Track[[#This Row],[Track ID]])</f>
        <v>1</v>
      </c>
      <c r="AA269" s="114">
        <f>_xlfn.NUMBERVALUE(RIGHT(ReportSummary___Track[[#This Row],[Track ID]],4))</f>
        <v>45</v>
      </c>
      <c r="AB269" s="78"/>
      <c r="AG269" s="1"/>
      <c r="AH269" s="1"/>
      <c r="AI269" s="1"/>
      <c r="AJ269" s="1"/>
    </row>
    <row r="270" spans="5:36" ht="12.75" x14ac:dyDescent="0.2">
      <c r="E270" s="74">
        <v>45859.270833333336</v>
      </c>
      <c r="F270" s="107" t="s">
        <v>285</v>
      </c>
      <c r="G270" s="142">
        <v>51910.182044523492</v>
      </c>
      <c r="H270" s="142">
        <v>159188.73329828834</v>
      </c>
      <c r="I270" s="142">
        <v>18.879012307405592</v>
      </c>
      <c r="J270" s="142">
        <v>51909.84417364026</v>
      </c>
      <c r="K270" s="142">
        <v>159187.45768575551</v>
      </c>
      <c r="L270" s="142">
        <v>18.866517244794366</v>
      </c>
      <c r="M270" s="145">
        <v>1.2495062611225904E-2</v>
      </c>
      <c r="N270" s="145">
        <v>1.3196591204700217</v>
      </c>
      <c r="O270" s="145">
        <v>1.9475769013297395E-3</v>
      </c>
      <c r="P270" s="145">
        <v>3.5984480933635155E-3</v>
      </c>
      <c r="Q2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0.74409294994026709</v>
      </c>
      <c r="R2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-6.6210229466401316E-2</v>
      </c>
      <c r="S2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0.97524011871996663</v>
      </c>
      <c r="T2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1.4682876973566295</v>
      </c>
      <c r="U2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7.4555483853089299E-4</v>
      </c>
      <c r="V2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-7.1575939144352674E-4</v>
      </c>
      <c r="W2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9.7750535262974836E-4</v>
      </c>
      <c r="X2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1.4698828738453074E-3</v>
      </c>
      <c r="Y270" s="162" t="str">
        <f>ReportSummary___Track[[#This Row],[Track ID]]&amp;"-"&amp;ReportSummary___Track[[#This Row],[Epoch]]</f>
        <v>250-RL-OP-0046-45859.2708333333</v>
      </c>
      <c r="Z270" s="126">
        <f>SUBTOTAL(103,ReportSummary___Track[[#This Row],[Track ID]])</f>
        <v>1</v>
      </c>
      <c r="AA270" s="114">
        <f>_xlfn.NUMBERVALUE(RIGHT(ReportSummary___Track[[#This Row],[Track ID]],4))</f>
        <v>46</v>
      </c>
      <c r="AB270" s="78"/>
      <c r="AG270" s="1"/>
      <c r="AH270" s="1"/>
      <c r="AI270" s="1"/>
      <c r="AJ270" s="1"/>
    </row>
    <row r="271" spans="5:36" ht="12.75" x14ac:dyDescent="0.2">
      <c r="E271" s="74">
        <v>45859.270833333336</v>
      </c>
      <c r="F271" s="107" t="s">
        <v>286</v>
      </c>
      <c r="G271" s="142">
        <v>51911.152137387231</v>
      </c>
      <c r="H271" s="142">
        <v>159188.49042629151</v>
      </c>
      <c r="I271" s="142">
        <v>18.882328834015588</v>
      </c>
      <c r="J271" s="142">
        <v>51910.835170760911</v>
      </c>
      <c r="K271" s="142">
        <v>159187.20842803695</v>
      </c>
      <c r="L271" s="142">
        <v>18.869139055249295</v>
      </c>
      <c r="M271" s="145">
        <v>1.3189778766292903E-2</v>
      </c>
      <c r="N271" s="145">
        <v>1.3206670046480313</v>
      </c>
      <c r="O271" s="145">
        <v>2.0593293847639416E-3</v>
      </c>
      <c r="P271" s="145">
        <v>3.8520953323697427E-3</v>
      </c>
      <c r="Q2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1.0029468151095955</v>
      </c>
      <c r="R2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6.6908776959140326E-2</v>
      </c>
      <c r="S2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0.90090026992939443</v>
      </c>
      <c r="T2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1.9529839616510003</v>
      </c>
      <c r="U2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9.2609519269615248E-4</v>
      </c>
      <c r="V2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-8.6976373370273308E-4</v>
      </c>
      <c r="W2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8.2384814948710527E-4</v>
      </c>
      <c r="X2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1.8761845435442126E-3</v>
      </c>
      <c r="Y271" s="162" t="str">
        <f>ReportSummary___Track[[#This Row],[Track ID]]&amp;"-"&amp;ReportSummary___Track[[#This Row],[Epoch]]</f>
        <v>250-RL-OP-0047-45859.2708333333</v>
      </c>
      <c r="Z271" s="126">
        <f>SUBTOTAL(103,ReportSummary___Track[[#This Row],[Track ID]])</f>
        <v>1</v>
      </c>
      <c r="AA271" s="114">
        <f>_xlfn.NUMBERVALUE(RIGHT(ReportSummary___Track[[#This Row],[Track ID]],4))</f>
        <v>47</v>
      </c>
      <c r="AB271" s="78"/>
      <c r="AG271" s="1"/>
      <c r="AH271" s="1"/>
      <c r="AI271" s="1"/>
      <c r="AJ271" s="1"/>
    </row>
    <row r="272" spans="5:36" ht="12.75" x14ac:dyDescent="0.2">
      <c r="E272" s="74">
        <v>45859.270833333336</v>
      </c>
      <c r="F272" s="107" t="s">
        <v>287</v>
      </c>
      <c r="G272" s="142">
        <v>51912.123851747907</v>
      </c>
      <c r="H272" s="142">
        <v>159188.25430812963</v>
      </c>
      <c r="I272" s="142">
        <v>18.886735067486104</v>
      </c>
      <c r="J272" s="142">
        <v>51911.806635538363</v>
      </c>
      <c r="K272" s="142">
        <v>159186.97126833431</v>
      </c>
      <c r="L272" s="142">
        <v>18.872524557994584</v>
      </c>
      <c r="M272" s="145">
        <v>1.4210509491519474E-2</v>
      </c>
      <c r="N272" s="145">
        <v>1.321748530756625</v>
      </c>
      <c r="O272" s="145">
        <v>2.3977534951420409E-3</v>
      </c>
      <c r="P272" s="145">
        <v>4.267924919613364E-3</v>
      </c>
      <c r="Q2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1.0045425082587656</v>
      </c>
      <c r="R2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0.32437837647725232</v>
      </c>
      <c r="S2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0.58147276070030784</v>
      </c>
      <c r="T2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1.5951346659228705</v>
      </c>
      <c r="U2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5.7553400084131567E-4</v>
      </c>
      <c r="V2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-4.5090688234750154E-4</v>
      </c>
      <c r="W2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1.5163305997134557E-4</v>
      </c>
      <c r="X2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1.1665539333165498E-3</v>
      </c>
      <c r="Y272" s="162" t="str">
        <f>ReportSummary___Track[[#This Row],[Track ID]]&amp;"-"&amp;ReportSummary___Track[[#This Row],[Epoch]]</f>
        <v>250-RL-OP-0048-45859.2708333333</v>
      </c>
      <c r="Z272" s="126">
        <f>SUBTOTAL(103,ReportSummary___Track[[#This Row],[Track ID]])</f>
        <v>1</v>
      </c>
      <c r="AA272" s="114">
        <f>_xlfn.NUMBERVALUE(RIGHT(ReportSummary___Track[[#This Row],[Track ID]],4))</f>
        <v>48</v>
      </c>
      <c r="AB272" s="78"/>
      <c r="AG272" s="1"/>
      <c r="AH272" s="1"/>
      <c r="AI272" s="1"/>
      <c r="AJ272" s="1"/>
    </row>
    <row r="273" spans="5:36" ht="12.75" x14ac:dyDescent="0.2">
      <c r="E273" s="74">
        <v>45859.270833333336</v>
      </c>
      <c r="F273" s="107" t="s">
        <v>288</v>
      </c>
      <c r="G273" s="142">
        <v>51913.095566108583</v>
      </c>
      <c r="H273" s="142">
        <v>159188.01818996778</v>
      </c>
      <c r="I273" s="142">
        <v>18.891141300956619</v>
      </c>
      <c r="J273" s="142">
        <v>51912.778100315809</v>
      </c>
      <c r="K273" s="142">
        <v>159186.7341086317</v>
      </c>
      <c r="L273" s="142">
        <v>18.875910060739869</v>
      </c>
      <c r="M273" s="145">
        <v>1.5231240216749597E-2</v>
      </c>
      <c r="N273" s="145">
        <v>1.3228308274051963</v>
      </c>
      <c r="O273" s="145">
        <v>2.736177605523693E-3</v>
      </c>
      <c r="P273" s="145">
        <v>4.6837545068534325E-3</v>
      </c>
      <c r="Q2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1.0061382014150411</v>
      </c>
      <c r="R2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0.58184505366143391</v>
      </c>
      <c r="S2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0.26204525147477398</v>
      </c>
      <c r="T2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1.2372853701947406</v>
      </c>
      <c r="U2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2.2497280898647887E-4</v>
      </c>
      <c r="V2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-3.2687738343861739E-5</v>
      </c>
      <c r="W2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-5.2058202954441413E-4</v>
      </c>
      <c r="X2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4.5692332308533423E-4</v>
      </c>
      <c r="Y273" s="162" t="str">
        <f>ReportSummary___Track[[#This Row],[Track ID]]&amp;"-"&amp;ReportSummary___Track[[#This Row],[Epoch]]</f>
        <v>250-RL-OP-0049-45859.2708333333</v>
      </c>
      <c r="Z273" s="126">
        <f>SUBTOTAL(103,ReportSummary___Track[[#This Row],[Track ID]])</f>
        <v>1</v>
      </c>
      <c r="AA273" s="114">
        <f>_xlfn.NUMBERVALUE(RIGHT(ReportSummary___Track[[#This Row],[Track ID]],4))</f>
        <v>49</v>
      </c>
      <c r="AB273" s="78"/>
      <c r="AG273" s="1"/>
      <c r="AH273" s="1"/>
      <c r="AI273" s="1"/>
      <c r="AJ273" s="1"/>
    </row>
    <row r="274" spans="5:36" ht="12.75" x14ac:dyDescent="0.2">
      <c r="E274" s="74">
        <v>45855.291666666664</v>
      </c>
      <c r="F274" s="107" t="s">
        <v>235</v>
      </c>
      <c r="G274" s="142">
        <v>51886.101888003854</v>
      </c>
      <c r="H274" s="142">
        <v>159195.44568170901</v>
      </c>
      <c r="I274" s="142">
        <v>18.86977464079656</v>
      </c>
      <c r="J274" s="142">
        <v>51885.742050789791</v>
      </c>
      <c r="K274" s="142">
        <v>159194.1869553554</v>
      </c>
      <c r="L274" s="142">
        <v>18.865787559209785</v>
      </c>
      <c r="M274" s="145">
        <v>3.9870815867750764E-3</v>
      </c>
      <c r="N274" s="145">
        <v>1.3091565035242916</v>
      </c>
      <c r="O274" s="145"/>
      <c r="P274" s="145"/>
      <c r="Q2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-0.28168315921917042</v>
      </c>
      <c r="R2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-0.96167286311810152</v>
      </c>
      <c r="S27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7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1.0495213587091712E-8</v>
      </c>
      <c r="V2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-2.7014559119398207E-4</v>
      </c>
      <c r="W27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7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74" s="162" t="str">
        <f>ReportSummary___Track[[#This Row],[Track ID]]&amp;"-"&amp;ReportSummary___Track[[#This Row],[Epoch]]</f>
        <v>250-RL-OP-0021-45855.2916666667</v>
      </c>
      <c r="Z274" s="126">
        <f>SUBTOTAL(103,ReportSummary___Track[[#This Row],[Track ID]])</f>
        <v>1</v>
      </c>
      <c r="AA274" s="114">
        <f>_xlfn.NUMBERVALUE(RIGHT(ReportSummary___Track[[#This Row],[Track ID]],4))</f>
        <v>21</v>
      </c>
      <c r="AB274" s="78"/>
      <c r="AG274" s="1"/>
      <c r="AH274" s="1"/>
      <c r="AI274" s="1"/>
      <c r="AJ274" s="1"/>
    </row>
    <row r="275" spans="5:36" ht="12.75" x14ac:dyDescent="0.2">
      <c r="E275" s="74">
        <v>45855.291666666664</v>
      </c>
      <c r="F275" s="107" t="s">
        <v>236</v>
      </c>
      <c r="G275" s="142">
        <v>51887.0635346048</v>
      </c>
      <c r="H275" s="142">
        <v>159195.17139037082</v>
      </c>
      <c r="I275" s="142">
        <v>18.869497718698447</v>
      </c>
      <c r="J275" s="142">
        <v>51886.703169527536</v>
      </c>
      <c r="K275" s="142">
        <v>159193.91081996524</v>
      </c>
      <c r="L275" s="142">
        <v>18.865652414029238</v>
      </c>
      <c r="M275" s="145">
        <v>3.8453046692090709E-3</v>
      </c>
      <c r="N275" s="145">
        <v>1.3110741865702535</v>
      </c>
      <c r="O275" s="145"/>
      <c r="P275" s="145"/>
      <c r="Q2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-0.62781659348942753</v>
      </c>
      <c r="R2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-0.95462652483258026</v>
      </c>
      <c r="S27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7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2.310965641072471E-8</v>
      </c>
      <c r="V2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-5.9483999144194222E-4</v>
      </c>
      <c r="W27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7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75" s="162" t="str">
        <f>ReportSummary___Track[[#This Row],[Track ID]]&amp;"-"&amp;ReportSummary___Track[[#This Row],[Epoch]]</f>
        <v>250-RL-OP-0022-45855.2916666667</v>
      </c>
      <c r="Z275" s="126">
        <f>SUBTOTAL(103,ReportSummary___Track[[#This Row],[Track ID]])</f>
        <v>1</v>
      </c>
      <c r="AA275" s="114">
        <f>_xlfn.NUMBERVALUE(RIGHT(ReportSummary___Track[[#This Row],[Track ID]],4))</f>
        <v>22</v>
      </c>
      <c r="AB275" s="78"/>
      <c r="AG275" s="1"/>
      <c r="AH275" s="1"/>
      <c r="AI275" s="1"/>
      <c r="AJ275" s="1"/>
    </row>
    <row r="276" spans="5:36" ht="12.75" x14ac:dyDescent="0.2">
      <c r="E276" s="74">
        <v>45855.291666666664</v>
      </c>
      <c r="F276" s="107" t="s">
        <v>237</v>
      </c>
      <c r="G276" s="142">
        <v>51888.025181205747</v>
      </c>
      <c r="H276" s="142">
        <v>159194.89709903265</v>
      </c>
      <c r="I276" s="142">
        <v>18.869220796600338</v>
      </c>
      <c r="J276" s="142">
        <v>51887.664288265281</v>
      </c>
      <c r="K276" s="142">
        <v>159193.63468457508</v>
      </c>
      <c r="L276" s="142">
        <v>18.865517268848695</v>
      </c>
      <c r="M276" s="145">
        <v>3.7035277516430654E-3</v>
      </c>
      <c r="N276" s="145">
        <v>1.3129918862167556</v>
      </c>
      <c r="O276" s="145"/>
      <c r="P276" s="145"/>
      <c r="Q2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-0.97395002775968464</v>
      </c>
      <c r="R2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-0.9475933936320402</v>
      </c>
      <c r="S27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27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3.572409568164403E-8</v>
      </c>
      <c r="V2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-9.1953459975258056E-4</v>
      </c>
      <c r="W27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27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76" s="162" t="str">
        <f>ReportSummary___Track[[#This Row],[Track ID]]&amp;"-"&amp;ReportSummary___Track[[#This Row],[Epoch]]</f>
        <v>250-RL-OP-0023-45855.2916666667</v>
      </c>
      <c r="Z276" s="126">
        <f>SUBTOTAL(103,ReportSummary___Track[[#This Row],[Track ID]])</f>
        <v>1</v>
      </c>
      <c r="AA276" s="114">
        <f>_xlfn.NUMBERVALUE(RIGHT(ReportSummary___Track[[#This Row],[Track ID]],4))</f>
        <v>23</v>
      </c>
      <c r="AB276" s="78"/>
      <c r="AG276" s="1"/>
      <c r="AH276" s="1"/>
      <c r="AI276" s="1"/>
      <c r="AJ276" s="1"/>
    </row>
    <row r="277" spans="5:36" ht="12.75" x14ac:dyDescent="0.2">
      <c r="E277" s="74">
        <v>45855.291666666664</v>
      </c>
      <c r="F277" s="107" t="s">
        <v>238</v>
      </c>
      <c r="G277" s="142">
        <v>51888.986288492531</v>
      </c>
      <c r="H277" s="142">
        <v>159194.62201568196</v>
      </c>
      <c r="I277" s="142">
        <v>18.868826216423926</v>
      </c>
      <c r="J277" s="142">
        <v>51888.624024403252</v>
      </c>
      <c r="K277" s="142">
        <v>159193.35779661778</v>
      </c>
      <c r="L277" s="142">
        <v>18.864752372254646</v>
      </c>
      <c r="M277" s="145">
        <v>4.0738441692802496E-3</v>
      </c>
      <c r="N277" s="145">
        <v>1.3151052082700625</v>
      </c>
      <c r="O277" s="145">
        <v>8.6762582505173214E-5</v>
      </c>
      <c r="P277" s="145"/>
      <c r="Q2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-0.6885773897984393</v>
      </c>
      <c r="R2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-0.66422106175334505</v>
      </c>
      <c r="S2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-0.40689423057926888</v>
      </c>
      <c r="T27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1.2335839539190374E-5</v>
      </c>
      <c r="V2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-6.7395249828794412E-4</v>
      </c>
      <c r="W2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1.2325344325603282E-5</v>
      </c>
      <c r="X27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77" s="162" t="str">
        <f>ReportSummary___Track[[#This Row],[Track ID]]&amp;"-"&amp;ReportSummary___Track[[#This Row],[Epoch]]</f>
        <v>250-RL-OP-0024-45855.2916666667</v>
      </c>
      <c r="Z277" s="126">
        <f>SUBTOTAL(103,ReportSummary___Track[[#This Row],[Track ID]])</f>
        <v>1</v>
      </c>
      <c r="AA277" s="114">
        <f>_xlfn.NUMBERVALUE(RIGHT(ReportSummary___Track[[#This Row],[Track ID]],4))</f>
        <v>24</v>
      </c>
      <c r="AB277" s="78"/>
      <c r="AG277" s="1"/>
      <c r="AH277" s="1"/>
      <c r="AI277" s="1"/>
      <c r="AJ277" s="1"/>
    </row>
    <row r="278" spans="5:36" ht="12.75" x14ac:dyDescent="0.2">
      <c r="E278" s="74">
        <v>45855.291666666664</v>
      </c>
      <c r="F278" s="107" t="s">
        <v>239</v>
      </c>
      <c r="G278" s="142">
        <v>51889.947664755273</v>
      </c>
      <c r="H278" s="142">
        <v>159194.34677847879</v>
      </c>
      <c r="I278" s="142">
        <v>18.868421951254046</v>
      </c>
      <c r="J278" s="142">
        <v>51889.584791712696</v>
      </c>
      <c r="K278" s="142">
        <v>159193.08044225874</v>
      </c>
      <c r="L278" s="142">
        <v>18.863894115171242</v>
      </c>
      <c r="M278" s="145">
        <v>4.5278360828042707E-3</v>
      </c>
      <c r="N278" s="145">
        <v>1.3173096707118943</v>
      </c>
      <c r="O278" s="145">
        <v>6.8253141359519987E-4</v>
      </c>
      <c r="P278" s="145"/>
      <c r="Q2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-0.35175864633885112</v>
      </c>
      <c r="R2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-0.33931960506916603</v>
      </c>
      <c r="S2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0.27605794715057641</v>
      </c>
      <c r="T27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5.8065758210545937E-6</v>
      </c>
      <c r="V2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-3.4410577075960624E-4</v>
      </c>
      <c r="W2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5.783466164643869E-6</v>
      </c>
      <c r="X27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78" s="162" t="str">
        <f>ReportSummary___Track[[#This Row],[Track ID]]&amp;"-"&amp;ReportSummary___Track[[#This Row],[Epoch]]</f>
        <v>250-RL-OP-0025-45855.2916666667</v>
      </c>
      <c r="Z278" s="126">
        <f>SUBTOTAL(103,ReportSummary___Track[[#This Row],[Track ID]])</f>
        <v>1</v>
      </c>
      <c r="AA278" s="114">
        <f>_xlfn.NUMBERVALUE(RIGHT(ReportSummary___Track[[#This Row],[Track ID]],4))</f>
        <v>25</v>
      </c>
      <c r="AB278" s="78"/>
      <c r="AG278" s="1"/>
      <c r="AH278" s="1"/>
      <c r="AI278" s="1"/>
      <c r="AJ278" s="1"/>
    </row>
    <row r="279" spans="5:36" ht="12.75" x14ac:dyDescent="0.2">
      <c r="E279" s="74">
        <v>45855.291666666664</v>
      </c>
      <c r="F279" s="107" t="s">
        <v>240</v>
      </c>
      <c r="G279" s="142">
        <v>51890.909041018014</v>
      </c>
      <c r="H279" s="142">
        <v>159194.07154127565</v>
      </c>
      <c r="I279" s="142">
        <v>18.868017686084166</v>
      </c>
      <c r="J279" s="142">
        <v>51890.545559022146</v>
      </c>
      <c r="K279" s="142">
        <v>159192.80308789967</v>
      </c>
      <c r="L279" s="142">
        <v>18.863035858087837</v>
      </c>
      <c r="M279" s="145">
        <v>4.9818279963282919E-3</v>
      </c>
      <c r="N279" s="145">
        <v>1.3195142844960253</v>
      </c>
      <c r="O279" s="145">
        <v>1.2783002446852265E-3</v>
      </c>
      <c r="P279" s="145"/>
      <c r="Q2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-1.4939902879262945E-2</v>
      </c>
      <c r="R2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-1.4276053182937787E-2</v>
      </c>
      <c r="S2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0.9590101248804217</v>
      </c>
      <c r="T27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2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-7.2268790063390043E-7</v>
      </c>
      <c r="V2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-1.4264191376067714E-5</v>
      </c>
      <c r="W2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-7.5841199631554446E-7</v>
      </c>
      <c r="X27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279" s="162" t="str">
        <f>ReportSummary___Track[[#This Row],[Track ID]]&amp;"-"&amp;ReportSummary___Track[[#This Row],[Epoch]]</f>
        <v>250-RL-OP-0026-45855.2916666667</v>
      </c>
      <c r="Z279" s="126">
        <f>SUBTOTAL(103,ReportSummary___Track[[#This Row],[Track ID]])</f>
        <v>1</v>
      </c>
      <c r="AA279" s="114">
        <f>_xlfn.NUMBERVALUE(RIGHT(ReportSummary___Track[[#This Row],[Track ID]],4))</f>
        <v>26</v>
      </c>
      <c r="AB279" s="78"/>
      <c r="AG279" s="1"/>
      <c r="AH279" s="1"/>
      <c r="AI279" s="1"/>
      <c r="AJ279" s="1"/>
    </row>
    <row r="280" spans="5:36" ht="12.75" x14ac:dyDescent="0.2">
      <c r="E280" s="74">
        <v>45855.291666666664</v>
      </c>
      <c r="F280" s="107" t="s">
        <v>241</v>
      </c>
      <c r="G280" s="142">
        <v>51891.870085166687</v>
      </c>
      <c r="H280" s="142">
        <v>159193.79534240576</v>
      </c>
      <c r="I280" s="142">
        <v>18.865661447731828</v>
      </c>
      <c r="J280" s="142">
        <v>51891.504352850017</v>
      </c>
      <c r="K280" s="142">
        <v>159192.52690828382</v>
      </c>
      <c r="L280" s="142">
        <v>18.860959197096111</v>
      </c>
      <c r="M280" s="145">
        <v>4.7022506357166094E-3</v>
      </c>
      <c r="N280" s="145">
        <v>1.3201164192322909</v>
      </c>
      <c r="O280" s="145">
        <v>6.2840646643635978E-4</v>
      </c>
      <c r="P280" s="145">
        <v>7.1516904894153299E-4</v>
      </c>
      <c r="Q2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-6.9568581650969463E-4</v>
      </c>
      <c r="R2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-8.4508484710754672E-2</v>
      </c>
      <c r="S2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0.6878817039819296</v>
      </c>
      <c r="T2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0.28098747340266073</v>
      </c>
      <c r="U2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3.2393582554846034E-4</v>
      </c>
      <c r="V2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1.1143058162854658E-6</v>
      </c>
      <c r="W2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3.1159998600926997E-4</v>
      </c>
      <c r="X2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3.2392533033487325E-4</v>
      </c>
      <c r="Y280" s="162" t="str">
        <f>ReportSummary___Track[[#This Row],[Track ID]]&amp;"-"&amp;ReportSummary___Track[[#This Row],[Epoch]]</f>
        <v>250-RL-OP-0027-45855.2916666667</v>
      </c>
      <c r="Z280" s="126">
        <f>SUBTOTAL(103,ReportSummary___Track[[#This Row],[Track ID]])</f>
        <v>1</v>
      </c>
      <c r="AA280" s="114">
        <f>_xlfn.NUMBERVALUE(RIGHT(ReportSummary___Track[[#This Row],[Track ID]],4))</f>
        <v>27</v>
      </c>
      <c r="AB280" s="78"/>
      <c r="AG280" s="1"/>
      <c r="AH280" s="1"/>
      <c r="AI280" s="1"/>
      <c r="AJ280" s="1"/>
    </row>
    <row r="281" spans="5:36" ht="12.75" x14ac:dyDescent="0.2">
      <c r="E281" s="74">
        <v>45855.291666666664</v>
      </c>
      <c r="F281" s="107" t="s">
        <v>242</v>
      </c>
      <c r="G281" s="142">
        <v>51892.831165658921</v>
      </c>
      <c r="H281" s="142">
        <v>159193.51908472509</v>
      </c>
      <c r="I281" s="142">
        <v>18.863215774997911</v>
      </c>
      <c r="J281" s="142">
        <v>51892.465286793558</v>
      </c>
      <c r="K281" s="142">
        <v>159192.25013870624</v>
      </c>
      <c r="L281" s="142">
        <v>18.858824466025101</v>
      </c>
      <c r="M281" s="145">
        <v>4.3913089728100374E-3</v>
      </c>
      <c r="N281" s="145">
        <v>1.3206478056180186</v>
      </c>
      <c r="O281" s="145">
        <v>-1.3652710999423334E-4</v>
      </c>
      <c r="P281" s="145">
        <v>5.4600430360096652E-4</v>
      </c>
      <c r="Q2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-1.4233419420861537E-3</v>
      </c>
      <c r="R2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-0.17297553019246514</v>
      </c>
      <c r="S2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0.35033530439676497</v>
      </c>
      <c r="T2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0.62639325154734138</v>
      </c>
      <c r="U2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6.6278083134463373E-4</v>
      </c>
      <c r="V2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2.0378921459229815E-6</v>
      </c>
      <c r="W2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6.5697425552357913E-4</v>
      </c>
      <c r="X2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6.62757721688223E-4</v>
      </c>
      <c r="Y281" s="162" t="str">
        <f>ReportSummary___Track[[#This Row],[Track ID]]&amp;"-"&amp;ReportSummary___Track[[#This Row],[Epoch]]</f>
        <v>250-RL-OP-0028-45855.2916666667</v>
      </c>
      <c r="Z281" s="126">
        <f>SUBTOTAL(103,ReportSummary___Track[[#This Row],[Track ID]])</f>
        <v>1</v>
      </c>
      <c r="AA281" s="114">
        <f>_xlfn.NUMBERVALUE(RIGHT(ReportSummary___Track[[#This Row],[Track ID]],4))</f>
        <v>28</v>
      </c>
      <c r="AB281" s="78"/>
      <c r="AG281" s="1"/>
      <c r="AH281" s="1"/>
      <c r="AI281" s="1"/>
      <c r="AJ281" s="1"/>
    </row>
    <row r="282" spans="5:36" ht="12.75" x14ac:dyDescent="0.2">
      <c r="E282" s="74">
        <v>45855.291666666664</v>
      </c>
      <c r="F282" s="107" t="s">
        <v>243</v>
      </c>
      <c r="G282" s="142">
        <v>51893.791838945894</v>
      </c>
      <c r="H282" s="142">
        <v>159193.24290592305</v>
      </c>
      <c r="I282" s="142">
        <v>18.860908806466888</v>
      </c>
      <c r="J282" s="142">
        <v>51893.426692579691</v>
      </c>
      <c r="K282" s="142">
        <v>159191.97323179542</v>
      </c>
      <c r="L282" s="142">
        <v>18.85670271923307</v>
      </c>
      <c r="M282" s="145">
        <v>4.2060872338183231E-3</v>
      </c>
      <c r="N282" s="145">
        <v>1.3211441822507177</v>
      </c>
      <c r="O282" s="145">
        <v>-7.7574076250996882E-4</v>
      </c>
      <c r="P282" s="145">
        <v>5.025594821752577E-4</v>
      </c>
      <c r="Q2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-2.9061730799639918E-6</v>
      </c>
      <c r="R2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-0.2544274470448471</v>
      </c>
      <c r="S2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1.4936996706182981E-2</v>
      </c>
      <c r="T2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0.97394712158660468</v>
      </c>
      <c r="U2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9.8238951548879072E-4</v>
      </c>
      <c r="V2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1.968484059133857E-5</v>
      </c>
      <c r="W2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9.8311220338942462E-4</v>
      </c>
      <c r="X2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9.8235379139310908E-4</v>
      </c>
      <c r="Y282" s="162" t="str">
        <f>ReportSummary___Track[[#This Row],[Track ID]]&amp;"-"&amp;ReportSummary___Track[[#This Row],[Epoch]]</f>
        <v>250-RL-OP-0029-45855.2916666667</v>
      </c>
      <c r="Z282" s="126">
        <f>SUBTOTAL(103,ReportSummary___Track[[#This Row],[Track ID]])</f>
        <v>1</v>
      </c>
      <c r="AA282" s="114">
        <f>_xlfn.NUMBERVALUE(RIGHT(ReportSummary___Track[[#This Row],[Track ID]],4))</f>
        <v>29</v>
      </c>
      <c r="AB282" s="78"/>
      <c r="AG282" s="1"/>
      <c r="AH282" s="1"/>
      <c r="AI282" s="1"/>
      <c r="AJ282" s="1"/>
    </row>
    <row r="283" spans="5:36" ht="12.75" x14ac:dyDescent="0.2">
      <c r="E283" s="74">
        <v>45855.291666666664</v>
      </c>
      <c r="F283" s="107" t="s">
        <v>269</v>
      </c>
      <c r="G283" s="142">
        <v>51894.752729759806</v>
      </c>
      <c r="H283" s="142">
        <v>159192.96597846717</v>
      </c>
      <c r="I283" s="142">
        <v>18.861075912100414</v>
      </c>
      <c r="J283" s="142">
        <v>51894.387556672729</v>
      </c>
      <c r="K283" s="142">
        <v>159191.69621206418</v>
      </c>
      <c r="L283" s="142">
        <v>18.857215782076423</v>
      </c>
      <c r="M283" s="145">
        <v>3.8601300239911041E-3</v>
      </c>
      <c r="N283" s="145">
        <v>1.3212391919238418</v>
      </c>
      <c r="O283" s="145">
        <v>-8.4212061172550534E-4</v>
      </c>
      <c r="P283" s="145">
        <v>-2.1371414528914556E-4</v>
      </c>
      <c r="Q2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-2.0966695046809036E-4</v>
      </c>
      <c r="R2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0.25407811085043086</v>
      </c>
      <c r="S2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4.8601886604160427E-4</v>
      </c>
      <c r="T2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0.68836772284797121</v>
      </c>
      <c r="U2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6.4822472398162745E-4</v>
      </c>
      <c r="V2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3.3976698819193629E-4</v>
      </c>
      <c r="W2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3.2428889843316711E-4</v>
      </c>
      <c r="X2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6.3588888444243707E-4</v>
      </c>
      <c r="Y283" s="162" t="str">
        <f>ReportSummary___Track[[#This Row],[Track ID]]&amp;"-"&amp;ReportSummary___Track[[#This Row],[Epoch]]</f>
        <v>250-RL-OP-0030-45855.2916666667</v>
      </c>
      <c r="Z283" s="126">
        <f>SUBTOTAL(103,ReportSummary___Track[[#This Row],[Track ID]])</f>
        <v>1</v>
      </c>
      <c r="AA283" s="114">
        <f>_xlfn.NUMBERVALUE(RIGHT(ReportSummary___Track[[#This Row],[Track ID]],4))</f>
        <v>30</v>
      </c>
      <c r="AB283" s="78"/>
      <c r="AG283" s="10"/>
      <c r="AH283" s="10"/>
      <c r="AJ283" s="1"/>
    </row>
    <row r="284" spans="5:36" ht="12.75" x14ac:dyDescent="0.2">
      <c r="E284" s="74">
        <v>45855.291666666664</v>
      </c>
      <c r="F284" s="107" t="s">
        <v>270</v>
      </c>
      <c r="G284" s="142">
        <v>51895.713620573719</v>
      </c>
      <c r="H284" s="142">
        <v>159192.68905101132</v>
      </c>
      <c r="I284" s="142">
        <v>18.861243017733944</v>
      </c>
      <c r="J284" s="142">
        <v>51895.34842076576</v>
      </c>
      <c r="K284" s="142">
        <v>159191.41919233298</v>
      </c>
      <c r="L284" s="142">
        <v>18.857728844919777</v>
      </c>
      <c r="M284" s="145">
        <v>3.5141728141674378E-3</v>
      </c>
      <c r="N284" s="145">
        <v>1.3213342923317339</v>
      </c>
      <c r="O284" s="145">
        <v>-8.7713615864259964E-4</v>
      </c>
      <c r="P284" s="145">
        <v>-1.013663268636833E-3</v>
      </c>
      <c r="Q2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-4.1642772430350306E-4</v>
      </c>
      <c r="R2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0.76258453848132568</v>
      </c>
      <c r="S2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1.0069142177826507E-3</v>
      </c>
      <c r="T2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0.35134221861454762</v>
      </c>
      <c r="U2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3.1405993247801689E-4</v>
      </c>
      <c r="V2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6.5993980076495262E-4</v>
      </c>
      <c r="W2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-3.4872089886661684E-4</v>
      </c>
      <c r="X2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3.082533566569623E-4</v>
      </c>
      <c r="Y284" s="162" t="str">
        <f>ReportSummary___Track[[#This Row],[Track ID]]&amp;"-"&amp;ReportSummary___Track[[#This Row],[Epoch]]</f>
        <v>250-RL-OP-0031-45855.2916666667</v>
      </c>
      <c r="Z284" s="126">
        <f>SUBTOTAL(103,ReportSummary___Track[[#This Row],[Track ID]])</f>
        <v>1</v>
      </c>
      <c r="AA284" s="114">
        <f>_xlfn.NUMBERVALUE(RIGHT(ReportSummary___Track[[#This Row],[Track ID]],4))</f>
        <v>31</v>
      </c>
      <c r="AB284" s="78"/>
      <c r="AG284" s="10"/>
      <c r="AH284" s="10"/>
      <c r="AJ284" s="1"/>
    </row>
    <row r="285" spans="5:36" ht="12.75" x14ac:dyDescent="0.2">
      <c r="E285" s="74">
        <v>45855.291666666664</v>
      </c>
      <c r="F285" s="107" t="s">
        <v>271</v>
      </c>
      <c r="G285" s="142">
        <v>51896.675398652565</v>
      </c>
      <c r="H285" s="142">
        <v>159192.41188266812</v>
      </c>
      <c r="I285" s="142">
        <v>18.861498390807746</v>
      </c>
      <c r="J285" s="142">
        <v>51896.308528737987</v>
      </c>
      <c r="K285" s="142">
        <v>159191.14273461874</v>
      </c>
      <c r="L285" s="142">
        <v>18.85824734462722</v>
      </c>
      <c r="M285" s="145">
        <v>3.2510461805266289E-3</v>
      </c>
      <c r="N285" s="145">
        <v>1.3211134980660706</v>
      </c>
      <c r="O285" s="145">
        <v>-9.550410532916942E-4</v>
      </c>
      <c r="P285" s="145">
        <v>-1.730781815801663E-3</v>
      </c>
      <c r="Q2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2.8414458341785576E-5</v>
      </c>
      <c r="R2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1.2054814052735452</v>
      </c>
      <c r="S2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3.1320631421749567E-5</v>
      </c>
      <c r="T2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1.4968317337604731E-2</v>
      </c>
      <c r="U2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-2.9611541663143726E-8</v>
      </c>
      <c r="V2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9.209027029364325E-4</v>
      </c>
      <c r="W2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-9.8241912703045386E-4</v>
      </c>
      <c r="X2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6.930763589707567E-7</v>
      </c>
      <c r="Y285" s="162" t="str">
        <f>ReportSummary___Track[[#This Row],[Track ID]]&amp;"-"&amp;ReportSummary___Track[[#This Row],[Epoch]]</f>
        <v>250-RL-OP-0032-45855.2916666667</v>
      </c>
      <c r="Z285" s="126">
        <f>SUBTOTAL(103,ReportSummary___Track[[#This Row],[Track ID]])</f>
        <v>1</v>
      </c>
      <c r="AA285" s="114">
        <f>_xlfn.NUMBERVALUE(RIGHT(ReportSummary___Track[[#This Row],[Track ID]],4))</f>
        <v>32</v>
      </c>
      <c r="AB285" s="78"/>
      <c r="AG285" s="10"/>
      <c r="AH285" s="10"/>
      <c r="AJ285" s="1"/>
    </row>
    <row r="286" spans="5:36" ht="12.75" x14ac:dyDescent="0.2">
      <c r="E286" s="74">
        <v>45855.291666666664</v>
      </c>
      <c r="F286" s="107" t="s">
        <v>272</v>
      </c>
      <c r="G286" s="142">
        <v>51897.636352352813</v>
      </c>
      <c r="H286" s="142">
        <v>159192.13517808475</v>
      </c>
      <c r="I286" s="142">
        <v>18.863098241340179</v>
      </c>
      <c r="J286" s="142">
        <v>51897.270518069447</v>
      </c>
      <c r="K286" s="142">
        <v>159190.86964821699</v>
      </c>
      <c r="L286" s="142">
        <v>18.858833292983896</v>
      </c>
      <c r="M286" s="145">
        <v>4.2649483562833268E-3</v>
      </c>
      <c r="N286" s="145">
        <v>1.3173529363287388</v>
      </c>
      <c r="O286" s="145">
        <v>4.0481833229222275E-4</v>
      </c>
      <c r="P286" s="145">
        <v>-4.3730227943328259E-4</v>
      </c>
      <c r="Q2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5.0775483018128398E-4</v>
      </c>
      <c r="R2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0.7777429591089291</v>
      </c>
      <c r="S2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7.1742178064937434E-4</v>
      </c>
      <c r="T2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1.2034406466909786E-3</v>
      </c>
      <c r="U2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-4.3284910589136416E-7</v>
      </c>
      <c r="V2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3.4931030541218711E-4</v>
      </c>
      <c r="W2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-6.4865757308751881E-4</v>
      </c>
      <c r="X2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-3.2436867465435171E-4</v>
      </c>
      <c r="Y286" s="162" t="str">
        <f>ReportSummary___Track[[#This Row],[Track ID]]&amp;"-"&amp;ReportSummary___Track[[#This Row],[Epoch]]</f>
        <v>250-RL-OP-0033-45855.2916666667</v>
      </c>
      <c r="Z286" s="126">
        <f>SUBTOTAL(103,ReportSummary___Track[[#This Row],[Track ID]])</f>
        <v>1</v>
      </c>
      <c r="AA286" s="114">
        <f>_xlfn.NUMBERVALUE(RIGHT(ReportSummary___Track[[#This Row],[Track ID]],4))</f>
        <v>33</v>
      </c>
      <c r="AB286" s="78"/>
      <c r="AG286" s="10"/>
      <c r="AH286" s="10"/>
      <c r="AJ286" s="1"/>
    </row>
    <row r="287" spans="5:36" ht="12.75" x14ac:dyDescent="0.2">
      <c r="E287" s="74">
        <v>45855.291666666664</v>
      </c>
      <c r="F287" s="107" t="s">
        <v>273</v>
      </c>
      <c r="G287" s="142">
        <v>51898.597306053052</v>
      </c>
      <c r="H287" s="142">
        <v>159191.85847350134</v>
      </c>
      <c r="I287" s="142">
        <v>18.864698091872615</v>
      </c>
      <c r="J287" s="142">
        <v>51898.232507400906</v>
      </c>
      <c r="K287" s="142">
        <v>159190.59656181524</v>
      </c>
      <c r="L287" s="142">
        <v>18.859419241340571</v>
      </c>
      <c r="M287" s="145">
        <v>5.2788505320435775E-3</v>
      </c>
      <c r="N287" s="145">
        <v>1.3135931738527613</v>
      </c>
      <c r="O287" s="145">
        <v>1.7646777178761397E-3</v>
      </c>
      <c r="P287" s="145">
        <v>8.8754155923354006E-4</v>
      </c>
      <c r="Q2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9.8709520557349606E-4</v>
      </c>
      <c r="R2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0.35000694941600408</v>
      </c>
      <c r="S2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1.4035229298769991E-3</v>
      </c>
      <c r="T2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2.4104371476596498E-3</v>
      </c>
      <c r="U2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-8.360866701195846E-7</v>
      </c>
      <c r="V2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-2.2228010232860917E-4</v>
      </c>
      <c r="W2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-3.1489601914813647E-4</v>
      </c>
      <c r="X2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-6.6361691801475331E-4</v>
      </c>
      <c r="Y287" s="162" t="str">
        <f>ReportSummary___Track[[#This Row],[Track ID]]&amp;"-"&amp;ReportSummary___Track[[#This Row],[Epoch]]</f>
        <v>250-RL-OP-0034-45855.2916666667</v>
      </c>
      <c r="Z287" s="126">
        <f>SUBTOTAL(103,ReportSummary___Track[[#This Row],[Track ID]])</f>
        <v>1</v>
      </c>
      <c r="AA287" s="114">
        <f>_xlfn.NUMBERVALUE(RIGHT(ReportSummary___Track[[#This Row],[Track ID]],4))</f>
        <v>34</v>
      </c>
      <c r="AB287" s="78"/>
      <c r="AG287" s="10"/>
      <c r="AH287" s="10"/>
      <c r="AJ287" s="1"/>
    </row>
    <row r="288" spans="5:36" ht="12.75" x14ac:dyDescent="0.2">
      <c r="E288" s="74">
        <v>45855.291666666664</v>
      </c>
      <c r="F288" s="107" t="s">
        <v>274</v>
      </c>
      <c r="G288" s="142">
        <v>51899.557764406614</v>
      </c>
      <c r="H288" s="142">
        <v>159191.58343476392</v>
      </c>
      <c r="I288" s="142">
        <v>18.86593835426369</v>
      </c>
      <c r="J288" s="142">
        <v>51899.202476814404</v>
      </c>
      <c r="K288" s="142">
        <v>159190.32163601517</v>
      </c>
      <c r="L288" s="142">
        <v>18.859716198561138</v>
      </c>
      <c r="M288" s="145">
        <v>6.2221557025523566E-3</v>
      </c>
      <c r="N288" s="145">
        <v>1.3108791213298814</v>
      </c>
      <c r="O288" s="145">
        <v>2.9711095220257278E-3</v>
      </c>
      <c r="P288" s="145">
        <v>2.0160684687340336E-3</v>
      </c>
      <c r="Q2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-4.0628040309798052E-4</v>
      </c>
      <c r="R2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4.3125131997223676E-2</v>
      </c>
      <c r="S2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-4.346948614397661E-4</v>
      </c>
      <c r="T2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-4.0337423001801653E-4</v>
      </c>
      <c r="U2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-9.929458855140183E-8</v>
      </c>
      <c r="V2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-6.0695657076847986E-4</v>
      </c>
      <c r="W2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-6.9683046888258104E-8</v>
      </c>
      <c r="X2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-9.8248881007734212E-4</v>
      </c>
      <c r="Y288" s="162" t="str">
        <f>ReportSummary___Track[[#This Row],[Track ID]]&amp;"-"&amp;ReportSummary___Track[[#This Row],[Epoch]]</f>
        <v>250-RL-OP-0035-45855.2916666667</v>
      </c>
      <c r="Z288" s="126">
        <f>SUBTOTAL(103,ReportSummary___Track[[#This Row],[Track ID]])</f>
        <v>1</v>
      </c>
      <c r="AA288" s="114">
        <f>_xlfn.NUMBERVALUE(RIGHT(ReportSummary___Track[[#This Row],[Track ID]],4))</f>
        <v>35</v>
      </c>
      <c r="AB288" s="78"/>
      <c r="AG288" s="10"/>
      <c r="AH288" s="10"/>
      <c r="AJ288" s="1"/>
    </row>
    <row r="289" spans="5:36" ht="12.75" x14ac:dyDescent="0.2">
      <c r="E289" s="74">
        <v>45855.291666666664</v>
      </c>
      <c r="F289" s="107" t="s">
        <v>275</v>
      </c>
      <c r="G289" s="142">
        <v>51900.520875073722</v>
      </c>
      <c r="H289" s="142">
        <v>159191.31432933433</v>
      </c>
      <c r="I289" s="142">
        <v>18.865605673549666</v>
      </c>
      <c r="J289" s="142">
        <v>51900.165059736093</v>
      </c>
      <c r="K289" s="142">
        <v>159190.05065048055</v>
      </c>
      <c r="L289" s="142">
        <v>18.858736968732359</v>
      </c>
      <c r="M289" s="145">
        <v>6.8687048173075027E-3</v>
      </c>
      <c r="N289" s="145">
        <v>1.3128350921134448</v>
      </c>
      <c r="O289" s="145">
        <v>2.6037564610241759E-3</v>
      </c>
      <c r="P289" s="145">
        <v>3.0085747933163987E-3</v>
      </c>
      <c r="Q2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-6.8245761681851036E-3</v>
      </c>
      <c r="R2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0.28104869572009861</v>
      </c>
      <c r="S2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-7.3323309983663876E-3</v>
      </c>
      <c r="T2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-6.6149092177170132E-3</v>
      </c>
      <c r="U2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-6.3004463868310268E-7</v>
      </c>
      <c r="V2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-1.5034213027842469E-4</v>
      </c>
      <c r="W2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-1.9719553279173851E-7</v>
      </c>
      <c r="X2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-6.4885476862031055E-4</v>
      </c>
      <c r="Y289" s="162" t="str">
        <f>ReportSummary___Track[[#This Row],[Track ID]]&amp;"-"&amp;ReportSummary___Track[[#This Row],[Epoch]]</f>
        <v>250-RL-OP-0036-45855.2916666667</v>
      </c>
      <c r="Z289" s="126">
        <f>SUBTOTAL(103,ReportSummary___Track[[#This Row],[Track ID]])</f>
        <v>1</v>
      </c>
      <c r="AA289" s="114">
        <f>_xlfn.NUMBERVALUE(RIGHT(ReportSummary___Track[[#This Row],[Track ID]],4))</f>
        <v>36</v>
      </c>
      <c r="AB289" s="78"/>
      <c r="AG289" s="10"/>
      <c r="AH289" s="10"/>
      <c r="AJ289" s="1"/>
    </row>
    <row r="290" spans="5:36" ht="12.75" x14ac:dyDescent="0.2">
      <c r="E290" s="74">
        <v>45855.291666666664</v>
      </c>
      <c r="F290" s="107" t="s">
        <v>276</v>
      </c>
      <c r="G290" s="142">
        <v>51901.483985740822</v>
      </c>
      <c r="H290" s="142">
        <v>159191.04522390474</v>
      </c>
      <c r="I290" s="142">
        <v>18.865272992835639</v>
      </c>
      <c r="J290" s="142">
        <v>51901.127642657782</v>
      </c>
      <c r="K290" s="142">
        <v>159189.77966494591</v>
      </c>
      <c r="L290" s="142">
        <v>18.857757738903583</v>
      </c>
      <c r="M290" s="145">
        <v>7.5152539320555434E-3</v>
      </c>
      <c r="N290" s="145">
        <v>1.3147913713478439</v>
      </c>
      <c r="O290" s="145">
        <v>2.2364034000119659E-3</v>
      </c>
      <c r="P290" s="145">
        <v>4.0010811178881056E-3</v>
      </c>
      <c r="Q2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-1.324287193682494E-2</v>
      </c>
      <c r="R2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0.51896475488644178</v>
      </c>
      <c r="S2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-1.4229967142398436E-2</v>
      </c>
      <c r="T2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-1.2826444212521437E-2</v>
      </c>
      <c r="U2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-1.1607946888148035E-6</v>
      </c>
      <c r="V2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3.0626956495827251E-4</v>
      </c>
      <c r="W2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-3.2470801869521893E-7</v>
      </c>
      <c r="X2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-3.1522072716683169E-4</v>
      </c>
      <c r="Y290" s="162" t="str">
        <f>ReportSummary___Track[[#This Row],[Track ID]]&amp;"-"&amp;ReportSummary___Track[[#This Row],[Epoch]]</f>
        <v>250-RL-OP-0037-45855.2916666667</v>
      </c>
      <c r="Z290" s="126">
        <f>SUBTOTAL(103,ReportSummary___Track[[#This Row],[Track ID]])</f>
        <v>1</v>
      </c>
      <c r="AA290" s="114">
        <f>_xlfn.NUMBERVALUE(RIGHT(ReportSummary___Track[[#This Row],[Track ID]],4))</f>
        <v>37</v>
      </c>
      <c r="AB290" s="78"/>
      <c r="AG290" s="10"/>
      <c r="AH290" s="10"/>
      <c r="AJ290" s="1"/>
    </row>
    <row r="291" spans="5:36" ht="12.75" x14ac:dyDescent="0.2">
      <c r="E291" s="74">
        <v>45855.291666666664</v>
      </c>
      <c r="F291" s="107" t="s">
        <v>277</v>
      </c>
      <c r="G291" s="142">
        <v>51902.446769943585</v>
      </c>
      <c r="H291" s="142">
        <v>159190.77724554107</v>
      </c>
      <c r="I291" s="142">
        <v>18.865124762962974</v>
      </c>
      <c r="J291" s="142">
        <v>51902.099872443272</v>
      </c>
      <c r="K291" s="142">
        <v>159189.50704742008</v>
      </c>
      <c r="L291" s="142">
        <v>18.8569</v>
      </c>
      <c r="M291" s="145">
        <v>8.2247629629748076E-3</v>
      </c>
      <c r="N291" s="145">
        <v>1.3167417320926966</v>
      </c>
      <c r="O291" s="145">
        <v>2.002607260422451E-3</v>
      </c>
      <c r="P291" s="145">
        <v>4.9737167824481787E-3</v>
      </c>
      <c r="Q2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2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0.71630069280925746</v>
      </c>
      <c r="S2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3.6627999122629262E-4</v>
      </c>
      <c r="T2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-6.8414870213473478E-5</v>
      </c>
      <c r="U2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2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6.5897211498278097E-4</v>
      </c>
      <c r="W2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4.835609956899134E-8</v>
      </c>
      <c r="X2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-2.1326947319266765E-8</v>
      </c>
      <c r="Y291" s="162" t="str">
        <f>ReportSummary___Track[[#This Row],[Track ID]]&amp;"-"&amp;ReportSummary___Track[[#This Row],[Epoch]]</f>
        <v>250-RL-OP-0038-45855.2916666667</v>
      </c>
      <c r="Z291" s="126">
        <f>SUBTOTAL(103,ReportSummary___Track[[#This Row],[Track ID]])</f>
        <v>1</v>
      </c>
      <c r="AA291" s="114">
        <f>_xlfn.NUMBERVALUE(RIGHT(ReportSummary___Track[[#This Row],[Track ID]],4))</f>
        <v>38</v>
      </c>
      <c r="AB291" s="78"/>
      <c r="AG291" s="10"/>
      <c r="AH291" s="10"/>
      <c r="AJ291" s="1"/>
    </row>
    <row r="292" spans="5:36" ht="12.75" x14ac:dyDescent="0.2">
      <c r="E292" s="74">
        <v>45855.291666666664</v>
      </c>
      <c r="F292" s="107" t="s">
        <v>278</v>
      </c>
      <c r="G292" s="142">
        <v>51903.411366943481</v>
      </c>
      <c r="H292" s="142">
        <v>159190.51351814222</v>
      </c>
      <c r="I292" s="142">
        <v>18.865822542397968</v>
      </c>
      <c r="J292" s="142">
        <v>51903.064539433311</v>
      </c>
      <c r="K292" s="142">
        <v>159189.24357522361</v>
      </c>
      <c r="L292" s="142">
        <v>18.8569</v>
      </c>
      <c r="M292" s="145">
        <v>8.9225423979684138E-3</v>
      </c>
      <c r="N292" s="145">
        <v>1.3164816558238077</v>
      </c>
      <c r="O292" s="145">
        <v>2.053837580660911E-3</v>
      </c>
      <c r="P292" s="145">
        <v>4.6575940416850869E-3</v>
      </c>
      <c r="Q2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-2.6371636607791515E-4</v>
      </c>
      <c r="R2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0.80395315913595056</v>
      </c>
      <c r="S2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6.5608598021071884E-3</v>
      </c>
      <c r="T2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-7.7147119625919913E-4</v>
      </c>
      <c r="U2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-3.358293518829214E-7</v>
      </c>
      <c r="V2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4.2599621533123688E-4</v>
      </c>
      <c r="W2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2.9421528680018127E-7</v>
      </c>
      <c r="X2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9.701975400844276E-8</v>
      </c>
      <c r="Y292" s="162" t="str">
        <f>ReportSummary___Track[[#This Row],[Track ID]]&amp;"-"&amp;ReportSummary___Track[[#This Row],[Epoch]]</f>
        <v>250-RL-OP-0039-45855.2916666667</v>
      </c>
      <c r="Z292" s="126">
        <f>SUBTOTAL(103,ReportSummary___Track[[#This Row],[Track ID]])</f>
        <v>1</v>
      </c>
      <c r="AA292" s="114">
        <f>_xlfn.NUMBERVALUE(RIGHT(ReportSummary___Track[[#This Row],[Track ID]],4))</f>
        <v>39</v>
      </c>
      <c r="AB292" s="78"/>
      <c r="AG292" s="10"/>
      <c r="AH292" s="10"/>
      <c r="AJ292" s="1"/>
    </row>
    <row r="293" spans="5:36" ht="12.75" x14ac:dyDescent="0.2">
      <c r="E293" s="74">
        <v>45855.291666666664</v>
      </c>
      <c r="F293" s="107" t="s">
        <v>279</v>
      </c>
      <c r="G293" s="142">
        <v>51904.375963943377</v>
      </c>
      <c r="H293" s="142">
        <v>159190.2497907434</v>
      </c>
      <c r="I293" s="142">
        <v>18.866520321832958</v>
      </c>
      <c r="J293" s="142">
        <v>51904.029206423358</v>
      </c>
      <c r="K293" s="142">
        <v>159188.9801030271</v>
      </c>
      <c r="L293" s="142">
        <v>18.8569</v>
      </c>
      <c r="M293" s="145">
        <v>9.6203218329584672E-3</v>
      </c>
      <c r="N293" s="145">
        <v>1.3162219513423672</v>
      </c>
      <c r="O293" s="145">
        <v>2.1050679009029238E-3</v>
      </c>
      <c r="P293" s="145">
        <v>4.3414713009148898E-3</v>
      </c>
      <c r="Q2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-4.8743232028414241E-4</v>
      </c>
      <c r="R2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0.89160455272607742</v>
      </c>
      <c r="S2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1.2755439616540798E-2</v>
      </c>
      <c r="T2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-1.4745275258576385E-3</v>
      </c>
      <c r="U2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-6.2072021833614599E-7</v>
      </c>
      <c r="V2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1.9302159986933631E-4</v>
      </c>
      <c r="W2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5.4007447047865753E-7</v>
      </c>
      <c r="X2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2.1536645178343861E-7</v>
      </c>
      <c r="Y293" s="162" t="str">
        <f>ReportSummary___Track[[#This Row],[Track ID]]&amp;"-"&amp;ReportSummary___Track[[#This Row],[Epoch]]</f>
        <v>250-RL-OP-0040-45855.2916666667</v>
      </c>
      <c r="Z293" s="126">
        <f>SUBTOTAL(103,ReportSummary___Track[[#This Row],[Track ID]])</f>
        <v>1</v>
      </c>
      <c r="AA293" s="114">
        <f>_xlfn.NUMBERVALUE(RIGHT(ReportSummary___Track[[#This Row],[Track ID]],4))</f>
        <v>40</v>
      </c>
      <c r="AB293" s="78"/>
      <c r="AG293" s="10"/>
      <c r="AH293" s="10"/>
      <c r="AJ293" s="1"/>
    </row>
    <row r="294" spans="5:36" ht="12.75" x14ac:dyDescent="0.2">
      <c r="E294" s="74">
        <v>45855.291666666664</v>
      </c>
      <c r="F294" s="107" t="s">
        <v>280</v>
      </c>
      <c r="G294" s="142">
        <v>51905.341841450259</v>
      </c>
      <c r="H294" s="142">
        <v>159189.98717913547</v>
      </c>
      <c r="I294" s="142">
        <v>18.867392406740745</v>
      </c>
      <c r="J294" s="142">
        <v>51905.003861376892</v>
      </c>
      <c r="K294" s="142">
        <v>159188.71499131437</v>
      </c>
      <c r="L294" s="142">
        <v>18.857104705007345</v>
      </c>
      <c r="M294" s="145">
        <v>1.0287701733400212E-2</v>
      </c>
      <c r="N294" s="145">
        <v>1.3163579372492435</v>
      </c>
      <c r="O294" s="145">
        <v>2.0629387704254043E-3</v>
      </c>
      <c r="P294" s="145">
        <v>4.0655460308478553E-3</v>
      </c>
      <c r="Q2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-1.8847064353622045E-5</v>
      </c>
      <c r="R2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0.91816394749599795</v>
      </c>
      <c r="S2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2.1153347518065857E-5</v>
      </c>
      <c r="T2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3.8743333874435848E-4</v>
      </c>
      <c r="U2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-7.1051371008934439E-8</v>
      </c>
      <c r="V2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1.278506827873116E-5</v>
      </c>
      <c r="W2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-2.0112882026523948E-8</v>
      </c>
      <c r="X2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2.8243217542467391E-8</v>
      </c>
      <c r="Y294" s="162" t="str">
        <f>ReportSummary___Track[[#This Row],[Track ID]]&amp;"-"&amp;ReportSummary___Track[[#This Row],[Epoch]]</f>
        <v>250-RL-OP-0041-45855.2916666667</v>
      </c>
      <c r="Z294" s="126">
        <f>SUBTOTAL(103,ReportSummary___Track[[#This Row],[Track ID]])</f>
        <v>1</v>
      </c>
      <c r="AA294" s="114">
        <f>_xlfn.NUMBERVALUE(RIGHT(ReportSummary___Track[[#This Row],[Track ID]],4))</f>
        <v>41</v>
      </c>
      <c r="AB294" s="78"/>
      <c r="AG294" s="10"/>
      <c r="AH294" s="10"/>
      <c r="AJ294" s="1"/>
    </row>
    <row r="295" spans="5:36" ht="12.75" x14ac:dyDescent="0.2">
      <c r="E295" s="74">
        <v>45855.291666666664</v>
      </c>
      <c r="F295" s="107" t="s">
        <v>281</v>
      </c>
      <c r="G295" s="142">
        <v>51906.308594977025</v>
      </c>
      <c r="H295" s="142">
        <v>159189.73147487876</v>
      </c>
      <c r="I295" s="142">
        <v>18.869110425193991</v>
      </c>
      <c r="J295" s="142">
        <v>51905.970489987638</v>
      </c>
      <c r="K295" s="142">
        <v>159188.45881371963</v>
      </c>
      <c r="L295" s="142">
        <v>18.858577402901904</v>
      </c>
      <c r="M295" s="145">
        <v>1.0533022292086969E-2</v>
      </c>
      <c r="N295" s="145">
        <v>1.3168494045934811</v>
      </c>
      <c r="O295" s="145">
        <v>1.610479894118555E-3</v>
      </c>
      <c r="P295" s="145">
        <v>3.664317474779466E-3</v>
      </c>
      <c r="Q2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-1.5443748324628359E-4</v>
      </c>
      <c r="R2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0.57099666831272877</v>
      </c>
      <c r="S2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1.0927888283163156E-4</v>
      </c>
      <c r="T2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6.67013868493882E-3</v>
      </c>
      <c r="U2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-5.8221229437549482E-7</v>
      </c>
      <c r="V2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1.0476375344681266E-4</v>
      </c>
      <c r="W2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-2.4638294249257342E-7</v>
      </c>
      <c r="X2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4.7832344307607855E-8</v>
      </c>
      <c r="Y295" s="162" t="str">
        <f>ReportSummary___Track[[#This Row],[Track ID]]&amp;"-"&amp;ReportSummary___Track[[#This Row],[Epoch]]</f>
        <v>250-RL-OP-0042-45855.2916666667</v>
      </c>
      <c r="Z295" s="126">
        <f>SUBTOTAL(103,ReportSummary___Track[[#This Row],[Track ID]])</f>
        <v>1</v>
      </c>
      <c r="AA295" s="114">
        <f>_xlfn.NUMBERVALUE(RIGHT(ReportSummary___Track[[#This Row],[Track ID]],4))</f>
        <v>42</v>
      </c>
      <c r="AB295" s="78"/>
      <c r="AG295" s="10"/>
      <c r="AH295" s="10"/>
      <c r="AJ295" s="1"/>
    </row>
    <row r="296" spans="5:36" ht="12.75" x14ac:dyDescent="0.2">
      <c r="E296" s="74">
        <v>45855.291666666664</v>
      </c>
      <c r="F296" s="107" t="s">
        <v>282</v>
      </c>
      <c r="G296" s="142">
        <v>51907.275348503783</v>
      </c>
      <c r="H296" s="142">
        <v>159189.47577062206</v>
      </c>
      <c r="I296" s="142">
        <v>18.870828443647241</v>
      </c>
      <c r="J296" s="142">
        <v>51906.937118598384</v>
      </c>
      <c r="K296" s="142">
        <v>159188.20263612489</v>
      </c>
      <c r="L296" s="142">
        <v>18.860050100796464</v>
      </c>
      <c r="M296" s="145">
        <v>1.0778342850777278E-2</v>
      </c>
      <c r="N296" s="145">
        <v>1.3173409161878222</v>
      </c>
      <c r="O296" s="145">
        <v>1.1580210178188111E-3</v>
      </c>
      <c r="P296" s="145">
        <v>3.2630889187217349E-3</v>
      </c>
      <c r="Q2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-2.9002789858623146E-4</v>
      </c>
      <c r="R2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0.22383036219686403</v>
      </c>
      <c r="S2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1.9740442169791095E-4</v>
      </c>
      <c r="T2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1.2952844038238709E-2</v>
      </c>
      <c r="U2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-1.0933732177420552E-6</v>
      </c>
      <c r="V2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1.9674197882402211E-4</v>
      </c>
      <c r="W2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-4.7265299940590921E-7</v>
      </c>
      <c r="X2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6.7421471072748318E-8</v>
      </c>
      <c r="Y296" s="162" t="str">
        <f>ReportSummary___Track[[#This Row],[Track ID]]&amp;"-"&amp;ReportSummary___Track[[#This Row],[Epoch]]</f>
        <v>250-RL-OP-0043-45855.2916666667</v>
      </c>
      <c r="Z296" s="126">
        <f>SUBTOTAL(103,ReportSummary___Track[[#This Row],[Track ID]])</f>
        <v>1</v>
      </c>
      <c r="AA296" s="114">
        <f>_xlfn.NUMBERVALUE(RIGHT(ReportSummary___Track[[#This Row],[Track ID]],4))</f>
        <v>43</v>
      </c>
      <c r="AB296" s="78"/>
      <c r="AG296" s="10"/>
      <c r="AH296" s="10"/>
      <c r="AJ296" s="1"/>
    </row>
    <row r="297" spans="5:36" ht="12.75" x14ac:dyDescent="0.2">
      <c r="E297" s="74">
        <v>45855.291666666664</v>
      </c>
      <c r="F297" s="107" t="s">
        <v>283</v>
      </c>
      <c r="G297" s="142">
        <v>51908.24283118709</v>
      </c>
      <c r="H297" s="142">
        <v>159189.22359764637</v>
      </c>
      <c r="I297" s="142">
        <v>18.872859694515245</v>
      </c>
      <c r="J297" s="142">
        <v>51907.904497607538</v>
      </c>
      <c r="K297" s="142">
        <v>159187.95012580554</v>
      </c>
      <c r="L297" s="142">
        <v>18.861830968912905</v>
      </c>
      <c r="M297" s="145">
        <v>1.1028725602340472E-2</v>
      </c>
      <c r="N297" s="145">
        <v>1.3176956299663456</v>
      </c>
      <c r="O297" s="145">
        <v>7.410238689402604E-4</v>
      </c>
      <c r="P297" s="145">
        <v>2.8039626393656647E-3</v>
      </c>
      <c r="Q2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3.2276599171154885E-4</v>
      </c>
      <c r="R2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7.1588168923497619E-2</v>
      </c>
      <c r="S2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3.4161305606517089E-4</v>
      </c>
      <c r="T2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3.6276640358323675E-4</v>
      </c>
      <c r="U2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5.2326402055768995E-7</v>
      </c>
      <c r="V2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2.0374596535144285E-4</v>
      </c>
      <c r="W2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5.9431539156662438E-7</v>
      </c>
      <c r="X2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5.7420250954010044E-7</v>
      </c>
      <c r="Y297" s="162" t="str">
        <f>ReportSummary___Track[[#This Row],[Track ID]]&amp;"-"&amp;ReportSummary___Track[[#This Row],[Epoch]]</f>
        <v>250-RL-OP-0044-45855.2916666667</v>
      </c>
      <c r="Z297" s="126">
        <f>SUBTOTAL(103,ReportSummary___Track[[#This Row],[Track ID]])</f>
        <v>1</v>
      </c>
      <c r="AA297" s="114">
        <f>_xlfn.NUMBERVALUE(RIGHT(ReportSummary___Track[[#This Row],[Track ID]],4))</f>
        <v>44</v>
      </c>
      <c r="AB297" s="78"/>
      <c r="AG297" s="10"/>
      <c r="AH297" s="10"/>
      <c r="AJ297" s="1"/>
    </row>
    <row r="298" spans="5:36" ht="12.75" x14ac:dyDescent="0.2">
      <c r="E298" s="74">
        <v>45855.291666666664</v>
      </c>
      <c r="F298" s="107" t="s">
        <v>284</v>
      </c>
      <c r="G298" s="142">
        <v>51909.212416550698</v>
      </c>
      <c r="H298" s="142">
        <v>159188.97885919519</v>
      </c>
      <c r="I298" s="142">
        <v>18.875563986793463</v>
      </c>
      <c r="J298" s="142">
        <v>51908.873769331156</v>
      </c>
      <c r="K298" s="142">
        <v>159187.70414442313</v>
      </c>
      <c r="L298" s="142">
        <v>18.864173045894045</v>
      </c>
      <c r="M298" s="145">
        <v>1.1390940899417501E-2</v>
      </c>
      <c r="N298" s="145">
        <v>1.3189804558674008</v>
      </c>
      <c r="O298" s="145">
        <v>8.5791860733053227E-4</v>
      </c>
      <c r="P298" s="145">
        <v>2.4683985014490872E-3</v>
      </c>
      <c r="Q2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1.2546505985255862E-3</v>
      </c>
      <c r="R2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0.30581675139629283</v>
      </c>
      <c r="S2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1.4090880817718698E-3</v>
      </c>
      <c r="T2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1.5183669646035014E-3</v>
      </c>
      <c r="U2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2.0858439100379655E-6</v>
      </c>
      <c r="V2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4.7119996557931643E-5</v>
      </c>
      <c r="W2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2.6680562044134604E-6</v>
      </c>
      <c r="X2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2.4216732619208869E-6</v>
      </c>
      <c r="Y298" s="162" t="str">
        <f>ReportSummary___Track[[#This Row],[Track ID]]&amp;"-"&amp;ReportSummary___Track[[#This Row],[Epoch]]</f>
        <v>250-RL-OP-0045-45855.2916666667</v>
      </c>
      <c r="Z298" s="126">
        <f>SUBTOTAL(103,ReportSummary___Track[[#This Row],[Track ID]])</f>
        <v>1</v>
      </c>
      <c r="AA298" s="114">
        <f>_xlfn.NUMBERVALUE(RIGHT(ReportSummary___Track[[#This Row],[Track ID]],4))</f>
        <v>45</v>
      </c>
      <c r="AB298" s="78"/>
      <c r="AG298" s="10"/>
      <c r="AH298" s="10"/>
      <c r="AJ298" s="1"/>
    </row>
    <row r="299" spans="5:36" ht="12.75" x14ac:dyDescent="0.2">
      <c r="E299" s="74">
        <v>45855.291666666664</v>
      </c>
      <c r="F299" s="107" t="s">
        <v>285</v>
      </c>
      <c r="G299" s="142">
        <v>51910.182001914305</v>
      </c>
      <c r="H299" s="142">
        <v>159188.73412074402</v>
      </c>
      <c r="I299" s="142">
        <v>18.87826827907168</v>
      </c>
      <c r="J299" s="142">
        <v>51909.843041054766</v>
      </c>
      <c r="K299" s="142">
        <v>159187.45816304075</v>
      </c>
      <c r="L299" s="142">
        <v>18.866515122875185</v>
      </c>
      <c r="M299" s="145">
        <v>1.175315619649453E-2</v>
      </c>
      <c r="N299" s="145">
        <v>1.3202653754130806</v>
      </c>
      <c r="O299" s="145">
        <v>9.7481334571725142E-4</v>
      </c>
      <c r="P299" s="145">
        <v>2.1328343635360625E-3</v>
      </c>
      <c r="Q2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2.1865352088923373E-3</v>
      </c>
      <c r="R2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0.54004471359259121</v>
      </c>
      <c r="S2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2.4765631074785688E-3</v>
      </c>
      <c r="T2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2.6739675291764797E-3</v>
      </c>
      <c r="U2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3.6484237995182411E-6</v>
      </c>
      <c r="V2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-1.0950444838453421E-4</v>
      </c>
      <c r="W2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4.7417970172602963E-6</v>
      </c>
      <c r="X2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4.2691440178543871E-6</v>
      </c>
      <c r="Y299" s="162" t="str">
        <f>ReportSummary___Track[[#This Row],[Track ID]]&amp;"-"&amp;ReportSummary___Track[[#This Row],[Epoch]]</f>
        <v>250-RL-OP-0046-45855.2916666667</v>
      </c>
      <c r="Z299" s="126">
        <f>SUBTOTAL(103,ReportSummary___Track[[#This Row],[Track ID]])</f>
        <v>1</v>
      </c>
      <c r="AA299" s="114">
        <f>_xlfn.NUMBERVALUE(RIGHT(ReportSummary___Track[[#This Row],[Track ID]],4))</f>
        <v>46</v>
      </c>
      <c r="AB299" s="78"/>
      <c r="AG299" s="10"/>
      <c r="AH299" s="10"/>
      <c r="AJ299" s="1"/>
    </row>
    <row r="300" spans="5:36" ht="12.75" x14ac:dyDescent="0.2">
      <c r="E300" s="74">
        <v>45855.291666666664</v>
      </c>
      <c r="F300" s="107" t="s">
        <v>286</v>
      </c>
      <c r="G300" s="142">
        <v>51911.15112425571</v>
      </c>
      <c r="H300" s="142">
        <v>159188.49137370157</v>
      </c>
      <c r="I300" s="142">
        <v>18.881402126084726</v>
      </c>
      <c r="J300" s="142">
        <v>51910.835188304052</v>
      </c>
      <c r="K300" s="142">
        <v>159187.20849995175</v>
      </c>
      <c r="L300" s="142">
        <v>18.869139116386201</v>
      </c>
      <c r="M300" s="145">
        <v>1.2263009698525451E-2</v>
      </c>
      <c r="N300" s="145">
        <v>1.3212611267022913</v>
      </c>
      <c r="O300" s="145">
        <v>1.2342840961849788E-3</v>
      </c>
      <c r="P300" s="145">
        <v>1.9753079651252392E-3</v>
      </c>
      <c r="Q3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7.6177747342143221E-2</v>
      </c>
      <c r="R3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0.66103083121915596</v>
      </c>
      <c r="S3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7.5854981350431672E-2</v>
      </c>
      <c r="T3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7.6196594406496843E-2</v>
      </c>
      <c r="U3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-6.7387507129978985E-7</v>
      </c>
      <c r="V3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-2.7564167944271745E-4</v>
      </c>
      <c r="W3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-1.1971390918574798E-6</v>
      </c>
      <c r="X3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-6.0282370029085541E-7</v>
      </c>
      <c r="Y300" s="162" t="str">
        <f>ReportSummary___Track[[#This Row],[Track ID]]&amp;"-"&amp;ReportSummary___Track[[#This Row],[Epoch]]</f>
        <v>250-RL-OP-0047-45855.2916666667</v>
      </c>
      <c r="Z300" s="126">
        <f>SUBTOTAL(103,ReportSummary___Track[[#This Row],[Track ID]])</f>
        <v>1</v>
      </c>
      <c r="AA300" s="114">
        <f>_xlfn.NUMBERVALUE(RIGHT(ReportSummary___Track[[#This Row],[Track ID]],4))</f>
        <v>47</v>
      </c>
      <c r="AB300" s="78"/>
      <c r="AG300" s="10"/>
      <c r="AH300" s="10"/>
      <c r="AJ300" s="1"/>
    </row>
    <row r="301" spans="5:36" ht="12.75" x14ac:dyDescent="0.2">
      <c r="E301" s="74">
        <v>45855.291666666664</v>
      </c>
      <c r="F301" s="107" t="s">
        <v>287</v>
      </c>
      <c r="G301" s="142">
        <v>51912.122776322671</v>
      </c>
      <c r="H301" s="142">
        <v>159188.25500606201</v>
      </c>
      <c r="I301" s="142">
        <v>18.886156044892726</v>
      </c>
      <c r="J301" s="142">
        <v>51911.806733444027</v>
      </c>
      <c r="K301" s="142">
        <v>159186.97166968035</v>
      </c>
      <c r="L301" s="142">
        <v>18.872524899190594</v>
      </c>
      <c r="M301" s="145">
        <v>1.363114570213142E-2</v>
      </c>
      <c r="N301" s="145">
        <v>1.321749287031547</v>
      </c>
      <c r="O301" s="145">
        <v>2.2402048027139188E-3</v>
      </c>
      <c r="P301" s="145">
        <v>3.098123410044451E-3</v>
      </c>
      <c r="Q3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0.42517871887071124</v>
      </c>
      <c r="R3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0.32513465139927256</v>
      </c>
      <c r="S3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0.42392406827218565</v>
      </c>
      <c r="T3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0.42533315635395752</v>
      </c>
      <c r="U3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-3.829788546738655E-6</v>
      </c>
      <c r="V3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-4.501506074254813E-4</v>
      </c>
      <c r="W3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-5.9156324567766205E-6</v>
      </c>
      <c r="X3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-3.2475762523631602E-6</v>
      </c>
      <c r="Y301" s="162" t="str">
        <f>ReportSummary___Track[[#This Row],[Track ID]]&amp;"-"&amp;ReportSummary___Track[[#This Row],[Epoch]]</f>
        <v>250-RL-OP-0048-45855.2916666667</v>
      </c>
      <c r="Z301" s="126">
        <f>SUBTOTAL(103,ReportSummary___Track[[#This Row],[Track ID]])</f>
        <v>1</v>
      </c>
      <c r="AA301" s="114">
        <f>_xlfn.NUMBERVALUE(RIGHT(ReportSummary___Track[[#This Row],[Track ID]],4))</f>
        <v>48</v>
      </c>
      <c r="AB301" s="78"/>
      <c r="AG301" s="10"/>
      <c r="AH301" s="10"/>
      <c r="AJ301" s="1"/>
    </row>
    <row r="302" spans="5:36" ht="12.75" x14ac:dyDescent="0.2">
      <c r="E302" s="74">
        <v>45855.291666666664</v>
      </c>
      <c r="F302" s="107" t="s">
        <v>288</v>
      </c>
      <c r="G302" s="142">
        <v>51913.094428389624</v>
      </c>
      <c r="H302" s="142">
        <v>159188.01863842245</v>
      </c>
      <c r="I302" s="142">
        <v>18.890909963700725</v>
      </c>
      <c r="J302" s="142">
        <v>51912.77827858401</v>
      </c>
      <c r="K302" s="142">
        <v>159186.73483940892</v>
      </c>
      <c r="L302" s="142">
        <v>18.875910681994984</v>
      </c>
      <c r="M302" s="145">
        <v>1.4999281705740941E-2</v>
      </c>
      <c r="N302" s="145">
        <v>1.322238853302675</v>
      </c>
      <c r="O302" s="145">
        <v>3.2461255092464114E-3</v>
      </c>
      <c r="P302" s="145">
        <v>4.2209388549636628E-3</v>
      </c>
      <c r="Q3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0.77417969040638468</v>
      </c>
      <c r="R3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-1.012904885988597E-2</v>
      </c>
      <c r="S3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0.77199315519749234</v>
      </c>
      <c r="T3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0.77446971830497091</v>
      </c>
      <c r="U3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-6.9857020221775201E-6</v>
      </c>
      <c r="V3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-6.2466184086518162E-4</v>
      </c>
      <c r="W3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-1.0634125821695761E-5</v>
      </c>
      <c r="X3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-5.8923288044354649E-6</v>
      </c>
      <c r="Y302" s="162" t="str">
        <f>ReportSummary___Track[[#This Row],[Track ID]]&amp;"-"&amp;ReportSummary___Track[[#This Row],[Epoch]]</f>
        <v>250-RL-OP-0049-45855.2916666667</v>
      </c>
      <c r="Z302" s="126">
        <f>SUBTOTAL(103,ReportSummary___Track[[#This Row],[Track ID]])</f>
        <v>1</v>
      </c>
      <c r="AA302" s="114">
        <f>_xlfn.NUMBERVALUE(RIGHT(ReportSummary___Track[[#This Row],[Track ID]],4))</f>
        <v>49</v>
      </c>
      <c r="AB302" s="78"/>
      <c r="AG302" s="10"/>
      <c r="AH302" s="10"/>
      <c r="AJ302" s="1"/>
    </row>
    <row r="303" spans="5:36" ht="12.75" x14ac:dyDescent="0.2">
      <c r="E303" s="74">
        <v>45852.541666666664</v>
      </c>
      <c r="F303" s="107" t="s">
        <v>235</v>
      </c>
      <c r="G303" s="142">
        <v>51886.101941114684</v>
      </c>
      <c r="H303" s="142">
        <v>159195.44486799606</v>
      </c>
      <c r="I303" s="142">
        <v>18.869774544347795</v>
      </c>
      <c r="J303" s="142">
        <v>51885.742050789791</v>
      </c>
      <c r="K303" s="142">
        <v>159194.18595535541</v>
      </c>
      <c r="L303" s="142">
        <v>18.865787559209785</v>
      </c>
      <c r="M303" s="145">
        <v>3.9869851380096577E-3</v>
      </c>
      <c r="N303" s="145">
        <v>1.3093502124327392</v>
      </c>
      <c r="O303" s="145"/>
      <c r="P303" s="145"/>
      <c r="Q3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-0.28177960798458912</v>
      </c>
      <c r="R3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-0.76796395467049194</v>
      </c>
      <c r="S30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0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-8.5953551831607911E-8</v>
      </c>
      <c r="V3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-7.6436682746372497E-5</v>
      </c>
      <c r="W30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0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03" s="162" t="str">
        <f>ReportSummary___Track[[#This Row],[Track ID]]&amp;"-"&amp;ReportSummary___Track[[#This Row],[Epoch]]</f>
        <v>250-RL-OP-0021-45852.5416666667</v>
      </c>
      <c r="Z303" s="126">
        <f>SUBTOTAL(103,ReportSummary___Track[[#This Row],[Track ID]])</f>
        <v>1</v>
      </c>
      <c r="AA303" s="114">
        <f>_xlfn.NUMBERVALUE(RIGHT(ReportSummary___Track[[#This Row],[Track ID]],4))</f>
        <v>21</v>
      </c>
      <c r="AB303" s="78"/>
      <c r="AG303" s="10"/>
      <c r="AH303" s="10"/>
      <c r="AJ303" s="1"/>
    </row>
    <row r="304" spans="5:36" ht="12.75" x14ac:dyDescent="0.2">
      <c r="E304" s="74">
        <v>45852.541666666664</v>
      </c>
      <c r="F304" s="107" t="s">
        <v>236</v>
      </c>
      <c r="G304" s="142">
        <v>51887.063652978381</v>
      </c>
      <c r="H304" s="142">
        <v>159195.17080556802</v>
      </c>
      <c r="I304" s="142">
        <v>18.869497503733136</v>
      </c>
      <c r="J304" s="142">
        <v>51886.703169527536</v>
      </c>
      <c r="K304" s="142">
        <v>159193.90981996525</v>
      </c>
      <c r="L304" s="142">
        <v>18.865652414029238</v>
      </c>
      <c r="M304" s="145">
        <v>3.8450897038977416E-3</v>
      </c>
      <c r="N304" s="145">
        <v>1.3115059258124504</v>
      </c>
      <c r="O304" s="145"/>
      <c r="P304" s="145"/>
      <c r="Q3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-0.62803155880075678</v>
      </c>
      <c r="R3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-0.52288728263572004</v>
      </c>
      <c r="S30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0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-1.9185565491852685E-7</v>
      </c>
      <c r="V3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-1.63100749245082E-4</v>
      </c>
      <c r="W30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0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04" s="162" t="str">
        <f>ReportSummary___Track[[#This Row],[Track ID]]&amp;"-"&amp;ReportSummary___Track[[#This Row],[Epoch]]</f>
        <v>250-RL-OP-0022-45852.5416666667</v>
      </c>
      <c r="Z304" s="126">
        <f>SUBTOTAL(103,ReportSummary___Track[[#This Row],[Track ID]])</f>
        <v>1</v>
      </c>
      <c r="AA304" s="114">
        <f>_xlfn.NUMBERVALUE(RIGHT(ReportSummary___Track[[#This Row],[Track ID]],4))</f>
        <v>22</v>
      </c>
      <c r="AB304" s="78"/>
      <c r="AG304" s="10"/>
      <c r="AH304" s="10"/>
      <c r="AJ304" s="1"/>
    </row>
    <row r="305" spans="5:36" ht="12.75" x14ac:dyDescent="0.2">
      <c r="E305" s="74">
        <v>45852.541666666664</v>
      </c>
      <c r="F305" s="107" t="s">
        <v>237</v>
      </c>
      <c r="G305" s="142">
        <v>51888.025364842084</v>
      </c>
      <c r="H305" s="142">
        <v>159194.89674313998</v>
      </c>
      <c r="I305" s="142">
        <v>18.869220463118481</v>
      </c>
      <c r="J305" s="142">
        <v>51887.664288265281</v>
      </c>
      <c r="K305" s="142">
        <v>159193.63368457509</v>
      </c>
      <c r="L305" s="142">
        <v>18.865517268848695</v>
      </c>
      <c r="M305" s="145">
        <v>3.7031942697858256E-3</v>
      </c>
      <c r="N305" s="145">
        <v>1.3136616559446488</v>
      </c>
      <c r="O305" s="145"/>
      <c r="P305" s="145"/>
      <c r="Q3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-0.97428350961692445</v>
      </c>
      <c r="R3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-0.27782366573880779</v>
      </c>
      <c r="S30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0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-2.9775776155815947E-7</v>
      </c>
      <c r="V3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-2.4976487185934815E-4</v>
      </c>
      <c r="W30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0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05" s="162" t="str">
        <f>ReportSummary___Track[[#This Row],[Track ID]]&amp;"-"&amp;ReportSummary___Track[[#This Row],[Epoch]]</f>
        <v>250-RL-OP-0023-45852.5416666667</v>
      </c>
      <c r="Z305" s="126">
        <f>SUBTOTAL(103,ReportSummary___Track[[#This Row],[Track ID]])</f>
        <v>1</v>
      </c>
      <c r="AA305" s="114">
        <f>_xlfn.NUMBERVALUE(RIGHT(ReportSummary___Track[[#This Row],[Track ID]],4))</f>
        <v>23</v>
      </c>
      <c r="AB305" s="78"/>
      <c r="AG305" s="10"/>
      <c r="AH305" s="10"/>
      <c r="AJ305" s="1"/>
    </row>
    <row r="306" spans="5:36" ht="12.75" x14ac:dyDescent="0.2">
      <c r="E306" s="74">
        <v>45852.541666666664</v>
      </c>
      <c r="F306" s="107" t="s">
        <v>238</v>
      </c>
      <c r="G306" s="142">
        <v>51888.98531207793</v>
      </c>
      <c r="H306" s="142">
        <v>159194.62209807767</v>
      </c>
      <c r="I306" s="142">
        <v>18.868826337445785</v>
      </c>
      <c r="J306" s="142">
        <v>51888.624024403252</v>
      </c>
      <c r="K306" s="142">
        <v>159193.35679661779</v>
      </c>
      <c r="L306" s="142">
        <v>18.864752372254646</v>
      </c>
      <c r="M306" s="145">
        <v>4.0739651911394503E-3</v>
      </c>
      <c r="N306" s="145">
        <v>1.3158773367724845</v>
      </c>
      <c r="O306" s="145">
        <v>8.6980053129792623E-5</v>
      </c>
      <c r="P306" s="145"/>
      <c r="Q3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-0.68845636793923859</v>
      </c>
      <c r="R3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0.10790744066868641</v>
      </c>
      <c r="S3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-0.40667675995464947</v>
      </c>
      <c r="T30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1.2456861398391084E-5</v>
      </c>
      <c r="V3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9.8176004134087336E-5</v>
      </c>
      <c r="W3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1.2542814950222692E-5</v>
      </c>
      <c r="X30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06" s="162" t="str">
        <f>ReportSummary___Track[[#This Row],[Track ID]]&amp;"-"&amp;ReportSummary___Track[[#This Row],[Epoch]]</f>
        <v>250-RL-OP-0024-45852.5416666667</v>
      </c>
      <c r="Z306" s="126">
        <f>SUBTOTAL(103,ReportSummary___Track[[#This Row],[Track ID]])</f>
        <v>1</v>
      </c>
      <c r="AA306" s="114">
        <f>_xlfn.NUMBERVALUE(RIGHT(ReportSummary___Track[[#This Row],[Track ID]],4))</f>
        <v>24</v>
      </c>
      <c r="AB306" s="78"/>
      <c r="AG306" s="10"/>
      <c r="AH306" s="10"/>
      <c r="AJ306" s="1"/>
    </row>
    <row r="307" spans="5:36" ht="12.75" x14ac:dyDescent="0.2">
      <c r="E307" s="74">
        <v>45852.541666666664</v>
      </c>
      <c r="F307" s="107" t="s">
        <v>239</v>
      </c>
      <c r="G307" s="142">
        <v>51889.946713849436</v>
      </c>
      <c r="H307" s="142">
        <v>159194.3469499895</v>
      </c>
      <c r="I307" s="142">
        <v>18.868422203166947</v>
      </c>
      <c r="J307" s="142">
        <v>51889.584791712696</v>
      </c>
      <c r="K307" s="142">
        <v>159193.07944225875</v>
      </c>
      <c r="L307" s="142">
        <v>18.863894115171242</v>
      </c>
      <c r="M307" s="145">
        <v>4.5280879957054765E-3</v>
      </c>
      <c r="N307" s="145">
        <v>1.3181744892675773</v>
      </c>
      <c r="O307" s="145">
        <v>6.8299829180773486E-4</v>
      </c>
      <c r="P307" s="145"/>
      <c r="Q3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-0.35150673343764538</v>
      </c>
      <c r="R3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0.52549895061382301</v>
      </c>
      <c r="S3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0.2765248253631114</v>
      </c>
      <c r="T30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6.0584887222603356E-6</v>
      </c>
      <c r="V3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5.207127849233828E-4</v>
      </c>
      <c r="W3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6.2503443771788625E-6</v>
      </c>
      <c r="X30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07" s="162" t="str">
        <f>ReportSummary___Track[[#This Row],[Track ID]]&amp;"-"&amp;ReportSummary___Track[[#This Row],[Epoch]]</f>
        <v>250-RL-OP-0025-45852.5416666667</v>
      </c>
      <c r="Z307" s="126">
        <f>SUBTOTAL(103,ReportSummary___Track[[#This Row],[Track ID]])</f>
        <v>1</v>
      </c>
      <c r="AA307" s="114">
        <f>_xlfn.NUMBERVALUE(RIGHT(ReportSummary___Track[[#This Row],[Track ID]],4))</f>
        <v>25</v>
      </c>
      <c r="AB307" s="78"/>
      <c r="AG307" s="10"/>
      <c r="AH307" s="10"/>
      <c r="AJ307" s="1"/>
    </row>
    <row r="308" spans="5:36" ht="12.75" x14ac:dyDescent="0.2">
      <c r="E308" s="74">
        <v>45852.541666666664</v>
      </c>
      <c r="F308" s="107" t="s">
        <v>240</v>
      </c>
      <c r="G308" s="142">
        <v>51890.908115620936</v>
      </c>
      <c r="H308" s="142">
        <v>159194.07180190133</v>
      </c>
      <c r="I308" s="142">
        <v>18.868018068888109</v>
      </c>
      <c r="J308" s="142">
        <v>51890.545559022146</v>
      </c>
      <c r="K308" s="142">
        <v>159192.80208789968</v>
      </c>
      <c r="L308" s="142">
        <v>18.863035858087837</v>
      </c>
      <c r="M308" s="145">
        <v>4.9822108002715026E-3</v>
      </c>
      <c r="N308" s="145">
        <v>1.3204717928623799</v>
      </c>
      <c r="O308" s="145">
        <v>1.2790165304856771E-3</v>
      </c>
      <c r="P308" s="145"/>
      <c r="Q3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-1.4557098936052171E-2</v>
      </c>
      <c r="R3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0.94323231317172684</v>
      </c>
      <c r="S3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0.95972641068087228</v>
      </c>
      <c r="T30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-3.3988395742312605E-7</v>
      </c>
      <c r="V3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9.4324417497859692E-4</v>
      </c>
      <c r="W3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-4.2126195864966576E-8</v>
      </c>
      <c r="X30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08" s="162" t="str">
        <f>ReportSummary___Track[[#This Row],[Track ID]]&amp;"-"&amp;ReportSummary___Track[[#This Row],[Epoch]]</f>
        <v>250-RL-OP-0026-45852.5416666667</v>
      </c>
      <c r="Z308" s="126">
        <f>SUBTOTAL(103,ReportSummary___Track[[#This Row],[Track ID]])</f>
        <v>1</v>
      </c>
      <c r="AA308" s="114">
        <f>_xlfn.NUMBERVALUE(RIGHT(ReportSummary___Track[[#This Row],[Track ID]],4))</f>
        <v>26</v>
      </c>
      <c r="AB308" s="78"/>
      <c r="AG308" s="10"/>
      <c r="AH308" s="10"/>
      <c r="AJ308" s="1"/>
    </row>
    <row r="309" spans="5:36" ht="12.75" x14ac:dyDescent="0.2">
      <c r="E309" s="74">
        <v>45852.541666666664</v>
      </c>
      <c r="F309" s="107" t="s">
        <v>241</v>
      </c>
      <c r="G309" s="142">
        <v>51891.869997674046</v>
      </c>
      <c r="H309" s="142">
        <v>159193.79503821288</v>
      </c>
      <c r="I309" s="142">
        <v>18.865661670375356</v>
      </c>
      <c r="J309" s="142">
        <v>51891.504352850017</v>
      </c>
      <c r="K309" s="142">
        <v>159192.52590828383</v>
      </c>
      <c r="L309" s="142">
        <v>18.860959197096111</v>
      </c>
      <c r="M309" s="145">
        <v>4.7024732792451118E-3</v>
      </c>
      <c r="N309" s="145">
        <v>1.3207607759897506</v>
      </c>
      <c r="O309" s="145">
        <v>6.285080881056615E-4</v>
      </c>
      <c r="P309" s="145">
        <v>7.1548814123545412E-4</v>
      </c>
      <c r="Q3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-4.7304228800726378E-4</v>
      </c>
      <c r="R3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0.55984827274890847</v>
      </c>
      <c r="S3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0.68798332565123133</v>
      </c>
      <c r="T3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0.28130656569658186</v>
      </c>
      <c r="U3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3.2415846907696277E-4</v>
      </c>
      <c r="V3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6.4547106327594861E-4</v>
      </c>
      <c r="W3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3.1170160767857169E-4</v>
      </c>
      <c r="X3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3.2424442262879438E-4</v>
      </c>
      <c r="Y309" s="162" t="str">
        <f>ReportSummary___Track[[#This Row],[Track ID]]&amp;"-"&amp;ReportSummary___Track[[#This Row],[Epoch]]</f>
        <v>250-RL-OP-0027-45852.5416666667</v>
      </c>
      <c r="Z309" s="126">
        <f>SUBTOTAL(103,ReportSummary___Track[[#This Row],[Track ID]])</f>
        <v>1</v>
      </c>
      <c r="AA309" s="114">
        <f>_xlfn.NUMBERVALUE(RIGHT(ReportSummary___Track[[#This Row],[Track ID]],4))</f>
        <v>27</v>
      </c>
      <c r="AB309" s="78"/>
      <c r="AG309" s="10"/>
      <c r="AH309" s="10"/>
      <c r="AJ309" s="1"/>
    </row>
    <row r="310" spans="5:36" ht="12.75" x14ac:dyDescent="0.2">
      <c r="E310" s="74">
        <v>45852.541666666664</v>
      </c>
      <c r="F310" s="107" t="s">
        <v>242</v>
      </c>
      <c r="G310" s="142">
        <v>51892.83098666594</v>
      </c>
      <c r="H310" s="142">
        <v>159193.51846240537</v>
      </c>
      <c r="I310" s="142">
        <v>18.863216230483452</v>
      </c>
      <c r="J310" s="142">
        <v>51892.465286793558</v>
      </c>
      <c r="K310" s="142">
        <v>159192.24913870625</v>
      </c>
      <c r="L310" s="142">
        <v>18.858824466025101</v>
      </c>
      <c r="M310" s="145">
        <v>4.3917644583508775E-3</v>
      </c>
      <c r="N310" s="145">
        <v>1.3209611415170381</v>
      </c>
      <c r="O310" s="145">
        <v>-1.3632353735459901E-4</v>
      </c>
      <c r="P310" s="145">
        <v>5.4667475445313585E-4</v>
      </c>
      <c r="Q3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-9.6785640124608108E-4</v>
      </c>
      <c r="R3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0.14036036882703051</v>
      </c>
      <c r="S3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0.3505388770363993</v>
      </c>
      <c r="T3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0.6270637023995107</v>
      </c>
      <c r="U3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6.632363168854738E-4</v>
      </c>
      <c r="V3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3.1537379116541864E-4</v>
      </c>
      <c r="W3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6.5717782816321346E-4</v>
      </c>
      <c r="X3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6.6342817254039232E-4</v>
      </c>
      <c r="Y310" s="162" t="str">
        <f>ReportSummary___Track[[#This Row],[Track ID]]&amp;"-"&amp;ReportSummary___Track[[#This Row],[Epoch]]</f>
        <v>250-RL-OP-0028-45852.5416666667</v>
      </c>
      <c r="Z310" s="126">
        <f>SUBTOTAL(103,ReportSummary___Track[[#This Row],[Track ID]])</f>
        <v>1</v>
      </c>
      <c r="AA310" s="114">
        <f>_xlfn.NUMBERVALUE(RIGHT(ReportSummary___Track[[#This Row],[Track ID]],4))</f>
        <v>28</v>
      </c>
      <c r="AB310" s="78"/>
      <c r="AG310" s="10"/>
      <c r="AH310" s="10"/>
      <c r="AJ310" s="1"/>
    </row>
    <row r="311" spans="5:36" ht="12.75" x14ac:dyDescent="0.2">
      <c r="E311" s="74">
        <v>45852.541666666664</v>
      </c>
      <c r="F311" s="107" t="s">
        <v>243</v>
      </c>
      <c r="G311" s="142">
        <v>51893.79183759453</v>
      </c>
      <c r="H311" s="142">
        <v>159193.24190123487</v>
      </c>
      <c r="I311" s="142">
        <v>18.860908809295871</v>
      </c>
      <c r="J311" s="142">
        <v>51893.426692579691</v>
      </c>
      <c r="K311" s="142">
        <v>159191.97223179543</v>
      </c>
      <c r="L311" s="142">
        <v>18.85670271923307</v>
      </c>
      <c r="M311" s="145">
        <v>4.2060900628015929E-3</v>
      </c>
      <c r="N311" s="145">
        <v>1.321139303216379</v>
      </c>
      <c r="O311" s="145">
        <v>-7.7612073746990973E-4</v>
      </c>
      <c r="P311" s="145">
        <v>5.0289579301576737E-4</v>
      </c>
      <c r="Q3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-7.7189810099298484E-8</v>
      </c>
      <c r="R3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-0.25930648138361434</v>
      </c>
      <c r="S3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1.4557021746242071E-2</v>
      </c>
      <c r="T3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0.97428343242711435</v>
      </c>
      <c r="U3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9.8239234447206059E-4</v>
      </c>
      <c r="V3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1.480580625257133E-5</v>
      </c>
      <c r="W3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9.8273222842948371E-4</v>
      </c>
      <c r="X3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9.8269010223361875E-4</v>
      </c>
      <c r="Y311" s="162" t="str">
        <f>ReportSummary___Track[[#This Row],[Track ID]]&amp;"-"&amp;ReportSummary___Track[[#This Row],[Epoch]]</f>
        <v>250-RL-OP-0029-45852.5416666667</v>
      </c>
      <c r="Z311" s="126">
        <f>SUBTOTAL(103,ReportSummary___Track[[#This Row],[Track ID]])</f>
        <v>1</v>
      </c>
      <c r="AA311" s="114">
        <f>_xlfn.NUMBERVALUE(RIGHT(ReportSummary___Track[[#This Row],[Track ID]],4))</f>
        <v>29</v>
      </c>
      <c r="AB311" s="78"/>
      <c r="AG311" s="10"/>
      <c r="AH311" s="10"/>
      <c r="AJ311" s="1"/>
    </row>
    <row r="312" spans="5:36" ht="12.75" x14ac:dyDescent="0.2">
      <c r="E312" s="74">
        <v>45852.541666666664</v>
      </c>
      <c r="F312" s="107" t="s">
        <v>269</v>
      </c>
      <c r="G312" s="142">
        <v>51894.752702765814</v>
      </c>
      <c r="H312" s="142">
        <v>159192.96488481897</v>
      </c>
      <c r="I312" s="142">
        <v>18.861075968610315</v>
      </c>
      <c r="J312" s="142">
        <v>51894.387556672729</v>
      </c>
      <c r="K312" s="142">
        <v>159191.69521206419</v>
      </c>
      <c r="L312" s="142">
        <v>18.857215782076423</v>
      </c>
      <c r="M312" s="145">
        <v>3.8601865338918628E-3</v>
      </c>
      <c r="N312" s="145">
        <v>1.3211417314390745</v>
      </c>
      <c r="O312" s="145">
        <v>-8.4228674535324899E-4</v>
      </c>
      <c r="P312" s="145">
        <v>-2.1377865724758749E-4</v>
      </c>
      <c r="Q3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-1.531570497093071E-4</v>
      </c>
      <c r="R3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0.15661762608321084</v>
      </c>
      <c r="S3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3.1988523829795668E-4</v>
      </c>
      <c r="T3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0.68830321088952928</v>
      </c>
      <c r="U3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6.4828123388238623E-4</v>
      </c>
      <c r="V3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2.4230650342471627E-4</v>
      </c>
      <c r="W3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3.2412276480542346E-4</v>
      </c>
      <c r="X3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6.3582437248399515E-4</v>
      </c>
      <c r="Y312" s="162" t="str">
        <f>ReportSummary___Track[[#This Row],[Track ID]]&amp;"-"&amp;ReportSummary___Track[[#This Row],[Epoch]]</f>
        <v>250-RL-OP-0030-45852.5416666667</v>
      </c>
      <c r="Z312" s="126">
        <f>SUBTOTAL(103,ReportSummary___Track[[#This Row],[Track ID]])</f>
        <v>1</v>
      </c>
      <c r="AA312" s="114">
        <f>_xlfn.NUMBERVALUE(RIGHT(ReportSummary___Track[[#This Row],[Track ID]],4))</f>
        <v>30</v>
      </c>
      <c r="AB312" s="78"/>
      <c r="AG312" s="10"/>
      <c r="AH312" s="10"/>
      <c r="AJ312" s="1"/>
    </row>
    <row r="313" spans="5:36" ht="12.75" x14ac:dyDescent="0.2">
      <c r="E313" s="74">
        <v>45852.541666666664</v>
      </c>
      <c r="F313" s="107" t="s">
        <v>270</v>
      </c>
      <c r="G313" s="142">
        <v>51895.713567937099</v>
      </c>
      <c r="H313" s="142">
        <v>159192.6878684031</v>
      </c>
      <c r="I313" s="142">
        <v>18.861243127924759</v>
      </c>
      <c r="J313" s="142">
        <v>51895.34842076576</v>
      </c>
      <c r="K313" s="142">
        <v>159191.41819233299</v>
      </c>
      <c r="L313" s="142">
        <v>18.857728844919777</v>
      </c>
      <c r="M313" s="145">
        <v>3.5142830049821328E-3</v>
      </c>
      <c r="N313" s="145">
        <v>1.3211442502333866</v>
      </c>
      <c r="O313" s="145">
        <v>-8.7748145336874472E-4</v>
      </c>
      <c r="P313" s="145">
        <v>-1.0138049907233437E-3</v>
      </c>
      <c r="Q3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-3.0623690960851491E-4</v>
      </c>
      <c r="R3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0.57254244013393851</v>
      </c>
      <c r="S3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6.6161949163756617E-4</v>
      </c>
      <c r="T3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0.35120049652803687</v>
      </c>
      <c r="U3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3.1417012329271188E-4</v>
      </c>
      <c r="V3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4.6989770241756545E-4</v>
      </c>
      <c r="W3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-3.4906619359276192E-4</v>
      </c>
      <c r="X3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3.0811163457045154E-4</v>
      </c>
      <c r="Y313" s="162" t="str">
        <f>ReportSummary___Track[[#This Row],[Track ID]]&amp;"-"&amp;ReportSummary___Track[[#This Row],[Epoch]]</f>
        <v>250-RL-OP-0031-45852.5416666667</v>
      </c>
      <c r="Z313" s="126">
        <f>SUBTOTAL(103,ReportSummary___Track[[#This Row],[Track ID]])</f>
        <v>1</v>
      </c>
      <c r="AA313" s="114">
        <f>_xlfn.NUMBERVALUE(RIGHT(ReportSummary___Track[[#This Row],[Track ID]],4))</f>
        <v>31</v>
      </c>
      <c r="AB313" s="78"/>
      <c r="AG313" s="10"/>
      <c r="AH313" s="10"/>
      <c r="AJ313" s="1"/>
    </row>
    <row r="314" spans="5:36" ht="12.75" x14ac:dyDescent="0.2">
      <c r="E314" s="74">
        <v>45852.541666666664</v>
      </c>
      <c r="F314" s="107" t="s">
        <v>271</v>
      </c>
      <c r="G314" s="142">
        <v>51896.674405970509</v>
      </c>
      <c r="H314" s="142">
        <v>159192.4109081027</v>
      </c>
      <c r="I314" s="142">
        <v>18.861498367389412</v>
      </c>
      <c r="J314" s="142">
        <v>51896.308530813891</v>
      </c>
      <c r="K314" s="142">
        <v>159191.14174193272</v>
      </c>
      <c r="L314" s="142">
        <v>18.85824732893396</v>
      </c>
      <c r="M314" s="145">
        <v>3.251038455452715E-3</v>
      </c>
      <c r="N314" s="145">
        <v>1.3208550134291461</v>
      </c>
      <c r="O314" s="145">
        <v>-9.5505160734887795E-4</v>
      </c>
      <c r="P314" s="145">
        <v>-1.7311723448187877E-3</v>
      </c>
      <c r="Q3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2.0689384427896584E-5</v>
      </c>
      <c r="R3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0.94699676834908431</v>
      </c>
      <c r="S3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2.0766574237995883E-5</v>
      </c>
      <c r="T3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1.4577788320480067E-2</v>
      </c>
      <c r="U3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-3.7336615577032717E-8</v>
      </c>
      <c r="V3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6.6241806601197162E-4</v>
      </c>
      <c r="W3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-9.8242968108763762E-4</v>
      </c>
      <c r="X3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3.0254734184609333E-7</v>
      </c>
      <c r="Y314" s="162" t="str">
        <f>ReportSummary___Track[[#This Row],[Track ID]]&amp;"-"&amp;ReportSummary___Track[[#This Row],[Epoch]]</f>
        <v>250-RL-OP-0032-45852.5416666667</v>
      </c>
      <c r="Z314" s="126">
        <f>SUBTOTAL(103,ReportSummary___Track[[#This Row],[Track ID]])</f>
        <v>1</v>
      </c>
      <c r="AA314" s="114">
        <f>_xlfn.NUMBERVALUE(RIGHT(ReportSummary___Track[[#This Row],[Track ID]],4))</f>
        <v>32</v>
      </c>
      <c r="AB314" s="78"/>
      <c r="AG314" s="10"/>
      <c r="AH314" s="10"/>
      <c r="AJ314" s="1"/>
    </row>
    <row r="315" spans="5:36" ht="12.75" x14ac:dyDescent="0.2">
      <c r="E315" s="74">
        <v>45852.541666666664</v>
      </c>
      <c r="F315" s="107" t="s">
        <v>272</v>
      </c>
      <c r="G315" s="142">
        <v>51897.635478661687</v>
      </c>
      <c r="H315" s="142">
        <v>159192.13461708953</v>
      </c>
      <c r="I315" s="142">
        <v>18.863097837135953</v>
      </c>
      <c r="J315" s="142">
        <v>51897.270545837273</v>
      </c>
      <c r="K315" s="142">
        <v>159190.86874605055</v>
      </c>
      <c r="L315" s="142">
        <v>18.858833083067108</v>
      </c>
      <c r="M315" s="145">
        <v>4.2647540688456331E-3</v>
      </c>
      <c r="N315" s="145">
        <v>1.3174306971493881</v>
      </c>
      <c r="O315" s="145">
        <v>4.0456753495377029E-4</v>
      </c>
      <c r="P315" s="145">
        <v>-4.377192103994787E-4</v>
      </c>
      <c r="Q3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3.1346739248760969E-4</v>
      </c>
      <c r="R3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0.85550377975818215</v>
      </c>
      <c r="S3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4.6662444219691679E-4</v>
      </c>
      <c r="T3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7.8650968049487346E-4</v>
      </c>
      <c r="U3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-6.2713654358503845E-7</v>
      </c>
      <c r="V3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4.2707112606144015E-4</v>
      </c>
      <c r="W3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-6.4890837042597127E-4</v>
      </c>
      <c r="X3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-3.2478560562054781E-4</v>
      </c>
      <c r="Y315" s="162" t="str">
        <f>ReportSummary___Track[[#This Row],[Track ID]]&amp;"-"&amp;ReportSummary___Track[[#This Row],[Epoch]]</f>
        <v>250-RL-OP-0033-45852.5416666667</v>
      </c>
      <c r="Z315" s="126">
        <f>SUBTOTAL(103,ReportSummary___Track[[#This Row],[Track ID]])</f>
        <v>1</v>
      </c>
      <c r="AA315" s="114">
        <f>_xlfn.NUMBERVALUE(RIGHT(ReportSummary___Track[[#This Row],[Track ID]],4))</f>
        <v>33</v>
      </c>
      <c r="AB315" s="78"/>
      <c r="AG315" s="10"/>
      <c r="AH315" s="10"/>
      <c r="AJ315" s="1"/>
    </row>
    <row r="316" spans="5:36" ht="12.75" x14ac:dyDescent="0.2">
      <c r="E316" s="74">
        <v>45852.541666666664</v>
      </c>
      <c r="F316" s="107" t="s">
        <v>273</v>
      </c>
      <c r="G316" s="142">
        <v>51898.596551352872</v>
      </c>
      <c r="H316" s="142">
        <v>159191.85832607636</v>
      </c>
      <c r="I316" s="142">
        <v>18.864697306882491</v>
      </c>
      <c r="J316" s="142">
        <v>51898.232560860655</v>
      </c>
      <c r="K316" s="142">
        <v>159190.59575016837</v>
      </c>
      <c r="L316" s="142">
        <v>18.859418837200256</v>
      </c>
      <c r="M316" s="145">
        <v>5.2784696822349986E-3</v>
      </c>
      <c r="N316" s="145">
        <v>1.314007178094049</v>
      </c>
      <c r="O316" s="145">
        <v>1.7641866772528658E-3</v>
      </c>
      <c r="P316" s="145">
        <v>8.867052238841211E-4</v>
      </c>
      <c r="Q3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6.0624539699460911E-4</v>
      </c>
      <c r="R3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0.76401119070368395</v>
      </c>
      <c r="S3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9.1248230660312402E-4</v>
      </c>
      <c r="T3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1.5741017982406902E-3</v>
      </c>
      <c r="U3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-1.2169364786984715E-6</v>
      </c>
      <c r="V3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1.917241389590707E-4</v>
      </c>
      <c r="W3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-3.1538705977141035E-4</v>
      </c>
      <c r="X3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-6.6445325336417227E-4</v>
      </c>
      <c r="Y316" s="162" t="str">
        <f>ReportSummary___Track[[#This Row],[Track ID]]&amp;"-"&amp;ReportSummary___Track[[#This Row],[Epoch]]</f>
        <v>250-RL-OP-0034-45852.5416666667</v>
      </c>
      <c r="Z316" s="126">
        <f>SUBTOTAL(103,ReportSummary___Track[[#This Row],[Track ID]])</f>
        <v>1</v>
      </c>
      <c r="AA316" s="114">
        <f>_xlfn.NUMBERVALUE(RIGHT(ReportSummary___Track[[#This Row],[Track ID]],4))</f>
        <v>34</v>
      </c>
      <c r="AB316" s="78"/>
      <c r="AG316" s="10"/>
      <c r="AH316" s="10"/>
      <c r="AJ316" s="1"/>
    </row>
    <row r="317" spans="5:36" ht="12.75" x14ac:dyDescent="0.2">
      <c r="E317" s="74">
        <v>45852.541666666664</v>
      </c>
      <c r="F317" s="107" t="s">
        <v>274</v>
      </c>
      <c r="G317" s="142">
        <v>51899.557748431522</v>
      </c>
      <c r="H317" s="142">
        <v>159191.58337758735</v>
      </c>
      <c r="I317" s="142">
        <v>18.866</v>
      </c>
      <c r="J317" s="142">
        <v>51899.203472361332</v>
      </c>
      <c r="K317" s="142">
        <v>159190.32062001547</v>
      </c>
      <c r="L317" s="142">
        <v>18.859777427163273</v>
      </c>
      <c r="M317" s="145">
        <v>6.2225728367266697E-3</v>
      </c>
      <c r="N317" s="145">
        <v>1.3115284745903293</v>
      </c>
      <c r="O317" s="145">
        <v>2.9715343812739548E-3</v>
      </c>
      <c r="P317" s="145">
        <v>2.0164827739250768E-3</v>
      </c>
      <c r="Q3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3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0.69247839244512832</v>
      </c>
      <c r="S3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-9.835613212771932E-6</v>
      </c>
      <c r="T3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1.0930961025223951E-5</v>
      </c>
      <c r="U3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3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4.2396689679424782E-5</v>
      </c>
      <c r="W3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3.5517620133873606E-7</v>
      </c>
      <c r="X3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-9.8207450488629888E-4</v>
      </c>
      <c r="Y317" s="162" t="str">
        <f>ReportSummary___Track[[#This Row],[Track ID]]&amp;"-"&amp;ReportSummary___Track[[#This Row],[Epoch]]</f>
        <v>250-RL-OP-0035-45852.5416666667</v>
      </c>
      <c r="Z317" s="126">
        <f>SUBTOTAL(103,ReportSummary___Track[[#This Row],[Track ID]])</f>
        <v>1</v>
      </c>
      <c r="AA317" s="114">
        <f>_xlfn.NUMBERVALUE(RIGHT(ReportSummary___Track[[#This Row],[Track ID]],4))</f>
        <v>35</v>
      </c>
      <c r="AB317" s="78"/>
      <c r="AG317" s="10"/>
      <c r="AH317" s="10"/>
      <c r="AJ317" s="1"/>
    </row>
    <row r="318" spans="5:36" ht="12.75" x14ac:dyDescent="0.2">
      <c r="E318" s="74">
        <v>45852.541666666664</v>
      </c>
      <c r="F318" s="107" t="s">
        <v>275</v>
      </c>
      <c r="G318" s="142">
        <v>51900.520772886579</v>
      </c>
      <c r="H318" s="142">
        <v>159191.31396359557</v>
      </c>
      <c r="I318" s="142">
        <v>18.866</v>
      </c>
      <c r="J318" s="142">
        <v>51900.166031558641</v>
      </c>
      <c r="K318" s="142">
        <v>159190.04954924015</v>
      </c>
      <c r="L318" s="142">
        <v>18.859124401927648</v>
      </c>
      <c r="M318" s="145">
        <v>6.8755980723516075E-3</v>
      </c>
      <c r="N318" s="145">
        <v>1.3132525826320587</v>
      </c>
      <c r="O318" s="145">
        <v>2.6108440035059743E-3</v>
      </c>
      <c r="P318" s="145">
        <v>3.0154115384597446E-3</v>
      </c>
      <c r="Q3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3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0.69853921433393751</v>
      </c>
      <c r="S3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-2.4478851656795086E-4</v>
      </c>
      <c r="T3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2.2183592562896592E-4</v>
      </c>
      <c r="U3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3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2.6714838833541421E-4</v>
      </c>
      <c r="W3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6.8903469490066982E-6</v>
      </c>
      <c r="X3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-6.4201802347696457E-4</v>
      </c>
      <c r="Y318" s="162" t="str">
        <f>ReportSummary___Track[[#This Row],[Track ID]]&amp;"-"&amp;ReportSummary___Track[[#This Row],[Epoch]]</f>
        <v>250-RL-OP-0036-45852.5416666667</v>
      </c>
      <c r="Z318" s="126">
        <f>SUBTOTAL(103,ReportSummary___Track[[#This Row],[Track ID]])</f>
        <v>1</v>
      </c>
      <c r="AA318" s="114">
        <f>_xlfn.NUMBERVALUE(RIGHT(ReportSummary___Track[[#This Row],[Track ID]],4))</f>
        <v>36</v>
      </c>
      <c r="AB318" s="78"/>
      <c r="AG318" s="10"/>
      <c r="AH318" s="10"/>
      <c r="AJ318" s="1"/>
    </row>
    <row r="319" spans="5:36" ht="12.75" x14ac:dyDescent="0.2">
      <c r="E319" s="74">
        <v>45852.541666666664</v>
      </c>
      <c r="F319" s="107" t="s">
        <v>276</v>
      </c>
      <c r="G319" s="142">
        <v>51901.483797341636</v>
      </c>
      <c r="H319" s="142">
        <v>159191.0445496038</v>
      </c>
      <c r="I319" s="142">
        <v>18.866</v>
      </c>
      <c r="J319" s="142">
        <v>51901.128590755958</v>
      </c>
      <c r="K319" s="142">
        <v>159189.77847846484</v>
      </c>
      <c r="L319" s="142">
        <v>18.858471376692027</v>
      </c>
      <c r="M319" s="145">
        <v>7.5286233079729925E-3</v>
      </c>
      <c r="N319" s="145">
        <v>1.3149770064871871</v>
      </c>
      <c r="O319" s="145">
        <v>2.2501536257379939E-3</v>
      </c>
      <c r="P319" s="145">
        <v>4.0143403029908598E-3</v>
      </c>
      <c r="Q3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1.2650398062419299E-4</v>
      </c>
      <c r="R3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0.70459989422966274</v>
      </c>
      <c r="S3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-4.7974141637041612E-4</v>
      </c>
      <c r="T3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4.327408902327079E-4</v>
      </c>
      <c r="U3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1.220858122863433E-5</v>
      </c>
      <c r="V3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4.9190470430149347E-4</v>
      </c>
      <c r="W3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1.3425517707332801E-5</v>
      </c>
      <c r="X3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-3.0196154206407755E-4</v>
      </c>
      <c r="Y319" s="162" t="str">
        <f>ReportSummary___Track[[#This Row],[Track ID]]&amp;"-"&amp;ReportSummary___Track[[#This Row],[Epoch]]</f>
        <v>250-RL-OP-0037-45852.5416666667</v>
      </c>
      <c r="Z319" s="126">
        <f>SUBTOTAL(103,ReportSummary___Track[[#This Row],[Track ID]])</f>
        <v>1</v>
      </c>
      <c r="AA319" s="114">
        <f>_xlfn.NUMBERVALUE(RIGHT(ReportSummary___Track[[#This Row],[Track ID]],4))</f>
        <v>37</v>
      </c>
      <c r="AB319" s="78"/>
      <c r="AG319" s="10"/>
      <c r="AH319" s="10"/>
      <c r="AJ319" s="1"/>
    </row>
    <row r="320" spans="5:36" ht="12.75" x14ac:dyDescent="0.2">
      <c r="E320" s="74">
        <v>45852.541666666664</v>
      </c>
      <c r="F320" s="107" t="s">
        <v>277</v>
      </c>
      <c r="G320" s="142">
        <v>51902.446765839901</v>
      </c>
      <c r="H320" s="142">
        <v>159190.77623041449</v>
      </c>
      <c r="I320" s="142">
        <v>18.866065372992377</v>
      </c>
      <c r="J320" s="142">
        <v>51902.099872443272</v>
      </c>
      <c r="K320" s="142">
        <v>159189.50604742009</v>
      </c>
      <c r="L320" s="142">
        <v>18.857900000000001</v>
      </c>
      <c r="M320" s="145">
        <v>8.1653729923765184E-3</v>
      </c>
      <c r="N320" s="145">
        <v>1.3167256894276547</v>
      </c>
      <c r="O320" s="145">
        <v>1.9428001556498486E-3</v>
      </c>
      <c r="P320" s="145">
        <v>4.9143345369238034E-3</v>
      </c>
      <c r="Q3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3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0.70025802776729762</v>
      </c>
      <c r="S3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-5.9440824781376023E-2</v>
      </c>
      <c r="T3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-5.9450660394588795E-2</v>
      </c>
      <c r="U3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3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6.4292944994082113E-4</v>
      </c>
      <c r="W3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-5.9758748673033324E-5</v>
      </c>
      <c r="X3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-5.9403572471694588E-5</v>
      </c>
      <c r="Y320" s="162" t="str">
        <f>ReportSummary___Track[[#This Row],[Track ID]]&amp;"-"&amp;ReportSummary___Track[[#This Row],[Epoch]]</f>
        <v>250-RL-OP-0038-45852.5416666667</v>
      </c>
      <c r="Z320" s="126">
        <f>SUBTOTAL(103,ReportSummary___Track[[#This Row],[Track ID]])</f>
        <v>1</v>
      </c>
      <c r="AA320" s="114">
        <f>_xlfn.NUMBERVALUE(RIGHT(ReportSummary___Track[[#This Row],[Track ID]],4))</f>
        <v>38</v>
      </c>
      <c r="AB320" s="78"/>
      <c r="AG320" s="10"/>
      <c r="AH320" s="10"/>
      <c r="AJ320" s="1"/>
    </row>
    <row r="321" spans="5:36" ht="12.75" x14ac:dyDescent="0.2">
      <c r="E321" s="74">
        <v>45852.541666666664</v>
      </c>
      <c r="F321" s="107" t="s">
        <v>278</v>
      </c>
      <c r="G321" s="142">
        <v>51903.411339888517</v>
      </c>
      <c r="H321" s="142">
        <v>159190.51241841505</v>
      </c>
      <c r="I321" s="142">
        <v>18.866430993755124</v>
      </c>
      <c r="J321" s="142">
        <v>51903.064539433311</v>
      </c>
      <c r="K321" s="142">
        <v>159189.24257522359</v>
      </c>
      <c r="L321" s="142">
        <v>18.857900000000001</v>
      </c>
      <c r="M321" s="145">
        <v>8.5309937551230064E-3</v>
      </c>
      <c r="N321" s="145">
        <v>1.3163757307417172</v>
      </c>
      <c r="O321" s="145">
        <v>1.6553956827713989E-3</v>
      </c>
      <c r="P321" s="145">
        <v>4.2662396862773733E-3</v>
      </c>
      <c r="Q3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-0.39181235921148527</v>
      </c>
      <c r="R3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0.69802807704544279</v>
      </c>
      <c r="S3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-0.39188103808740493</v>
      </c>
      <c r="T3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-0.39212582660397288</v>
      </c>
      <c r="U3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-3.9188447219729028E-4</v>
      </c>
      <c r="V3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3.2007113324072911E-4</v>
      </c>
      <c r="W3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-3.9814768260271194E-4</v>
      </c>
      <c r="X3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-3.9125733565370524E-4</v>
      </c>
      <c r="Y321" s="162" t="str">
        <f>ReportSummary___Track[[#This Row],[Track ID]]&amp;"-"&amp;ReportSummary___Track[[#This Row],[Epoch]]</f>
        <v>250-RL-OP-0039-45852.5416666667</v>
      </c>
      <c r="Z321" s="126">
        <f>SUBTOTAL(103,ReportSummary___Track[[#This Row],[Track ID]])</f>
        <v>1</v>
      </c>
      <c r="AA321" s="114">
        <f>_xlfn.NUMBERVALUE(RIGHT(ReportSummary___Track[[#This Row],[Track ID]],4))</f>
        <v>39</v>
      </c>
      <c r="AB321" s="78"/>
      <c r="AG321" s="10"/>
      <c r="AH321" s="10"/>
      <c r="AJ321" s="1"/>
    </row>
    <row r="322" spans="5:36" ht="12.75" x14ac:dyDescent="0.2">
      <c r="E322" s="74">
        <v>45852.541666666664</v>
      </c>
      <c r="F322" s="107" t="s">
        <v>279</v>
      </c>
      <c r="G322" s="142">
        <v>51904.375913937132</v>
      </c>
      <c r="H322" s="142">
        <v>159190.24860641558</v>
      </c>
      <c r="I322" s="142">
        <v>18.866796614517867</v>
      </c>
      <c r="J322" s="142">
        <v>51904.029206423351</v>
      </c>
      <c r="K322" s="142">
        <v>159188.97910302709</v>
      </c>
      <c r="L322" s="142">
        <v>18.857900000000001</v>
      </c>
      <c r="M322" s="145">
        <v>8.8966145178659417E-3</v>
      </c>
      <c r="N322" s="145">
        <v>1.3160258748460549</v>
      </c>
      <c r="O322" s="145">
        <v>1.3679912098929492E-3</v>
      </c>
      <c r="P322" s="145">
        <v>3.6181448356309431E-3</v>
      </c>
      <c r="Q3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-0.72419474741280965</v>
      </c>
      <c r="R3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0.69552805641381887</v>
      </c>
      <c r="S3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-0.72432125139343384</v>
      </c>
      <c r="T3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-0.72480099280980426</v>
      </c>
      <c r="U3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-7.2432803531086165E-4</v>
      </c>
      <c r="V3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-3.0548964429222281E-6</v>
      </c>
      <c r="W3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-7.3653661653949598E-4</v>
      </c>
      <c r="X3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-7.2311109883216318E-4</v>
      </c>
      <c r="Y322" s="162" t="str">
        <f>ReportSummary___Track[[#This Row],[Track ID]]&amp;"-"&amp;ReportSummary___Track[[#This Row],[Epoch]]</f>
        <v>250-RL-OP-0040-45852.5416666667</v>
      </c>
      <c r="Z322" s="126">
        <f>SUBTOTAL(103,ReportSummary___Track[[#This Row],[Track ID]])</f>
        <v>1</v>
      </c>
      <c r="AA322" s="114">
        <f>_xlfn.NUMBERVALUE(RIGHT(ReportSummary___Track[[#This Row],[Track ID]],4))</f>
        <v>40</v>
      </c>
      <c r="AB322" s="78"/>
      <c r="AG322" s="10"/>
      <c r="AH322" s="10"/>
      <c r="AJ322" s="1"/>
    </row>
    <row r="323" spans="5:36" ht="12.75" x14ac:dyDescent="0.2">
      <c r="E323" s="74">
        <v>45852.541666666664</v>
      </c>
      <c r="F323" s="107" t="s">
        <v>280</v>
      </c>
      <c r="G323" s="142">
        <v>51905.340841450256</v>
      </c>
      <c r="H323" s="142">
        <v>159189.98617913548</v>
      </c>
      <c r="I323" s="142">
        <v>18.867392406740741</v>
      </c>
      <c r="J323" s="142">
        <v>51905.003852351983</v>
      </c>
      <c r="K323" s="142">
        <v>159188.71395702619</v>
      </c>
      <c r="L323" s="142">
        <v>18.858054709071411</v>
      </c>
      <c r="M323" s="145">
        <v>9.3376976693306801E-3</v>
      </c>
      <c r="N323" s="145">
        <v>1.3161299101168993</v>
      </c>
      <c r="O323" s="145">
        <v>1.1723246769541618E-3</v>
      </c>
      <c r="P323" s="145">
        <v>3.1151248326040104E-3</v>
      </c>
      <c r="Q3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-0.95002291113388537</v>
      </c>
      <c r="R3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0.69013681515173175</v>
      </c>
      <c r="S3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-0.89059294012372447</v>
      </c>
      <c r="T3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-0.9500337649051005</v>
      </c>
      <c r="U3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-9.5007511544054069E-4</v>
      </c>
      <c r="V3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-2.1524206406553503E-4</v>
      </c>
      <c r="W3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-8.9063420635326906E-4</v>
      </c>
      <c r="X3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-9.5039295502630239E-4</v>
      </c>
      <c r="Y323" s="162" t="str">
        <f>ReportSummary___Track[[#This Row],[Track ID]]&amp;"-"&amp;ReportSummary___Track[[#This Row],[Epoch]]</f>
        <v>250-RL-OP-0041-45852.5416666667</v>
      </c>
      <c r="Z323" s="126">
        <f>SUBTOTAL(103,ReportSummary___Track[[#This Row],[Track ID]])</f>
        <v>1</v>
      </c>
      <c r="AA323" s="114">
        <f>_xlfn.NUMBERVALUE(RIGHT(ReportSummary___Track[[#This Row],[Track ID]],4))</f>
        <v>41</v>
      </c>
      <c r="AB323" s="78"/>
      <c r="AG323" s="10"/>
      <c r="AH323" s="10"/>
      <c r="AJ323" s="1"/>
    </row>
    <row r="324" spans="5:36" ht="12.75" x14ac:dyDescent="0.2">
      <c r="E324" s="74">
        <v>45852.541666666664</v>
      </c>
      <c r="F324" s="107" t="s">
        <v>281</v>
      </c>
      <c r="G324" s="142">
        <v>51906.307594977021</v>
      </c>
      <c r="H324" s="142">
        <v>159189.73047487877</v>
      </c>
      <c r="I324" s="142">
        <v>18.869110425193988</v>
      </c>
      <c r="J324" s="142">
        <v>51905.970416035314</v>
      </c>
      <c r="K324" s="142">
        <v>159188.4575327542</v>
      </c>
      <c r="L324" s="142">
        <v>18.859167723973648</v>
      </c>
      <c r="M324" s="145">
        <v>9.9427012203392451E-3</v>
      </c>
      <c r="N324" s="145">
        <v>1.3168789422553104</v>
      </c>
      <c r="O324" s="145">
        <v>1.4117074652162387E-3</v>
      </c>
      <c r="P324" s="145">
        <v>3.0671031479876376E-3</v>
      </c>
      <c r="Q3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-0.59047550923096992</v>
      </c>
      <c r="R3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0.60053433014206625</v>
      </c>
      <c r="S3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-0.19866315001948465</v>
      </c>
      <c r="T3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-0.59054418810688958</v>
      </c>
      <c r="U3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-5.9090328404209913E-4</v>
      </c>
      <c r="V3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1.3430141527615014E-4</v>
      </c>
      <c r="W3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-1.9901881184480885E-4</v>
      </c>
      <c r="X3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-5.9716649444752079E-4</v>
      </c>
      <c r="Y324" s="162" t="str">
        <f>ReportSummary___Track[[#This Row],[Track ID]]&amp;"-"&amp;ReportSummary___Track[[#This Row],[Epoch]]</f>
        <v>250-RL-OP-0042-45852.5416666667</v>
      </c>
      <c r="Z324" s="126">
        <f>SUBTOTAL(103,ReportSummary___Track[[#This Row],[Track ID]])</f>
        <v>1</v>
      </c>
      <c r="AA324" s="114">
        <f>_xlfn.NUMBERVALUE(RIGHT(ReportSummary___Track[[#This Row],[Track ID]],4))</f>
        <v>42</v>
      </c>
      <c r="AB324" s="78"/>
      <c r="AG324" s="10"/>
      <c r="AH324" s="10"/>
      <c r="AJ324" s="1"/>
    </row>
    <row r="325" spans="5:36" ht="12.75" x14ac:dyDescent="0.2">
      <c r="E325" s="74">
        <v>45852.541666666664</v>
      </c>
      <c r="F325" s="107" t="s">
        <v>282</v>
      </c>
      <c r="G325" s="142">
        <v>51907.274348503779</v>
      </c>
      <c r="H325" s="142">
        <v>159189.47477062207</v>
      </c>
      <c r="I325" s="142">
        <v>18.870828443647234</v>
      </c>
      <c r="J325" s="142">
        <v>51906.936979718637</v>
      </c>
      <c r="K325" s="142">
        <v>159188.2011084822</v>
      </c>
      <c r="L325" s="142">
        <v>18.860280738875886</v>
      </c>
      <c r="M325" s="145">
        <v>1.054770477134781E-2</v>
      </c>
      <c r="N325" s="145">
        <v>1.3176282471889795</v>
      </c>
      <c r="O325" s="145">
        <v>1.6510902534818683E-3</v>
      </c>
      <c r="P325" s="145">
        <v>3.0190814633748175E-3</v>
      </c>
      <c r="Q3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-0.23092810732805447</v>
      </c>
      <c r="R3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0.51116136335416229</v>
      </c>
      <c r="S3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0.49326664008475518</v>
      </c>
      <c r="T3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-0.23105461130867866</v>
      </c>
      <c r="U3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-2.3173145264721029E-4</v>
      </c>
      <c r="V3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4.8407297998132037E-4</v>
      </c>
      <c r="W3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4.9259658266365136E-4</v>
      </c>
      <c r="X3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-2.4394003387584462E-4</v>
      </c>
      <c r="Y325" s="162" t="str">
        <f>ReportSummary___Track[[#This Row],[Track ID]]&amp;"-"&amp;ReportSummary___Track[[#This Row],[Epoch]]</f>
        <v>250-RL-OP-0043-45852.5416666667</v>
      </c>
      <c r="Z325" s="126">
        <f>SUBTOTAL(103,ReportSummary___Track[[#This Row],[Track ID]])</f>
        <v>1</v>
      </c>
      <c r="AA325" s="114">
        <f>_xlfn.NUMBERVALUE(RIGHT(ReportSummary___Track[[#This Row],[Track ID]],4))</f>
        <v>43</v>
      </c>
      <c r="AB325" s="78"/>
      <c r="AG325" s="10"/>
      <c r="AH325" s="10"/>
      <c r="AJ325" s="1"/>
    </row>
    <row r="326" spans="5:36" ht="12.75" x14ac:dyDescent="0.2">
      <c r="E326" s="74">
        <v>45852.541666666664</v>
      </c>
      <c r="F326" s="107" t="s">
        <v>283</v>
      </c>
      <c r="G326" s="142">
        <v>51908.241837030946</v>
      </c>
      <c r="H326" s="142">
        <v>159189.2226219966</v>
      </c>
      <c r="I326" s="142">
        <v>18.872961738006058</v>
      </c>
      <c r="J326" s="142">
        <v>51907.905524094465</v>
      </c>
      <c r="K326" s="142">
        <v>159187.94823138544</v>
      </c>
      <c r="L326" s="142">
        <v>18.861943334659102</v>
      </c>
      <c r="M326" s="145">
        <v>1.1018403346955807E-2</v>
      </c>
      <c r="N326" s="145">
        <v>1.3180664726266342</v>
      </c>
      <c r="O326" s="145">
        <v>1.6807056776251272E-3</v>
      </c>
      <c r="P326" s="145">
        <v>2.853030354579289E-3</v>
      </c>
      <c r="Q3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-9.9994893929533646E-3</v>
      </c>
      <c r="R3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0.44243082921213706</v>
      </c>
      <c r="S3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0.94002342174093201</v>
      </c>
      <c r="T3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4.9430481617207533E-2</v>
      </c>
      <c r="U3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-9.7989913641072235E-6</v>
      </c>
      <c r="V3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5.7458862564008228E-4</v>
      </c>
      <c r="W3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9.4027612407643346E-4</v>
      </c>
      <c r="X3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4.9641917723164397E-5</v>
      </c>
      <c r="Y326" s="162" t="str">
        <f>ReportSummary___Track[[#This Row],[Track ID]]&amp;"-"&amp;ReportSummary___Track[[#This Row],[Epoch]]</f>
        <v>250-RL-OP-0044-45852.5416666667</v>
      </c>
      <c r="Z326" s="126">
        <f>SUBTOTAL(103,ReportSummary___Track[[#This Row],[Track ID]])</f>
        <v>1</v>
      </c>
      <c r="AA326" s="114">
        <f>_xlfn.NUMBERVALUE(RIGHT(ReportSummary___Track[[#This Row],[Track ID]],4))</f>
        <v>44</v>
      </c>
      <c r="AB326" s="78"/>
      <c r="AG326" s="10"/>
      <c r="AH326" s="10"/>
      <c r="AJ326" s="1"/>
    </row>
    <row r="327" spans="5:36" ht="12.75" x14ac:dyDescent="0.2">
      <c r="E327" s="74">
        <v>45852.541666666664</v>
      </c>
      <c r="F327" s="107" t="s">
        <v>284</v>
      </c>
      <c r="G327" s="142">
        <v>51909.211440777217</v>
      </c>
      <c r="H327" s="142">
        <v>159188.97796014245</v>
      </c>
      <c r="I327" s="142">
        <v>18.875987022705832</v>
      </c>
      <c r="J327" s="142">
        <v>51908.874870471205</v>
      </c>
      <c r="K327" s="142">
        <v>159187.70254757887</v>
      </c>
      <c r="L327" s="142">
        <v>18.864602113292438</v>
      </c>
      <c r="M327" s="145">
        <v>1.1384909413393984E-2</v>
      </c>
      <c r="N327" s="145">
        <v>1.3191233431330831</v>
      </c>
      <c r="O327" s="145">
        <v>1.4422081930547392E-3</v>
      </c>
      <c r="P327" s="145">
        <v>2.8539156582709779E-3</v>
      </c>
      <c r="Q3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-4.7768354249910772E-3</v>
      </c>
      <c r="R3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0.44870401707863827</v>
      </c>
      <c r="S3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0.58569867380597884</v>
      </c>
      <c r="T3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0.3870355237864942</v>
      </c>
      <c r="U3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-3.9456421134786979E-6</v>
      </c>
      <c r="V3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1.9000726224027709E-4</v>
      </c>
      <c r="W3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5.8695764192862043E-4</v>
      </c>
      <c r="X3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3.8793883008381158E-4</v>
      </c>
      <c r="Y327" s="162" t="str">
        <f>ReportSummary___Track[[#This Row],[Track ID]]&amp;"-"&amp;ReportSummary___Track[[#This Row],[Epoch]]</f>
        <v>250-RL-OP-0045-45852.5416666667</v>
      </c>
      <c r="Z327" s="126">
        <f>SUBTOTAL(103,ReportSummary___Track[[#This Row],[Track ID]])</f>
        <v>1</v>
      </c>
      <c r="AA327" s="114">
        <f>_xlfn.NUMBERVALUE(RIGHT(ReportSummary___Track[[#This Row],[Track ID]],4))</f>
        <v>45</v>
      </c>
      <c r="AB327" s="78"/>
      <c r="AG327" s="10"/>
      <c r="AH327" s="10"/>
      <c r="AJ327" s="1"/>
    </row>
    <row r="328" spans="5:36" ht="12.75" x14ac:dyDescent="0.2">
      <c r="E328" s="74">
        <v>45852.541666666664</v>
      </c>
      <c r="F328" s="107" t="s">
        <v>285</v>
      </c>
      <c r="G328" s="142">
        <v>51910.181044523495</v>
      </c>
      <c r="H328" s="142">
        <v>159188.73329828834</v>
      </c>
      <c r="I328" s="142">
        <v>18.87901230740561</v>
      </c>
      <c r="J328" s="142">
        <v>51909.844216847938</v>
      </c>
      <c r="K328" s="142">
        <v>159187.4568637723</v>
      </c>
      <c r="L328" s="142">
        <v>18.867260891925774</v>
      </c>
      <c r="M328" s="145">
        <v>1.1751415479835714E-2</v>
      </c>
      <c r="N328" s="145">
        <v>1.3201803106106209</v>
      </c>
      <c r="O328" s="145">
        <v>1.203710708487904E-3</v>
      </c>
      <c r="P328" s="145">
        <v>2.8548009619697723E-3</v>
      </c>
      <c r="Q3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4.4581855007663762E-4</v>
      </c>
      <c r="R3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0.45497991113285785</v>
      </c>
      <c r="S3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0.2313739258781311</v>
      </c>
      <c r="T3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0.72464056596288628</v>
      </c>
      <c r="U3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1.9077071407025414E-6</v>
      </c>
      <c r="V3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-1.9456925084426757E-4</v>
      </c>
      <c r="W3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2.3363915978791283E-4</v>
      </c>
      <c r="X3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7.2623574245156419E-4</v>
      </c>
      <c r="Y328" s="162" t="str">
        <f>ReportSummary___Track[[#This Row],[Track ID]]&amp;"-"&amp;ReportSummary___Track[[#This Row],[Epoch]]</f>
        <v>250-RL-OP-0046-45852.5416666667</v>
      </c>
      <c r="Z328" s="126">
        <f>SUBTOTAL(103,ReportSummary___Track[[#This Row],[Track ID]])</f>
        <v>1</v>
      </c>
      <c r="AA328" s="114">
        <f>_xlfn.NUMBERVALUE(RIGHT(ReportSummary___Track[[#This Row],[Track ID]],4))</f>
        <v>46</v>
      </c>
      <c r="AB328" s="78"/>
      <c r="AG328" s="10"/>
      <c r="AH328" s="10"/>
      <c r="AJ328" s="1"/>
    </row>
    <row r="329" spans="5:36" ht="12.75" x14ac:dyDescent="0.2">
      <c r="E329" s="74">
        <v>45852.541666666664</v>
      </c>
      <c r="F329" s="107" t="s">
        <v>286</v>
      </c>
      <c r="G329" s="142">
        <v>51911.151141496419</v>
      </c>
      <c r="H329" s="142">
        <v>159188.49044319949</v>
      </c>
      <c r="I329" s="142">
        <v>18.882328518492969</v>
      </c>
      <c r="J329" s="142">
        <v>51910.836188304056</v>
      </c>
      <c r="K329" s="142">
        <v>159187.20749995176</v>
      </c>
      <c r="L329" s="142">
        <v>18.870139116386202</v>
      </c>
      <c r="M329" s="145">
        <v>1.2189402106766778E-2</v>
      </c>
      <c r="N329" s="145">
        <v>1.3210932865621459</v>
      </c>
      <c r="O329" s="145">
        <v>1.1709987598109706E-3</v>
      </c>
      <c r="P329" s="145">
        <v>2.8517044374360978E-3</v>
      </c>
      <c r="Q3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2.5701555834700684E-3</v>
      </c>
      <c r="R3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0.49319069107367497</v>
      </c>
      <c r="S3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1.2569644976423433E-2</v>
      </c>
      <c r="T3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0.95259306671735544</v>
      </c>
      <c r="U3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-7.4281466829972942E-5</v>
      </c>
      <c r="V3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-4.4348181958819843E-4</v>
      </c>
      <c r="W3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-6.4482475465865718E-5</v>
      </c>
      <c r="X3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8.7579364861056774E-4</v>
      </c>
      <c r="Y329" s="162" t="str">
        <f>ReportSummary___Track[[#This Row],[Track ID]]&amp;"-"&amp;ReportSummary___Track[[#This Row],[Epoch]]</f>
        <v>250-RL-OP-0047-45852.5416666667</v>
      </c>
      <c r="Z329" s="126">
        <f>SUBTOTAL(103,ReportSummary___Track[[#This Row],[Track ID]])</f>
        <v>1</v>
      </c>
      <c r="AA329" s="114">
        <f>_xlfn.NUMBERVALUE(RIGHT(ReportSummary___Track[[#This Row],[Track ID]],4))</f>
        <v>47</v>
      </c>
      <c r="AB329" s="78"/>
      <c r="AG329" s="10"/>
      <c r="AH329" s="10"/>
      <c r="AJ329" s="1"/>
    </row>
    <row r="330" spans="5:36" ht="12.75" x14ac:dyDescent="0.2">
      <c r="E330" s="74">
        <v>45852.541666666664</v>
      </c>
      <c r="F330" s="107" t="s">
        <v>287</v>
      </c>
      <c r="G330" s="142">
        <v>51912.122875350404</v>
      </c>
      <c r="H330" s="142">
        <v>159188.25440524641</v>
      </c>
      <c r="I330" s="142">
        <v>18.886733255176871</v>
      </c>
      <c r="J330" s="142">
        <v>51911.807733444031</v>
      </c>
      <c r="K330" s="142">
        <v>159186.97066968036</v>
      </c>
      <c r="L330" s="142">
        <v>18.873524899190603</v>
      </c>
      <c r="M330" s="145">
        <v>1.3208355986268572E-2</v>
      </c>
      <c r="N330" s="145">
        <v>1.3219175032310462</v>
      </c>
      <c r="O330" s="145">
        <v>1.8234465728745874E-3</v>
      </c>
      <c r="P330" s="145">
        <v>3.2656547659293267E-3</v>
      </c>
      <c r="Q3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2.3890030078632662E-3</v>
      </c>
      <c r="R3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0.4933508508984108</v>
      </c>
      <c r="S3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7.1658384328543434E-3</v>
      </c>
      <c r="T3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0.59286451223883319</v>
      </c>
      <c r="U3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-4.2661950440958663E-4</v>
      </c>
      <c r="V3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-2.8193440792634306E-4</v>
      </c>
      <c r="W3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-4.2267386229610793E-4</v>
      </c>
      <c r="X3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1.6428377963251251E-4</v>
      </c>
      <c r="Y330" s="162" t="str">
        <f>ReportSummary___Track[[#This Row],[Track ID]]&amp;"-"&amp;ReportSummary___Track[[#This Row],[Epoch]]</f>
        <v>250-RL-OP-0048-45852.5416666667</v>
      </c>
      <c r="Z330" s="126">
        <f>SUBTOTAL(103,ReportSummary___Track[[#This Row],[Track ID]])</f>
        <v>1</v>
      </c>
      <c r="AA330" s="114">
        <f>_xlfn.NUMBERVALUE(RIGHT(ReportSummary___Track[[#This Row],[Track ID]],4))</f>
        <v>48</v>
      </c>
      <c r="AB330" s="78"/>
      <c r="AG330" s="10"/>
      <c r="AH330" s="10"/>
      <c r="AJ330" s="1"/>
    </row>
    <row r="331" spans="5:36" ht="12.75" x14ac:dyDescent="0.2">
      <c r="E331" s="74">
        <v>45852.541666666664</v>
      </c>
      <c r="F331" s="107" t="s">
        <v>288</v>
      </c>
      <c r="G331" s="142">
        <v>51913.094609204396</v>
      </c>
      <c r="H331" s="142">
        <v>159188.01836729329</v>
      </c>
      <c r="I331" s="142">
        <v>18.89113799186077</v>
      </c>
      <c r="J331" s="142">
        <v>51912.779278584014</v>
      </c>
      <c r="K331" s="142">
        <v>159186.73383940893</v>
      </c>
      <c r="L331" s="142">
        <v>18.876910681995003</v>
      </c>
      <c r="M331" s="145">
        <v>1.4227309865766813E-2</v>
      </c>
      <c r="N331" s="145">
        <v>1.3227424927756082</v>
      </c>
      <c r="O331" s="145">
        <v>2.4758943859310989E-3</v>
      </c>
      <c r="P331" s="145">
        <v>3.6796050944190029E-3</v>
      </c>
      <c r="Q3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2.207850432256464E-3</v>
      </c>
      <c r="R3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0.49351042407330681</v>
      </c>
      <c r="S3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1.7620318821798264E-3</v>
      </c>
      <c r="T3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0.23313595776031093</v>
      </c>
      <c r="U3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-7.7895754199630574E-4</v>
      </c>
      <c r="V3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-1.2102236793198884E-4</v>
      </c>
      <c r="W3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-7.8086524913700828E-4</v>
      </c>
      <c r="X3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-5.4722608934909545E-4</v>
      </c>
      <c r="Y331" s="162" t="str">
        <f>ReportSummary___Track[[#This Row],[Track ID]]&amp;"-"&amp;ReportSummary___Track[[#This Row],[Epoch]]</f>
        <v>250-RL-OP-0049-45852.5416666667</v>
      </c>
      <c r="Z331" s="126">
        <f>SUBTOTAL(103,ReportSummary___Track[[#This Row],[Track ID]])</f>
        <v>1</v>
      </c>
      <c r="AA331" s="114">
        <f>_xlfn.NUMBERVALUE(RIGHT(ReportSummary___Track[[#This Row],[Track ID]],4))</f>
        <v>49</v>
      </c>
      <c r="AB331" s="78"/>
      <c r="AG331" s="10"/>
      <c r="AH331" s="10"/>
      <c r="AJ331" s="1"/>
    </row>
    <row r="332" spans="5:36" ht="12.75" x14ac:dyDescent="0.2">
      <c r="E332" s="74">
        <v>45848.291666666664</v>
      </c>
      <c r="F332" s="107" t="s">
        <v>235</v>
      </c>
      <c r="G332" s="142">
        <v>51886.101813663445</v>
      </c>
      <c r="H332" s="142">
        <v>159195.44642124095</v>
      </c>
      <c r="I332" s="142">
        <v>18.869774662204115</v>
      </c>
      <c r="J332" s="142">
        <v>51885.742050780667</v>
      </c>
      <c r="K332" s="142">
        <v>159194.18695535802</v>
      </c>
      <c r="L332" s="142">
        <v>18.865068661183397</v>
      </c>
      <c r="M332" s="145">
        <v>4.7060010207182756E-3</v>
      </c>
      <c r="N332" s="145">
        <v>1.3098495289696968</v>
      </c>
      <c r="O332" s="145"/>
      <c r="P332" s="145"/>
      <c r="Q3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0.43723627472402882</v>
      </c>
      <c r="R3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-0.26864741771293055</v>
      </c>
      <c r="S33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3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7.1892992915678633E-4</v>
      </c>
      <c r="V3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4.228798542111889E-4</v>
      </c>
      <c r="W33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3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32" s="162" t="str">
        <f>ReportSummary___Track[[#This Row],[Track ID]]&amp;"-"&amp;ReportSummary___Track[[#This Row],[Epoch]]</f>
        <v>250-RL-OP-0021-45848.2916666667</v>
      </c>
      <c r="Z332" s="126">
        <f>SUBTOTAL(103,ReportSummary___Track[[#This Row],[Track ID]])</f>
        <v>1</v>
      </c>
      <c r="AA332" s="114">
        <f>_xlfn.NUMBERVALUE(RIGHT(ReportSummary___Track[[#This Row],[Track ID]],4))</f>
        <v>21</v>
      </c>
      <c r="AB332" s="78"/>
      <c r="AG332" s="10"/>
      <c r="AH332" s="10"/>
      <c r="AJ332" s="1"/>
    </row>
    <row r="333" spans="5:36" ht="12.75" x14ac:dyDescent="0.2">
      <c r="E333" s="74">
        <v>45848.291666666664</v>
      </c>
      <c r="F333" s="107" t="s">
        <v>236</v>
      </c>
      <c r="G333" s="142">
        <v>51887.063368914656</v>
      </c>
      <c r="H333" s="142">
        <v>159195.17180983879</v>
      </c>
      <c r="I333" s="142">
        <v>18.869497766411676</v>
      </c>
      <c r="J333" s="142">
        <v>51886.703169507433</v>
      </c>
      <c r="K333" s="142">
        <v>159193.910819971</v>
      </c>
      <c r="L333" s="142">
        <v>18.865271378951899</v>
      </c>
      <c r="M333" s="145">
        <v>4.2263874597772144E-3</v>
      </c>
      <c r="N333" s="145">
        <v>1.3114331557447696</v>
      </c>
      <c r="O333" s="145"/>
      <c r="P333" s="145"/>
      <c r="Q3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-0.246733802921284</v>
      </c>
      <c r="R3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-0.59565735031652522</v>
      </c>
      <c r="S33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3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3.8110590022455426E-4</v>
      </c>
      <c r="V3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-2.3587081692588718E-4</v>
      </c>
      <c r="W33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3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33" s="162" t="str">
        <f>ReportSummary___Track[[#This Row],[Track ID]]&amp;"-"&amp;ReportSummary___Track[[#This Row],[Epoch]]</f>
        <v>250-RL-OP-0022-45848.2916666667</v>
      </c>
      <c r="Z333" s="126">
        <f>SUBTOTAL(103,ReportSummary___Track[[#This Row],[Track ID]])</f>
        <v>1</v>
      </c>
      <c r="AA333" s="114">
        <f>_xlfn.NUMBERVALUE(RIGHT(ReportSummary___Track[[#This Row],[Track ID]],4))</f>
        <v>22</v>
      </c>
      <c r="AB333" s="78"/>
      <c r="AG333" s="10"/>
      <c r="AH333" s="10"/>
      <c r="AJ333" s="1"/>
    </row>
    <row r="334" spans="5:36" ht="12.75" x14ac:dyDescent="0.2">
      <c r="E334" s="74">
        <v>45848.291666666664</v>
      </c>
      <c r="F334" s="107" t="s">
        <v>237</v>
      </c>
      <c r="G334" s="142">
        <v>51888.024924165868</v>
      </c>
      <c r="H334" s="142">
        <v>159194.89719843664</v>
      </c>
      <c r="I334" s="142">
        <v>18.869220870619237</v>
      </c>
      <c r="J334" s="142">
        <v>51887.664288234206</v>
      </c>
      <c r="K334" s="142">
        <v>159193.63468458402</v>
      </c>
      <c r="L334" s="142">
        <v>18.865474096720401</v>
      </c>
      <c r="M334" s="145">
        <v>3.7467738988361532E-3</v>
      </c>
      <c r="N334" s="145">
        <v>1.3130169616489011</v>
      </c>
      <c r="O334" s="145"/>
      <c r="P334" s="145"/>
      <c r="Q3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-0.93070388056659681</v>
      </c>
      <c r="R3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-0.92251796148645759</v>
      </c>
      <c r="S33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3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4.328187128876948E-5</v>
      </c>
      <c r="V3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-8.9445916760699795E-4</v>
      </c>
      <c r="W33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3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34" s="162" t="str">
        <f>ReportSummary___Track[[#This Row],[Track ID]]&amp;"-"&amp;ReportSummary___Track[[#This Row],[Epoch]]</f>
        <v>250-RL-OP-0023-45848.2916666667</v>
      </c>
      <c r="Z334" s="126">
        <f>SUBTOTAL(103,ReportSummary___Track[[#This Row],[Track ID]])</f>
        <v>1</v>
      </c>
      <c r="AA334" s="114">
        <f>_xlfn.NUMBERVALUE(RIGHT(ReportSummary___Track[[#This Row],[Track ID]],4))</f>
        <v>23</v>
      </c>
      <c r="AB334" s="78"/>
      <c r="AG334" s="10"/>
      <c r="AH334" s="10"/>
      <c r="AJ334" s="1"/>
    </row>
    <row r="335" spans="5:36" ht="12.75" x14ac:dyDescent="0.2">
      <c r="E335" s="74">
        <v>45848.291666666664</v>
      </c>
      <c r="F335" s="107" t="s">
        <v>238</v>
      </c>
      <c r="G335" s="142">
        <v>51888.98628832103</v>
      </c>
      <c r="H335" s="142">
        <v>159194.62201573106</v>
      </c>
      <c r="I335" s="142">
        <v>18.868514730242751</v>
      </c>
      <c r="J335" s="142">
        <v>51888.624103758353</v>
      </c>
      <c r="K335" s="142">
        <v>159193.35807278901</v>
      </c>
      <c r="L335" s="142">
        <v>18.864453221913006</v>
      </c>
      <c r="M335" s="145">
        <v>4.061508329744612E-3</v>
      </c>
      <c r="N335" s="145">
        <v>1.3148178254249734</v>
      </c>
      <c r="O335" s="145">
        <v>-6.4449269097366368E-4</v>
      </c>
      <c r="P335" s="145"/>
      <c r="Q3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-0.70091322933407696</v>
      </c>
      <c r="R3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-0.95160390684245755</v>
      </c>
      <c r="S3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-1.1381495040581058</v>
      </c>
      <c r="T33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3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-9.6133534337705662E-4</v>
      </c>
      <c r="W3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-7.1892992915323362E-4</v>
      </c>
      <c r="X33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35" s="162" t="str">
        <f>ReportSummary___Track[[#This Row],[Track ID]]&amp;"-"&amp;ReportSummary___Track[[#This Row],[Epoch]]</f>
        <v>250-RL-OP-0024-45848.2916666667</v>
      </c>
      <c r="Z335" s="126">
        <f>SUBTOTAL(103,ReportSummary___Track[[#This Row],[Track ID]])</f>
        <v>1</v>
      </c>
      <c r="AA335" s="114">
        <f>_xlfn.NUMBERVALUE(RIGHT(ReportSummary___Track[[#This Row],[Track ID]],4))</f>
        <v>24</v>
      </c>
      <c r="AB335" s="78"/>
      <c r="AG335" s="10"/>
      <c r="AH335" s="10"/>
      <c r="AJ335" s="1"/>
    </row>
    <row r="336" spans="5:36" ht="12.75" x14ac:dyDescent="0.2">
      <c r="E336" s="74">
        <v>45848.291666666664</v>
      </c>
      <c r="F336" s="107" t="s">
        <v>239</v>
      </c>
      <c r="G336" s="142">
        <v>51889.947664398285</v>
      </c>
      <c r="H336" s="142">
        <v>159194.34677858101</v>
      </c>
      <c r="I336" s="142">
        <v>18.867773577574297</v>
      </c>
      <c r="J336" s="142">
        <v>51889.584962165376</v>
      </c>
      <c r="K336" s="142">
        <v>159193.0810354673</v>
      </c>
      <c r="L336" s="142">
        <v>18.863251548067307</v>
      </c>
      <c r="M336" s="145">
        <v>4.5220295069903216E-3</v>
      </c>
      <c r="N336" s="145">
        <v>1.316692442599908</v>
      </c>
      <c r="O336" s="145">
        <v>2.9564204721310716E-4</v>
      </c>
      <c r="P336" s="145"/>
      <c r="Q3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-0.35756522215280029</v>
      </c>
      <c r="R3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-0.95654771705544483</v>
      </c>
      <c r="S3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-0.11083141923151629</v>
      </c>
      <c r="T33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7.1054273576010019E-15</v>
      </c>
      <c r="V3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-9.6133388274588505E-4</v>
      </c>
      <c r="W3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-3.8110590021744883E-4</v>
      </c>
      <c r="X33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36" s="162" t="str">
        <f>ReportSummary___Track[[#This Row],[Track ID]]&amp;"-"&amp;ReportSummary___Track[[#This Row],[Epoch]]</f>
        <v>250-RL-OP-0025-45848.2916666667</v>
      </c>
      <c r="Z336" s="126">
        <f>SUBTOTAL(103,ReportSummary___Track[[#This Row],[Track ID]])</f>
        <v>1</v>
      </c>
      <c r="AA336" s="114">
        <f>_xlfn.NUMBERVALUE(RIGHT(ReportSummary___Track[[#This Row],[Track ID]],4))</f>
        <v>25</v>
      </c>
      <c r="AB336" s="78"/>
      <c r="AG336" s="10"/>
      <c r="AH336" s="10"/>
      <c r="AJ336" s="1"/>
    </row>
    <row r="337" spans="5:36" ht="12.75" x14ac:dyDescent="0.2">
      <c r="E337" s="74">
        <v>45848.291666666664</v>
      </c>
      <c r="F337" s="107" t="s">
        <v>240</v>
      </c>
      <c r="G337" s="142">
        <v>51890.909040475541</v>
      </c>
      <c r="H337" s="142">
        <v>159194.07154143095</v>
      </c>
      <c r="I337" s="142">
        <v>18.867032424905847</v>
      </c>
      <c r="J337" s="142">
        <v>51890.545820572399</v>
      </c>
      <c r="K337" s="142">
        <v>159192.80399814557</v>
      </c>
      <c r="L337" s="142">
        <v>18.862049874221608</v>
      </c>
      <c r="M337" s="145">
        <v>4.9825506842395839E-3</v>
      </c>
      <c r="N337" s="145">
        <v>1.318567216405123</v>
      </c>
      <c r="O337" s="145">
        <v>1.2357767854034307E-3</v>
      </c>
      <c r="P337" s="145"/>
      <c r="Q3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-1.4217214967970904E-2</v>
      </c>
      <c r="R3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-0.96134414408521884</v>
      </c>
      <c r="S3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0.9164866655986259</v>
      </c>
      <c r="T33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1.0658141036401503E-14</v>
      </c>
      <c r="V3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-9.6133228227834877E-4</v>
      </c>
      <c r="W3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-4.3281871278111339E-5</v>
      </c>
      <c r="X33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37" s="162" t="str">
        <f>ReportSummary___Track[[#This Row],[Track ID]]&amp;"-"&amp;ReportSummary___Track[[#This Row],[Epoch]]</f>
        <v>250-RL-OP-0026-45848.2916666667</v>
      </c>
      <c r="Z337" s="126">
        <f>SUBTOTAL(103,ReportSummary___Track[[#This Row],[Track ID]])</f>
        <v>1</v>
      </c>
      <c r="AA337" s="114">
        <f>_xlfn.NUMBERVALUE(RIGHT(ReportSummary___Track[[#This Row],[Track ID]],4))</f>
        <v>26</v>
      </c>
      <c r="AB337" s="78"/>
      <c r="AG337" s="10"/>
      <c r="AH337" s="10"/>
      <c r="AJ337" s="1"/>
    </row>
    <row r="338" spans="5:36" ht="12.75" x14ac:dyDescent="0.2">
      <c r="E338" s="74">
        <v>45848.291666666664</v>
      </c>
      <c r="F338" s="107" t="s">
        <v>241</v>
      </c>
      <c r="G338" s="142">
        <v>51891.870085166687</v>
      </c>
      <c r="H338" s="142">
        <v>159193.79534240576</v>
      </c>
      <c r="I338" s="142">
        <v>18.864661447731827</v>
      </c>
      <c r="J338" s="142">
        <v>51891.504267267606</v>
      </c>
      <c r="K338" s="142">
        <v>159192.52760902661</v>
      </c>
      <c r="L338" s="142">
        <v>18.860283294009541</v>
      </c>
      <c r="M338" s="145">
        <v>4.3781537222855604E-3</v>
      </c>
      <c r="N338" s="145">
        <v>1.3194657343527003</v>
      </c>
      <c r="O338" s="145">
        <v>3.1664539254094848E-4</v>
      </c>
      <c r="P338" s="145">
        <v>-3.2784729843271521E-4</v>
      </c>
      <c r="Q3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-0.32479259924755866</v>
      </c>
      <c r="R3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-0.73519336430138971</v>
      </c>
      <c r="S3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0.3761206300865183</v>
      </c>
      <c r="T3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-0.76202887397158747</v>
      </c>
      <c r="U3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-1.610878825886175E-7</v>
      </c>
      <c r="V3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-6.4957057377434957E-4</v>
      </c>
      <c r="W3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-1.6108788614133118E-7</v>
      </c>
      <c r="X3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-7.1909101703937495E-4</v>
      </c>
      <c r="Y338" s="162" t="str">
        <f>ReportSummary___Track[[#This Row],[Track ID]]&amp;"-"&amp;ReportSummary___Track[[#This Row],[Epoch]]</f>
        <v>250-RL-OP-0027-45848.2916666667</v>
      </c>
      <c r="Z338" s="126">
        <f>SUBTOTAL(103,ReportSummary___Track[[#This Row],[Track ID]])</f>
        <v>1</v>
      </c>
      <c r="AA338" s="114">
        <f>_xlfn.NUMBERVALUE(RIGHT(ReportSummary___Track[[#This Row],[Track ID]],4))</f>
        <v>27</v>
      </c>
      <c r="AB338" s="78"/>
      <c r="AG338" s="10"/>
      <c r="AH338" s="10"/>
      <c r="AJ338" s="1"/>
    </row>
    <row r="339" spans="5:36" ht="12.75" x14ac:dyDescent="0.2">
      <c r="E339" s="74">
        <v>45848.291666666664</v>
      </c>
      <c r="F339" s="107" t="s">
        <v>242</v>
      </c>
      <c r="G339" s="142">
        <v>51892.831165658921</v>
      </c>
      <c r="H339" s="142">
        <v>159193.51908472509</v>
      </c>
      <c r="I339" s="142">
        <v>18.86221577499791</v>
      </c>
      <c r="J339" s="142">
        <v>51892.465111689802</v>
      </c>
      <c r="K339" s="142">
        <v>159192.25052641844</v>
      </c>
      <c r="L339" s="142">
        <v>18.858487576446301</v>
      </c>
      <c r="M339" s="145">
        <v>3.7281985516095517E-3</v>
      </c>
      <c r="N339" s="145">
        <v>1.320321773333879</v>
      </c>
      <c r="O339" s="145">
        <v>-7.9383095538076986E-4</v>
      </c>
      <c r="P339" s="145">
        <v>-4.981889081676627E-4</v>
      </c>
      <c r="Q3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-0.66453376314257184</v>
      </c>
      <c r="R3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-0.49900781433209751</v>
      </c>
      <c r="S3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-0.30696854098977155</v>
      </c>
      <c r="T3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-0.41779996022128785</v>
      </c>
      <c r="U3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-3.2958985585196388E-7</v>
      </c>
      <c r="V3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-3.2399439199370939E-4</v>
      </c>
      <c r="W3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-3.2958986295739123E-7</v>
      </c>
      <c r="X3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-3.8143549008040623E-4</v>
      </c>
      <c r="Y339" s="162" t="str">
        <f>ReportSummary___Track[[#This Row],[Track ID]]&amp;"-"&amp;ReportSummary___Track[[#This Row],[Epoch]]</f>
        <v>250-RL-OP-0028-45848.2916666667</v>
      </c>
      <c r="Z339" s="126">
        <f>SUBTOTAL(103,ReportSummary___Track[[#This Row],[Track ID]])</f>
        <v>1</v>
      </c>
      <c r="AA339" s="114">
        <f>_xlfn.NUMBERVALUE(RIGHT(ReportSummary___Track[[#This Row],[Track ID]],4))</f>
        <v>28</v>
      </c>
      <c r="AB339" s="78"/>
      <c r="AG339" s="10"/>
      <c r="AH339" s="10"/>
      <c r="AJ339" s="1"/>
    </row>
    <row r="340" spans="5:36" ht="12.75" x14ac:dyDescent="0.2">
      <c r="E340" s="74">
        <v>45848.291666666664</v>
      </c>
      <c r="F340" s="107" t="s">
        <v>243</v>
      </c>
      <c r="G340" s="142">
        <v>51893.79183894024</v>
      </c>
      <c r="H340" s="142">
        <v>159193.24290592468</v>
      </c>
      <c r="I340" s="142">
        <v>18.859926419397709</v>
      </c>
      <c r="J340" s="142">
        <v>51893.426692580288</v>
      </c>
      <c r="K340" s="142">
        <v>159191.97323179524</v>
      </c>
      <c r="L340" s="142">
        <v>18.856700906411131</v>
      </c>
      <c r="M340" s="145">
        <v>3.2255129865781385E-3</v>
      </c>
      <c r="N340" s="145">
        <v>1.3211414243285451</v>
      </c>
      <c r="O340" s="145">
        <v>-1.7570376976614455E-3</v>
      </c>
      <c r="P340" s="145">
        <v>-5.2126091225801474E-4</v>
      </c>
      <c r="Q3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-0.98057715341326457</v>
      </c>
      <c r="R3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-0.25718536921748303</v>
      </c>
      <c r="S3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-0.96635993844529366</v>
      </c>
      <c r="T3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-4.987327284666776E-2</v>
      </c>
      <c r="U3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1.8152682486061167E-6</v>
      </c>
      <c r="V3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1.6926918418702641E-5</v>
      </c>
      <c r="W3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1.8152682379479756E-6</v>
      </c>
      <c r="X3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-4.1466603040163363E-5</v>
      </c>
      <c r="Y340" s="162" t="str">
        <f>ReportSummary___Track[[#This Row],[Track ID]]&amp;"-"&amp;ReportSummary___Track[[#This Row],[Epoch]]</f>
        <v>250-RL-OP-0029-45848.2916666667</v>
      </c>
      <c r="Z340" s="126">
        <f>SUBTOTAL(103,ReportSummary___Track[[#This Row],[Track ID]])</f>
        <v>1</v>
      </c>
      <c r="AA340" s="114">
        <f>_xlfn.NUMBERVALUE(RIGHT(ReportSummary___Track[[#This Row],[Track ID]],4))</f>
        <v>29</v>
      </c>
      <c r="AB340" s="78"/>
      <c r="AG340" s="10"/>
      <c r="AH340" s="10"/>
      <c r="AJ340" s="1"/>
    </row>
    <row r="341" spans="5:36" ht="12.75" x14ac:dyDescent="0.2">
      <c r="E341" s="74">
        <v>45848.291666666664</v>
      </c>
      <c r="F341" s="107" t="s">
        <v>269</v>
      </c>
      <c r="G341" s="142">
        <v>51894.752729646825</v>
      </c>
      <c r="H341" s="142">
        <v>159192.96597849973</v>
      </c>
      <c r="I341" s="142">
        <v>18.860427736242297</v>
      </c>
      <c r="J341" s="142">
        <v>51894.387556785739</v>
      </c>
      <c r="K341" s="142">
        <v>159191.69621203162</v>
      </c>
      <c r="L341" s="142">
        <v>18.856871927378922</v>
      </c>
      <c r="M341" s="145">
        <v>3.5558088633749207E-3</v>
      </c>
      <c r="N341" s="145">
        <v>1.3212383380024697</v>
      </c>
      <c r="O341" s="145">
        <v>-8.2234485891063969E-4</v>
      </c>
      <c r="P341" s="145">
        <v>-5.0569946636969121E-4</v>
      </c>
      <c r="Q3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-0.3045308275666514</v>
      </c>
      <c r="R3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0.25322418947837377</v>
      </c>
      <c r="S3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2.0261771680907259E-2</v>
      </c>
      <c r="T3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0.39638240176742556</v>
      </c>
      <c r="U3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3.4390356336544414E-4</v>
      </c>
      <c r="V3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3.3891306681987921E-4</v>
      </c>
      <c r="W3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3.4406465124803276E-4</v>
      </c>
      <c r="X3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3.4390356336189143E-4</v>
      </c>
      <c r="Y341" s="162" t="str">
        <f>ReportSummary___Track[[#This Row],[Track ID]]&amp;"-"&amp;ReportSummary___Track[[#This Row],[Epoch]]</f>
        <v>250-RL-OP-0030-45848.2916666667</v>
      </c>
      <c r="Z341" s="126">
        <f>SUBTOTAL(103,ReportSummary___Track[[#This Row],[Track ID]])</f>
        <v>1</v>
      </c>
      <c r="AA341" s="114">
        <f>_xlfn.NUMBERVALUE(RIGHT(ReportSummary___Track[[#This Row],[Track ID]],4))</f>
        <v>30</v>
      </c>
      <c r="AB341" s="78"/>
      <c r="AG341" s="10"/>
      <c r="AH341" s="10"/>
      <c r="AJ341" s="1"/>
    </row>
    <row r="342" spans="5:36" ht="12.75" x14ac:dyDescent="0.2">
      <c r="E342" s="74">
        <v>45848.291666666664</v>
      </c>
      <c r="F342" s="107" t="s">
        <v>270</v>
      </c>
      <c r="G342" s="142">
        <v>51895.713620353403</v>
      </c>
      <c r="H342" s="142">
        <v>159192.68905107479</v>
      </c>
      <c r="I342" s="142">
        <v>18.860929053086885</v>
      </c>
      <c r="J342" s="142">
        <v>51895.348420991184</v>
      </c>
      <c r="K342" s="142">
        <v>159191.41919226799</v>
      </c>
      <c r="L342" s="142">
        <v>18.857042948346713</v>
      </c>
      <c r="M342" s="145">
        <v>3.886104740171703E-3</v>
      </c>
      <c r="N342" s="145">
        <v>1.3213353341171263</v>
      </c>
      <c r="O342" s="145">
        <v>1.5790618856215133E-4</v>
      </c>
      <c r="P342" s="145">
        <v>-6.3592476681861854E-4</v>
      </c>
      <c r="Q3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0.37151549827996178</v>
      </c>
      <c r="R3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0.76362632387372287</v>
      </c>
      <c r="S3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1.0360492614225336</v>
      </c>
      <c r="T3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0.72908072043276206</v>
      </c>
      <c r="U3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6.8599185848228217E-4</v>
      </c>
      <c r="V3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6.6098158615734981E-4</v>
      </c>
      <c r="W3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6.8632144833813413E-4</v>
      </c>
      <c r="X3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6.8599185847517674E-4</v>
      </c>
      <c r="Y342" s="162" t="str">
        <f>ReportSummary___Track[[#This Row],[Track ID]]&amp;"-"&amp;ReportSummary___Track[[#This Row],[Epoch]]</f>
        <v>250-RL-OP-0031-45848.2916666667</v>
      </c>
      <c r="Z342" s="126">
        <f>SUBTOTAL(103,ReportSummary___Track[[#This Row],[Track ID]])</f>
        <v>1</v>
      </c>
      <c r="AA342" s="114">
        <f>_xlfn.NUMBERVALUE(RIGHT(ReportSummary___Track[[#This Row],[Track ID]],4))</f>
        <v>31</v>
      </c>
      <c r="AB342" s="78"/>
      <c r="AG342" s="10"/>
      <c r="AH342" s="10"/>
      <c r="AJ342" s="1"/>
    </row>
    <row r="343" spans="5:36" ht="12.75" x14ac:dyDescent="0.2">
      <c r="E343" s="74">
        <v>45848.291666666664</v>
      </c>
      <c r="F343" s="107" t="s">
        <v>271</v>
      </c>
      <c r="G343" s="142">
        <v>51896.675398681873</v>
      </c>
      <c r="H343" s="142">
        <v>159192.41188265968</v>
      </c>
      <c r="I343" s="142">
        <v>18.8614770015399</v>
      </c>
      <c r="J343" s="142">
        <v>51896.308528717673</v>
      </c>
      <c r="K343" s="142">
        <v>159191.1427346245</v>
      </c>
      <c r="L343" s="142">
        <v>18.857275194388283</v>
      </c>
      <c r="M343" s="145">
        <v>4.2018071516167765E-3</v>
      </c>
      <c r="N343" s="145">
        <v>1.3211161799832458</v>
      </c>
      <c r="O343" s="145">
        <v>9.7629416503863808E-4</v>
      </c>
      <c r="P343" s="145">
        <v>-7.8074353262280738E-4</v>
      </c>
      <c r="Q3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0.95078938554848946</v>
      </c>
      <c r="R3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1.2081633224487742</v>
      </c>
      <c r="S3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1.931366538961754</v>
      </c>
      <c r="T3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0.96500660051646037</v>
      </c>
      <c r="U3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9.5073135954848453E-4</v>
      </c>
      <c r="V3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9.2358462011166154E-4</v>
      </c>
      <c r="W3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9.4891609129987842E-4</v>
      </c>
      <c r="X3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9.5073135953782639E-4</v>
      </c>
      <c r="Y343" s="162" t="str">
        <f>ReportSummary___Track[[#This Row],[Track ID]]&amp;"-"&amp;ReportSummary___Track[[#This Row],[Epoch]]</f>
        <v>250-RL-OP-0032-45848.2916666667</v>
      </c>
      <c r="Z343" s="126">
        <f>SUBTOTAL(103,ReportSummary___Track[[#This Row],[Track ID]])</f>
        <v>1</v>
      </c>
      <c r="AA343" s="114">
        <f>_xlfn.NUMBERVALUE(RIGHT(ReportSummary___Track[[#This Row],[Track ID]],4))</f>
        <v>32</v>
      </c>
      <c r="AB343" s="78"/>
      <c r="AG343" s="10"/>
      <c r="AH343" s="10"/>
      <c r="AJ343" s="1"/>
    </row>
    <row r="344" spans="5:36" ht="12.75" x14ac:dyDescent="0.2">
      <c r="E344" s="74">
        <v>45848.291666666664</v>
      </c>
      <c r="F344" s="107" t="s">
        <v>272</v>
      </c>
      <c r="G344" s="142">
        <v>51897.636352858695</v>
      </c>
      <c r="H344" s="142">
        <v>159192.13517793905</v>
      </c>
      <c r="I344" s="142">
        <v>18.862729059099273</v>
      </c>
      <c r="J344" s="142">
        <v>51897.270517797704</v>
      </c>
      <c r="K344" s="142">
        <v>159190.86964829412</v>
      </c>
      <c r="L344" s="142">
        <v>18.858205818005658</v>
      </c>
      <c r="M344" s="145">
        <v>4.5232410936151268E-3</v>
      </c>
      <c r="N344" s="145">
        <v>1.3173537997728821</v>
      </c>
      <c r="O344" s="145">
        <v>9.6743223024020608E-4</v>
      </c>
      <c r="P344" s="145">
        <v>1.4508737132956639E-4</v>
      </c>
      <c r="Q3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0.25880049216198131</v>
      </c>
      <c r="R3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0.77860640325222441</v>
      </c>
      <c r="S3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0.56333131972863271</v>
      </c>
      <c r="T3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0.58359309140953997</v>
      </c>
      <c r="U3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2.5785988822590866E-4</v>
      </c>
      <c r="V3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3.5017374955548242E-4</v>
      </c>
      <c r="W3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-8.604367513953548E-5</v>
      </c>
      <c r="X3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2.5802097610849728E-4</v>
      </c>
      <c r="Y344" s="162" t="str">
        <f>ReportSummary___Track[[#This Row],[Track ID]]&amp;"-"&amp;ReportSummary___Track[[#This Row],[Epoch]]</f>
        <v>250-RL-OP-0033-45848.2916666667</v>
      </c>
      <c r="Z344" s="126">
        <f>SUBTOTAL(103,ReportSummary___Track[[#This Row],[Track ID]])</f>
        <v>1</v>
      </c>
      <c r="AA344" s="114">
        <f>_xlfn.NUMBERVALUE(RIGHT(ReportSummary___Track[[#This Row],[Track ID]],4))</f>
        <v>33</v>
      </c>
      <c r="AB344" s="78"/>
      <c r="AG344" s="10"/>
      <c r="AH344" s="10"/>
      <c r="AJ344" s="1"/>
    </row>
    <row r="345" spans="5:36" ht="12.75" x14ac:dyDescent="0.2">
      <c r="E345" s="74">
        <v>45848.291666666664</v>
      </c>
      <c r="F345" s="107" t="s">
        <v>273</v>
      </c>
      <c r="G345" s="142">
        <v>51898.59730703551</v>
      </c>
      <c r="H345" s="142">
        <v>159191.85847321845</v>
      </c>
      <c r="I345" s="142">
        <v>18.863981116658643</v>
      </c>
      <c r="J345" s="142">
        <v>51898.232506877735</v>
      </c>
      <c r="K345" s="142">
        <v>159190.59656196376</v>
      </c>
      <c r="L345" s="142">
        <v>18.859136441623029</v>
      </c>
      <c r="M345" s="145">
        <v>4.8446750356134771E-3</v>
      </c>
      <c r="N345" s="145">
        <v>1.3135915045089195</v>
      </c>
      <c r="O345" s="145">
        <v>9.5857029544177408E-4</v>
      </c>
      <c r="P345" s="145">
        <v>1.1164764840039254E-3</v>
      </c>
      <c r="Q3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-0.43318840122452684</v>
      </c>
      <c r="R3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0.34833760557417826</v>
      </c>
      <c r="S3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-0.80470389950448862</v>
      </c>
      <c r="T3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0.231345361918045</v>
      </c>
      <c r="U3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-4.3501158310021992E-4</v>
      </c>
      <c r="V3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-2.23949446170435E-4</v>
      </c>
      <c r="W3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-1.1210034415825021E-3</v>
      </c>
      <c r="X3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-4.3468199324436796E-4</v>
      </c>
      <c r="Y345" s="162" t="str">
        <f>ReportSummary___Track[[#This Row],[Track ID]]&amp;"-"&amp;ReportSummary___Track[[#This Row],[Epoch]]</f>
        <v>250-RL-OP-0034-45848.2916666667</v>
      </c>
      <c r="Z345" s="126">
        <f>SUBTOTAL(103,ReportSummary___Track[[#This Row],[Track ID]])</f>
        <v>1</v>
      </c>
      <c r="AA345" s="114">
        <f>_xlfn.NUMBERVALUE(RIGHT(ReportSummary___Track[[#This Row],[Track ID]],4))</f>
        <v>34</v>
      </c>
      <c r="AB345" s="78"/>
      <c r="AG345" s="10"/>
      <c r="AH345" s="10"/>
      <c r="AJ345" s="1"/>
    </row>
    <row r="346" spans="5:36" ht="12.75" x14ac:dyDescent="0.2">
      <c r="E346" s="74">
        <v>45848.291666666664</v>
      </c>
      <c r="F346" s="107" t="s">
        <v>274</v>
      </c>
      <c r="G346" s="142">
        <v>51899.557752903464</v>
      </c>
      <c r="H346" s="142">
        <v>159191.5833935751</v>
      </c>
      <c r="I346" s="142">
        <v>18.865000000000002</v>
      </c>
      <c r="J346" s="142">
        <v>51899.202476814404</v>
      </c>
      <c r="K346" s="142">
        <v>159190.32163601517</v>
      </c>
      <c r="L346" s="142">
        <v>18.859716198561138</v>
      </c>
      <c r="M346" s="145">
        <v>5.2838014388640886E-3</v>
      </c>
      <c r="N346" s="145">
        <v>1.310832238714305</v>
      </c>
      <c r="O346" s="145">
        <v>1.0819942872473121E-3</v>
      </c>
      <c r="P346" s="145">
        <v>2.0582884522859501E-3</v>
      </c>
      <c r="Q3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-0.938760544091366</v>
      </c>
      <c r="R3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-3.7574835791698291E-3</v>
      </c>
      <c r="S3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-1.8895499296398555</v>
      </c>
      <c r="T3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4.1816609321898568E-2</v>
      </c>
      <c r="U3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-9.3845355827681942E-4</v>
      </c>
      <c r="V3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-6.5383918634487337E-4</v>
      </c>
      <c r="W3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-1.889184917825304E-3</v>
      </c>
      <c r="X3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-9.4026882652542554E-4</v>
      </c>
      <c r="Y346" s="162" t="str">
        <f>ReportSummary___Track[[#This Row],[Track ID]]&amp;"-"&amp;ReportSummary___Track[[#This Row],[Epoch]]</f>
        <v>250-RL-OP-0035-45848.2916666667</v>
      </c>
      <c r="Z346" s="126">
        <f>SUBTOTAL(103,ReportSummary___Track[[#This Row],[Track ID]])</f>
        <v>1</v>
      </c>
      <c r="AA346" s="114">
        <f>_xlfn.NUMBERVALUE(RIGHT(ReportSummary___Track[[#This Row],[Track ID]],4))</f>
        <v>35</v>
      </c>
      <c r="AB346" s="78"/>
      <c r="AG346" s="10"/>
      <c r="AH346" s="10"/>
      <c r="AJ346" s="1"/>
    </row>
    <row r="347" spans="5:36" ht="12.75" x14ac:dyDescent="0.2">
      <c r="E347" s="74">
        <v>45848.291666666664</v>
      </c>
      <c r="F347" s="107" t="s">
        <v>275</v>
      </c>
      <c r="G347" s="142">
        <v>51900.520801492021</v>
      </c>
      <c r="H347" s="142">
        <v>159191.31406586381</v>
      </c>
      <c r="I347" s="142">
        <v>18.865000000000002</v>
      </c>
      <c r="J347" s="142">
        <v>51900.165059736093</v>
      </c>
      <c r="K347" s="142">
        <v>159190.05065048055</v>
      </c>
      <c r="L347" s="142">
        <v>18.858736968732359</v>
      </c>
      <c r="M347" s="145">
        <v>6.2630312676432709E-3</v>
      </c>
      <c r="N347" s="145">
        <v>1.3125585141756928</v>
      </c>
      <c r="O347" s="145">
        <v>1.7397901740281441E-3</v>
      </c>
      <c r="P347" s="145">
        <v>2.7072224042683501E-3</v>
      </c>
      <c r="Q3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-0.61249812583241692</v>
      </c>
      <c r="R3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4.4707579680558496E-3</v>
      </c>
      <c r="S3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-0.87129861799439823</v>
      </c>
      <c r="T3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-0.30796729826576552</v>
      </c>
      <c r="U3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-6.0630359430291492E-4</v>
      </c>
      <c r="V3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-4.2692006803046745E-4</v>
      </c>
      <c r="W3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-8.6416348252882358E-4</v>
      </c>
      <c r="X3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-9.5020715766835906E-4</v>
      </c>
      <c r="Y347" s="162" t="str">
        <f>ReportSummary___Track[[#This Row],[Track ID]]&amp;"-"&amp;ReportSummary___Track[[#This Row],[Epoch]]</f>
        <v>250-RL-OP-0036-45848.2916666667</v>
      </c>
      <c r="Z347" s="126">
        <f>SUBTOTAL(103,ReportSummary___Track[[#This Row],[Track ID]])</f>
        <v>1</v>
      </c>
      <c r="AA347" s="114">
        <f>_xlfn.NUMBERVALUE(RIGHT(ReportSummary___Track[[#This Row],[Track ID]],4))</f>
        <v>36</v>
      </c>
      <c r="AB347" s="78"/>
      <c r="AG347" s="10"/>
      <c r="AH347" s="10"/>
      <c r="AJ347" s="1"/>
    </row>
    <row r="348" spans="5:36" ht="12.75" x14ac:dyDescent="0.2">
      <c r="E348" s="74">
        <v>45848.291666666664</v>
      </c>
      <c r="F348" s="107" t="s">
        <v>276</v>
      </c>
      <c r="G348" s="142">
        <v>51901.483850080585</v>
      </c>
      <c r="H348" s="142">
        <v>159191.04473815253</v>
      </c>
      <c r="I348" s="142">
        <v>18.864999999999998</v>
      </c>
      <c r="J348" s="142">
        <v>51901.127642657782</v>
      </c>
      <c r="K348" s="142">
        <v>159189.77966494591</v>
      </c>
      <c r="L348" s="142">
        <v>18.857757738903583</v>
      </c>
      <c r="M348" s="145">
        <v>7.2422610964153478E-3</v>
      </c>
      <c r="N348" s="145">
        <v>1.3142855079951454</v>
      </c>
      <c r="O348" s="145">
        <v>2.3975860608018706E-3</v>
      </c>
      <c r="P348" s="145">
        <v>3.3561563562436447E-3</v>
      </c>
      <c r="Q3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-0.28623570757702055</v>
      </c>
      <c r="R3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1.3101402188020472E-2</v>
      </c>
      <c r="S3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0.14695269364750629</v>
      </c>
      <c r="T3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-0.65775120585698232</v>
      </c>
      <c r="U3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-2.7415363032901041E-4</v>
      </c>
      <c r="V3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-1.995937877401488E-4</v>
      </c>
      <c r="W3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1.6085795277120951E-4</v>
      </c>
      <c r="X3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-9.6014548881129258E-4</v>
      </c>
      <c r="Y348" s="162" t="str">
        <f>ReportSummary___Track[[#This Row],[Track ID]]&amp;"-"&amp;ReportSummary___Track[[#This Row],[Epoch]]</f>
        <v>250-RL-OP-0037-45848.2916666667</v>
      </c>
      <c r="Z348" s="126">
        <f>SUBTOTAL(103,ReportSummary___Track[[#This Row],[Track ID]])</f>
        <v>1</v>
      </c>
      <c r="AA348" s="114">
        <f>_xlfn.NUMBERVALUE(RIGHT(ReportSummary___Track[[#This Row],[Track ID]],4))</f>
        <v>37</v>
      </c>
      <c r="AB348" s="78"/>
      <c r="AG348" s="10"/>
      <c r="AH348" s="10"/>
      <c r="AJ348" s="1"/>
    </row>
    <row r="349" spans="5:36" ht="12.75" x14ac:dyDescent="0.2">
      <c r="E349" s="74">
        <v>45848.291666666664</v>
      </c>
      <c r="F349" s="107" t="s">
        <v>277</v>
      </c>
      <c r="G349" s="142">
        <v>51902.447780924784</v>
      </c>
      <c r="H349" s="142">
        <v>159190.77628572396</v>
      </c>
      <c r="I349" s="142">
        <v>18.865124813901463</v>
      </c>
      <c r="J349" s="142">
        <v>51902.099872443272</v>
      </c>
      <c r="K349" s="142">
        <v>159189.50704742008</v>
      </c>
      <c r="L349" s="142">
        <v>18.8569</v>
      </c>
      <c r="M349" s="145">
        <v>8.22481390146379E-3</v>
      </c>
      <c r="N349" s="145">
        <v>1.3160827599777138</v>
      </c>
      <c r="O349" s="145">
        <v>2.9410124625997014E-3</v>
      </c>
      <c r="P349" s="145">
        <v>4.0230067498470135E-3</v>
      </c>
      <c r="Q3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1.0938077110722588E-5</v>
      </c>
      <c r="R3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5.732857782647649E-2</v>
      </c>
      <c r="S3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0.93877148216847672</v>
      </c>
      <c r="T3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-0.95077844747137874</v>
      </c>
      <c r="U3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3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3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9.3845355827681942E-4</v>
      </c>
      <c r="X3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-9.5073135954848453E-4</v>
      </c>
      <c r="Y349" s="162" t="str">
        <f>ReportSummary___Track[[#This Row],[Track ID]]&amp;"-"&amp;ReportSummary___Track[[#This Row],[Epoch]]</f>
        <v>250-RL-OP-0038-45848.2916666667</v>
      </c>
      <c r="Z349" s="126">
        <f>SUBTOTAL(103,ReportSummary___Track[[#This Row],[Track ID]])</f>
        <v>1</v>
      </c>
      <c r="AA349" s="114">
        <f>_xlfn.NUMBERVALUE(RIGHT(ReportSummary___Track[[#This Row],[Track ID]],4))</f>
        <v>38</v>
      </c>
      <c r="AB349" s="78"/>
      <c r="AG349" s="10"/>
      <c r="AH349" s="10"/>
      <c r="AJ349" s="1"/>
    </row>
    <row r="350" spans="5:36" ht="12.75" x14ac:dyDescent="0.2">
      <c r="E350" s="74">
        <v>45848.291666666664</v>
      </c>
      <c r="F350" s="107" t="s">
        <v>278</v>
      </c>
      <c r="G350" s="142">
        <v>51903.412439340806</v>
      </c>
      <c r="H350" s="142">
        <v>159190.51278306151</v>
      </c>
      <c r="I350" s="142">
        <v>18.86582287822732</v>
      </c>
      <c r="J350" s="142">
        <v>51903.064539433311</v>
      </c>
      <c r="K350" s="142">
        <v>159189.24357522361</v>
      </c>
      <c r="L350" s="142">
        <v>18.8569</v>
      </c>
      <c r="M350" s="145">
        <v>8.9228782273202967E-3</v>
      </c>
      <c r="N350" s="145">
        <v>1.3160556596084765</v>
      </c>
      <c r="O350" s="145">
        <v>2.6598469596770258E-3</v>
      </c>
      <c r="P350" s="145">
        <v>4.3996371337051698E-3</v>
      </c>
      <c r="Q3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7.2112985805006247E-5</v>
      </c>
      <c r="R3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0.37795694380471367</v>
      </c>
      <c r="S3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0.61257023881822192</v>
      </c>
      <c r="T3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-0.2587283791761763</v>
      </c>
      <c r="U3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3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3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6.0630359430291492E-4</v>
      </c>
      <c r="X3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-2.5785988822590866E-4</v>
      </c>
      <c r="Y350" s="162" t="str">
        <f>ReportSummary___Track[[#This Row],[Track ID]]&amp;"-"&amp;ReportSummary___Track[[#This Row],[Epoch]]</f>
        <v>250-RL-OP-0039-45848.2916666667</v>
      </c>
      <c r="Z350" s="126">
        <f>SUBTOTAL(103,ReportSummary___Track[[#This Row],[Track ID]])</f>
        <v>1</v>
      </c>
      <c r="AA350" s="114">
        <f>_xlfn.NUMBERVALUE(RIGHT(ReportSummary___Track[[#This Row],[Track ID]],4))</f>
        <v>39</v>
      </c>
      <c r="AB350" s="78"/>
      <c r="AG350" s="10"/>
      <c r="AH350" s="10"/>
      <c r="AJ350" s="1"/>
    </row>
    <row r="351" spans="5:36" ht="12.75" x14ac:dyDescent="0.2">
      <c r="E351" s="74">
        <v>45848.291666666664</v>
      </c>
      <c r="F351" s="107" t="s">
        <v>279</v>
      </c>
      <c r="G351" s="142">
        <v>51904.37709775682</v>
      </c>
      <c r="H351" s="142">
        <v>159190.24928039906</v>
      </c>
      <c r="I351" s="142">
        <v>18.866520942553176</v>
      </c>
      <c r="J351" s="142">
        <v>51904.029206423358</v>
      </c>
      <c r="K351" s="142">
        <v>159188.9801030271</v>
      </c>
      <c r="L351" s="142">
        <v>18.8569</v>
      </c>
      <c r="M351" s="145">
        <v>9.6209425531768034E-3</v>
      </c>
      <c r="N351" s="145">
        <v>1.3160289297424979</v>
      </c>
      <c r="O351" s="145">
        <v>2.3786814567614556E-3</v>
      </c>
      <c r="P351" s="145">
        <v>4.7762675175633262E-3</v>
      </c>
      <c r="Q3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1.3328789805200358E-4</v>
      </c>
      <c r="R3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0.6985829528567411</v>
      </c>
      <c r="S3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0.28636899547507255</v>
      </c>
      <c r="T3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0.43332168912257885</v>
      </c>
      <c r="U3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3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3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2.7415363032901041E-4</v>
      </c>
      <c r="X3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4.3501158310021992E-4</v>
      </c>
      <c r="Y351" s="162" t="str">
        <f>ReportSummary___Track[[#This Row],[Track ID]]&amp;"-"&amp;ReportSummary___Track[[#This Row],[Epoch]]</f>
        <v>250-RL-OP-0040-45848.2916666667</v>
      </c>
      <c r="Z351" s="126">
        <f>SUBTOTAL(103,ReportSummary___Track[[#This Row],[Track ID]])</f>
        <v>1</v>
      </c>
      <c r="AA351" s="114">
        <f>_xlfn.NUMBERVALUE(RIGHT(ReportSummary___Track[[#This Row],[Track ID]],4))</f>
        <v>40</v>
      </c>
      <c r="AB351" s="78"/>
      <c r="AG351" s="10"/>
      <c r="AH351" s="10"/>
      <c r="AJ351" s="1"/>
    </row>
    <row r="352" spans="5:36" ht="12.75" x14ac:dyDescent="0.2">
      <c r="E352" s="74">
        <v>45848.291666666664</v>
      </c>
      <c r="F352" s="107" t="s">
        <v>280</v>
      </c>
      <c r="G352" s="142">
        <v>51905.341841450259</v>
      </c>
      <c r="H352" s="142">
        <v>159189.98717913547</v>
      </c>
      <c r="I352" s="142">
        <v>18.867392406740745</v>
      </c>
      <c r="J352" s="142">
        <v>51905.003861376892</v>
      </c>
      <c r="K352" s="142">
        <v>159188.71499131437</v>
      </c>
      <c r="L352" s="142">
        <v>18.857104705007345</v>
      </c>
      <c r="M352" s="145">
        <v>1.0287701733400212E-2</v>
      </c>
      <c r="N352" s="145">
        <v>1.3163579372492435</v>
      </c>
      <c r="O352" s="145">
        <v>2.0628878319364219E-3</v>
      </c>
      <c r="P352" s="145">
        <v>5.0039002945361233E-3</v>
      </c>
      <c r="Q3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-1.8847064353622045E-5</v>
      </c>
      <c r="R3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0.91816394749599795</v>
      </c>
      <c r="S3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-2.9785141464344633E-5</v>
      </c>
      <c r="T3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0.93874169702701238</v>
      </c>
      <c r="U3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-7.1051371008934439E-8</v>
      </c>
      <c r="V3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1.278506827873116E-5</v>
      </c>
      <c r="W3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-7.1051371008934439E-8</v>
      </c>
      <c r="X3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9.3838250690581049E-4</v>
      </c>
      <c r="Y352" s="162" t="str">
        <f>ReportSummary___Track[[#This Row],[Track ID]]&amp;"-"&amp;ReportSummary___Track[[#This Row],[Epoch]]</f>
        <v>250-RL-OP-0041-45848.2916666667</v>
      </c>
      <c r="Z352" s="126">
        <f>SUBTOTAL(103,ReportSummary___Track[[#This Row],[Track ID]])</f>
        <v>1</v>
      </c>
      <c r="AA352" s="114">
        <f>_xlfn.NUMBERVALUE(RIGHT(ReportSummary___Track[[#This Row],[Track ID]],4))</f>
        <v>41</v>
      </c>
      <c r="AB352" s="78"/>
      <c r="AG352" s="10"/>
      <c r="AH352" s="10"/>
      <c r="AJ352" s="1"/>
    </row>
    <row r="353" spans="5:36" ht="12.75" x14ac:dyDescent="0.2">
      <c r="E353" s="74">
        <v>45848.291666666664</v>
      </c>
      <c r="F353" s="107" t="s">
        <v>281</v>
      </c>
      <c r="G353" s="142">
        <v>51906.308594977025</v>
      </c>
      <c r="H353" s="142">
        <v>159189.73147487876</v>
      </c>
      <c r="I353" s="142">
        <v>18.869110425193991</v>
      </c>
      <c r="J353" s="142">
        <v>51905.970489987638</v>
      </c>
      <c r="K353" s="142">
        <v>159188.45881371963</v>
      </c>
      <c r="L353" s="142">
        <v>18.858577402901904</v>
      </c>
      <c r="M353" s="145">
        <v>1.0533022292086969E-2</v>
      </c>
      <c r="N353" s="145">
        <v>1.3168494045934811</v>
      </c>
      <c r="O353" s="145">
        <v>1.610144064766672E-3</v>
      </c>
      <c r="P353" s="145">
        <v>4.2699910244436978E-3</v>
      </c>
      <c r="Q3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-1.5443748324628359E-4</v>
      </c>
      <c r="R3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0.57099666831272877</v>
      </c>
      <c r="S3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-2.2655046905128984E-4</v>
      </c>
      <c r="T3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0.61234368834917063</v>
      </c>
      <c r="U3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-5.8221229437549482E-7</v>
      </c>
      <c r="V3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1.0476375344681266E-4</v>
      </c>
      <c r="W3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-5.8221229437549482E-7</v>
      </c>
      <c r="X3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6.0572138200853942E-4</v>
      </c>
      <c r="Y353" s="162" t="str">
        <f>ReportSummary___Track[[#This Row],[Track ID]]&amp;"-"&amp;ReportSummary___Track[[#This Row],[Epoch]]</f>
        <v>250-RL-OP-0042-45848.2916666667</v>
      </c>
      <c r="Z353" s="126">
        <f>SUBTOTAL(103,ReportSummary___Track[[#This Row],[Track ID]])</f>
        <v>1</v>
      </c>
      <c r="AA353" s="114">
        <f>_xlfn.NUMBERVALUE(RIGHT(ReportSummary___Track[[#This Row],[Track ID]],4))</f>
        <v>42</v>
      </c>
      <c r="AB353" s="78"/>
      <c r="AG353" s="10"/>
      <c r="AH353" s="10"/>
      <c r="AJ353" s="1"/>
    </row>
    <row r="354" spans="5:36" ht="12.75" x14ac:dyDescent="0.2">
      <c r="E354" s="74">
        <v>45848.291666666664</v>
      </c>
      <c r="F354" s="107" t="s">
        <v>282</v>
      </c>
      <c r="G354" s="142">
        <v>51907.275348503783</v>
      </c>
      <c r="H354" s="142">
        <v>159189.47577062206</v>
      </c>
      <c r="I354" s="142">
        <v>18.870828443647241</v>
      </c>
      <c r="J354" s="142">
        <v>51906.937118598384</v>
      </c>
      <c r="K354" s="142">
        <v>159188.20263612489</v>
      </c>
      <c r="L354" s="142">
        <v>18.860050100796464</v>
      </c>
      <c r="M354" s="145">
        <v>1.0778342850777278E-2</v>
      </c>
      <c r="N354" s="145">
        <v>1.3173409161878222</v>
      </c>
      <c r="O354" s="145">
        <v>1.1574002976004749E-3</v>
      </c>
      <c r="P354" s="145">
        <v>3.5360817543619305E-3</v>
      </c>
      <c r="Q3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-2.9002789858623146E-4</v>
      </c>
      <c r="R3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0.22383036219686403</v>
      </c>
      <c r="S3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-4.2331579663823504E-4</v>
      </c>
      <c r="T3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0.28594567967843432</v>
      </c>
      <c r="U3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-1.0933732177420552E-6</v>
      </c>
      <c r="V3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1.9674197882402211E-4</v>
      </c>
      <c r="W3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-1.0933732177420552E-6</v>
      </c>
      <c r="X3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2.7306025711126836E-4</v>
      </c>
      <c r="Y354" s="162" t="str">
        <f>ReportSummary___Track[[#This Row],[Track ID]]&amp;"-"&amp;ReportSummary___Track[[#This Row],[Epoch]]</f>
        <v>250-RL-OP-0043-45848.2916666667</v>
      </c>
      <c r="Z354" s="126">
        <f>SUBTOTAL(103,ReportSummary___Track[[#This Row],[Track ID]])</f>
        <v>1</v>
      </c>
      <c r="AA354" s="114">
        <f>_xlfn.NUMBERVALUE(RIGHT(ReportSummary___Track[[#This Row],[Track ID]],4))</f>
        <v>43</v>
      </c>
      <c r="AB354" s="78"/>
      <c r="AG354" s="10"/>
      <c r="AH354" s="10"/>
      <c r="AJ354" s="1"/>
    </row>
    <row r="355" spans="5:36" ht="12.75" x14ac:dyDescent="0.2">
      <c r="E355" s="74">
        <v>45848.291666666664</v>
      </c>
      <c r="F355" s="107" t="s">
        <v>283</v>
      </c>
      <c r="G355" s="142">
        <v>51908.242813030833</v>
      </c>
      <c r="H355" s="142">
        <v>159189.22352574798</v>
      </c>
      <c r="I355" s="142">
        <v>18.872859358535198</v>
      </c>
      <c r="J355" s="142">
        <v>51907.904497607538</v>
      </c>
      <c r="K355" s="142">
        <v>159187.95012580554</v>
      </c>
      <c r="L355" s="142">
        <v>18.861830968912905</v>
      </c>
      <c r="M355" s="145">
        <v>1.1028389622293133E-2</v>
      </c>
      <c r="N355" s="145">
        <v>1.3176214799470443</v>
      </c>
      <c r="O355" s="145">
        <v>7.4068788889292136E-4</v>
      </c>
      <c r="P355" s="145">
        <v>2.8035757208293433E-3</v>
      </c>
      <c r="Q3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-1.3214055627486232E-5</v>
      </c>
      <c r="R3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-2.5618503778357393E-3</v>
      </c>
      <c r="S3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5.633008726135813E-6</v>
      </c>
      <c r="T3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-2.415213273820882E-5</v>
      </c>
      <c r="U3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1.8728397321865486E-7</v>
      </c>
      <c r="V3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1.2959594605010949E-4</v>
      </c>
      <c r="W3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2.583353442275893E-7</v>
      </c>
      <c r="X3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1.8728397321865486E-7</v>
      </c>
      <c r="Y355" s="162" t="str">
        <f>ReportSummary___Track[[#This Row],[Track ID]]&amp;"-"&amp;ReportSummary___Track[[#This Row],[Epoch]]</f>
        <v>250-RL-OP-0044-45848.2916666667</v>
      </c>
      <c r="Z355" s="126">
        <f>SUBTOTAL(103,ReportSummary___Track[[#This Row],[Track ID]])</f>
        <v>1</v>
      </c>
      <c r="AA355" s="114">
        <f>_xlfn.NUMBERVALUE(RIGHT(ReportSummary___Track[[#This Row],[Track ID]],4))</f>
        <v>44</v>
      </c>
      <c r="AB355" s="78"/>
      <c r="AG355" s="10"/>
      <c r="AH355" s="10"/>
      <c r="AJ355" s="1"/>
    </row>
    <row r="356" spans="5:36" ht="12.75" x14ac:dyDescent="0.2">
      <c r="E356" s="74">
        <v>45848.291666666664</v>
      </c>
      <c r="F356" s="107" t="s">
        <v>284</v>
      </c>
      <c r="G356" s="142">
        <v>51909.212341281331</v>
      </c>
      <c r="H356" s="142">
        <v>159188.97856113012</v>
      </c>
      <c r="I356" s="142">
        <v>18.875562593940042</v>
      </c>
      <c r="J356" s="142">
        <v>51908.873769331156</v>
      </c>
      <c r="K356" s="142">
        <v>159187.70414442313</v>
      </c>
      <c r="L356" s="142">
        <v>18.864173045894045</v>
      </c>
      <c r="M356" s="145">
        <v>1.1389548045997344E-2</v>
      </c>
      <c r="N356" s="145">
        <v>1.3186730566392302</v>
      </c>
      <c r="O356" s="145">
        <v>8.5652575391037544E-4</v>
      </c>
      <c r="P356" s="145">
        <v>2.4666698186770475E-3</v>
      </c>
      <c r="Q3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-1.382028216312392E-4</v>
      </c>
      <c r="R3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-1.5824767742866896E-3</v>
      </c>
      <c r="S3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1.6234661615044388E-5</v>
      </c>
      <c r="T3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-2.1031580743624545E-4</v>
      </c>
      <c r="U3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6.9299048988114009E-7</v>
      </c>
      <c r="V3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-2.6027923161264788E-4</v>
      </c>
      <c r="W3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1.2752027842566349E-6</v>
      </c>
      <c r="X3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6.9299048988114009E-7</v>
      </c>
      <c r="Y356" s="162" t="str">
        <f>ReportSummary___Track[[#This Row],[Track ID]]&amp;"-"&amp;ReportSummary___Track[[#This Row],[Epoch]]</f>
        <v>250-RL-OP-0045-45848.2916666667</v>
      </c>
      <c r="Z356" s="126">
        <f>SUBTOTAL(103,ReportSummary___Track[[#This Row],[Track ID]])</f>
        <v>1</v>
      </c>
      <c r="AA356" s="114">
        <f>_xlfn.NUMBERVALUE(RIGHT(ReportSummary___Track[[#This Row],[Track ID]],4))</f>
        <v>45</v>
      </c>
      <c r="AB356" s="78"/>
      <c r="AG356" s="10"/>
      <c r="AH356" s="10"/>
      <c r="AJ356" s="1"/>
    </row>
    <row r="357" spans="5:36" ht="12.75" x14ac:dyDescent="0.2">
      <c r="E357" s="74">
        <v>45848.291666666664</v>
      </c>
      <c r="F357" s="107" t="s">
        <v>285</v>
      </c>
      <c r="G357" s="142">
        <v>51910.181869531829</v>
      </c>
      <c r="H357" s="142">
        <v>159188.73359651223</v>
      </c>
      <c r="I357" s="142">
        <v>18.878265829344887</v>
      </c>
      <c r="J357" s="142">
        <v>51909.843041054766</v>
      </c>
      <c r="K357" s="142">
        <v>159187.45816304075</v>
      </c>
      <c r="L357" s="142">
        <v>18.866515122875185</v>
      </c>
      <c r="M357" s="145">
        <v>1.1750706469701555E-2</v>
      </c>
      <c r="N357" s="145">
        <v>1.3197247274164094</v>
      </c>
      <c r="O357" s="145">
        <v>9.7236361892427681E-4</v>
      </c>
      <c r="P357" s="145">
        <v>2.1297639165247517E-3</v>
      </c>
      <c r="Q3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-2.631915840822785E-4</v>
      </c>
      <c r="R3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-6.0328307860402219E-4</v>
      </c>
      <c r="S3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2.6836314503952963E-5</v>
      </c>
      <c r="T3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-3.9647948213428208E-4</v>
      </c>
      <c r="U3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1.1986970065436253E-6</v>
      </c>
      <c r="V3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-6.5015244505572944E-4</v>
      </c>
      <c r="W3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2.2920702242856805E-6</v>
      </c>
      <c r="X3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1.1986970065436253E-6</v>
      </c>
      <c r="Y357" s="162" t="str">
        <f>ReportSummary___Track[[#This Row],[Track ID]]&amp;"-"&amp;ReportSummary___Track[[#This Row],[Epoch]]</f>
        <v>250-RL-OP-0046-45848.2916666667</v>
      </c>
      <c r="Z357" s="126">
        <f>SUBTOTAL(103,ReportSummary___Track[[#This Row],[Track ID]])</f>
        <v>1</v>
      </c>
      <c r="AA357" s="114">
        <f>_xlfn.NUMBERVALUE(RIGHT(ReportSummary___Track[[#This Row],[Track ID]],4))</f>
        <v>46</v>
      </c>
      <c r="AB357" s="78"/>
      <c r="AG357" s="10"/>
      <c r="AH357" s="10"/>
      <c r="AJ357" s="1"/>
    </row>
    <row r="358" spans="5:36" ht="12.75" x14ac:dyDescent="0.2">
      <c r="E358" s="74">
        <v>45848.291666666664</v>
      </c>
      <c r="F358" s="107" t="s">
        <v>286</v>
      </c>
      <c r="G358" s="142">
        <v>51911.152137387231</v>
      </c>
      <c r="H358" s="142">
        <v>159188.49042629151</v>
      </c>
      <c r="I358" s="142">
        <v>18.881328834015587</v>
      </c>
      <c r="J358" s="142">
        <v>51910.835188304052</v>
      </c>
      <c r="K358" s="142">
        <v>159187.20849995175</v>
      </c>
      <c r="L358" s="142">
        <v>18.869139116386201</v>
      </c>
      <c r="M358" s="145">
        <v>1.2189717629386365E-2</v>
      </c>
      <c r="N358" s="145">
        <v>1.3205833752925955</v>
      </c>
      <c r="O358" s="145">
        <v>1.1613280070932319E-3</v>
      </c>
      <c r="P358" s="145">
        <v>1.9020158959861533E-3</v>
      </c>
      <c r="Q3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2.8856782030572958E-3</v>
      </c>
      <c r="R3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-1.6720578476681069E-2</v>
      </c>
      <c r="S3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2.8988922586847821E-3</v>
      </c>
      <c r="T3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2.9045252674109179E-3</v>
      </c>
      <c r="U3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-7.3965944210385715E-5</v>
      </c>
      <c r="V3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-9.5339308913855447E-4</v>
      </c>
      <c r="W3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-7.4153228183604369E-5</v>
      </c>
      <c r="X3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-7.389489283937678E-5</v>
      </c>
      <c r="Y358" s="162" t="str">
        <f>ReportSummary___Track[[#This Row],[Track ID]]&amp;"-"&amp;ReportSummary___Track[[#This Row],[Epoch]]</f>
        <v>250-RL-OP-0047-45848.2916666667</v>
      </c>
      <c r="Z358" s="126">
        <f>SUBTOTAL(103,ReportSummary___Track[[#This Row],[Track ID]])</f>
        <v>1</v>
      </c>
      <c r="AA358" s="114">
        <f>_xlfn.NUMBERVALUE(RIGHT(ReportSummary___Track[[#This Row],[Track ID]],4))</f>
        <v>47</v>
      </c>
      <c r="AB358" s="78"/>
      <c r="AG358" s="10"/>
      <c r="AH358" s="10"/>
      <c r="AJ358" s="1"/>
    </row>
    <row r="359" spans="5:36" ht="12.75" x14ac:dyDescent="0.2">
      <c r="E359" s="74">
        <v>45848.291666666664</v>
      </c>
      <c r="F359" s="107" t="s">
        <v>287</v>
      </c>
      <c r="G359" s="142">
        <v>51912.123851747907</v>
      </c>
      <c r="H359" s="142">
        <v>159188.25430812963</v>
      </c>
      <c r="I359" s="142">
        <v>18.885735067486102</v>
      </c>
      <c r="J359" s="142">
        <v>51911.806733444027</v>
      </c>
      <c r="K359" s="142">
        <v>159186.97166968035</v>
      </c>
      <c r="L359" s="142">
        <v>18.872524899190594</v>
      </c>
      <c r="M359" s="145">
        <v>1.321016829550814E-2</v>
      </c>
      <c r="N359" s="145">
        <v>1.321325061736623</v>
      </c>
      <c r="O359" s="145">
        <v>1.8206202495107959E-3</v>
      </c>
      <c r="P359" s="145">
        <v>2.6771460034211714E-3</v>
      </c>
      <c r="Q3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4.2013122474315878E-3</v>
      </c>
      <c r="R3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-9.9090643524757382E-2</v>
      </c>
      <c r="S3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4.339515069062827E-3</v>
      </c>
      <c r="T3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4.3557497306778714E-3</v>
      </c>
      <c r="U3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-4.248071951700183E-4</v>
      </c>
      <c r="V3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-8.7437590234951124E-4</v>
      </c>
      <c r="W3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-4.2550018565989944E-4</v>
      </c>
      <c r="X3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-4.2422498287564281E-4</v>
      </c>
      <c r="Y359" s="162" t="str">
        <f>ReportSummary___Track[[#This Row],[Track ID]]&amp;"-"&amp;ReportSummary___Track[[#This Row],[Epoch]]</f>
        <v>250-RL-OP-0048-45848.2916666667</v>
      </c>
      <c r="Z359" s="126">
        <f>SUBTOTAL(103,ReportSummary___Track[[#This Row],[Track ID]])</f>
        <v>1</v>
      </c>
      <c r="AA359" s="114">
        <f>_xlfn.NUMBERVALUE(RIGHT(ReportSummary___Track[[#This Row],[Track ID]],4))</f>
        <v>48</v>
      </c>
      <c r="AB359" s="78"/>
      <c r="AG359" s="10"/>
      <c r="AH359" s="10"/>
      <c r="AJ359" s="1"/>
    </row>
    <row r="360" spans="5:36" ht="12.75" x14ac:dyDescent="0.2">
      <c r="E360" s="74">
        <v>45848.291666666664</v>
      </c>
      <c r="F360" s="107" t="s">
        <v>288</v>
      </c>
      <c r="G360" s="142">
        <v>51913.095566108583</v>
      </c>
      <c r="H360" s="142">
        <v>159188.01818996778</v>
      </c>
      <c r="I360" s="142">
        <v>18.890141300956618</v>
      </c>
      <c r="J360" s="142">
        <v>51912.77827858401</v>
      </c>
      <c r="K360" s="142">
        <v>159186.73483940892</v>
      </c>
      <c r="L360" s="142">
        <v>18.875910681994984</v>
      </c>
      <c r="M360" s="145">
        <v>1.4230618961633468E-2</v>
      </c>
      <c r="N360" s="145">
        <v>1.3220675250162344</v>
      </c>
      <c r="O360" s="145">
        <v>2.4799124919319127E-3</v>
      </c>
      <c r="P360" s="145">
        <v>3.4522761108561895E-3</v>
      </c>
      <c r="Q3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5.5169462989113072E-3</v>
      </c>
      <c r="R3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-0.18145733530050556</v>
      </c>
      <c r="S3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5.7801378829935857E-3</v>
      </c>
      <c r="T3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5.8069741974975386E-3</v>
      </c>
      <c r="U3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-7.7564844612965089E-4</v>
      </c>
      <c r="V3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-7.9599012730580121E-4</v>
      </c>
      <c r="W3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-7.7684714313619452E-4</v>
      </c>
      <c r="X3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-7.7455507291190884E-4</v>
      </c>
      <c r="Y360" s="162" t="str">
        <f>ReportSummary___Track[[#This Row],[Track ID]]&amp;"-"&amp;ReportSummary___Track[[#This Row],[Epoch]]</f>
        <v>250-RL-OP-0049-45848.2916666667</v>
      </c>
      <c r="Z360" s="126">
        <f>SUBTOTAL(103,ReportSummary___Track[[#This Row],[Track ID]])</f>
        <v>1</v>
      </c>
      <c r="AA360" s="114">
        <f>_xlfn.NUMBERVALUE(RIGHT(ReportSummary___Track[[#This Row],[Track ID]],4))</f>
        <v>49</v>
      </c>
      <c r="AB360" s="78"/>
      <c r="AG360" s="10"/>
      <c r="AH360" s="10"/>
      <c r="AJ360" s="1"/>
    </row>
    <row r="361" spans="5:36" ht="12.75" x14ac:dyDescent="0.2">
      <c r="E361" s="74">
        <v>45841.243055555555</v>
      </c>
      <c r="F361" s="107" t="s">
        <v>235</v>
      </c>
      <c r="G361" s="142">
        <v>51886.101888003854</v>
      </c>
      <c r="H361" s="142">
        <v>159195.44468170899</v>
      </c>
      <c r="I361" s="142">
        <v>18.86977464079656</v>
      </c>
      <c r="J361" s="142">
        <v>51885.743029345111</v>
      </c>
      <c r="K361" s="142">
        <v>159194.18588072801</v>
      </c>
      <c r="L361" s="142">
        <v>18.86578752268592</v>
      </c>
      <c r="M361" s="145">
        <v>3.9871181106398978E-3</v>
      </c>
      <c r="N361" s="145">
        <v>1.308959641773765</v>
      </c>
      <c r="O361" s="145"/>
      <c r="P361" s="145"/>
      <c r="Q3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-0.28164663535434897</v>
      </c>
      <c r="R3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-1.1585346136446795</v>
      </c>
      <c r="S36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6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4.7019078408538917E-8</v>
      </c>
      <c r="V3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-4.6700734172056002E-4</v>
      </c>
      <c r="W36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6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61" s="162" t="str">
        <f>ReportSummary___Track[[#This Row],[Track ID]]&amp;"-"&amp;ReportSummary___Track[[#This Row],[Epoch]]</f>
        <v>250-RL-OP-0021-45841.2430555556</v>
      </c>
      <c r="Z361" s="126">
        <f>SUBTOTAL(103,ReportSummary___Track[[#This Row],[Track ID]])</f>
        <v>1</v>
      </c>
      <c r="AA361" s="114">
        <f>_xlfn.NUMBERVALUE(RIGHT(ReportSummary___Track[[#This Row],[Track ID]],4))</f>
        <v>21</v>
      </c>
      <c r="AB361" s="78"/>
      <c r="AG361" s="10"/>
      <c r="AH361" s="10"/>
      <c r="AJ361" s="1"/>
    </row>
    <row r="362" spans="5:36" ht="12.75" x14ac:dyDescent="0.2">
      <c r="E362" s="74">
        <v>45841.243055555555</v>
      </c>
      <c r="F362" s="107" t="s">
        <v>236</v>
      </c>
      <c r="G362" s="142">
        <v>51887.0635346048</v>
      </c>
      <c r="H362" s="142">
        <v>159195.1703903708</v>
      </c>
      <c r="I362" s="142">
        <v>18.869497718698447</v>
      </c>
      <c r="J362" s="142">
        <v>51886.704122307987</v>
      </c>
      <c r="K362" s="142">
        <v>159193.90965564147</v>
      </c>
      <c r="L362" s="142">
        <v>18.865652333606498</v>
      </c>
      <c r="M362" s="145">
        <v>3.845385091949538E-3</v>
      </c>
      <c r="N362" s="145">
        <v>1.3109706494842224</v>
      </c>
      <c r="O362" s="145"/>
      <c r="P362" s="145"/>
      <c r="Q3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-0.62773617074896038</v>
      </c>
      <c r="R3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-1.0581636108637493</v>
      </c>
      <c r="S36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6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1.0353239687788118E-7</v>
      </c>
      <c r="V3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-6.9837707747311129E-4</v>
      </c>
      <c r="W36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6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62" s="162" t="str">
        <f>ReportSummary___Track[[#This Row],[Track ID]]&amp;"-"&amp;ReportSummary___Track[[#This Row],[Epoch]]</f>
        <v>250-RL-OP-0022-45841.2430555556</v>
      </c>
      <c r="Z362" s="126">
        <f>SUBTOTAL(103,ReportSummary___Track[[#This Row],[Track ID]])</f>
        <v>1</v>
      </c>
      <c r="AA362" s="114">
        <f>_xlfn.NUMBERVALUE(RIGHT(ReportSummary___Track[[#This Row],[Track ID]],4))</f>
        <v>22</v>
      </c>
      <c r="AB362" s="78"/>
      <c r="AG362" s="10"/>
      <c r="AH362" s="10"/>
      <c r="AJ362" s="1"/>
    </row>
    <row r="363" spans="5:36" ht="12.75" x14ac:dyDescent="0.2">
      <c r="E363" s="74">
        <v>45841.243055555555</v>
      </c>
      <c r="F363" s="107" t="s">
        <v>237</v>
      </c>
      <c r="G363" s="142">
        <v>51888.025181205747</v>
      </c>
      <c r="H363" s="142">
        <v>159194.89609903263</v>
      </c>
      <c r="I363" s="142">
        <v>18.869220796600338</v>
      </c>
      <c r="J363" s="142">
        <v>51887.665215270863</v>
      </c>
      <c r="K363" s="142">
        <v>159193.63343055494</v>
      </c>
      <c r="L363" s="142">
        <v>18.865517144527075</v>
      </c>
      <c r="M363" s="145">
        <v>3.7036520732627309E-3</v>
      </c>
      <c r="N363" s="145">
        <v>1.3129816738519859</v>
      </c>
      <c r="O363" s="145"/>
      <c r="P363" s="145"/>
      <c r="Q3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-0.97382570614001907</v>
      </c>
      <c r="R3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-0.95780575840165305</v>
      </c>
      <c r="S36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6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1.6004571534722345E-7</v>
      </c>
      <c r="V3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-9.2974696452219341E-4</v>
      </c>
      <c r="W36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6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63" s="162" t="str">
        <f>ReportSummary___Track[[#This Row],[Track ID]]&amp;"-"&amp;ReportSummary___Track[[#This Row],[Epoch]]</f>
        <v>250-RL-OP-0023-45841.2430555556</v>
      </c>
      <c r="Z363" s="126">
        <f>SUBTOTAL(103,ReportSummary___Track[[#This Row],[Track ID]])</f>
        <v>1</v>
      </c>
      <c r="AA363" s="114">
        <f>_xlfn.NUMBERVALUE(RIGHT(ReportSummary___Track[[#This Row],[Track ID]],4))</f>
        <v>23</v>
      </c>
      <c r="AB363" s="78"/>
      <c r="AG363" s="10"/>
      <c r="AH363" s="10"/>
      <c r="AJ363" s="1"/>
    </row>
    <row r="364" spans="5:36" ht="12.75" x14ac:dyDescent="0.2">
      <c r="E364" s="74">
        <v>45841.243055555555</v>
      </c>
      <c r="F364" s="107" t="s">
        <v>238</v>
      </c>
      <c r="G364" s="142">
        <v>51888.986370874853</v>
      </c>
      <c r="H364" s="142">
        <v>159194.62130361149</v>
      </c>
      <c r="I364" s="142">
        <v>18.868826181781611</v>
      </c>
      <c r="J364" s="142">
        <v>51888.624024403252</v>
      </c>
      <c r="K364" s="142">
        <v>159193.35679661779</v>
      </c>
      <c r="L364" s="142">
        <v>18.864752372254646</v>
      </c>
      <c r="M364" s="145">
        <v>4.0738095269645669E-3</v>
      </c>
      <c r="N364" s="145">
        <v>1.3154046900169383</v>
      </c>
      <c r="O364" s="145">
        <v>8.6691416324669035E-5</v>
      </c>
      <c r="P364" s="145"/>
      <c r="Q3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-0.68861203211412203</v>
      </c>
      <c r="R3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-0.36473931487757127</v>
      </c>
      <c r="S3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-0.40696539675977306</v>
      </c>
      <c r="T36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1.2301197223507643E-5</v>
      </c>
      <c r="V3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-3.7447075141217034E-4</v>
      </c>
      <c r="W3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1.2254178145099104E-5</v>
      </c>
      <c r="X36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64" s="162" t="str">
        <f>ReportSummary___Track[[#This Row],[Track ID]]&amp;"-"&amp;ReportSummary___Track[[#This Row],[Epoch]]</f>
        <v>250-RL-OP-0024-45841.2430555556</v>
      </c>
      <c r="Z364" s="126">
        <f>SUBTOTAL(103,ReportSummary___Track[[#This Row],[Track ID]])</f>
        <v>1</v>
      </c>
      <c r="AA364" s="114">
        <f>_xlfn.NUMBERVALUE(RIGHT(ReportSummary___Track[[#This Row],[Track ID]],4))</f>
        <v>24</v>
      </c>
      <c r="AB364" s="78"/>
      <c r="AG364" s="10"/>
      <c r="AH364" s="10"/>
      <c r="AJ364" s="1"/>
    </row>
    <row r="365" spans="5:36" ht="12.75" x14ac:dyDescent="0.2">
      <c r="E365" s="74">
        <v>45841.243055555555</v>
      </c>
      <c r="F365" s="107" t="s">
        <v>239</v>
      </c>
      <c r="G365" s="142">
        <v>51889.947836238091</v>
      </c>
      <c r="H365" s="142">
        <v>159194.34637781818</v>
      </c>
      <c r="I365" s="142">
        <v>18.868421879144371</v>
      </c>
      <c r="J365" s="142">
        <v>51889.584791712696</v>
      </c>
      <c r="K365" s="142">
        <v>159193.07944225875</v>
      </c>
      <c r="L365" s="142">
        <v>18.863894115171242</v>
      </c>
      <c r="M365" s="145">
        <v>4.5277639731295949E-3</v>
      </c>
      <c r="N365" s="145">
        <v>1.3179330558887703</v>
      </c>
      <c r="O365" s="145">
        <v>6.8237888118005685E-4</v>
      </c>
      <c r="P365" s="145"/>
      <c r="Q3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-0.35183075601352698</v>
      </c>
      <c r="R3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0.28406557180682412</v>
      </c>
      <c r="S3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0.2759054147354334</v>
      </c>
      <c r="T36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5.7344661463787361E-6</v>
      </c>
      <c r="V3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2.7927940611638391E-4</v>
      </c>
      <c r="W3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5.6309337495008549E-6</v>
      </c>
      <c r="X36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65" s="162" t="str">
        <f>ReportSummary___Track[[#This Row],[Track ID]]&amp;"-"&amp;ReportSummary___Track[[#This Row],[Epoch]]</f>
        <v>250-RL-OP-0025-45841.2430555556</v>
      </c>
      <c r="Z365" s="126">
        <f>SUBTOTAL(103,ReportSummary___Track[[#This Row],[Track ID]])</f>
        <v>1</v>
      </c>
      <c r="AA365" s="114">
        <f>_xlfn.NUMBERVALUE(RIGHT(ReportSummary___Track[[#This Row],[Track ID]],4))</f>
        <v>25</v>
      </c>
      <c r="AB365" s="78"/>
      <c r="AG365" s="10"/>
      <c r="AH365" s="10"/>
      <c r="AJ365" s="1"/>
    </row>
    <row r="366" spans="5:36" ht="12.75" x14ac:dyDescent="0.2">
      <c r="E366" s="74">
        <v>45841.243055555555</v>
      </c>
      <c r="F366" s="107" t="s">
        <v>240</v>
      </c>
      <c r="G366" s="142">
        <v>51890.909301601328</v>
      </c>
      <c r="H366" s="142">
        <v>159194.07145202486</v>
      </c>
      <c r="I366" s="142">
        <v>18.868017576507135</v>
      </c>
      <c r="J366" s="142">
        <v>51890.545559022146</v>
      </c>
      <c r="K366" s="142">
        <v>159192.80208789968</v>
      </c>
      <c r="L366" s="142">
        <v>18.863035858087837</v>
      </c>
      <c r="M366" s="145">
        <v>4.9817184192981756E-3</v>
      </c>
      <c r="N366" s="145">
        <v>1.3204615722273496</v>
      </c>
      <c r="O366" s="145">
        <v>1.2780663460354447E-3</v>
      </c>
      <c r="P366" s="145"/>
      <c r="Q3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-1.5049479909379215E-2</v>
      </c>
      <c r="R3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0.9330116781414155</v>
      </c>
      <c r="S3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0.95877622623063985</v>
      </c>
      <c r="T36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-8.3226493075017061E-7</v>
      </c>
      <c r="V3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9.3302353994828557E-4</v>
      </c>
      <c r="W3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-9.9231064609739406E-7</v>
      </c>
      <c r="X36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66" s="162" t="str">
        <f>ReportSummary___Track[[#This Row],[Track ID]]&amp;"-"&amp;ReportSummary___Track[[#This Row],[Epoch]]</f>
        <v>250-RL-OP-0026-45841.2430555556</v>
      </c>
      <c r="Z366" s="126">
        <f>SUBTOTAL(103,ReportSummary___Track[[#This Row],[Track ID]])</f>
        <v>1</v>
      </c>
      <c r="AA366" s="114">
        <f>_xlfn.NUMBERVALUE(RIGHT(ReportSummary___Track[[#This Row],[Track ID]],4))</f>
        <v>26</v>
      </c>
      <c r="AB366" s="78"/>
      <c r="AG366" s="10"/>
      <c r="AH366" s="10"/>
      <c r="AJ366" s="1"/>
    </row>
    <row r="367" spans="5:36" ht="12.75" x14ac:dyDescent="0.2">
      <c r="E367" s="74">
        <v>45841.243055555555</v>
      </c>
      <c r="F367" s="107" t="s">
        <v>241</v>
      </c>
      <c r="G367" s="142">
        <v>51891.869997674046</v>
      </c>
      <c r="H367" s="142">
        <v>159193.79503821288</v>
      </c>
      <c r="I367" s="142">
        <v>18.865661670375356</v>
      </c>
      <c r="J367" s="142">
        <v>51891.504353461787</v>
      </c>
      <c r="K367" s="142">
        <v>159192.52590810764</v>
      </c>
      <c r="L367" s="142">
        <v>18.861283132921656</v>
      </c>
      <c r="M367" s="145">
        <v>4.3785374537002042E-3</v>
      </c>
      <c r="N367" s="145">
        <v>1.3207596623063118</v>
      </c>
      <c r="O367" s="145">
        <v>3.0472792673563731E-4</v>
      </c>
      <c r="P367" s="145">
        <v>3.9141934306030635E-4</v>
      </c>
      <c r="Q3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3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0.55873458931010589</v>
      </c>
      <c r="S3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0.36420316428120714</v>
      </c>
      <c r="T3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-4.276223247856592E-2</v>
      </c>
      <c r="U3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3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6.4435737983714603E-4</v>
      </c>
      <c r="W3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-1.2078553691452498E-5</v>
      </c>
      <c r="X3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1.7562445364660562E-7</v>
      </c>
      <c r="Y367" s="162" t="str">
        <f>ReportSummary___Track[[#This Row],[Track ID]]&amp;"-"&amp;ReportSummary___Track[[#This Row],[Epoch]]</f>
        <v>250-RL-OP-0027-45841.2430555556</v>
      </c>
      <c r="Z367" s="126">
        <f>SUBTOTAL(103,ReportSummary___Track[[#This Row],[Track ID]])</f>
        <v>1</v>
      </c>
      <c r="AA367" s="114">
        <f>_xlfn.NUMBERVALUE(RIGHT(ReportSummary___Track[[#This Row],[Track ID]],4))</f>
        <v>27</v>
      </c>
      <c r="AB367" s="78"/>
      <c r="AG367" s="10"/>
      <c r="AH367" s="10"/>
      <c r="AJ367" s="1"/>
    </row>
    <row r="368" spans="5:36" ht="12.75" x14ac:dyDescent="0.2">
      <c r="E368" s="74">
        <v>45841.243055555555</v>
      </c>
      <c r="F368" s="107" t="s">
        <v>242</v>
      </c>
      <c r="G368" s="142">
        <v>51892.83098666594</v>
      </c>
      <c r="H368" s="142">
        <v>159193.51846240537</v>
      </c>
      <c r="I368" s="142">
        <v>18.863216230483452</v>
      </c>
      <c r="J368" s="142">
        <v>51892.465288045249</v>
      </c>
      <c r="K368" s="142">
        <v>159192.24913834574</v>
      </c>
      <c r="L368" s="142">
        <v>18.859487246856443</v>
      </c>
      <c r="M368" s="145">
        <v>3.7289836270097965E-3</v>
      </c>
      <c r="N368" s="145">
        <v>1.3209591041524325</v>
      </c>
      <c r="O368" s="145">
        <v>-7.9878034611979842E-4</v>
      </c>
      <c r="P368" s="145">
        <v>-1.1640146493974157E-4</v>
      </c>
      <c r="Q3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3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0.13832300422134125</v>
      </c>
      <c r="S3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-0.31191793172880011</v>
      </c>
      <c r="T3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-3.6012516993366717E-2</v>
      </c>
      <c r="U3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3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3.1333642655972938E-4</v>
      </c>
      <c r="W3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-5.2789806019859498E-6</v>
      </c>
      <c r="X3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3.5195314751490514E-7</v>
      </c>
      <c r="Y368" s="162" t="str">
        <f>ReportSummary___Track[[#This Row],[Track ID]]&amp;"-"&amp;ReportSummary___Track[[#This Row],[Epoch]]</f>
        <v>250-RL-OP-0028-45841.2430555556</v>
      </c>
      <c r="Z368" s="126">
        <f>SUBTOTAL(103,ReportSummary___Track[[#This Row],[Track ID]])</f>
        <v>1</v>
      </c>
      <c r="AA368" s="114">
        <f>_xlfn.NUMBERVALUE(RIGHT(ReportSummary___Track[[#This Row],[Track ID]],4))</f>
        <v>28</v>
      </c>
      <c r="AB368" s="78"/>
      <c r="AG368" s="10"/>
      <c r="AH368" s="10"/>
      <c r="AJ368" s="1"/>
    </row>
    <row r="369" spans="5:36" ht="12.75" x14ac:dyDescent="0.2">
      <c r="E369" s="74">
        <v>45841.243055555555</v>
      </c>
      <c r="F369" s="107" t="s">
        <v>243</v>
      </c>
      <c r="G369" s="142">
        <v>51893.791838945894</v>
      </c>
      <c r="H369" s="142">
        <v>159193.24190592306</v>
      </c>
      <c r="I369" s="142">
        <v>18.860908806466888</v>
      </c>
      <c r="J369" s="142">
        <v>51893.426692719338</v>
      </c>
      <c r="K369" s="142">
        <v>159191.97223227765</v>
      </c>
      <c r="L369" s="142">
        <v>18.857700906113323</v>
      </c>
      <c r="M369" s="145">
        <v>3.2079003535656625E-3</v>
      </c>
      <c r="N369" s="145">
        <v>1.3211408794063266</v>
      </c>
      <c r="O369" s="145">
        <v>-1.7738180657325131E-3</v>
      </c>
      <c r="P369" s="145">
        <v>-4.9575171969706844E-4</v>
      </c>
      <c r="Q3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-0.99818978642574052</v>
      </c>
      <c r="R3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-0.2577302914359425</v>
      </c>
      <c r="S3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-0.98314030651636131</v>
      </c>
      <c r="T3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-2.4364080285721457E-2</v>
      </c>
      <c r="U3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-1.5797364763869837E-5</v>
      </c>
      <c r="V3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1.6381996200243165E-5</v>
      </c>
      <c r="W3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-1.4965099833119666E-5</v>
      </c>
      <c r="X3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-1.595741047921706E-5</v>
      </c>
      <c r="Y369" s="162" t="str">
        <f>ReportSummary___Track[[#This Row],[Track ID]]&amp;"-"&amp;ReportSummary___Track[[#This Row],[Epoch]]</f>
        <v>250-RL-OP-0029-45841.2430555556</v>
      </c>
      <c r="Z369" s="126">
        <f>SUBTOTAL(103,ReportSummary___Track[[#This Row],[Track ID]])</f>
        <v>1</v>
      </c>
      <c r="AA369" s="114">
        <f>_xlfn.NUMBERVALUE(RIGHT(ReportSummary___Track[[#This Row],[Track ID]],4))</f>
        <v>29</v>
      </c>
      <c r="AB369" s="78"/>
      <c r="AG369" s="10"/>
      <c r="AH369" s="10"/>
      <c r="AJ369" s="1"/>
    </row>
    <row r="370" spans="5:36" ht="12.75" x14ac:dyDescent="0.2">
      <c r="E370" s="74">
        <v>45841.243055555555</v>
      </c>
      <c r="F370" s="107" t="s">
        <v>269</v>
      </c>
      <c r="G370" s="142">
        <v>51894.752729759806</v>
      </c>
      <c r="H370" s="142">
        <v>159192.96497846718</v>
      </c>
      <c r="I370" s="142">
        <v>18.861075912100414</v>
      </c>
      <c r="J370" s="142">
        <v>51894.38758316014</v>
      </c>
      <c r="K370" s="142">
        <v>159191.6953035295</v>
      </c>
      <c r="L370" s="142">
        <v>18.857871870891774</v>
      </c>
      <c r="M370" s="145">
        <v>3.2040412086402625E-3</v>
      </c>
      <c r="N370" s="145">
        <v>1.3211422150903742</v>
      </c>
      <c r="O370" s="145">
        <v>-1.1744962450599417E-3</v>
      </c>
      <c r="P370" s="145">
        <v>-8.6976831832430435E-4</v>
      </c>
      <c r="Q3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-0.6562984823013096</v>
      </c>
      <c r="R3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0.15710127738288726</v>
      </c>
      <c r="S3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-0.33188961446839471</v>
      </c>
      <c r="T3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3.2313549812812425E-2</v>
      </c>
      <c r="U3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-7.8640913692140657E-6</v>
      </c>
      <c r="V3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2.4279015472439269E-4</v>
      </c>
      <c r="W3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-8.0867349012692102E-6</v>
      </c>
      <c r="X3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-2.0165288592721708E-5</v>
      </c>
      <c r="Y370" s="162" t="str">
        <f>ReportSummary___Track[[#This Row],[Track ID]]&amp;"-"&amp;ReportSummary___Track[[#This Row],[Epoch]]</f>
        <v>250-RL-OP-0030-45841.2430555556</v>
      </c>
      <c r="Z370" s="126">
        <f>SUBTOTAL(103,ReportSummary___Track[[#This Row],[Track ID]])</f>
        <v>1</v>
      </c>
      <c r="AA370" s="114">
        <f>_xlfn.NUMBERVALUE(RIGHT(ReportSummary___Track[[#This Row],[Track ID]],4))</f>
        <v>30</v>
      </c>
      <c r="AB370" s="78"/>
      <c r="AG370" s="10"/>
      <c r="AH370" s="10"/>
      <c r="AJ370" s="1"/>
    </row>
    <row r="371" spans="5:36" ht="12.75" x14ac:dyDescent="0.2">
      <c r="E371" s="74">
        <v>45841.243055555555</v>
      </c>
      <c r="F371" s="107" t="s">
        <v>270</v>
      </c>
      <c r="G371" s="142">
        <v>51895.713620573719</v>
      </c>
      <c r="H371" s="142">
        <v>159192.68805101133</v>
      </c>
      <c r="I371" s="142">
        <v>18.861243017733944</v>
      </c>
      <c r="J371" s="142">
        <v>51895.348473600949</v>
      </c>
      <c r="K371" s="142">
        <v>159191.41837478138</v>
      </c>
      <c r="L371" s="142">
        <v>18.858042835670226</v>
      </c>
      <c r="M371" s="145">
        <v>3.2001820637184153E-3</v>
      </c>
      <c r="N371" s="145">
        <v>1.3211435507837024</v>
      </c>
      <c r="O371" s="145">
        <v>-5.2880156329138117E-4</v>
      </c>
      <c r="P371" s="145">
        <v>-1.3275819094111796E-3</v>
      </c>
      <c r="Q3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-0.31440717817332597</v>
      </c>
      <c r="R3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0.57184299044976683</v>
      </c>
      <c r="S3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0.34934150956900112</v>
      </c>
      <c r="T3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3.7423577840201006E-2</v>
      </c>
      <c r="U3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6.9182028994418943E-8</v>
      </c>
      <c r="V3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4.6919825273339377E-4</v>
      </c>
      <c r="W3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-3.8630351539836738E-7</v>
      </c>
      <c r="X3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-5.6652841173843171E-6</v>
      </c>
      <c r="Y371" s="162" t="str">
        <f>ReportSummary___Track[[#This Row],[Track ID]]&amp;"-"&amp;ReportSummary___Track[[#This Row],[Epoch]]</f>
        <v>250-RL-OP-0031-45841.2430555556</v>
      </c>
      <c r="Z371" s="126">
        <f>SUBTOTAL(103,ReportSummary___Track[[#This Row],[Track ID]])</f>
        <v>1</v>
      </c>
      <c r="AA371" s="114">
        <f>_xlfn.NUMBERVALUE(RIGHT(ReportSummary___Track[[#This Row],[Track ID]],4))</f>
        <v>31</v>
      </c>
      <c r="AB371" s="78"/>
      <c r="AG371" s="10"/>
      <c r="AH371" s="10"/>
      <c r="AJ371" s="1"/>
    </row>
    <row r="372" spans="5:36" ht="12.75" x14ac:dyDescent="0.2">
      <c r="E372" s="74">
        <v>45841.243055555555</v>
      </c>
      <c r="F372" s="107" t="s">
        <v>271</v>
      </c>
      <c r="G372" s="142">
        <v>51896.675405970513</v>
      </c>
      <c r="H372" s="142">
        <v>159192.4109081027</v>
      </c>
      <c r="I372" s="142">
        <v>18.861498367389412</v>
      </c>
      <c r="J372" s="142">
        <v>51896.309528737984</v>
      </c>
      <c r="K372" s="142">
        <v>159191.14173461875</v>
      </c>
      <c r="L372" s="142">
        <v>18.85824734462722</v>
      </c>
      <c r="M372" s="145">
        <v>3.2510227621926902E-3</v>
      </c>
      <c r="N372" s="145">
        <v>1.3208626161658641</v>
      </c>
      <c r="O372" s="145">
        <v>4.3122408627027653E-5</v>
      </c>
      <c r="P372" s="145">
        <v>-1.7306956571054855E-3</v>
      </c>
      <c r="Q3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4.9961244030782836E-6</v>
      </c>
      <c r="R3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0.95459950506704416</v>
      </c>
      <c r="S3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0.9981947825501436</v>
      </c>
      <c r="T3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1.5054476033782294E-2</v>
      </c>
      <c r="U3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-5.3029875601851018E-8</v>
      </c>
      <c r="V3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6.7002080272993148E-4</v>
      </c>
      <c r="W3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1.5744334888267986E-5</v>
      </c>
      <c r="X3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7.7923505514831959E-7</v>
      </c>
      <c r="Y372" s="162" t="str">
        <f>ReportSummary___Track[[#This Row],[Track ID]]&amp;"-"&amp;ReportSummary___Track[[#This Row],[Epoch]]</f>
        <v>250-RL-OP-0032-45841.2430555556</v>
      </c>
      <c r="Z372" s="126">
        <f>SUBTOTAL(103,ReportSummary___Track[[#This Row],[Track ID]])</f>
        <v>1</v>
      </c>
      <c r="AA372" s="114">
        <f>_xlfn.NUMBERVALUE(RIGHT(ReportSummary___Track[[#This Row],[Track ID]],4))</f>
        <v>32</v>
      </c>
      <c r="AB372" s="78"/>
      <c r="AG372" s="10"/>
      <c r="AH372" s="10"/>
      <c r="AJ372" s="1"/>
    </row>
    <row r="373" spans="5:36" ht="12.75" x14ac:dyDescent="0.2">
      <c r="E373" s="74">
        <v>45841.243055555555</v>
      </c>
      <c r="F373" s="107" t="s">
        <v>272</v>
      </c>
      <c r="G373" s="142">
        <v>51897.63647866169</v>
      </c>
      <c r="H373" s="142">
        <v>159192.13461708953</v>
      </c>
      <c r="I373" s="142">
        <v>18.863097837135957</v>
      </c>
      <c r="J373" s="142">
        <v>51897.271518069443</v>
      </c>
      <c r="K373" s="142">
        <v>159190.86864821697</v>
      </c>
      <c r="L373" s="142">
        <v>18.858833292983896</v>
      </c>
      <c r="M373" s="145">
        <v>4.2645441520612337E-3</v>
      </c>
      <c r="N373" s="145">
        <v>1.3175323929630547</v>
      </c>
      <c r="O373" s="145">
        <v>1.0605029434209712E-3</v>
      </c>
      <c r="P373" s="145">
        <v>-1.1399330163897048E-4</v>
      </c>
      <c r="Q3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1.0355060808819871E-4</v>
      </c>
      <c r="R3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0.95719959342477345</v>
      </c>
      <c r="S3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0.6564020329093978</v>
      </c>
      <c r="T3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0.32451241844100309</v>
      </c>
      <c r="U3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-8.3705332798444942E-7</v>
      </c>
      <c r="V3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5.2876693972803146E-4</v>
      </c>
      <c r="W3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7.0270380412296163E-6</v>
      </c>
      <c r="X3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-1.059696860039594E-6</v>
      </c>
      <c r="Y373" s="162" t="str">
        <f>ReportSummary___Track[[#This Row],[Track ID]]&amp;"-"&amp;ReportSummary___Track[[#This Row],[Epoch]]</f>
        <v>250-RL-OP-0033-45841.2430555556</v>
      </c>
      <c r="Z373" s="126">
        <f>SUBTOTAL(103,ReportSummary___Track[[#This Row],[Track ID]])</f>
        <v>1</v>
      </c>
      <c r="AA373" s="114">
        <f>_xlfn.NUMBERVALUE(RIGHT(ReportSummary___Track[[#This Row],[Track ID]],4))</f>
        <v>33</v>
      </c>
      <c r="AB373" s="78"/>
      <c r="AG373" s="10"/>
      <c r="AH373" s="10"/>
      <c r="AJ373" s="1"/>
    </row>
    <row r="374" spans="5:36" ht="12.75" x14ac:dyDescent="0.2">
      <c r="E374" s="74">
        <v>45841.243055555555</v>
      </c>
      <c r="F374" s="107" t="s">
        <v>273</v>
      </c>
      <c r="G374" s="142">
        <v>51898.597551352876</v>
      </c>
      <c r="H374" s="142">
        <v>159191.85832607636</v>
      </c>
      <c r="I374" s="142">
        <v>18.864697306882498</v>
      </c>
      <c r="J374" s="142">
        <v>51898.233507400895</v>
      </c>
      <c r="K374" s="142">
        <v>159190.59556181522</v>
      </c>
      <c r="L374" s="142">
        <v>18.859419241340568</v>
      </c>
      <c r="M374" s="145">
        <v>5.2780655419297773E-3</v>
      </c>
      <c r="N374" s="145">
        <v>1.3142029661147632</v>
      </c>
      <c r="O374" s="145">
        <v>2.077883478211362E-3</v>
      </c>
      <c r="P374" s="145">
        <v>1.5490819149199808E-3</v>
      </c>
      <c r="Q3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2.0210509177331915E-4</v>
      </c>
      <c r="R3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0.95979921141786662</v>
      </c>
      <c r="S3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0.31460928326509929</v>
      </c>
      <c r="T3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0.66395079283410041</v>
      </c>
      <c r="U3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-1.6210767839197615E-6</v>
      </c>
      <c r="V3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3.8751215967325336E-4</v>
      </c>
      <c r="W3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-1.6902588129141805E-6</v>
      </c>
      <c r="X3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-2.0765623283125478E-6</v>
      </c>
      <c r="Y374" s="162" t="str">
        <f>ReportSummary___Track[[#This Row],[Track ID]]&amp;"-"&amp;ReportSummary___Track[[#This Row],[Epoch]]</f>
        <v>250-RL-OP-0034-45841.2430555556</v>
      </c>
      <c r="Z374" s="126">
        <f>SUBTOTAL(103,ReportSummary___Track[[#This Row],[Track ID]])</f>
        <v>1</v>
      </c>
      <c r="AA374" s="114">
        <f>_xlfn.NUMBERVALUE(RIGHT(ReportSummary___Track[[#This Row],[Track ID]],4))</f>
        <v>34</v>
      </c>
      <c r="AB374" s="78"/>
      <c r="AG374" s="10"/>
      <c r="AH374" s="10"/>
      <c r="AJ374" s="1"/>
    </row>
    <row r="375" spans="5:36" ht="12.75" x14ac:dyDescent="0.2">
      <c r="E375" s="74">
        <v>45841.243055555555</v>
      </c>
      <c r="F375" s="107" t="s">
        <v>274</v>
      </c>
      <c r="G375" s="142">
        <v>51899.558748421645</v>
      </c>
      <c r="H375" s="142">
        <v>159191.58337759011</v>
      </c>
      <c r="I375" s="142">
        <v>18.865938359785268</v>
      </c>
      <c r="J375" s="142">
        <v>51899.203488344778</v>
      </c>
      <c r="K375" s="142">
        <v>159190.32067680615</v>
      </c>
      <c r="L375" s="142">
        <v>18.859777416319687</v>
      </c>
      <c r="M375" s="145">
        <v>6.1609434655807149E-3</v>
      </c>
      <c r="N375" s="145">
        <v>1.3117396651996405</v>
      </c>
      <c r="O375" s="145">
        <v>2.9099207033880248E-3</v>
      </c>
      <c r="P375" s="145">
        <v>2.9530431120150524E-3</v>
      </c>
      <c r="Q3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-6.1618517374739668E-2</v>
      </c>
      <c r="R3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0.90366900175631315</v>
      </c>
      <c r="S3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-6.1623513499142746E-2</v>
      </c>
      <c r="T3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0.93657126905100085</v>
      </c>
      <c r="U3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-6.1311531560193089E-5</v>
      </c>
      <c r="V3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2.5358729899060961E-4</v>
      </c>
      <c r="W3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-6.1258501684591238E-5</v>
      </c>
      <c r="X3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-4.5514166796323252E-5</v>
      </c>
      <c r="Y375" s="162" t="str">
        <f>ReportSummary___Track[[#This Row],[Track ID]]&amp;"-"&amp;ReportSummary___Track[[#This Row],[Epoch]]</f>
        <v>250-RL-OP-0035-45841.2430555556</v>
      </c>
      <c r="Z375" s="126">
        <f>SUBTOTAL(103,ReportSummary___Track[[#This Row],[Track ID]])</f>
        <v>1</v>
      </c>
      <c r="AA375" s="114">
        <f>_xlfn.NUMBERVALUE(RIGHT(ReportSummary___Track[[#This Row],[Track ID]],4))</f>
        <v>35</v>
      </c>
      <c r="AB375" s="78"/>
      <c r="AG375" s="10"/>
      <c r="AH375" s="10"/>
      <c r="AJ375" s="1"/>
    </row>
    <row r="376" spans="5:36" ht="12.75" x14ac:dyDescent="0.2">
      <c r="E376" s="74">
        <v>45841.243055555555</v>
      </c>
      <c r="F376" s="107" t="s">
        <v>275</v>
      </c>
      <c r="G376" s="142">
        <v>51900.52177282342</v>
      </c>
      <c r="H376" s="142">
        <v>159191.31396361324</v>
      </c>
      <c r="I376" s="142">
        <v>18.865605708869282</v>
      </c>
      <c r="J376" s="142">
        <v>51900.166132696293</v>
      </c>
      <c r="K376" s="142">
        <v>159190.04990859167</v>
      </c>
      <c r="L376" s="142">
        <v>18.859124333313233</v>
      </c>
      <c r="M376" s="145">
        <v>6.4813755560493291E-3</v>
      </c>
      <c r="N376" s="145">
        <v>1.3131477471387785</v>
      </c>
      <c r="O376" s="145">
        <v>2.2168314039880954E-3</v>
      </c>
      <c r="P376" s="145">
        <v>3.2773343474090666E-3</v>
      </c>
      <c r="Q3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-0.39415383742635868</v>
      </c>
      <c r="R3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0.59370372105371771</v>
      </c>
      <c r="S3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-0.39425738803444688</v>
      </c>
      <c r="T3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0.26214464487495093</v>
      </c>
      <c r="U3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-3.8795930589685668E-4</v>
      </c>
      <c r="V3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1.6231289505519442E-4</v>
      </c>
      <c r="W3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-3.8712225256887223E-4</v>
      </c>
      <c r="X3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-3.8009521452764261E-4</v>
      </c>
      <c r="Y376" s="162" t="str">
        <f>ReportSummary___Track[[#This Row],[Track ID]]&amp;"-"&amp;ReportSummary___Track[[#This Row],[Epoch]]</f>
        <v>250-RL-OP-0036-45841.2430555556</v>
      </c>
      <c r="Z376" s="126">
        <f>SUBTOTAL(103,ReportSummary___Track[[#This Row],[Track ID]])</f>
        <v>1</v>
      </c>
      <c r="AA376" s="114">
        <f>_xlfn.NUMBERVALUE(RIGHT(ReportSummary___Track[[#This Row],[Track ID]],4))</f>
        <v>36</v>
      </c>
      <c r="AB376" s="78"/>
      <c r="AG376" s="10"/>
      <c r="AH376" s="10"/>
      <c r="AJ376" s="1"/>
    </row>
    <row r="377" spans="5:36" ht="12.75" x14ac:dyDescent="0.2">
      <c r="E377" s="74">
        <v>45841.243055555555</v>
      </c>
      <c r="F377" s="107" t="s">
        <v>276</v>
      </c>
      <c r="G377" s="142">
        <v>51901.484797225196</v>
      </c>
      <c r="H377" s="142">
        <v>159191.04454963637</v>
      </c>
      <c r="I377" s="142">
        <v>18.865273057953299</v>
      </c>
      <c r="J377" s="142">
        <v>51901.128777047808</v>
      </c>
      <c r="K377" s="142">
        <v>159189.77914037718</v>
      </c>
      <c r="L377" s="142">
        <v>18.858471250306778</v>
      </c>
      <c r="M377" s="145">
        <v>6.8018076465214961E-3</v>
      </c>
      <c r="N377" s="145">
        <v>1.314555903916641</v>
      </c>
      <c r="O377" s="145">
        <v>1.5237421045917188E-3</v>
      </c>
      <c r="P377" s="145">
        <v>3.6016255828030808E-3</v>
      </c>
      <c r="Q3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-0.72668915747087226</v>
      </c>
      <c r="R3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0.28349732368360137</v>
      </c>
      <c r="S3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-0.72689126256264558</v>
      </c>
      <c r="T3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-0.41228197929754629</v>
      </c>
      <c r="U3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-7.1460708022286212E-4</v>
      </c>
      <c r="V3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7.0802133755432095E-5</v>
      </c>
      <c r="W3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-7.1298600343894236E-4</v>
      </c>
      <c r="X3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-7.1467626225185654E-4</v>
      </c>
      <c r="Y377" s="162" t="str">
        <f>ReportSummary___Track[[#This Row],[Track ID]]&amp;"-"&amp;ReportSummary___Track[[#This Row],[Epoch]]</f>
        <v>250-RL-OP-0037-45841.2430555556</v>
      </c>
      <c r="Z377" s="126">
        <f>SUBTOTAL(103,ReportSummary___Track[[#This Row],[Track ID]])</f>
        <v>1</v>
      </c>
      <c r="AA377" s="114">
        <f>_xlfn.NUMBERVALUE(RIGHT(ReportSummary___Track[[#This Row],[Track ID]],4))</f>
        <v>37</v>
      </c>
      <c r="AB377" s="78"/>
      <c r="AG377" s="10"/>
      <c r="AH377" s="10"/>
      <c r="AJ377" s="1"/>
    </row>
    <row r="378" spans="5:36" ht="12.75" x14ac:dyDescent="0.2">
      <c r="E378" s="74">
        <v>45841.243055555555</v>
      </c>
      <c r="F378" s="107" t="s">
        <v>277</v>
      </c>
      <c r="G378" s="142">
        <v>51902.447765809411</v>
      </c>
      <c r="H378" s="142">
        <v>159190.77623042284</v>
      </c>
      <c r="I378" s="142">
        <v>18.865124802963386</v>
      </c>
      <c r="J378" s="142">
        <v>51902.09986111318</v>
      </c>
      <c r="K378" s="142">
        <v>159189.5070059908</v>
      </c>
      <c r="L378" s="142">
        <v>18.857855476208933</v>
      </c>
      <c r="M378" s="145">
        <v>7.2693267544536866E-3</v>
      </c>
      <c r="N378" s="145">
        <v>1.3160627567278085</v>
      </c>
      <c r="O378" s="145">
        <v>1.1083832888729717E-3</v>
      </c>
      <c r="P378" s="145">
        <v>4.0183039922609964E-3</v>
      </c>
      <c r="Q3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-0.95547620893299268</v>
      </c>
      <c r="R3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3.7325327921111651E-2</v>
      </c>
      <c r="S3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-0.89385769155825301</v>
      </c>
      <c r="T3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-0.95548120505739575</v>
      </c>
      <c r="U3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-9.554871470101034E-4</v>
      </c>
      <c r="V3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-2.0003249905364839E-5</v>
      </c>
      <c r="W3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-8.9417561544991031E-4</v>
      </c>
      <c r="X3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-9.5543411713450155E-4</v>
      </c>
      <c r="Y378" s="162" t="str">
        <f>ReportSummary___Track[[#This Row],[Track ID]]&amp;"-"&amp;ReportSummary___Track[[#This Row],[Epoch]]</f>
        <v>250-RL-OP-0038-45841.2430555556</v>
      </c>
      <c r="Z378" s="126">
        <f>SUBTOTAL(103,ReportSummary___Track[[#This Row],[Track ID]])</f>
        <v>1</v>
      </c>
      <c r="AA378" s="114">
        <f>_xlfn.NUMBERVALUE(RIGHT(ReportSummary___Track[[#This Row],[Track ID]],4))</f>
        <v>38</v>
      </c>
      <c r="AB378" s="78"/>
      <c r="AG378" s="10"/>
      <c r="AH378" s="10"/>
      <c r="AJ378" s="1"/>
    </row>
    <row r="379" spans="5:36" ht="12.75" x14ac:dyDescent="0.2">
      <c r="E379" s="74">
        <v>45841.243055555555</v>
      </c>
      <c r="F379" s="107" t="s">
        <v>278</v>
      </c>
      <c r="G379" s="142">
        <v>51903.412339687522</v>
      </c>
      <c r="H379" s="142">
        <v>159190.51241847003</v>
      </c>
      <c r="I379" s="142">
        <v>18.865822806114334</v>
      </c>
      <c r="J379" s="142">
        <v>51903.064443423893</v>
      </c>
      <c r="K379" s="142">
        <v>159189.24322415836</v>
      </c>
      <c r="L379" s="142">
        <v>18.857522712449068</v>
      </c>
      <c r="M379" s="145">
        <v>8.3000936652659618E-3</v>
      </c>
      <c r="N379" s="145">
        <v>1.3160375764268419</v>
      </c>
      <c r="O379" s="145">
        <v>1.8187181092166327E-3</v>
      </c>
      <c r="P379" s="145">
        <v>4.0355495132047281E-3</v>
      </c>
      <c r="Q3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-0.62271244906852985</v>
      </c>
      <c r="R3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0.35987376217017086</v>
      </c>
      <c r="S3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-0.22855861164217117</v>
      </c>
      <c r="T3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-0.62281599967661805</v>
      </c>
      <c r="U3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-6.2278456205433486E-4</v>
      </c>
      <c r="V3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-1.8083181634542811E-5</v>
      </c>
      <c r="W3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-2.3482525615747818E-4</v>
      </c>
      <c r="X3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-6.2194750872635041E-4</v>
      </c>
      <c r="Y379" s="162" t="str">
        <f>ReportSummary___Track[[#This Row],[Track ID]]&amp;"-"&amp;ReportSummary___Track[[#This Row],[Epoch]]</f>
        <v>250-RL-OP-0039-45841.2430555556</v>
      </c>
      <c r="Z379" s="126">
        <f>SUBTOTAL(103,ReportSummary___Track[[#This Row],[Track ID]])</f>
        <v>1</v>
      </c>
      <c r="AA379" s="114">
        <f>_xlfn.NUMBERVALUE(RIGHT(ReportSummary___Track[[#This Row],[Track ID]],4))</f>
        <v>39</v>
      </c>
      <c r="AB379" s="78"/>
      <c r="AG379" s="10"/>
      <c r="AH379" s="10"/>
      <c r="AJ379" s="1"/>
    </row>
    <row r="380" spans="5:36" ht="12.75" x14ac:dyDescent="0.2">
      <c r="E380" s="74">
        <v>45841.243055555555</v>
      </c>
      <c r="F380" s="107" t="s">
        <v>279</v>
      </c>
      <c r="G380" s="142">
        <v>51904.37691356564</v>
      </c>
      <c r="H380" s="142">
        <v>159190.24860651721</v>
      </c>
      <c r="I380" s="142">
        <v>18.866520809265278</v>
      </c>
      <c r="J380" s="142">
        <v>51904.029025734613</v>
      </c>
      <c r="K380" s="142">
        <v>159188.97944232592</v>
      </c>
      <c r="L380" s="142">
        <v>18.857189948689204</v>
      </c>
      <c r="M380" s="145">
        <v>9.3308605760746843E-3</v>
      </c>
      <c r="N380" s="145">
        <v>1.3160132037355903</v>
      </c>
      <c r="O380" s="145">
        <v>2.5290529295531883E-3</v>
      </c>
      <c r="P380" s="145">
        <v>4.052795034144907E-3</v>
      </c>
      <c r="Q3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-0.28994868920406702</v>
      </c>
      <c r="R3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0.6828569459491618</v>
      </c>
      <c r="S3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0.43674046826680524</v>
      </c>
      <c r="T3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-0.29015079429584034</v>
      </c>
      <c r="U3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-2.9008197710211903E-4</v>
      </c>
      <c r="V3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-1.5726006907579304E-5</v>
      </c>
      <c r="W3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4.245251031207431E-4</v>
      </c>
      <c r="X3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-2.8846090031819926E-4</v>
      </c>
      <c r="Y380" s="162" t="str">
        <f>ReportSummary___Track[[#This Row],[Track ID]]&amp;"-"&amp;ReportSummary___Track[[#This Row],[Epoch]]</f>
        <v>250-RL-OP-0040-45841.2430555556</v>
      </c>
      <c r="Z380" s="126">
        <f>SUBTOTAL(103,ReportSummary___Track[[#This Row],[Track ID]])</f>
        <v>1</v>
      </c>
      <c r="AA380" s="114">
        <f>_xlfn.NUMBERVALUE(RIGHT(ReportSummary___Track[[#This Row],[Track ID]],4))</f>
        <v>40</v>
      </c>
      <c r="AB380" s="78"/>
      <c r="AG380" s="10"/>
      <c r="AH380" s="10"/>
      <c r="AJ380" s="1"/>
    </row>
    <row r="381" spans="5:36" ht="12.75" x14ac:dyDescent="0.2">
      <c r="E381" s="74">
        <v>45841.243055555555</v>
      </c>
      <c r="F381" s="107" t="s">
        <v>280</v>
      </c>
      <c r="G381" s="142">
        <v>51905.341856193925</v>
      </c>
      <c r="H381" s="142">
        <v>159189.98623491602</v>
      </c>
      <c r="I381" s="142">
        <v>18.867392432941728</v>
      </c>
      <c r="J381" s="142">
        <v>51905.003864651924</v>
      </c>
      <c r="K381" s="142">
        <v>159188.71400367381</v>
      </c>
      <c r="L381" s="142">
        <v>18.857104633955977</v>
      </c>
      <c r="M381" s="145">
        <v>1.0287798985750385E-2</v>
      </c>
      <c r="N381" s="145">
        <v>1.3164028467503601</v>
      </c>
      <c r="O381" s="145">
        <v>3.0184722312966983E-3</v>
      </c>
      <c r="P381" s="145">
        <v>4.1268555201696699E-3</v>
      </c>
      <c r="Q3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7.8405285819371784E-5</v>
      </c>
      <c r="R3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0.96307344861257249</v>
      </c>
      <c r="S3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0.95555461421881205</v>
      </c>
      <c r="T3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6.1696922660559039E-2</v>
      </c>
      <c r="U3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2.620097916405939E-8</v>
      </c>
      <c r="V3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5.7694569395305706E-5</v>
      </c>
      <c r="W3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9.5551334798926746E-4</v>
      </c>
      <c r="X3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6.1337732539357148E-5</v>
      </c>
      <c r="Y381" s="162" t="str">
        <f>ReportSummary___Track[[#This Row],[Track ID]]&amp;"-"&amp;ReportSummary___Track[[#This Row],[Epoch]]</f>
        <v>250-RL-OP-0041-45841.2430555556</v>
      </c>
      <c r="Z381" s="126">
        <f>SUBTOTAL(103,ReportSummary___Track[[#This Row],[Track ID]])</f>
        <v>1</v>
      </c>
      <c r="AA381" s="114">
        <f>_xlfn.NUMBERVALUE(RIGHT(ReportSummary___Track[[#This Row],[Track ID]],4))</f>
        <v>41</v>
      </c>
      <c r="AB381" s="78"/>
      <c r="AG381" s="10"/>
      <c r="AH381" s="10"/>
      <c r="AJ381" s="1"/>
    </row>
    <row r="382" spans="5:36" ht="12.75" x14ac:dyDescent="0.2">
      <c r="E382" s="74">
        <v>45841.243055555555</v>
      </c>
      <c r="F382" s="107" t="s">
        <v>281</v>
      </c>
      <c r="G382" s="142">
        <v>51906.308696346234</v>
      </c>
      <c r="H382" s="142">
        <v>159189.73085839444</v>
      </c>
      <c r="I382" s="142">
        <v>18.869110605337301</v>
      </c>
      <c r="J382" s="142">
        <v>51905.970516824033</v>
      </c>
      <c r="K382" s="142">
        <v>159188.45791499614</v>
      </c>
      <c r="L382" s="142">
        <v>18.858576820689617</v>
      </c>
      <c r="M382" s="145">
        <v>1.0533784647684286E-2</v>
      </c>
      <c r="N382" s="145">
        <v>1.3171413155546867</v>
      </c>
      <c r="O382" s="145">
        <v>2.2336909824183238E-3</v>
      </c>
      <c r="P382" s="145">
        <v>4.0524090916349564E-3</v>
      </c>
      <c r="Q3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6.0791811407057139E-4</v>
      </c>
      <c r="R3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0.86290762951835021</v>
      </c>
      <c r="S3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0.62332036718260042</v>
      </c>
      <c r="T3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0.39476175554042925</v>
      </c>
      <c r="U3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1.8014330294136016E-7</v>
      </c>
      <c r="V3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3.9667471465243409E-4</v>
      </c>
      <c r="W3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6.2296470535727622E-4</v>
      </c>
      <c r="X3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3.8813944919979804E-4</v>
      </c>
      <c r="Y382" s="162" t="str">
        <f>ReportSummary___Track[[#This Row],[Track ID]]&amp;"-"&amp;ReportSummary___Track[[#This Row],[Epoch]]</f>
        <v>250-RL-OP-0042-45841.2430555556</v>
      </c>
      <c r="Z382" s="126">
        <f>SUBTOTAL(103,ReportSummary___Track[[#This Row],[Track ID]])</f>
        <v>1</v>
      </c>
      <c r="AA382" s="114">
        <f>_xlfn.NUMBERVALUE(RIGHT(ReportSummary___Track[[#This Row],[Track ID]],4))</f>
        <v>42</v>
      </c>
      <c r="AB382" s="78"/>
      <c r="AG382" s="10"/>
      <c r="AH382" s="10"/>
      <c r="AJ382" s="1"/>
    </row>
    <row r="383" spans="5:36" ht="12.75" x14ac:dyDescent="0.2">
      <c r="E383" s="74">
        <v>45841.243055555555</v>
      </c>
      <c r="F383" s="107" t="s">
        <v>282</v>
      </c>
      <c r="G383" s="142">
        <v>51907.275536498542</v>
      </c>
      <c r="H383" s="142">
        <v>159189.47548187288</v>
      </c>
      <c r="I383" s="142">
        <v>18.870828777732875</v>
      </c>
      <c r="J383" s="142">
        <v>51906.937168996134</v>
      </c>
      <c r="K383" s="142">
        <v>159188.20182631849</v>
      </c>
      <c r="L383" s="142">
        <v>18.860049007423257</v>
      </c>
      <c r="M383" s="145">
        <v>1.0779770309618186E-2</v>
      </c>
      <c r="N383" s="145">
        <v>1.3178798281248316</v>
      </c>
      <c r="O383" s="145">
        <v>1.4489097335435019E-3</v>
      </c>
      <c r="P383" s="145">
        <v>3.9779626630966902E-3</v>
      </c>
      <c r="Q3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1.137430942321771E-3</v>
      </c>
      <c r="R3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0.7627422992062538</v>
      </c>
      <c r="S3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0.29108612014638879</v>
      </c>
      <c r="T3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0.72782658841319403</v>
      </c>
      <c r="U3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3.3408562316594725E-7</v>
      </c>
      <c r="V3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7.3565391583341189E-4</v>
      </c>
      <c r="W3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2.9041606272528497E-4</v>
      </c>
      <c r="X3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7.1494116584602807E-4</v>
      </c>
      <c r="Y383" s="162" t="str">
        <f>ReportSummary___Track[[#This Row],[Track ID]]&amp;"-"&amp;ReportSummary___Track[[#This Row],[Epoch]]</f>
        <v>250-RL-OP-0043-45841.2430555556</v>
      </c>
      <c r="Z383" s="126">
        <f>SUBTOTAL(103,ReportSummary___Track[[#This Row],[Track ID]])</f>
        <v>1</v>
      </c>
      <c r="AA383" s="114">
        <f>_xlfn.NUMBERVALUE(RIGHT(ReportSummary___Track[[#This Row],[Track ID]],4))</f>
        <v>43</v>
      </c>
      <c r="AB383" s="78"/>
      <c r="AG383" s="10"/>
      <c r="AH383" s="10"/>
      <c r="AJ383" s="1"/>
    </row>
    <row r="384" spans="5:36" ht="12.75" x14ac:dyDescent="0.2">
      <c r="E384" s="74">
        <v>45841.243055555555</v>
      </c>
      <c r="F384" s="107" t="s">
        <v>283</v>
      </c>
      <c r="G384" s="142">
        <v>51908.24281274675</v>
      </c>
      <c r="H384" s="142">
        <v>159189.22352581975</v>
      </c>
      <c r="I384" s="142">
        <v>18.872961662236339</v>
      </c>
      <c r="J384" s="142">
        <v>51907.905517584324</v>
      </c>
      <c r="K384" s="142">
        <v>159187.94920456348</v>
      </c>
      <c r="L384" s="142">
        <v>18.861831288624526</v>
      </c>
      <c r="M384" s="145">
        <v>1.1130373611813127E-2</v>
      </c>
      <c r="N384" s="145">
        <v>1.3182513326289838</v>
      </c>
      <c r="O384" s="145">
        <v>8.4257462606274203E-4</v>
      </c>
      <c r="P384" s="145">
        <v>3.8610468573594403E-3</v>
      </c>
      <c r="Q3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0.10197077546436617</v>
      </c>
      <c r="R3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0.62729083156165544</v>
      </c>
      <c r="S3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0.1018923701785468</v>
      </c>
      <c r="T3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1.0574469843973588</v>
      </c>
      <c r="U3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1.0217127349321231E-4</v>
      </c>
      <c r="V3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7.5944862798960067E-4</v>
      </c>
      <c r="W3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1.0214507251404825E-4</v>
      </c>
      <c r="X3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1.0576584205033157E-3</v>
      </c>
      <c r="Y384" s="162" t="str">
        <f>ReportSummary___Track[[#This Row],[Track ID]]&amp;"-"&amp;ReportSummary___Track[[#This Row],[Epoch]]</f>
        <v>250-RL-OP-0044-45841.2430555556</v>
      </c>
      <c r="Z384" s="126">
        <f>SUBTOTAL(103,ReportSummary___Track[[#This Row],[Track ID]])</f>
        <v>1</v>
      </c>
      <c r="AA384" s="114">
        <f>_xlfn.NUMBERVALUE(RIGHT(ReportSummary___Track[[#This Row],[Track ID]],4))</f>
        <v>44</v>
      </c>
      <c r="AB384" s="78"/>
      <c r="AG384" s="10"/>
      <c r="AH384" s="10"/>
      <c r="AJ384" s="1"/>
    </row>
    <row r="385" spans="5:36" ht="12.75" x14ac:dyDescent="0.2">
      <c r="E385" s="74">
        <v>45841.243055555555</v>
      </c>
      <c r="F385" s="107" t="s">
        <v>284</v>
      </c>
      <c r="G385" s="142">
        <v>51909.212340103608</v>
      </c>
      <c r="H385" s="142">
        <v>159188.97856142768</v>
      </c>
      <c r="I385" s="142">
        <v>18.875986708591611</v>
      </c>
      <c r="J385" s="142">
        <v>51908.874845612292</v>
      </c>
      <c r="K385" s="142">
        <v>159187.70344515948</v>
      </c>
      <c r="L385" s="142">
        <v>18.864174266709448</v>
      </c>
      <c r="M385" s="145">
        <v>1.1812441882163682E-2</v>
      </c>
      <c r="N385" s="145">
        <v>1.3190767842965574</v>
      </c>
      <c r="O385" s="145">
        <v>1.2786572344793967E-3</v>
      </c>
      <c r="P385" s="145">
        <v>3.5123482168977205E-3</v>
      </c>
      <c r="Q3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0.42275563334470689</v>
      </c>
      <c r="R3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0.40214518055292636</v>
      </c>
      <c r="S3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0.42214771523063632</v>
      </c>
      <c r="T3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1.0454680824132367</v>
      </c>
      <c r="U3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4.2358682665621927E-4</v>
      </c>
      <c r="V3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1.4344842571456518E-4</v>
      </c>
      <c r="W3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4.2340668335327791E-4</v>
      </c>
      <c r="X3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1.0463713887105541E-3</v>
      </c>
      <c r="Y385" s="162" t="str">
        <f>ReportSummary___Track[[#This Row],[Track ID]]&amp;"-"&amp;ReportSummary___Track[[#This Row],[Epoch]]</f>
        <v>250-RL-OP-0045-45841.2430555556</v>
      </c>
      <c r="Z385" s="126">
        <f>SUBTOTAL(103,ReportSummary___Track[[#This Row],[Track ID]])</f>
        <v>1</v>
      </c>
      <c r="AA385" s="114">
        <f>_xlfn.NUMBERVALUE(RIGHT(ReportSummary___Track[[#This Row],[Track ID]],4))</f>
        <v>45</v>
      </c>
      <c r="AB385" s="78"/>
      <c r="AG385" s="10"/>
      <c r="AH385" s="10"/>
      <c r="AJ385" s="1"/>
    </row>
    <row r="386" spans="5:36" ht="12.75" x14ac:dyDescent="0.2">
      <c r="E386" s="74">
        <v>45841.243055555555</v>
      </c>
      <c r="F386" s="107" t="s">
        <v>285</v>
      </c>
      <c r="G386" s="142">
        <v>51910.181867460473</v>
      </c>
      <c r="H386" s="142">
        <v>159188.73359703558</v>
      </c>
      <c r="I386" s="142">
        <v>18.87901175494688</v>
      </c>
      <c r="J386" s="142">
        <v>51909.84417364026</v>
      </c>
      <c r="K386" s="142">
        <v>159187.45768575551</v>
      </c>
      <c r="L386" s="142">
        <v>18.866517244794366</v>
      </c>
      <c r="M386" s="145">
        <v>1.2494510152514238E-2</v>
      </c>
      <c r="N386" s="145">
        <v>1.3199025811039198</v>
      </c>
      <c r="O386" s="145">
        <v>1.7147398428960514E-3</v>
      </c>
      <c r="P386" s="145">
        <v>3.1636495764395534E-3</v>
      </c>
      <c r="Q3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0.74354049122860033</v>
      </c>
      <c r="R3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0.17725040443172801</v>
      </c>
      <c r="S3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0.74240306028627856</v>
      </c>
      <c r="T3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1.0334891804326674</v>
      </c>
      <c r="U3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7.4500237981922623E-4</v>
      </c>
      <c r="V3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-4.7229875754539741E-4</v>
      </c>
      <c r="W3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7.4466829419606029E-4</v>
      </c>
      <c r="X3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1.0350843569213453E-3</v>
      </c>
      <c r="Y386" s="162" t="str">
        <f>ReportSummary___Track[[#This Row],[Track ID]]&amp;"-"&amp;ReportSummary___Track[[#This Row],[Epoch]]</f>
        <v>250-RL-OP-0046-45841.2430555556</v>
      </c>
      <c r="Z386" s="126">
        <f>SUBTOTAL(103,ReportSummary___Track[[#This Row],[Track ID]])</f>
        <v>1</v>
      </c>
      <c r="AA386" s="114">
        <f>_xlfn.NUMBERVALUE(RIGHT(ReportSummary___Track[[#This Row],[Track ID]],4))</f>
        <v>46</v>
      </c>
      <c r="AB386" s="78"/>
      <c r="AG386" s="10"/>
      <c r="AH386" s="10"/>
      <c r="AJ386" s="1"/>
    </row>
    <row r="387" spans="5:36" ht="12.75" x14ac:dyDescent="0.2">
      <c r="E387" s="74">
        <v>45841.243055555555</v>
      </c>
      <c r="F387" s="107" t="s">
        <v>286</v>
      </c>
      <c r="G387" s="142">
        <v>51911.152141496423</v>
      </c>
      <c r="H387" s="142">
        <v>159188.49044319949</v>
      </c>
      <c r="I387" s="142">
        <v>18.882328518492972</v>
      </c>
      <c r="J387" s="142">
        <v>51910.835192576567</v>
      </c>
      <c r="K387" s="142">
        <v>159187.2085174784</v>
      </c>
      <c r="L387" s="142">
        <v>18.869138865821263</v>
      </c>
      <c r="M387" s="145">
        <v>1.318965267170924E-2</v>
      </c>
      <c r="N387" s="145">
        <v>1.320592344040157</v>
      </c>
      <c r="O387" s="145">
        <v>2.059279059896113E-3</v>
      </c>
      <c r="P387" s="145">
        <v>2.9018536859588551E-3</v>
      </c>
      <c r="Q3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1.0028207205259321</v>
      </c>
      <c r="R3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-7.751830915170288E-3</v>
      </c>
      <c r="S3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0.9008499450615659</v>
      </c>
      <c r="T3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1.0027423152401127</v>
      </c>
      <c r="U3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9.2596909811248906E-4</v>
      </c>
      <c r="V3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-9.4442434157704369E-4</v>
      </c>
      <c r="W3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8.2379782461927675E-4</v>
      </c>
      <c r="X3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9.25942897133325E-4</v>
      </c>
      <c r="Y387" s="162" t="str">
        <f>ReportSummary___Track[[#This Row],[Track ID]]&amp;"-"&amp;ReportSummary___Track[[#This Row],[Epoch]]</f>
        <v>250-RL-OP-0047-45841.2430555556</v>
      </c>
      <c r="Z387" s="126">
        <f>SUBTOTAL(103,ReportSummary___Track[[#This Row],[Track ID]])</f>
        <v>1</v>
      </c>
      <c r="AA387" s="114">
        <f>_xlfn.NUMBERVALUE(RIGHT(ReportSummary___Track[[#This Row],[Track ID]],4))</f>
        <v>47</v>
      </c>
      <c r="AB387" s="78"/>
      <c r="AG387" s="10"/>
      <c r="AH387" s="10"/>
      <c r="AJ387" s="1"/>
    </row>
    <row r="388" spans="5:36" ht="12.75" x14ac:dyDescent="0.2">
      <c r="E388" s="74">
        <v>45841.243055555555</v>
      </c>
      <c r="F388" s="107" t="s">
        <v>287</v>
      </c>
      <c r="G388" s="142">
        <v>51912.123875350408</v>
      </c>
      <c r="H388" s="142">
        <v>159188.25440524641</v>
      </c>
      <c r="I388" s="142">
        <v>18.886733255176882</v>
      </c>
      <c r="J388" s="142">
        <v>51911.806757288294</v>
      </c>
      <c r="K388" s="142">
        <v>159186.97176749387</v>
      </c>
      <c r="L388" s="142">
        <v>18.872523500824762</v>
      </c>
      <c r="M388" s="145">
        <v>1.4209754352119575E-2</v>
      </c>
      <c r="N388" s="145">
        <v>1.3213346989555645</v>
      </c>
      <c r="O388" s="145">
        <v>2.3973124699558923E-3</v>
      </c>
      <c r="P388" s="145">
        <v>3.675969704435289E-3</v>
      </c>
      <c r="Q3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1.0037873688588661</v>
      </c>
      <c r="R3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-8.9453424583219032E-2</v>
      </c>
      <c r="S3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0.58103173551415921</v>
      </c>
      <c r="T3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1.0031794507447955</v>
      </c>
      <c r="U3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5.7477886144141621E-4</v>
      </c>
      <c r="V3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-8.6473868340797289E-4</v>
      </c>
      <c r="W3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1.5119203478519694E-4</v>
      </c>
      <c r="X3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5.7459871813847485E-4</v>
      </c>
      <c r="Y388" s="162" t="str">
        <f>ReportSummary___Track[[#This Row],[Track ID]]&amp;"-"&amp;ReportSummary___Track[[#This Row],[Epoch]]</f>
        <v>250-RL-OP-0048-45841.2430555556</v>
      </c>
      <c r="Z388" s="126">
        <f>SUBTOTAL(103,ReportSummary___Track[[#This Row],[Track ID]])</f>
        <v>1</v>
      </c>
      <c r="AA388" s="114">
        <f>_xlfn.NUMBERVALUE(RIGHT(ReportSummary___Track[[#This Row],[Track ID]],4))</f>
        <v>48</v>
      </c>
      <c r="AB388" s="78"/>
      <c r="AG388" s="10"/>
      <c r="AH388" s="10"/>
      <c r="AJ388" s="1"/>
    </row>
    <row r="389" spans="5:36" ht="12.75" x14ac:dyDescent="0.2">
      <c r="E389" s="74">
        <v>45841.243055555555</v>
      </c>
      <c r="F389" s="107" t="s">
        <v>288</v>
      </c>
      <c r="G389" s="142">
        <v>51913.0956092044</v>
      </c>
      <c r="H389" s="142">
        <v>159188.01836729329</v>
      </c>
      <c r="I389" s="142">
        <v>18.891137991860795</v>
      </c>
      <c r="J389" s="142">
        <v>51912.77832200002</v>
      </c>
      <c r="K389" s="142">
        <v>159186.73501750935</v>
      </c>
      <c r="L389" s="142">
        <v>18.875908135828258</v>
      </c>
      <c r="M389" s="145">
        <v>1.5229856032537015E-2</v>
      </c>
      <c r="N389" s="145">
        <v>1.3220778292260456</v>
      </c>
      <c r="O389" s="145">
        <v>2.735345880022777E-3</v>
      </c>
      <c r="P389" s="145">
        <v>4.4500857229188284E-3</v>
      </c>
      <c r="Q3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1.0047540172024583</v>
      </c>
      <c r="R3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-0.1711531254893206</v>
      </c>
      <c r="S3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0.26121352597385794</v>
      </c>
      <c r="T3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1.0036165862601365</v>
      </c>
      <c r="U3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2.2358862477389607E-4</v>
      </c>
      <c r="V3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-7.8568591749461625E-4</v>
      </c>
      <c r="W3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-5.2141375504533016E-4</v>
      </c>
      <c r="X3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2.2325453915073012E-4</v>
      </c>
      <c r="Y389" s="162" t="str">
        <f>ReportSummary___Track[[#This Row],[Track ID]]&amp;"-"&amp;ReportSummary___Track[[#This Row],[Epoch]]</f>
        <v>250-RL-OP-0049-45841.2430555556</v>
      </c>
      <c r="Z389" s="126">
        <f>SUBTOTAL(103,ReportSummary___Track[[#This Row],[Track ID]])</f>
        <v>1</v>
      </c>
      <c r="AA389" s="114">
        <f>_xlfn.NUMBERVALUE(RIGHT(ReportSummary___Track[[#This Row],[Track ID]],4))</f>
        <v>49</v>
      </c>
      <c r="AB389" s="78"/>
      <c r="AG389" s="10"/>
      <c r="AH389" s="10"/>
      <c r="AJ389" s="1"/>
    </row>
    <row r="390" spans="5:36" ht="12.75" x14ac:dyDescent="0.2">
      <c r="E390" s="74">
        <v>45839.243055555555</v>
      </c>
      <c r="F390" s="107" t="s">
        <v>235</v>
      </c>
      <c r="G390" s="142">
        <v>51886.101888003854</v>
      </c>
      <c r="H390" s="142">
        <v>159195.44568170901</v>
      </c>
      <c r="I390" s="142">
        <v>18.86977464079656</v>
      </c>
      <c r="J390" s="142">
        <v>51885.743050789795</v>
      </c>
      <c r="K390" s="142">
        <v>159194.18595535541</v>
      </c>
      <c r="L390" s="142">
        <v>18.865787559209785</v>
      </c>
      <c r="M390" s="145">
        <v>3.9870815867750764E-3</v>
      </c>
      <c r="N390" s="145">
        <v>1.3098437040232342</v>
      </c>
      <c r="O390" s="145"/>
      <c r="P390" s="145"/>
      <c r="Q3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-0.28168315921917042</v>
      </c>
      <c r="R3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-0.27447236417543763</v>
      </c>
      <c r="S39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9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1.0495213587091712E-8</v>
      </c>
      <c r="V3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4.1705490774868181E-4</v>
      </c>
      <c r="W39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9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90" s="162" t="str">
        <f>ReportSummary___Track[[#This Row],[Track ID]]&amp;"-"&amp;ReportSummary___Track[[#This Row],[Epoch]]</f>
        <v>250-RL-OP-0021-45839.2430555556</v>
      </c>
      <c r="Z390" s="126">
        <f>SUBTOTAL(103,ReportSummary___Track[[#This Row],[Track ID]])</f>
        <v>1</v>
      </c>
      <c r="AA390" s="114">
        <f>_xlfn.NUMBERVALUE(RIGHT(ReportSummary___Track[[#This Row],[Track ID]],4))</f>
        <v>21</v>
      </c>
      <c r="AB390" s="78"/>
      <c r="AG390" s="10"/>
      <c r="AH390" s="10"/>
      <c r="AJ390" s="1"/>
    </row>
    <row r="391" spans="5:36" ht="12.75" x14ac:dyDescent="0.2">
      <c r="E391" s="74">
        <v>45839.243055555555</v>
      </c>
      <c r="F391" s="107" t="s">
        <v>236</v>
      </c>
      <c r="G391" s="142">
        <v>51887.0635346048</v>
      </c>
      <c r="H391" s="142">
        <v>159195.17139037082</v>
      </c>
      <c r="I391" s="142">
        <v>18.869497718698447</v>
      </c>
      <c r="J391" s="142">
        <v>51886.70416952754</v>
      </c>
      <c r="K391" s="142">
        <v>159193.90981996525</v>
      </c>
      <c r="L391" s="142">
        <v>18.865652414029238</v>
      </c>
      <c r="M391" s="145">
        <v>3.8453046692090709E-3</v>
      </c>
      <c r="N391" s="145">
        <v>1.3117613858159152</v>
      </c>
      <c r="O391" s="145"/>
      <c r="P391" s="145"/>
      <c r="Q3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-0.62781659348942753</v>
      </c>
      <c r="R3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-0.26742727917095088</v>
      </c>
      <c r="S39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9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2.310965641072471E-8</v>
      </c>
      <c r="V3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9.2359254219687159E-5</v>
      </c>
      <c r="W39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9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91" s="162" t="str">
        <f>ReportSummary___Track[[#This Row],[Track ID]]&amp;"-"&amp;ReportSummary___Track[[#This Row],[Epoch]]</f>
        <v>250-RL-OP-0022-45839.2430555556</v>
      </c>
      <c r="Z391" s="126">
        <f>SUBTOTAL(103,ReportSummary___Track[[#This Row],[Track ID]])</f>
        <v>1</v>
      </c>
      <c r="AA391" s="114">
        <f>_xlfn.NUMBERVALUE(RIGHT(ReportSummary___Track[[#This Row],[Track ID]],4))</f>
        <v>22</v>
      </c>
      <c r="AB391" s="78"/>
      <c r="AG391" s="10"/>
      <c r="AH391" s="10"/>
      <c r="AJ391" s="1"/>
    </row>
    <row r="392" spans="5:36" ht="12.75" x14ac:dyDescent="0.2">
      <c r="E392" s="74">
        <v>45839.243055555555</v>
      </c>
      <c r="F392" s="107" t="s">
        <v>237</v>
      </c>
      <c r="G392" s="142">
        <v>51888.025181205747</v>
      </c>
      <c r="H392" s="142">
        <v>159194.89709903265</v>
      </c>
      <c r="I392" s="142">
        <v>18.869220796600338</v>
      </c>
      <c r="J392" s="142">
        <v>51887.665288265285</v>
      </c>
      <c r="K392" s="142">
        <v>159193.63368457509</v>
      </c>
      <c r="L392" s="142">
        <v>18.865517268848695</v>
      </c>
      <c r="M392" s="145">
        <v>3.7035277516430654E-3</v>
      </c>
      <c r="N392" s="145">
        <v>1.313679084204133</v>
      </c>
      <c r="O392" s="145"/>
      <c r="P392" s="145"/>
      <c r="Q3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-0.97395002775968464</v>
      </c>
      <c r="R3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-0.26039540625455437</v>
      </c>
      <c r="S39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39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3.572409568164403E-8</v>
      </c>
      <c r="V3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-2.3233661237509473E-4</v>
      </c>
      <c r="W39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39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92" s="162" t="str">
        <f>ReportSummary___Track[[#This Row],[Track ID]]&amp;"-"&amp;ReportSummary___Track[[#This Row],[Epoch]]</f>
        <v>250-RL-OP-0023-45839.2430555556</v>
      </c>
      <c r="Z392" s="126">
        <f>SUBTOTAL(103,ReportSummary___Track[[#This Row],[Track ID]])</f>
        <v>1</v>
      </c>
      <c r="AA392" s="114">
        <f>_xlfn.NUMBERVALUE(RIGHT(ReportSummary___Track[[#This Row],[Track ID]],4))</f>
        <v>23</v>
      </c>
      <c r="AB392" s="78"/>
      <c r="AG392" s="10"/>
      <c r="AH392" s="10"/>
      <c r="AJ392" s="1"/>
    </row>
    <row r="393" spans="5:36" ht="12.75" x14ac:dyDescent="0.2">
      <c r="E393" s="74">
        <v>45839.243055555555</v>
      </c>
      <c r="F393" s="107" t="s">
        <v>238</v>
      </c>
      <c r="G393" s="142">
        <v>51888.986206032256</v>
      </c>
      <c r="H393" s="142">
        <v>159194.62172783251</v>
      </c>
      <c r="I393" s="142">
        <v>18.868826251099026</v>
      </c>
      <c r="J393" s="142">
        <v>51888.625001387016</v>
      </c>
      <c r="K393" s="142">
        <v>159193.35671690357</v>
      </c>
      <c r="L393" s="142">
        <v>18.864752125583522</v>
      </c>
      <c r="M393" s="145">
        <v>4.0741255155047895E-3</v>
      </c>
      <c r="N393" s="145">
        <v>1.315575176330255</v>
      </c>
      <c r="O393" s="145">
        <v>8.7043928729713116E-5</v>
      </c>
      <c r="P393" s="145"/>
      <c r="Q3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-0.6882960435738994</v>
      </c>
      <c r="R3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-0.19425300156084013</v>
      </c>
      <c r="S3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-0.40661288435472898</v>
      </c>
      <c r="T39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1.2617185763730276E-5</v>
      </c>
      <c r="V3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-2.039844380954392E-4</v>
      </c>
      <c r="W3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1.2606690550143185E-5</v>
      </c>
      <c r="X39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93" s="162" t="str">
        <f>ReportSummary___Track[[#This Row],[Track ID]]&amp;"-"&amp;ReportSummary___Track[[#This Row],[Epoch]]</f>
        <v>250-RL-OP-0024-45839.2430555556</v>
      </c>
      <c r="Z393" s="126">
        <f>SUBTOTAL(103,ReportSummary___Track[[#This Row],[Track ID]])</f>
        <v>1</v>
      </c>
      <c r="AA393" s="114">
        <f>_xlfn.NUMBERVALUE(RIGHT(ReportSummary___Track[[#This Row],[Track ID]],4))</f>
        <v>24</v>
      </c>
      <c r="AB393" s="78"/>
      <c r="AG393" s="10"/>
      <c r="AH393" s="10"/>
      <c r="AJ393" s="1"/>
    </row>
    <row r="394" spans="5:36" ht="12.75" x14ac:dyDescent="0.2">
      <c r="E394" s="74">
        <v>45839.243055555555</v>
      </c>
      <c r="F394" s="107" t="s">
        <v>239</v>
      </c>
      <c r="G394" s="142">
        <v>51889.947493110194</v>
      </c>
      <c r="H394" s="142">
        <v>159194.34617930613</v>
      </c>
      <c r="I394" s="142">
        <v>18.868422023431954</v>
      </c>
      <c r="J394" s="142">
        <v>51889.585742274416</v>
      </c>
      <c r="K394" s="142">
        <v>159193.07927103463</v>
      </c>
      <c r="L394" s="142">
        <v>18.863893585328125</v>
      </c>
      <c r="M394" s="145">
        <v>4.528438103829302E-3</v>
      </c>
      <c r="N394" s="145">
        <v>1.3175510397451347</v>
      </c>
      <c r="O394" s="145">
        <v>6.8313343462023113E-4</v>
      </c>
      <c r="P394" s="145"/>
      <c r="Q3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-0.35115662531381986</v>
      </c>
      <c r="R3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-9.7950571828819832E-2</v>
      </c>
      <c r="S3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0.27665996817560767</v>
      </c>
      <c r="T39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6.4085968460858567E-6</v>
      </c>
      <c r="V3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-1.0273673751926005E-4</v>
      </c>
      <c r="W3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6.385487189675132E-6</v>
      </c>
      <c r="X39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94" s="162" t="str">
        <f>ReportSummary___Track[[#This Row],[Track ID]]&amp;"-"&amp;ReportSummary___Track[[#This Row],[Epoch]]</f>
        <v>250-RL-OP-0025-45839.2430555556</v>
      </c>
      <c r="Z394" s="126">
        <f>SUBTOTAL(103,ReportSummary___Track[[#This Row],[Track ID]])</f>
        <v>1</v>
      </c>
      <c r="AA394" s="114">
        <f>_xlfn.NUMBERVALUE(RIGHT(ReportSummary___Track[[#This Row],[Track ID]],4))</f>
        <v>25</v>
      </c>
      <c r="AB394" s="78"/>
      <c r="AG394" s="10"/>
      <c r="AH394" s="10"/>
      <c r="AJ394" s="1"/>
    </row>
    <row r="395" spans="5:36" ht="12.75" x14ac:dyDescent="0.2">
      <c r="E395" s="74">
        <v>45839.243055555555</v>
      </c>
      <c r="F395" s="107" t="s">
        <v>240</v>
      </c>
      <c r="G395" s="142">
        <v>51890.908780188132</v>
      </c>
      <c r="H395" s="142">
        <v>159194.07063077975</v>
      </c>
      <c r="I395" s="142">
        <v>18.868017795764882</v>
      </c>
      <c r="J395" s="142">
        <v>51890.546483161816</v>
      </c>
      <c r="K395" s="142">
        <v>159192.80182516569</v>
      </c>
      <c r="L395" s="142">
        <v>18.863035045072724</v>
      </c>
      <c r="M395" s="145">
        <v>4.9827506921573672E-3</v>
      </c>
      <c r="N395" s="145">
        <v>1.3195270551816065</v>
      </c>
      <c r="O395" s="145">
        <v>1.2792229405143019E-3</v>
      </c>
      <c r="P395" s="145"/>
      <c r="Q3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-1.4017207050187608E-2</v>
      </c>
      <c r="R3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-1.5053676016840711E-3</v>
      </c>
      <c r="S3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0.95993282070949704</v>
      </c>
      <c r="T39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3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2.0000792844143689E-7</v>
      </c>
      <c r="V3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-1.4935057948139985E-6</v>
      </c>
      <c r="W3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1.6428383275979286E-7</v>
      </c>
      <c r="X39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395" s="162" t="str">
        <f>ReportSummary___Track[[#This Row],[Track ID]]&amp;"-"&amp;ReportSummary___Track[[#This Row],[Epoch]]</f>
        <v>250-RL-OP-0026-45839.2430555556</v>
      </c>
      <c r="Z395" s="126">
        <f>SUBTOTAL(103,ReportSummary___Track[[#This Row],[Track ID]])</f>
        <v>1</v>
      </c>
      <c r="AA395" s="114">
        <f>_xlfn.NUMBERVALUE(RIGHT(ReportSummary___Track[[#This Row],[Track ID]],4))</f>
        <v>26</v>
      </c>
      <c r="AB395" s="78"/>
      <c r="AG395" s="10"/>
      <c r="AH395" s="10"/>
      <c r="AJ395" s="1"/>
    </row>
    <row r="396" spans="5:36" ht="12.75" x14ac:dyDescent="0.2">
      <c r="E396" s="74">
        <v>45839.243055555555</v>
      </c>
      <c r="F396" s="107" t="s">
        <v>241</v>
      </c>
      <c r="G396" s="142">
        <v>51891.870085166687</v>
      </c>
      <c r="H396" s="142">
        <v>159193.79434240577</v>
      </c>
      <c r="I396" s="142">
        <v>18.865661447731828</v>
      </c>
      <c r="J396" s="142">
        <v>51891.504352850017</v>
      </c>
      <c r="K396" s="142">
        <v>159192.52590828383</v>
      </c>
      <c r="L396" s="142">
        <v>18.860959197096111</v>
      </c>
      <c r="M396" s="145">
        <v>4.7022506357166094E-3</v>
      </c>
      <c r="N396" s="145">
        <v>1.3201164192322909</v>
      </c>
      <c r="O396" s="145">
        <v>6.2812512021181988E-4</v>
      </c>
      <c r="P396" s="145">
        <v>7.1516904894153299E-4</v>
      </c>
      <c r="Q3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-6.9568581650969463E-4</v>
      </c>
      <c r="R3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-8.4508484710754672E-2</v>
      </c>
      <c r="S3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0.6876003577573897</v>
      </c>
      <c r="T3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0.28098747340266073</v>
      </c>
      <c r="U3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3.2393582554846034E-4</v>
      </c>
      <c r="V3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1.1143058162854658E-6</v>
      </c>
      <c r="W3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3.1131863978473007E-4</v>
      </c>
      <c r="X3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3.2392533033487325E-4</v>
      </c>
      <c r="Y396" s="162" t="str">
        <f>ReportSummary___Track[[#This Row],[Track ID]]&amp;"-"&amp;ReportSummary___Track[[#This Row],[Epoch]]</f>
        <v>250-RL-OP-0027-45839.2430555556</v>
      </c>
      <c r="Z396" s="126">
        <f>SUBTOTAL(103,ReportSummary___Track[[#This Row],[Track ID]])</f>
        <v>1</v>
      </c>
      <c r="AA396" s="114">
        <f>_xlfn.NUMBERVALUE(RIGHT(ReportSummary___Track[[#This Row],[Track ID]],4))</f>
        <v>27</v>
      </c>
      <c r="AB396" s="78"/>
      <c r="AG396" s="10"/>
      <c r="AH396" s="10"/>
      <c r="AJ396" s="1"/>
    </row>
    <row r="397" spans="5:36" ht="12.75" x14ac:dyDescent="0.2">
      <c r="E397" s="74">
        <v>45839.243055555555</v>
      </c>
      <c r="F397" s="107" t="s">
        <v>242</v>
      </c>
      <c r="G397" s="142">
        <v>51892.831165658921</v>
      </c>
      <c r="H397" s="142">
        <v>159193.5180847251</v>
      </c>
      <c r="I397" s="142">
        <v>18.863215774997911</v>
      </c>
      <c r="J397" s="142">
        <v>51892.465286793558</v>
      </c>
      <c r="K397" s="142">
        <v>159192.24913870625</v>
      </c>
      <c r="L397" s="142">
        <v>18.858824466025101</v>
      </c>
      <c r="M397" s="145">
        <v>4.3913089728100374E-3</v>
      </c>
      <c r="N397" s="145">
        <v>1.3206478056180186</v>
      </c>
      <c r="O397" s="145">
        <v>-1.3712913101926461E-4</v>
      </c>
      <c r="P397" s="145">
        <v>5.4600430360096652E-4</v>
      </c>
      <c r="Q3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-1.4233419420861537E-3</v>
      </c>
      <c r="R3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-0.17297553019246514</v>
      </c>
      <c r="S3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0.34973328337173371</v>
      </c>
      <c r="T3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0.62639325154734138</v>
      </c>
      <c r="U3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6.6278083134463373E-4</v>
      </c>
      <c r="V3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2.0378921459229815E-6</v>
      </c>
      <c r="W3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6.5637223449854787E-4</v>
      </c>
      <c r="X3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6.62757721688223E-4</v>
      </c>
      <c r="Y397" s="162" t="str">
        <f>ReportSummary___Track[[#This Row],[Track ID]]&amp;"-"&amp;ReportSummary___Track[[#This Row],[Epoch]]</f>
        <v>250-RL-OP-0028-45839.2430555556</v>
      </c>
      <c r="Z397" s="126">
        <f>SUBTOTAL(103,ReportSummary___Track[[#This Row],[Track ID]])</f>
        <v>1</v>
      </c>
      <c r="AA397" s="114">
        <f>_xlfn.NUMBERVALUE(RIGHT(ReportSummary___Track[[#This Row],[Track ID]],4))</f>
        <v>28</v>
      </c>
      <c r="AB397" s="78"/>
      <c r="AG397" s="10"/>
      <c r="AH397" s="10"/>
      <c r="AJ397" s="1"/>
    </row>
    <row r="398" spans="5:36" ht="12.75" x14ac:dyDescent="0.2">
      <c r="E398" s="74">
        <v>45839.243055555555</v>
      </c>
      <c r="F398" s="107" t="s">
        <v>243</v>
      </c>
      <c r="G398" s="142">
        <v>51893.791838945894</v>
      </c>
      <c r="H398" s="142">
        <v>159193.24190592306</v>
      </c>
      <c r="I398" s="142">
        <v>18.860908806466888</v>
      </c>
      <c r="J398" s="142">
        <v>51893.426692718742</v>
      </c>
      <c r="K398" s="142">
        <v>159191.9722322778</v>
      </c>
      <c r="L398" s="142">
        <v>18.856702718339658</v>
      </c>
      <c r="M398" s="145">
        <v>4.20608812722989E-3</v>
      </c>
      <c r="N398" s="145">
        <v>1.3211436802472951</v>
      </c>
      <c r="O398" s="145">
        <v>-7.7666256492747721E-4</v>
      </c>
      <c r="P398" s="145">
        <v>5.0256037558682465E-4</v>
      </c>
      <c r="Q3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-2.0127615130149934E-6</v>
      </c>
      <c r="R3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-0.25492945046745596</v>
      </c>
      <c r="S3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1.4015194288674593E-2</v>
      </c>
      <c r="T3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0.97394801499817163</v>
      </c>
      <c r="U3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9.8239040890035767E-4</v>
      </c>
      <c r="V3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1.9182837168729705E-5</v>
      </c>
      <c r="W3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9.8219040097191623E-4</v>
      </c>
      <c r="X3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9.8235468480467603E-4</v>
      </c>
      <c r="Y398" s="162" t="str">
        <f>ReportSummary___Track[[#This Row],[Track ID]]&amp;"-"&amp;ReportSummary___Track[[#This Row],[Epoch]]</f>
        <v>250-RL-OP-0029-45839.2430555556</v>
      </c>
      <c r="Z398" s="126">
        <f>SUBTOTAL(103,ReportSummary___Track[[#This Row],[Track ID]])</f>
        <v>1</v>
      </c>
      <c r="AA398" s="114">
        <f>_xlfn.NUMBERVALUE(RIGHT(ReportSummary___Track[[#This Row],[Track ID]],4))</f>
        <v>29</v>
      </c>
      <c r="AB398" s="78"/>
      <c r="AG398" s="10"/>
      <c r="AH398" s="10"/>
      <c r="AJ398" s="1"/>
    </row>
    <row r="399" spans="5:36" ht="12.75" x14ac:dyDescent="0.2">
      <c r="E399" s="74">
        <v>45839.243055555555</v>
      </c>
      <c r="F399" s="107" t="s">
        <v>269</v>
      </c>
      <c r="G399" s="142">
        <v>51894.752729759806</v>
      </c>
      <c r="H399" s="142">
        <v>159192.96497846718</v>
      </c>
      <c r="I399" s="142">
        <v>18.861075912100414</v>
      </c>
      <c r="J399" s="142">
        <v>51894.387583047202</v>
      </c>
      <c r="K399" s="142">
        <v>159191.69530356207</v>
      </c>
      <c r="L399" s="142">
        <v>18.857215612615047</v>
      </c>
      <c r="M399" s="145">
        <v>3.8602994853675909E-3</v>
      </c>
      <c r="N399" s="145">
        <v>1.3211439695596803</v>
      </c>
      <c r="O399" s="145">
        <v>-8.4195115034901846E-4</v>
      </c>
      <c r="P399" s="145">
        <v>-2.1382603013719859E-4</v>
      </c>
      <c r="Q3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-4.0205573981211273E-5</v>
      </c>
      <c r="R3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0.1588557466889462</v>
      </c>
      <c r="S3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6.5548024252848336E-4</v>
      </c>
      <c r="T3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0.68825583799991819</v>
      </c>
      <c r="U3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6.4839418535811433E-4</v>
      </c>
      <c r="V3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2.4454462403045163E-4</v>
      </c>
      <c r="W3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3.2445835980965398E-4</v>
      </c>
      <c r="X3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6.3577699959438405E-4</v>
      </c>
      <c r="Y399" s="162" t="str">
        <f>ReportSummary___Track[[#This Row],[Track ID]]&amp;"-"&amp;ReportSummary___Track[[#This Row],[Epoch]]</f>
        <v>250-RL-OP-0030-45839.2430555556</v>
      </c>
      <c r="Z399" s="126">
        <f>SUBTOTAL(103,ReportSummary___Track[[#This Row],[Track ID]])</f>
        <v>1</v>
      </c>
      <c r="AA399" s="114">
        <f>_xlfn.NUMBERVALUE(RIGHT(ReportSummary___Track[[#This Row],[Track ID]],4))</f>
        <v>30</v>
      </c>
      <c r="AB399" s="78"/>
      <c r="AG399" s="10"/>
      <c r="AH399" s="10"/>
      <c r="AJ399" s="1"/>
    </row>
    <row r="400" spans="5:36" ht="12.75" x14ac:dyDescent="0.2">
      <c r="E400" s="74">
        <v>45839.243055555555</v>
      </c>
      <c r="F400" s="107" t="s">
        <v>270</v>
      </c>
      <c r="G400" s="142">
        <v>51895.713620573719</v>
      </c>
      <c r="H400" s="142">
        <v>159192.68805101133</v>
      </c>
      <c r="I400" s="142">
        <v>18.861243017733944</v>
      </c>
      <c r="J400" s="142">
        <v>51895.348473375663</v>
      </c>
      <c r="K400" s="142">
        <v>159191.41837484631</v>
      </c>
      <c r="L400" s="142">
        <v>18.857728506890432</v>
      </c>
      <c r="M400" s="145">
        <v>3.5145108435123973E-3</v>
      </c>
      <c r="N400" s="145">
        <v>1.3211443494340338</v>
      </c>
      <c r="O400" s="145">
        <v>-8.7679812929764012E-4</v>
      </c>
      <c r="P400" s="145">
        <v>-1.0139272603169047E-3</v>
      </c>
      <c r="Q4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-7.8398379343980196E-5</v>
      </c>
      <c r="R4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0.57264164078119073</v>
      </c>
      <c r="S4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1.3449435627421735E-3</v>
      </c>
      <c r="T4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0.35107822693447588</v>
      </c>
      <c r="U4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3.1439796182297641E-4</v>
      </c>
      <c r="V4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4.6999690306481767E-4</v>
      </c>
      <c r="W4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-3.4838286952165731E-4</v>
      </c>
      <c r="X4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3.0798936497689056E-4</v>
      </c>
      <c r="Y400" s="162" t="str">
        <f>ReportSummary___Track[[#This Row],[Track ID]]&amp;"-"&amp;ReportSummary___Track[[#This Row],[Epoch]]</f>
        <v>250-RL-OP-0031-45839.2430555556</v>
      </c>
      <c r="Z400" s="126">
        <f>SUBTOTAL(103,ReportSummary___Track[[#This Row],[Track ID]])</f>
        <v>1</v>
      </c>
      <c r="AA400" s="114">
        <f>_xlfn.NUMBERVALUE(RIGHT(ReportSummary___Track[[#This Row],[Track ID]],4))</f>
        <v>31</v>
      </c>
      <c r="AB400" s="78"/>
      <c r="AG400" s="10"/>
      <c r="AH400" s="10"/>
      <c r="AJ400" s="1"/>
    </row>
    <row r="401" spans="5:36" ht="12.75" x14ac:dyDescent="0.2">
      <c r="E401" s="74">
        <v>45839.243055555555</v>
      </c>
      <c r="F401" s="107" t="s">
        <v>271</v>
      </c>
      <c r="G401" s="142">
        <v>51896.675405970513</v>
      </c>
      <c r="H401" s="142">
        <v>159192.4109081027</v>
      </c>
      <c r="I401" s="142">
        <v>18.861498367389412</v>
      </c>
      <c r="J401" s="142">
        <v>51896.309528737984</v>
      </c>
      <c r="K401" s="142">
        <v>159191.14173461875</v>
      </c>
      <c r="L401" s="142">
        <v>18.85824734462722</v>
      </c>
      <c r="M401" s="145">
        <v>3.2510227621926902E-3</v>
      </c>
      <c r="N401" s="145">
        <v>1.3208626161658641</v>
      </c>
      <c r="O401" s="145">
        <v>-9.5506536503719985E-4</v>
      </c>
      <c r="P401" s="145">
        <v>-1.7317279299646771E-3</v>
      </c>
      <c r="Q4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4.9961244030782836E-6</v>
      </c>
      <c r="R4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0.95459950506704416</v>
      </c>
      <c r="S4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7.008885916093277E-6</v>
      </c>
      <c r="T4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1.4022203174590686E-2</v>
      </c>
      <c r="U4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-5.3029875601851018E-8</v>
      </c>
      <c r="V4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6.7002080272993148E-4</v>
      </c>
      <c r="W4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-9.8244343877595952E-4</v>
      </c>
      <c r="X4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-2.5303780404328791E-7</v>
      </c>
      <c r="Y401" s="162" t="str">
        <f>ReportSummary___Track[[#This Row],[Track ID]]&amp;"-"&amp;ReportSummary___Track[[#This Row],[Epoch]]</f>
        <v>250-RL-OP-0032-45839.2430555556</v>
      </c>
      <c r="Z401" s="126">
        <f>SUBTOTAL(103,ReportSummary___Track[[#This Row],[Track ID]])</f>
        <v>1</v>
      </c>
      <c r="AA401" s="114">
        <f>_xlfn.NUMBERVALUE(RIGHT(ReportSummary___Track[[#This Row],[Track ID]],4))</f>
        <v>32</v>
      </c>
      <c r="AB401" s="78"/>
      <c r="AG401" s="10"/>
      <c r="AH401" s="10"/>
      <c r="AJ401" s="1"/>
    </row>
    <row r="402" spans="5:36" ht="12.75" x14ac:dyDescent="0.2">
      <c r="E402" s="74">
        <v>45839.243055555555</v>
      </c>
      <c r="F402" s="107" t="s">
        <v>272</v>
      </c>
      <c r="G402" s="142">
        <v>51897.63647866169</v>
      </c>
      <c r="H402" s="142">
        <v>159192.13461708953</v>
      </c>
      <c r="I402" s="142">
        <v>18.863097837135957</v>
      </c>
      <c r="J402" s="142">
        <v>51897.271518069443</v>
      </c>
      <c r="K402" s="142">
        <v>159190.86864821697</v>
      </c>
      <c r="L402" s="142">
        <v>18.858833292983896</v>
      </c>
      <c r="M402" s="145">
        <v>4.2645441520612337E-3</v>
      </c>
      <c r="N402" s="145">
        <v>1.3175323929630547</v>
      </c>
      <c r="O402" s="145">
        <v>4.0424466669364278E-4</v>
      </c>
      <c r="P402" s="145">
        <v>-4.3770648365537568E-4</v>
      </c>
      <c r="Q4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1.0355060808819871E-4</v>
      </c>
      <c r="R4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0.95719959342477345</v>
      </c>
      <c r="S4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1.4375618206940999E-4</v>
      </c>
      <c r="T4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7.9923642459789335E-4</v>
      </c>
      <c r="U4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-8.3705332798444942E-7</v>
      </c>
      <c r="V4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5.2876693972803146E-4</v>
      </c>
      <c r="W4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-6.4923123868609878E-4</v>
      </c>
      <c r="X4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-3.2477287887644479E-4</v>
      </c>
      <c r="Y402" s="162" t="str">
        <f>ReportSummary___Track[[#This Row],[Track ID]]&amp;"-"&amp;ReportSummary___Track[[#This Row],[Epoch]]</f>
        <v>250-RL-OP-0033-45839.2430555556</v>
      </c>
      <c r="Z402" s="126">
        <f>SUBTOTAL(103,ReportSummary___Track[[#This Row],[Track ID]])</f>
        <v>1</v>
      </c>
      <c r="AA402" s="114">
        <f>_xlfn.NUMBERVALUE(RIGHT(ReportSummary___Track[[#This Row],[Track ID]],4))</f>
        <v>33</v>
      </c>
      <c r="AB402" s="78"/>
      <c r="AG402" s="10"/>
      <c r="AH402" s="10"/>
      <c r="AJ402" s="1"/>
    </row>
    <row r="403" spans="5:36" ht="12.75" x14ac:dyDescent="0.2">
      <c r="E403" s="74">
        <v>45839.243055555555</v>
      </c>
      <c r="F403" s="107" t="s">
        <v>273</v>
      </c>
      <c r="G403" s="142">
        <v>51898.597551352876</v>
      </c>
      <c r="H403" s="142">
        <v>159191.85832607636</v>
      </c>
      <c r="I403" s="142">
        <v>18.864697306882498</v>
      </c>
      <c r="J403" s="142">
        <v>51898.233507400895</v>
      </c>
      <c r="K403" s="142">
        <v>159190.59556181522</v>
      </c>
      <c r="L403" s="142">
        <v>18.859419241340568</v>
      </c>
      <c r="M403" s="145">
        <v>5.2780655419297773E-3</v>
      </c>
      <c r="N403" s="145">
        <v>1.3142029661147632</v>
      </c>
      <c r="O403" s="145">
        <v>1.76355469841738E-3</v>
      </c>
      <c r="P403" s="145">
        <v>8.8675656911973988E-4</v>
      </c>
      <c r="Q4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2.0210509177331915E-4</v>
      </c>
      <c r="R4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0.95979921141786662</v>
      </c>
      <c r="S4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2.8050347111729934E-4</v>
      </c>
      <c r="T4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1.6254470338594729E-3</v>
      </c>
      <c r="U4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-1.6210767839197615E-6</v>
      </c>
      <c r="V4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3.8751215967325336E-4</v>
      </c>
      <c r="W4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-3.1601903860689617E-4</v>
      </c>
      <c r="X4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-6.6440190812855349E-4</v>
      </c>
      <c r="Y403" s="162" t="str">
        <f>ReportSummary___Track[[#This Row],[Track ID]]&amp;"-"&amp;ReportSummary___Track[[#This Row],[Epoch]]</f>
        <v>250-RL-OP-0034-45839.2430555556</v>
      </c>
      <c r="Z403" s="126">
        <f>SUBTOTAL(103,ReportSummary___Track[[#This Row],[Track ID]])</f>
        <v>1</v>
      </c>
      <c r="AA403" s="114">
        <f>_xlfn.NUMBERVALUE(RIGHT(ReportSummary___Track[[#This Row],[Track ID]],4))</f>
        <v>34</v>
      </c>
      <c r="AB403" s="78"/>
      <c r="AG403" s="10"/>
      <c r="AH403" s="10"/>
      <c r="AJ403" s="1"/>
    </row>
    <row r="404" spans="5:36" ht="12.75" x14ac:dyDescent="0.2">
      <c r="E404" s="74">
        <v>45839.243055555555</v>
      </c>
      <c r="F404" s="107" t="s">
        <v>274</v>
      </c>
      <c r="G404" s="142">
        <v>51899.558748421645</v>
      </c>
      <c r="H404" s="142">
        <v>159191.58337759011</v>
      </c>
      <c r="I404" s="142">
        <v>18.865938359785268</v>
      </c>
      <c r="J404" s="142">
        <v>51899.203488296611</v>
      </c>
      <c r="K404" s="142">
        <v>159190.32067681968</v>
      </c>
      <c r="L404" s="142">
        <v>18.85971612452855</v>
      </c>
      <c r="M404" s="145">
        <v>6.2222352567182782E-3</v>
      </c>
      <c r="N404" s="145">
        <v>1.3117399545229276</v>
      </c>
      <c r="O404" s="145">
        <v>2.971212494525588E-3</v>
      </c>
      <c r="P404" s="145">
        <v>2.0161471294883881E-3</v>
      </c>
      <c r="Q4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-3.2672623717644456E-4</v>
      </c>
      <c r="R4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0.90395832504341911</v>
      </c>
      <c r="S4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-3.3172236157952284E-4</v>
      </c>
      <c r="T4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-3.2471347566342956E-4</v>
      </c>
      <c r="U4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-1.9740422629865861E-8</v>
      </c>
      <c r="V4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2.5387662227771557E-4</v>
      </c>
      <c r="W4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3.3289452971985156E-8</v>
      </c>
      <c r="X4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-9.8241014932298754E-4</v>
      </c>
      <c r="Y404" s="162" t="str">
        <f>ReportSummary___Track[[#This Row],[Track ID]]&amp;"-"&amp;ReportSummary___Track[[#This Row],[Epoch]]</f>
        <v>250-RL-OP-0035-45839.2430555556</v>
      </c>
      <c r="Z404" s="126">
        <f>SUBTOTAL(103,ReportSummary___Track[[#This Row],[Track ID]])</f>
        <v>1</v>
      </c>
      <c r="AA404" s="114">
        <f>_xlfn.NUMBERVALUE(RIGHT(ReportSummary___Track[[#This Row],[Track ID]],4))</f>
        <v>35</v>
      </c>
      <c r="AB404" s="78"/>
      <c r="AG404" s="10"/>
      <c r="AH404" s="10"/>
      <c r="AJ404" s="1"/>
    </row>
    <row r="405" spans="5:36" ht="12.75" x14ac:dyDescent="0.2">
      <c r="E405" s="74">
        <v>45839.243055555555</v>
      </c>
      <c r="F405" s="107" t="s">
        <v>275</v>
      </c>
      <c r="G405" s="142">
        <v>51900.52177282342</v>
      </c>
      <c r="H405" s="142">
        <v>159191.31396361324</v>
      </c>
      <c r="I405" s="142">
        <v>18.865605708869282</v>
      </c>
      <c r="J405" s="142">
        <v>51900.16613239151</v>
      </c>
      <c r="K405" s="142">
        <v>159190.04990867738</v>
      </c>
      <c r="L405" s="142">
        <v>18.858736500280006</v>
      </c>
      <c r="M405" s="145">
        <v>6.8692085892756438E-3</v>
      </c>
      <c r="N405" s="145">
        <v>1.3131497186965564</v>
      </c>
      <c r="O405" s="145">
        <v>2.6046644372144101E-3</v>
      </c>
      <c r="P405" s="145">
        <v>3.0089091039080529E-3</v>
      </c>
      <c r="Q4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-6.3208042000439946E-3</v>
      </c>
      <c r="R4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0.59567527883164217</v>
      </c>
      <c r="S4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-6.4243548081321933E-3</v>
      </c>
      <c r="T4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-6.2805986260627833E-3</v>
      </c>
      <c r="U4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-1.2627267054199365E-7</v>
      </c>
      <c r="V4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1.6428445283311888E-4</v>
      </c>
      <c r="W4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7.1078065744245578E-7</v>
      </c>
      <c r="X4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-6.4852045802865632E-4</v>
      </c>
      <c r="Y405" s="162" t="str">
        <f>ReportSummary___Track[[#This Row],[Track ID]]&amp;"-"&amp;ReportSummary___Track[[#This Row],[Epoch]]</f>
        <v>250-RL-OP-0036-45839.2430555556</v>
      </c>
      <c r="Z405" s="126">
        <f>SUBTOTAL(103,ReportSummary___Track[[#This Row],[Track ID]])</f>
        <v>1</v>
      </c>
      <c r="AA405" s="114">
        <f>_xlfn.NUMBERVALUE(RIGHT(ReportSummary___Track[[#This Row],[Track ID]],4))</f>
        <v>36</v>
      </c>
      <c r="AB405" s="78"/>
      <c r="AG405" s="10"/>
      <c r="AH405" s="10"/>
      <c r="AJ405" s="1"/>
    </row>
    <row r="406" spans="5:36" ht="12.75" x14ac:dyDescent="0.2">
      <c r="E406" s="74">
        <v>45839.243055555555</v>
      </c>
      <c r="F406" s="107" t="s">
        <v>276</v>
      </c>
      <c r="G406" s="142">
        <v>51901.484797225196</v>
      </c>
      <c r="H406" s="142">
        <v>159191.04454963637</v>
      </c>
      <c r="I406" s="142">
        <v>18.865273057953299</v>
      </c>
      <c r="J406" s="142">
        <v>51901.12877648641</v>
      </c>
      <c r="K406" s="142">
        <v>159189.77914053507</v>
      </c>
      <c r="L406" s="142">
        <v>18.857756876031466</v>
      </c>
      <c r="M406" s="145">
        <v>7.5161819218330095E-3</v>
      </c>
      <c r="N406" s="145">
        <v>1.3145597944093479</v>
      </c>
      <c r="O406" s="145">
        <v>2.2381163799032322E-3</v>
      </c>
      <c r="P406" s="145">
        <v>4.0016710783206122E-3</v>
      </c>
      <c r="Q4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-1.2314882159358831E-2</v>
      </c>
      <c r="R4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0.28738781639048305</v>
      </c>
      <c r="S4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-1.251698725113215E-2</v>
      </c>
      <c r="T4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-1.2236483780014851E-2</v>
      </c>
      <c r="U4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-2.3280491134869408E-7</v>
      </c>
      <c r="V4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7.4692626462313783E-5</v>
      </c>
      <c r="W4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1.3882718725710674E-6</v>
      </c>
      <c r="X4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-3.1463076673432511E-4</v>
      </c>
      <c r="Y406" s="162" t="str">
        <f>ReportSummary___Track[[#This Row],[Track ID]]&amp;"-"&amp;ReportSummary___Track[[#This Row],[Epoch]]</f>
        <v>250-RL-OP-0037-45839.2430555556</v>
      </c>
      <c r="Z406" s="126">
        <f>SUBTOTAL(103,ReportSummary___Track[[#This Row],[Track ID]])</f>
        <v>1</v>
      </c>
      <c r="AA406" s="114">
        <f>_xlfn.NUMBERVALUE(RIGHT(ReportSummary___Track[[#This Row],[Track ID]],4))</f>
        <v>37</v>
      </c>
      <c r="AB406" s="78"/>
      <c r="AG406" s="10"/>
      <c r="AH406" s="10"/>
      <c r="AJ406" s="1"/>
    </row>
    <row r="407" spans="5:36" ht="12.75" x14ac:dyDescent="0.2">
      <c r="E407" s="74">
        <v>45839.243055555555</v>
      </c>
      <c r="F407" s="107" t="s">
        <v>277</v>
      </c>
      <c r="G407" s="142">
        <v>51902.447765809411</v>
      </c>
      <c r="H407" s="142">
        <v>159190.77623042284</v>
      </c>
      <c r="I407" s="142">
        <v>18.865124802963386</v>
      </c>
      <c r="J407" s="142">
        <v>51902.099861120325</v>
      </c>
      <c r="K407" s="142">
        <v>159189.50700598882</v>
      </c>
      <c r="L407" s="142">
        <v>18.8569</v>
      </c>
      <c r="M407" s="145">
        <v>8.2248029633866793E-3</v>
      </c>
      <c r="N407" s="145">
        <v>1.3160683811909299</v>
      </c>
      <c r="O407" s="145">
        <v>2.0025677066684011E-3</v>
      </c>
      <c r="P407" s="145">
        <v>4.9737802011939891E-3</v>
      </c>
      <c r="Q4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4.2949791042579122E-2</v>
      </c>
      <c r="S4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3.2672623717644456E-4</v>
      </c>
      <c r="T4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-4.9961244030782836E-6</v>
      </c>
      <c r="U4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4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-1.4378786783897368E-5</v>
      </c>
      <c r="W4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8.8023455191432731E-9</v>
      </c>
      <c r="X4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4.2091798491128429E-8</v>
      </c>
      <c r="Y407" s="162" t="str">
        <f>ReportSummary___Track[[#This Row],[Track ID]]&amp;"-"&amp;ReportSummary___Track[[#This Row],[Epoch]]</f>
        <v>250-RL-OP-0038-45839.2430555556</v>
      </c>
      <c r="Z407" s="126">
        <f>SUBTOTAL(103,ReportSummary___Track[[#This Row],[Track ID]])</f>
        <v>1</v>
      </c>
      <c r="AA407" s="114">
        <f>_xlfn.NUMBERVALUE(RIGHT(ReportSummary___Track[[#This Row],[Track ID]],4))</f>
        <v>38</v>
      </c>
      <c r="AB407" s="78"/>
      <c r="AG407" s="10"/>
      <c r="AH407" s="10"/>
      <c r="AJ407" s="1"/>
    </row>
    <row r="408" spans="5:36" ht="12.75" x14ac:dyDescent="0.2">
      <c r="E408" s="74">
        <v>45839.243055555555</v>
      </c>
      <c r="F408" s="107" t="s">
        <v>278</v>
      </c>
      <c r="G408" s="142">
        <v>51903.412339687522</v>
      </c>
      <c r="H408" s="142">
        <v>159190.51241847003</v>
      </c>
      <c r="I408" s="142">
        <v>18.865822806114334</v>
      </c>
      <c r="J408" s="142">
        <v>51903.064443484443</v>
      </c>
      <c r="K408" s="142">
        <v>159189.2432241418</v>
      </c>
      <c r="L408" s="142">
        <v>18.8569</v>
      </c>
      <c r="M408" s="145">
        <v>8.9228061143344917E-3</v>
      </c>
      <c r="N408" s="145">
        <v>1.3160416510836046</v>
      </c>
      <c r="O408" s="145">
        <v>2.0535975250588479E-3</v>
      </c>
      <c r="P408" s="145">
        <v>4.658261962273258E-3</v>
      </c>
      <c r="Q4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0.36394841893283569</v>
      </c>
      <c r="S4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6.3208042000439946E-3</v>
      </c>
      <c r="T4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-1.0355060808819871E-4</v>
      </c>
      <c r="U4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4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-1.4008524871877981E-5</v>
      </c>
      <c r="W4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5.4159684736987401E-8</v>
      </c>
      <c r="X4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7.6494034217944318E-7</v>
      </c>
      <c r="Y408" s="162" t="str">
        <f>ReportSummary___Track[[#This Row],[Track ID]]&amp;"-"&amp;ReportSummary___Track[[#This Row],[Epoch]]</f>
        <v>250-RL-OP-0039-45839.2430555556</v>
      </c>
      <c r="Z408" s="126">
        <f>SUBTOTAL(103,ReportSummary___Track[[#This Row],[Track ID]])</f>
        <v>1</v>
      </c>
      <c r="AA408" s="114">
        <f>_xlfn.NUMBERVALUE(RIGHT(ReportSummary___Track[[#This Row],[Track ID]],4))</f>
        <v>39</v>
      </c>
      <c r="AB408" s="78"/>
      <c r="AG408" s="10"/>
      <c r="AH408" s="10"/>
      <c r="AJ408" s="1"/>
    </row>
    <row r="409" spans="5:36" ht="12.75" x14ac:dyDescent="0.2">
      <c r="E409" s="74">
        <v>45839.243055555555</v>
      </c>
      <c r="F409" s="107" t="s">
        <v>279</v>
      </c>
      <c r="G409" s="142">
        <v>51904.37691356564</v>
      </c>
      <c r="H409" s="142">
        <v>159190.24860651721</v>
      </c>
      <c r="I409" s="142">
        <v>18.866520809265278</v>
      </c>
      <c r="J409" s="142">
        <v>51904.029025848562</v>
      </c>
      <c r="K409" s="142">
        <v>159188.97944229477</v>
      </c>
      <c r="L409" s="142">
        <v>18.8569</v>
      </c>
      <c r="M409" s="145">
        <v>9.6208092652787514E-3</v>
      </c>
      <c r="N409" s="145">
        <v>1.3160152913936094</v>
      </c>
      <c r="O409" s="145">
        <v>2.1046273434457419E-3</v>
      </c>
      <c r="P409" s="145">
        <v>4.3427437233489741E-3</v>
      </c>
      <c r="Q4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0.68494460396828494</v>
      </c>
      <c r="S4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1.2314882159358831E-2</v>
      </c>
      <c r="T4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-2.0210509177331915E-4</v>
      </c>
      <c r="U4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-1.3328789805200358E-7</v>
      </c>
      <c r="V4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-1.3638348888456164E-5</v>
      </c>
      <c r="W4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9.9517013296690493E-8</v>
      </c>
      <c r="X4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1.4877888858677579E-6</v>
      </c>
      <c r="Y409" s="162" t="str">
        <f>ReportSummary___Track[[#This Row],[Track ID]]&amp;"-"&amp;ReportSummary___Track[[#This Row],[Epoch]]</f>
        <v>250-RL-OP-0040-45839.2430555556</v>
      </c>
      <c r="Z409" s="126">
        <f>SUBTOTAL(103,ReportSummary___Track[[#This Row],[Track ID]])</f>
        <v>1</v>
      </c>
      <c r="AA409" s="114">
        <f>_xlfn.NUMBERVALUE(RIGHT(ReportSummary___Track[[#This Row],[Track ID]],4))</f>
        <v>40</v>
      </c>
      <c r="AB409" s="78"/>
      <c r="AG409" s="10"/>
      <c r="AH409" s="10"/>
      <c r="AJ409" s="1"/>
    </row>
    <row r="410" spans="5:36" ht="12.75" x14ac:dyDescent="0.2">
      <c r="E410" s="74">
        <v>45839.243055555555</v>
      </c>
      <c r="F410" s="107" t="s">
        <v>280</v>
      </c>
      <c r="G410" s="142">
        <v>51905.341856193925</v>
      </c>
      <c r="H410" s="142">
        <v>159189.98623491602</v>
      </c>
      <c r="I410" s="142">
        <v>18.867392432941728</v>
      </c>
      <c r="J410" s="142">
        <v>51905.003864651924</v>
      </c>
      <c r="K410" s="142">
        <v>159188.71400367381</v>
      </c>
      <c r="L410" s="142">
        <v>18.857104633955977</v>
      </c>
      <c r="M410" s="145">
        <v>1.0287798985750385E-2</v>
      </c>
      <c r="N410" s="145">
        <v>1.3164028467503601</v>
      </c>
      <c r="O410" s="145">
        <v>2.0629960223637056E-3</v>
      </c>
      <c r="P410" s="145">
        <v>4.0655637290321067E-3</v>
      </c>
      <c r="Q4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7.8405285819371784E-5</v>
      </c>
      <c r="R4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0.96307344861257249</v>
      </c>
      <c r="S4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7.8405285819371784E-5</v>
      </c>
      <c r="T4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4.0513152299581634E-4</v>
      </c>
      <c r="U4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2.620097916405939E-8</v>
      </c>
      <c r="V4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5.7694569395305706E-5</v>
      </c>
      <c r="W4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3.7139056274781979E-8</v>
      </c>
      <c r="X4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4.5941401793925252E-8</v>
      </c>
      <c r="Y410" s="162" t="str">
        <f>ReportSummary___Track[[#This Row],[Track ID]]&amp;"-"&amp;ReportSummary___Track[[#This Row],[Epoch]]</f>
        <v>250-RL-OP-0041-45839.2430555556</v>
      </c>
      <c r="Z410" s="126">
        <f>SUBTOTAL(103,ReportSummary___Track[[#This Row],[Track ID]])</f>
        <v>1</v>
      </c>
      <c r="AA410" s="114">
        <f>_xlfn.NUMBERVALUE(RIGHT(ReportSummary___Track[[#This Row],[Track ID]],4))</f>
        <v>41</v>
      </c>
      <c r="AB410" s="78"/>
      <c r="AG410" s="10"/>
      <c r="AH410" s="10"/>
      <c r="AJ410" s="1"/>
    </row>
    <row r="411" spans="5:36" ht="12.75" x14ac:dyDescent="0.2">
      <c r="E411" s="74">
        <v>45839.243055555555</v>
      </c>
      <c r="F411" s="107" t="s">
        <v>281</v>
      </c>
      <c r="G411" s="142">
        <v>51906.308696346234</v>
      </c>
      <c r="H411" s="142">
        <v>159189.73085839444</v>
      </c>
      <c r="I411" s="142">
        <v>18.869110605337301</v>
      </c>
      <c r="J411" s="142">
        <v>51905.970516824033</v>
      </c>
      <c r="K411" s="142">
        <v>159188.45791499614</v>
      </c>
      <c r="L411" s="142">
        <v>18.858576820689617</v>
      </c>
      <c r="M411" s="145">
        <v>1.0533784647684286E-2</v>
      </c>
      <c r="N411" s="145">
        <v>1.3171413155546867</v>
      </c>
      <c r="O411" s="145">
        <v>1.6109785333497939E-3</v>
      </c>
      <c r="P411" s="145">
        <v>3.6645760584086418E-3</v>
      </c>
      <c r="Q4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6.0791811407057139E-4</v>
      </c>
      <c r="R4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0.86290762951835021</v>
      </c>
      <c r="S4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6.0791811407057139E-4</v>
      </c>
      <c r="T4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6.928722314114566E-3</v>
      </c>
      <c r="U4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1.8014330294136016E-7</v>
      </c>
      <c r="V4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3.9667471465243409E-4</v>
      </c>
      <c r="W4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2.5225628874636641E-7</v>
      </c>
      <c r="X4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3.0641597348335381E-7</v>
      </c>
      <c r="Y411" s="162" t="str">
        <f>ReportSummary___Track[[#This Row],[Track ID]]&amp;"-"&amp;ReportSummary___Track[[#This Row],[Epoch]]</f>
        <v>250-RL-OP-0042-45839.2430555556</v>
      </c>
      <c r="Z411" s="126">
        <f>SUBTOTAL(103,ReportSummary___Track[[#This Row],[Track ID]])</f>
        <v>1</v>
      </c>
      <c r="AA411" s="114">
        <f>_xlfn.NUMBERVALUE(RIGHT(ReportSummary___Track[[#This Row],[Track ID]],4))</f>
        <v>42</v>
      </c>
      <c r="AB411" s="78"/>
      <c r="AG411" s="10"/>
      <c r="AH411" s="10"/>
      <c r="AJ411" s="1"/>
    </row>
    <row r="412" spans="5:36" ht="12.75" x14ac:dyDescent="0.2">
      <c r="E412" s="74">
        <v>45839.243055555555</v>
      </c>
      <c r="F412" s="107" t="s">
        <v>282</v>
      </c>
      <c r="G412" s="142">
        <v>51907.275536498542</v>
      </c>
      <c r="H412" s="142">
        <v>159189.47548187288</v>
      </c>
      <c r="I412" s="142">
        <v>18.870828777732875</v>
      </c>
      <c r="J412" s="142">
        <v>51906.937168996134</v>
      </c>
      <c r="K412" s="142">
        <v>159188.20182631849</v>
      </c>
      <c r="L412" s="142">
        <v>18.860049007423257</v>
      </c>
      <c r="M412" s="145">
        <v>1.0779770309618186E-2</v>
      </c>
      <c r="N412" s="145">
        <v>1.3178798281248316</v>
      </c>
      <c r="O412" s="145">
        <v>1.1589610443394349E-3</v>
      </c>
      <c r="P412" s="145">
        <v>3.2635883877851768E-3</v>
      </c>
      <c r="Q4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1.137430942321771E-3</v>
      </c>
      <c r="R4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0.7627422992062538</v>
      </c>
      <c r="S4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1.137430942321771E-3</v>
      </c>
      <c r="T4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1.3452313101680602E-2</v>
      </c>
      <c r="U4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3.3408562316594725E-7</v>
      </c>
      <c r="V4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7.3565391583341189E-4</v>
      </c>
      <c r="W4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4.6737352121795084E-7</v>
      </c>
      <c r="X4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5.6689053451464133E-7</v>
      </c>
      <c r="Y412" s="162" t="str">
        <f>ReportSummary___Track[[#This Row],[Track ID]]&amp;"-"&amp;ReportSummary___Track[[#This Row],[Epoch]]</f>
        <v>250-RL-OP-0043-45839.2430555556</v>
      </c>
      <c r="Z412" s="126">
        <f>SUBTOTAL(103,ReportSummary___Track[[#This Row],[Track ID]])</f>
        <v>1</v>
      </c>
      <c r="AA412" s="114">
        <f>_xlfn.NUMBERVALUE(RIGHT(ReportSummary___Track[[#This Row],[Track ID]],4))</f>
        <v>43</v>
      </c>
      <c r="AB412" s="78"/>
      <c r="AG412" s="10"/>
      <c r="AH412" s="10"/>
      <c r="AJ412" s="1"/>
    </row>
    <row r="413" spans="5:36" ht="12.75" x14ac:dyDescent="0.2">
      <c r="E413" s="74">
        <v>45839.243055555555</v>
      </c>
      <c r="F413" s="107" t="s">
        <v>283</v>
      </c>
      <c r="G413" s="142">
        <v>51908.24281274675</v>
      </c>
      <c r="H413" s="142">
        <v>159189.22352581975</v>
      </c>
      <c r="I413" s="142">
        <v>18.872961662236339</v>
      </c>
      <c r="J413" s="142">
        <v>51907.905524366673</v>
      </c>
      <c r="K413" s="142">
        <v>159187.94923131645</v>
      </c>
      <c r="L413" s="142">
        <v>18.861831033571708</v>
      </c>
      <c r="M413" s="145">
        <v>1.1130628664631104E-2</v>
      </c>
      <c r="N413" s="145">
        <v>1.3182237379736759</v>
      </c>
      <c r="O413" s="145">
        <v>8.428296788807188E-4</v>
      </c>
      <c r="P413" s="145">
        <v>2.9058257012444244E-3</v>
      </c>
      <c r="Q4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0.10222582828234295</v>
      </c>
      <c r="R4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0.59969617625377225</v>
      </c>
      <c r="S4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0.10214742299652357</v>
      </c>
      <c r="T4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0.10222582828234295</v>
      </c>
      <c r="U4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1.0242632631118909E-4</v>
      </c>
      <c r="V4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7.3185397268171748E-4</v>
      </c>
      <c r="W4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1.0240012533202503E-4</v>
      </c>
      <c r="X4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1.0243726438829981E-4</v>
      </c>
      <c r="Y413" s="162" t="str">
        <f>ReportSummary___Track[[#This Row],[Track ID]]&amp;"-"&amp;ReportSummary___Track[[#This Row],[Epoch]]</f>
        <v>250-RL-OP-0044-45839.2430555556</v>
      </c>
      <c r="Z413" s="126">
        <f>SUBTOTAL(103,ReportSummary___Track[[#This Row],[Track ID]])</f>
        <v>1</v>
      </c>
      <c r="AA413" s="114">
        <f>_xlfn.NUMBERVALUE(RIGHT(ReportSummary___Track[[#This Row],[Track ID]],4))</f>
        <v>44</v>
      </c>
      <c r="AB413" s="78"/>
      <c r="AG413" s="10"/>
      <c r="AH413" s="10"/>
      <c r="AJ413" s="1"/>
    </row>
    <row r="414" spans="5:36" ht="12.75" x14ac:dyDescent="0.2">
      <c r="E414" s="74">
        <v>45839.243055555555</v>
      </c>
      <c r="F414" s="107" t="s">
        <v>284</v>
      </c>
      <c r="G414" s="142">
        <v>51909.212340103608</v>
      </c>
      <c r="H414" s="142">
        <v>159188.97856142768</v>
      </c>
      <c r="I414" s="142">
        <v>18.875986708591611</v>
      </c>
      <c r="J414" s="142">
        <v>51908.874871510612</v>
      </c>
      <c r="K414" s="142">
        <v>159187.70354731544</v>
      </c>
      <c r="L414" s="142">
        <v>18.864173292792984</v>
      </c>
      <c r="M414" s="145">
        <v>1.1813415798627602E-2</v>
      </c>
      <c r="N414" s="145">
        <v>1.3189714153297605</v>
      </c>
      <c r="O414" s="145">
        <v>1.2796311509433167E-3</v>
      </c>
      <c r="P414" s="145">
        <v>2.8906096842931106E-3</v>
      </c>
      <c r="Q4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0.42372954980862687</v>
      </c>
      <c r="R4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0.29677621375601149</v>
      </c>
      <c r="S4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0.4231216316945563</v>
      </c>
      <c r="T4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0.42372954980862687</v>
      </c>
      <c r="U4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4.2456074312013925E-4</v>
      </c>
      <c r="V4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3.80794589176503E-5</v>
      </c>
      <c r="W4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4.2438059981719789E-4</v>
      </c>
      <c r="X4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4.2463285610594426E-4</v>
      </c>
      <c r="Y414" s="162" t="str">
        <f>ReportSummary___Track[[#This Row],[Track ID]]&amp;"-"&amp;ReportSummary___Track[[#This Row],[Epoch]]</f>
        <v>250-RL-OP-0045-45839.2430555556</v>
      </c>
      <c r="Z414" s="126">
        <f>SUBTOTAL(103,ReportSummary___Track[[#This Row],[Track ID]])</f>
        <v>1</v>
      </c>
      <c r="AA414" s="114">
        <f>_xlfn.NUMBERVALUE(RIGHT(ReportSummary___Track[[#This Row],[Track ID]],4))</f>
        <v>45</v>
      </c>
      <c r="AB414" s="78"/>
      <c r="AG414" s="10"/>
      <c r="AH414" s="10"/>
      <c r="AJ414" s="1"/>
    </row>
    <row r="415" spans="5:36" ht="12.75" x14ac:dyDescent="0.2">
      <c r="E415" s="74">
        <v>45839.243055555555</v>
      </c>
      <c r="F415" s="107" t="s">
        <v>285</v>
      </c>
      <c r="G415" s="142">
        <v>51910.181867460473</v>
      </c>
      <c r="H415" s="142">
        <v>159188.73359703558</v>
      </c>
      <c r="I415" s="142">
        <v>18.87901175494688</v>
      </c>
      <c r="J415" s="142">
        <v>51909.844218654551</v>
      </c>
      <c r="K415" s="142">
        <v>159187.45786331443</v>
      </c>
      <c r="L415" s="142">
        <v>18.86651555201426</v>
      </c>
      <c r="M415" s="145">
        <v>1.2496202932620548E-2</v>
      </c>
      <c r="N415" s="145">
        <v>1.3197194393170626</v>
      </c>
      <c r="O415" s="145">
        <v>1.7164326230023619E-3</v>
      </c>
      <c r="P415" s="145">
        <v>2.8753936673417968E-3</v>
      </c>
      <c r="Q4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0.7452332713349108</v>
      </c>
      <c r="R4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-5.8913824254602787E-3</v>
      </c>
      <c r="S4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0.74409584039258903</v>
      </c>
      <c r="T4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0.7452332713349108</v>
      </c>
      <c r="U4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7.466951599255367E-4</v>
      </c>
      <c r="V4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-6.554405444025857E-4</v>
      </c>
      <c r="W4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7.4636107430237075E-4</v>
      </c>
      <c r="X4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7.468284478235887E-4</v>
      </c>
      <c r="Y415" s="162" t="str">
        <f>ReportSummary___Track[[#This Row],[Track ID]]&amp;"-"&amp;ReportSummary___Track[[#This Row],[Epoch]]</f>
        <v>250-RL-OP-0046-45839.2430555556</v>
      </c>
      <c r="Z415" s="126">
        <f>SUBTOTAL(103,ReportSummary___Track[[#This Row],[Track ID]])</f>
        <v>1</v>
      </c>
      <c r="AA415" s="114">
        <f>_xlfn.NUMBERVALUE(RIGHT(ReportSummary___Track[[#This Row],[Track ID]],4))</f>
        <v>46</v>
      </c>
      <c r="AB415" s="78"/>
      <c r="AG415" s="10"/>
      <c r="AH415" s="10"/>
      <c r="AJ415" s="1"/>
    </row>
    <row r="416" spans="5:36" ht="12.75" x14ac:dyDescent="0.2">
      <c r="E416" s="74">
        <v>45839.243055555555</v>
      </c>
      <c r="F416" s="107" t="s">
        <v>286</v>
      </c>
      <c r="G416" s="142">
        <v>51911.152141496423</v>
      </c>
      <c r="H416" s="142">
        <v>159188.49044319949</v>
      </c>
      <c r="I416" s="142">
        <v>18.882328518492972</v>
      </c>
      <c r="J416" s="142">
        <v>51910.836170760915</v>
      </c>
      <c r="K416" s="142">
        <v>159187.20842803695</v>
      </c>
      <c r="L416" s="142">
        <v>18.869139055249299</v>
      </c>
      <c r="M416" s="145">
        <v>1.3189463243673316E-2</v>
      </c>
      <c r="N416" s="145">
        <v>1.3204447525906648</v>
      </c>
      <c r="O416" s="145">
        <v>2.0588345790422125E-3</v>
      </c>
      <c r="P416" s="145">
        <v>2.9016642579229313E-3</v>
      </c>
      <c r="Q4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1.0026312924900083</v>
      </c>
      <c r="R4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-0.15534328040733847</v>
      </c>
      <c r="S4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0.90040546420766532</v>
      </c>
      <c r="T4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1.0025528872041889</v>
      </c>
      <c r="U4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9.2577967007656525E-4</v>
      </c>
      <c r="V4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-1.0920157910692119E-3</v>
      </c>
      <c r="W4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8.2335334376537617E-4</v>
      </c>
      <c r="X4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9.2575346909740119E-4</v>
      </c>
      <c r="Y416" s="162" t="str">
        <f>ReportSummary___Track[[#This Row],[Track ID]]&amp;"-"&amp;ReportSummary___Track[[#This Row],[Epoch]]</f>
        <v>250-RL-OP-0047-45839.2430555556</v>
      </c>
      <c r="Z416" s="126">
        <f>SUBTOTAL(103,ReportSummary___Track[[#This Row],[Track ID]])</f>
        <v>1</v>
      </c>
      <c r="AA416" s="114">
        <f>_xlfn.NUMBERVALUE(RIGHT(ReportSummary___Track[[#This Row],[Track ID]],4))</f>
        <v>47</v>
      </c>
      <c r="AB416" s="78"/>
      <c r="AG416" s="10"/>
      <c r="AH416" s="10"/>
      <c r="AJ416" s="1"/>
    </row>
    <row r="417" spans="5:36" ht="12.75" x14ac:dyDescent="0.2">
      <c r="E417" s="74">
        <v>45839.243055555555</v>
      </c>
      <c r="F417" s="107" t="s">
        <v>287</v>
      </c>
      <c r="G417" s="142">
        <v>51912.123875350408</v>
      </c>
      <c r="H417" s="142">
        <v>159188.25440524641</v>
      </c>
      <c r="I417" s="142">
        <v>18.886733255176882</v>
      </c>
      <c r="J417" s="142">
        <v>51911.807635538367</v>
      </c>
      <c r="K417" s="142">
        <v>159186.97126833431</v>
      </c>
      <c r="L417" s="142">
        <v>18.872524557994595</v>
      </c>
      <c r="M417" s="145">
        <v>1.4208697182287011E-2</v>
      </c>
      <c r="N417" s="145">
        <v>1.3216088078484081</v>
      </c>
      <c r="O417" s="145">
        <v>2.3952813836594089E-3</v>
      </c>
      <c r="P417" s="145">
        <v>3.6749125346027256E-3</v>
      </c>
      <c r="Q4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1.0027301990263027</v>
      </c>
      <c r="R4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0.18465546826029744</v>
      </c>
      <c r="S4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0.5790006492176758</v>
      </c>
      <c r="T4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1.0021222809122321</v>
      </c>
      <c r="U4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5.7372169160885278E-4</v>
      </c>
      <c r="V4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-5.9062979056445641E-4</v>
      </c>
      <c r="W4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1.4916094848871353E-4</v>
      </c>
      <c r="X4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5.7354154830591142E-4</v>
      </c>
      <c r="Y417" s="162" t="str">
        <f>ReportSummary___Track[[#This Row],[Track ID]]&amp;"-"&amp;ReportSummary___Track[[#This Row],[Epoch]]</f>
        <v>250-RL-OP-0048-45839.2430555556</v>
      </c>
      <c r="Z417" s="126">
        <f>SUBTOTAL(103,ReportSummary___Track[[#This Row],[Track ID]])</f>
        <v>1</v>
      </c>
      <c r="AA417" s="114">
        <f>_xlfn.NUMBERVALUE(RIGHT(ReportSummary___Track[[#This Row],[Track ID]],4))</f>
        <v>48</v>
      </c>
      <c r="AB417" s="78"/>
      <c r="AG417" s="10"/>
      <c r="AH417" s="10"/>
      <c r="AJ417" s="1"/>
    </row>
    <row r="418" spans="5:36" ht="12.75" x14ac:dyDescent="0.2">
      <c r="E418" s="74">
        <v>45839.243055555555</v>
      </c>
      <c r="F418" s="107" t="s">
        <v>288</v>
      </c>
      <c r="G418" s="142">
        <v>51913.0956092044</v>
      </c>
      <c r="H418" s="142">
        <v>159188.01836729329</v>
      </c>
      <c r="I418" s="142">
        <v>18.891137991860795</v>
      </c>
      <c r="J418" s="142">
        <v>51912.779100315813</v>
      </c>
      <c r="K418" s="142">
        <v>159186.7341086317</v>
      </c>
      <c r="L418" s="142">
        <v>18.875910060739887</v>
      </c>
      <c r="M418" s="145">
        <v>1.5227931120907812E-2</v>
      </c>
      <c r="N418" s="145">
        <v>1.3227736300306887</v>
      </c>
      <c r="O418" s="145">
        <v>2.7317281882872635E-3</v>
      </c>
      <c r="P418" s="145">
        <v>4.4481608112896254E-3</v>
      </c>
      <c r="Q4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1.0028291055732552</v>
      </c>
      <c r="R4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0.52464767915383348</v>
      </c>
      <c r="S4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0.25759583423834442</v>
      </c>
      <c r="T4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1.0016916746309334</v>
      </c>
      <c r="U4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2.2166371314469302E-4</v>
      </c>
      <c r="V4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-8.9885112851462168E-5</v>
      </c>
      <c r="W4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-5.2503144678084368E-4</v>
      </c>
      <c r="X4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2.2132962752152707E-4</v>
      </c>
      <c r="Y418" s="162" t="str">
        <f>ReportSummary___Track[[#This Row],[Track ID]]&amp;"-"&amp;ReportSummary___Track[[#This Row],[Epoch]]</f>
        <v>250-RL-OP-0049-45839.2430555556</v>
      </c>
      <c r="Z418" s="126">
        <f>SUBTOTAL(103,ReportSummary___Track[[#This Row],[Track ID]])</f>
        <v>1</v>
      </c>
      <c r="AA418" s="114">
        <f>_xlfn.NUMBERVALUE(RIGHT(ReportSummary___Track[[#This Row],[Track ID]],4))</f>
        <v>49</v>
      </c>
      <c r="AB418" s="78"/>
      <c r="AG418" s="10"/>
      <c r="AH418" s="10"/>
      <c r="AJ418" s="1"/>
    </row>
    <row r="419" spans="5:36" ht="12.75" x14ac:dyDescent="0.2">
      <c r="E419" s="74">
        <v>45833.284722222219</v>
      </c>
      <c r="F419" s="107" t="s">
        <v>235</v>
      </c>
      <c r="G419" s="142">
        <v>51886.101813663437</v>
      </c>
      <c r="H419" s="142">
        <v>159195.44542124093</v>
      </c>
      <c r="I419" s="142">
        <v>18.869774662204115</v>
      </c>
      <c r="J419" s="142">
        <v>51885.742050789791</v>
      </c>
      <c r="K419" s="142">
        <v>159194.18595535541</v>
      </c>
      <c r="L419" s="142">
        <v>18.865787559209785</v>
      </c>
      <c r="M419" s="145">
        <v>3.9871029943299163E-3</v>
      </c>
      <c r="N419" s="145">
        <v>1.30984714338782</v>
      </c>
      <c r="O419" s="145"/>
      <c r="P419" s="145"/>
      <c r="Q4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-0.2816617516643305</v>
      </c>
      <c r="R4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-0.27103299958963767</v>
      </c>
      <c r="S41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1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3.1902768427016781E-8</v>
      </c>
      <c r="V4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4.2049427233448178E-4</v>
      </c>
      <c r="W41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1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19" s="162" t="str">
        <f>ReportSummary___Track[[#This Row],[Track ID]]&amp;"-"&amp;ReportSummary___Track[[#This Row],[Epoch]]</f>
        <v>250-RL-OP-0021-45833.2847222222</v>
      </c>
      <c r="Z419" s="126">
        <f>SUBTOTAL(103,ReportSummary___Track[[#This Row],[Track ID]])</f>
        <v>1</v>
      </c>
      <c r="AA419" s="114">
        <f>_xlfn.NUMBERVALUE(RIGHT(ReportSummary___Track[[#This Row],[Track ID]],4))</f>
        <v>21</v>
      </c>
      <c r="AB419" s="78"/>
      <c r="AG419" s="10"/>
      <c r="AH419" s="10"/>
      <c r="AJ419" s="1"/>
    </row>
    <row r="420" spans="5:36" ht="12.75" x14ac:dyDescent="0.2">
      <c r="E420" s="74">
        <v>45833.284722222219</v>
      </c>
      <c r="F420" s="107" t="s">
        <v>236</v>
      </c>
      <c r="G420" s="142">
        <v>51887.063368914649</v>
      </c>
      <c r="H420" s="142">
        <v>159195.17080983878</v>
      </c>
      <c r="I420" s="142">
        <v>18.869497766411676</v>
      </c>
      <c r="J420" s="142">
        <v>51886.703169527536</v>
      </c>
      <c r="K420" s="142">
        <v>159193.90981996525</v>
      </c>
      <c r="L420" s="142">
        <v>18.865652414029238</v>
      </c>
      <c r="M420" s="145">
        <v>3.8453523824379943E-3</v>
      </c>
      <c r="N420" s="145">
        <v>1.3114319831171453</v>
      </c>
      <c r="O420" s="145"/>
      <c r="P420" s="145"/>
      <c r="Q4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-0.62776888026050415</v>
      </c>
      <c r="R4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-0.59682997794086035</v>
      </c>
      <c r="S42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2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7.0822885334109742E-8</v>
      </c>
      <c r="V4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-2.370434445502223E-4</v>
      </c>
      <c r="W42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2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20" s="162" t="str">
        <f>ReportSummary___Track[[#This Row],[Track ID]]&amp;"-"&amp;ReportSummary___Track[[#This Row],[Epoch]]</f>
        <v>250-RL-OP-0022-45833.2847222222</v>
      </c>
      <c r="Z420" s="126">
        <f>SUBTOTAL(103,ReportSummary___Track[[#This Row],[Track ID]])</f>
        <v>1</v>
      </c>
      <c r="AA420" s="114">
        <f>_xlfn.NUMBERVALUE(RIGHT(ReportSummary___Track[[#This Row],[Track ID]],4))</f>
        <v>22</v>
      </c>
      <c r="AB420" s="78"/>
      <c r="AG420" s="10"/>
      <c r="AH420" s="10"/>
      <c r="AJ420" s="1"/>
    </row>
    <row r="421" spans="5:36" ht="12.75" x14ac:dyDescent="0.2">
      <c r="E421" s="74">
        <v>45833.284722222219</v>
      </c>
      <c r="F421" s="107" t="s">
        <v>237</v>
      </c>
      <c r="G421" s="142">
        <v>51888.02492416586</v>
      </c>
      <c r="H421" s="142">
        <v>159194.89619843662</v>
      </c>
      <c r="I421" s="142">
        <v>18.869220870619237</v>
      </c>
      <c r="J421" s="142">
        <v>51887.664288265281</v>
      </c>
      <c r="K421" s="142">
        <v>159193.63368457509</v>
      </c>
      <c r="L421" s="142">
        <v>18.865517268848695</v>
      </c>
      <c r="M421" s="145">
        <v>3.7036017705425195E-3</v>
      </c>
      <c r="N421" s="145">
        <v>1.3130168391902843</v>
      </c>
      <c r="O421" s="145"/>
      <c r="P421" s="145"/>
      <c r="Q4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-0.97387600886023051</v>
      </c>
      <c r="R4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-0.92264042010326008</v>
      </c>
      <c r="S42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2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1.0974299513577535E-7</v>
      </c>
      <c r="V4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-8.9458162622380044E-4</v>
      </c>
      <c r="W42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2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21" s="162" t="str">
        <f>ReportSummary___Track[[#This Row],[Track ID]]&amp;"-"&amp;ReportSummary___Track[[#This Row],[Epoch]]</f>
        <v>250-RL-OP-0023-45833.2847222222</v>
      </c>
      <c r="Z421" s="126">
        <f>SUBTOTAL(103,ReportSummary___Track[[#This Row],[Track ID]])</f>
        <v>1</v>
      </c>
      <c r="AA421" s="114">
        <f>_xlfn.NUMBERVALUE(RIGHT(ReportSummary___Track[[#This Row],[Track ID]],4))</f>
        <v>23</v>
      </c>
      <c r="AB421" s="78"/>
      <c r="AG421" s="10"/>
      <c r="AH421" s="10"/>
      <c r="AJ421" s="1"/>
    </row>
    <row r="422" spans="5:36" ht="12.75" x14ac:dyDescent="0.2">
      <c r="E422" s="74">
        <v>45833.284722222219</v>
      </c>
      <c r="F422" s="107" t="s">
        <v>238</v>
      </c>
      <c r="G422" s="142">
        <v>51888.986288492531</v>
      </c>
      <c r="H422" s="142">
        <v>159194.62101568194</v>
      </c>
      <c r="I422" s="142">
        <v>18.868826216423926</v>
      </c>
      <c r="J422" s="142">
        <v>51888.624024403252</v>
      </c>
      <c r="K422" s="142">
        <v>159193.35679661779</v>
      </c>
      <c r="L422" s="142">
        <v>18.864752372254646</v>
      </c>
      <c r="M422" s="145">
        <v>4.0738441692802496E-3</v>
      </c>
      <c r="N422" s="145">
        <v>1.3151052082420849</v>
      </c>
      <c r="O422" s="145">
        <v>8.6741174950333289E-5</v>
      </c>
      <c r="P422" s="145"/>
      <c r="Q4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-0.6885773897984393</v>
      </c>
      <c r="R4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-0.66422108973096528</v>
      </c>
      <c r="S4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-0.4069156381341088</v>
      </c>
      <c r="T42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1.2335839539190374E-5</v>
      </c>
      <c r="V4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-6.7395252626556434E-4</v>
      </c>
      <c r="W4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1.2303936770763357E-5</v>
      </c>
      <c r="X42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22" s="162" t="str">
        <f>ReportSummary___Track[[#This Row],[Track ID]]&amp;"-"&amp;ReportSummary___Track[[#This Row],[Epoch]]</f>
        <v>250-RL-OP-0024-45833.2847222222</v>
      </c>
      <c r="Z422" s="126">
        <f>SUBTOTAL(103,ReportSummary___Track[[#This Row],[Track ID]])</f>
        <v>1</v>
      </c>
      <c r="AA422" s="114">
        <f>_xlfn.NUMBERVALUE(RIGHT(ReportSummary___Track[[#This Row],[Track ID]],4))</f>
        <v>24</v>
      </c>
      <c r="AB422" s="78"/>
      <c r="AG422" s="10"/>
      <c r="AH422" s="10"/>
      <c r="AJ422" s="1"/>
    </row>
    <row r="423" spans="5:36" ht="12.75" x14ac:dyDescent="0.2">
      <c r="E423" s="74">
        <v>45833.284722222219</v>
      </c>
      <c r="F423" s="107" t="s">
        <v>239</v>
      </c>
      <c r="G423" s="142">
        <v>51889.94766475528</v>
      </c>
      <c r="H423" s="142">
        <v>159194.3457784788</v>
      </c>
      <c r="I423" s="142">
        <v>18.868421951254046</v>
      </c>
      <c r="J423" s="142">
        <v>51889.584791712696</v>
      </c>
      <c r="K423" s="142">
        <v>159193.07944225875</v>
      </c>
      <c r="L423" s="142">
        <v>18.863894115171242</v>
      </c>
      <c r="M423" s="145">
        <v>4.5278360828042707E-3</v>
      </c>
      <c r="N423" s="145">
        <v>1.3173096707138987</v>
      </c>
      <c r="O423" s="145">
        <v>6.8248370036627648E-4</v>
      </c>
      <c r="P423" s="145"/>
      <c r="Q4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-0.35175864633885112</v>
      </c>
      <c r="R4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-0.33931960306476938</v>
      </c>
      <c r="S4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0.27601023392165303</v>
      </c>
      <c r="T42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5.8065758210545937E-6</v>
      </c>
      <c r="V4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-3.441057687552096E-4</v>
      </c>
      <c r="W4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5.7357529357204839E-6</v>
      </c>
      <c r="X42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23" s="162" t="str">
        <f>ReportSummary___Track[[#This Row],[Track ID]]&amp;"-"&amp;ReportSummary___Track[[#This Row],[Epoch]]</f>
        <v>250-RL-OP-0025-45833.2847222222</v>
      </c>
      <c r="Z423" s="126">
        <f>SUBTOTAL(103,ReportSummary___Track[[#This Row],[Track ID]])</f>
        <v>1</v>
      </c>
      <c r="AA423" s="114">
        <f>_xlfn.NUMBERVALUE(RIGHT(ReportSummary___Track[[#This Row],[Track ID]],4))</f>
        <v>25</v>
      </c>
      <c r="AB423" s="78"/>
      <c r="AG423" s="10"/>
      <c r="AH423" s="10"/>
      <c r="AJ423" s="1"/>
    </row>
    <row r="424" spans="5:36" ht="12.75" x14ac:dyDescent="0.2">
      <c r="E424" s="74">
        <v>45833.284722222219</v>
      </c>
      <c r="F424" s="107" t="s">
        <v>240</v>
      </c>
      <c r="G424" s="142">
        <v>51890.909041018022</v>
      </c>
      <c r="H424" s="142">
        <v>159194.07054127564</v>
      </c>
      <c r="I424" s="142">
        <v>18.868017686084162</v>
      </c>
      <c r="J424" s="142">
        <v>51890.545559022146</v>
      </c>
      <c r="K424" s="142">
        <v>159192.80208789968</v>
      </c>
      <c r="L424" s="142">
        <v>18.863035858087837</v>
      </c>
      <c r="M424" s="145">
        <v>4.9818279963247392E-3</v>
      </c>
      <c r="N424" s="145">
        <v>1.319514284470052</v>
      </c>
      <c r="O424" s="145">
        <v>1.2782262257822197E-3</v>
      </c>
      <c r="P424" s="145"/>
      <c r="Q4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-1.4939902882815659E-2</v>
      </c>
      <c r="R4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-1.4276079156161359E-2</v>
      </c>
      <c r="S4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0.95893610597741485</v>
      </c>
      <c r="T42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-7.2268790418661411E-7</v>
      </c>
      <c r="V4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-1.4264217349291286E-5</v>
      </c>
      <c r="W4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-8.3243089932238945E-7</v>
      </c>
      <c r="X42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24" s="162" t="str">
        <f>ReportSummary___Track[[#This Row],[Track ID]]&amp;"-"&amp;ReportSummary___Track[[#This Row],[Epoch]]</f>
        <v>250-RL-OP-0026-45833.2847222222</v>
      </c>
      <c r="Z424" s="126">
        <f>SUBTOTAL(103,ReportSummary___Track[[#This Row],[Track ID]])</f>
        <v>1</v>
      </c>
      <c r="AA424" s="114">
        <f>_xlfn.NUMBERVALUE(RIGHT(ReportSummary___Track[[#This Row],[Track ID]],4))</f>
        <v>26</v>
      </c>
      <c r="AB424" s="78"/>
      <c r="AG424" s="10"/>
      <c r="AH424" s="10"/>
      <c r="AJ424" s="1"/>
    </row>
    <row r="425" spans="5:36" ht="12.75" x14ac:dyDescent="0.2">
      <c r="E425" s="74">
        <v>45833.284722222219</v>
      </c>
      <c r="F425" s="107" t="s">
        <v>241</v>
      </c>
      <c r="G425" s="142">
        <v>51891.870085166687</v>
      </c>
      <c r="H425" s="142">
        <v>159193.79434240577</v>
      </c>
      <c r="I425" s="142">
        <v>18.865661447731828</v>
      </c>
      <c r="J425" s="142">
        <v>51891.504352850017</v>
      </c>
      <c r="K425" s="142">
        <v>159192.52590828383</v>
      </c>
      <c r="L425" s="142">
        <v>18.860959197096111</v>
      </c>
      <c r="M425" s="145">
        <v>4.7022506357166094E-3</v>
      </c>
      <c r="N425" s="145">
        <v>1.3201164192322909</v>
      </c>
      <c r="O425" s="145">
        <v>6.2840646643635978E-4</v>
      </c>
      <c r="P425" s="145">
        <v>7.1514764138669307E-4</v>
      </c>
      <c r="Q4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-6.9568581650969463E-4</v>
      </c>
      <c r="R4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-8.4508484710754672E-2</v>
      </c>
      <c r="S4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0.6878817039819296</v>
      </c>
      <c r="T4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0.2809660658478208</v>
      </c>
      <c r="U4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3.2393582554846034E-4</v>
      </c>
      <c r="V4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1.1143058162854658E-6</v>
      </c>
      <c r="W4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3.1159998600926997E-4</v>
      </c>
      <c r="X4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3.2390392278003333E-4</v>
      </c>
      <c r="Y425" s="162" t="str">
        <f>ReportSummary___Track[[#This Row],[Track ID]]&amp;"-"&amp;ReportSummary___Track[[#This Row],[Epoch]]</f>
        <v>250-RL-OP-0027-45833.2847222222</v>
      </c>
      <c r="Z425" s="126">
        <f>SUBTOTAL(103,ReportSummary___Track[[#This Row],[Track ID]])</f>
        <v>1</v>
      </c>
      <c r="AA425" s="114">
        <f>_xlfn.NUMBERVALUE(RIGHT(ReportSummary___Track[[#This Row],[Track ID]],4))</f>
        <v>27</v>
      </c>
      <c r="AB425" s="78"/>
      <c r="AG425" s="10"/>
      <c r="AH425" s="10"/>
      <c r="AJ425" s="1"/>
    </row>
    <row r="426" spans="5:36" ht="12.75" x14ac:dyDescent="0.2">
      <c r="E426" s="74">
        <v>45833.284722222219</v>
      </c>
      <c r="F426" s="107" t="s">
        <v>242</v>
      </c>
      <c r="G426" s="142">
        <v>51892.831165658921</v>
      </c>
      <c r="H426" s="142">
        <v>159193.5180847251</v>
      </c>
      <c r="I426" s="142">
        <v>18.863215774997911</v>
      </c>
      <c r="J426" s="142">
        <v>51892.465286793558</v>
      </c>
      <c r="K426" s="142">
        <v>159192.24913870625</v>
      </c>
      <c r="L426" s="142">
        <v>18.858824466025101</v>
      </c>
      <c r="M426" s="145">
        <v>4.3913089728100374E-3</v>
      </c>
      <c r="N426" s="145">
        <v>1.3206478056180186</v>
      </c>
      <c r="O426" s="145">
        <v>-1.3652710999423334E-4</v>
      </c>
      <c r="P426" s="145">
        <v>5.4595659037204314E-4</v>
      </c>
      <c r="Q4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-1.4233419420861537E-3</v>
      </c>
      <c r="R4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-0.17297553019246514</v>
      </c>
      <c r="S4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0.35033530439676497</v>
      </c>
      <c r="T4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0.62634553831841799</v>
      </c>
      <c r="U4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6.6278083134463373E-4</v>
      </c>
      <c r="V4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2.0378921459229815E-6</v>
      </c>
      <c r="W4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6.5697425552357913E-4</v>
      </c>
      <c r="X4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6.6271000845929962E-4</v>
      </c>
      <c r="Y426" s="162" t="str">
        <f>ReportSummary___Track[[#This Row],[Track ID]]&amp;"-"&amp;ReportSummary___Track[[#This Row],[Epoch]]</f>
        <v>250-RL-OP-0028-45833.2847222222</v>
      </c>
      <c r="Z426" s="126">
        <f>SUBTOTAL(103,ReportSummary___Track[[#This Row],[Track ID]])</f>
        <v>1</v>
      </c>
      <c r="AA426" s="114">
        <f>_xlfn.NUMBERVALUE(RIGHT(ReportSummary___Track[[#This Row],[Track ID]],4))</f>
        <v>28</v>
      </c>
      <c r="AB426" s="78"/>
      <c r="AG426" s="10"/>
      <c r="AH426" s="10"/>
      <c r="AJ426" s="1"/>
    </row>
    <row r="427" spans="5:36" ht="12.75" x14ac:dyDescent="0.2">
      <c r="E427" s="74">
        <v>45833.284722222219</v>
      </c>
      <c r="F427" s="107" t="s">
        <v>243</v>
      </c>
      <c r="G427" s="142">
        <v>51893.791838945894</v>
      </c>
      <c r="H427" s="142">
        <v>159193.24190592306</v>
      </c>
      <c r="I427" s="142">
        <v>18.860908806466888</v>
      </c>
      <c r="J427" s="142">
        <v>51893.426692579691</v>
      </c>
      <c r="K427" s="142">
        <v>159191.97223179543</v>
      </c>
      <c r="L427" s="142">
        <v>18.85670271923307</v>
      </c>
      <c r="M427" s="145">
        <v>4.2060872338183231E-3</v>
      </c>
      <c r="N427" s="145">
        <v>1.3211441822507177</v>
      </c>
      <c r="O427" s="145">
        <v>-7.757407625064161E-4</v>
      </c>
      <c r="P427" s="145">
        <v>5.0248546327580357E-4</v>
      </c>
      <c r="Q4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-2.9061730799639918E-6</v>
      </c>
      <c r="R4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-0.2544274470448471</v>
      </c>
      <c r="S4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1.4936996709735695E-2</v>
      </c>
      <c r="T4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0.97387310268715055</v>
      </c>
      <c r="U4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9.8238951548879072E-4</v>
      </c>
      <c r="V4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1.968484059133857E-5</v>
      </c>
      <c r="W4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9.8311220339297734E-4</v>
      </c>
      <c r="X4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9.8227977249365495E-4</v>
      </c>
      <c r="Y427" s="162" t="str">
        <f>ReportSummary___Track[[#This Row],[Track ID]]&amp;"-"&amp;ReportSummary___Track[[#This Row],[Epoch]]</f>
        <v>250-RL-OP-0029-45833.2847222222</v>
      </c>
      <c r="Z427" s="126">
        <f>SUBTOTAL(103,ReportSummary___Track[[#This Row],[Track ID]])</f>
        <v>1</v>
      </c>
      <c r="AA427" s="114">
        <f>_xlfn.NUMBERVALUE(RIGHT(ReportSummary___Track[[#This Row],[Track ID]],4))</f>
        <v>29</v>
      </c>
      <c r="AB427" s="78"/>
      <c r="AG427" s="10"/>
      <c r="AH427" s="10"/>
      <c r="AJ427" s="1"/>
    </row>
    <row r="428" spans="5:36" ht="12.75" x14ac:dyDescent="0.2">
      <c r="E428" s="74">
        <v>45833.284722222219</v>
      </c>
      <c r="F428" s="107" t="s">
        <v>269</v>
      </c>
      <c r="G428" s="142">
        <v>51894.752729759806</v>
      </c>
      <c r="H428" s="142">
        <v>159192.96497846718</v>
      </c>
      <c r="I428" s="142">
        <v>18.861075912100414</v>
      </c>
      <c r="J428" s="142">
        <v>51894.387556672729</v>
      </c>
      <c r="K428" s="142">
        <v>159191.69521206419</v>
      </c>
      <c r="L428" s="142">
        <v>18.857215782076423</v>
      </c>
      <c r="M428" s="145">
        <v>3.8601300239911041E-3</v>
      </c>
      <c r="N428" s="145">
        <v>1.3212391919238418</v>
      </c>
      <c r="O428" s="145">
        <v>-8.4212061172550534E-4</v>
      </c>
      <c r="P428" s="145">
        <v>-2.1371414528914556E-4</v>
      </c>
      <c r="Q4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-2.0966695046809036E-4</v>
      </c>
      <c r="R4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0.25407811085043086</v>
      </c>
      <c r="S4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4.8601886604160427E-4</v>
      </c>
      <c r="T4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0.68836772284797121</v>
      </c>
      <c r="U4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6.4822472398162745E-4</v>
      </c>
      <c r="V4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3.3976698819193629E-4</v>
      </c>
      <c r="W4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3.2428889843316711E-4</v>
      </c>
      <c r="X4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6.3588888444243707E-4</v>
      </c>
      <c r="Y428" s="162" t="str">
        <f>ReportSummary___Track[[#This Row],[Track ID]]&amp;"-"&amp;ReportSummary___Track[[#This Row],[Epoch]]</f>
        <v>250-RL-OP-0030-45833.2847222222</v>
      </c>
      <c r="Z428" s="126">
        <f>SUBTOTAL(103,ReportSummary___Track[[#This Row],[Track ID]])</f>
        <v>1</v>
      </c>
      <c r="AA428" s="114">
        <f>_xlfn.NUMBERVALUE(RIGHT(ReportSummary___Track[[#This Row],[Track ID]],4))</f>
        <v>30</v>
      </c>
      <c r="AB428" s="78"/>
      <c r="AG428" s="10"/>
      <c r="AH428" s="10"/>
      <c r="AJ428" s="1"/>
    </row>
    <row r="429" spans="5:36" ht="12.75" x14ac:dyDescent="0.2">
      <c r="E429" s="74">
        <v>45833.284722222219</v>
      </c>
      <c r="F429" s="107" t="s">
        <v>270</v>
      </c>
      <c r="G429" s="142">
        <v>51895.713620573719</v>
      </c>
      <c r="H429" s="142">
        <v>159192.68805101133</v>
      </c>
      <c r="I429" s="142">
        <v>18.861243017733944</v>
      </c>
      <c r="J429" s="142">
        <v>51895.34842076576</v>
      </c>
      <c r="K429" s="142">
        <v>159191.41819233299</v>
      </c>
      <c r="L429" s="142">
        <v>18.857728844919777</v>
      </c>
      <c r="M429" s="145">
        <v>3.5141728141674378E-3</v>
      </c>
      <c r="N429" s="145">
        <v>1.3213342923317339</v>
      </c>
      <c r="O429" s="145">
        <v>-8.7713615864259964E-4</v>
      </c>
      <c r="P429" s="145">
        <v>-1.013663268636833E-3</v>
      </c>
      <c r="Q4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-4.1642772430350306E-4</v>
      </c>
      <c r="R4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0.76258453848132568</v>
      </c>
      <c r="S4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1.0069142177826507E-3</v>
      </c>
      <c r="T4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0.35134221861454762</v>
      </c>
      <c r="U4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3.1405993247801689E-4</v>
      </c>
      <c r="V4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6.5993980076495262E-4</v>
      </c>
      <c r="W4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-3.4872089886661684E-4</v>
      </c>
      <c r="X4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3.082533566569623E-4</v>
      </c>
      <c r="Y429" s="162" t="str">
        <f>ReportSummary___Track[[#This Row],[Track ID]]&amp;"-"&amp;ReportSummary___Track[[#This Row],[Epoch]]</f>
        <v>250-RL-OP-0031-45833.2847222222</v>
      </c>
      <c r="Z429" s="126">
        <f>SUBTOTAL(103,ReportSummary___Track[[#This Row],[Track ID]])</f>
        <v>1</v>
      </c>
      <c r="AA429" s="114">
        <f>_xlfn.NUMBERVALUE(RIGHT(ReportSummary___Track[[#This Row],[Track ID]],4))</f>
        <v>31</v>
      </c>
      <c r="AB429" s="78"/>
      <c r="AG429" s="10"/>
      <c r="AH429" s="10"/>
      <c r="AJ429" s="1"/>
    </row>
    <row r="430" spans="5:36" ht="12.75" x14ac:dyDescent="0.2">
      <c r="E430" s="74">
        <v>45833.284722222219</v>
      </c>
      <c r="F430" s="107" t="s">
        <v>271</v>
      </c>
      <c r="G430" s="142">
        <v>51896.675398652565</v>
      </c>
      <c r="H430" s="142">
        <v>159192.41088266813</v>
      </c>
      <c r="I430" s="142">
        <v>18.861498390807743</v>
      </c>
      <c r="J430" s="142">
        <v>51896.30852141809</v>
      </c>
      <c r="K430" s="142">
        <v>159191.14170884955</v>
      </c>
      <c r="L430" s="142">
        <v>18.858247340168667</v>
      </c>
      <c r="M430" s="145">
        <v>3.2510506390757143E-3</v>
      </c>
      <c r="N430" s="145">
        <v>1.3211402863742761</v>
      </c>
      <c r="O430" s="145">
        <v>-9.5503659474260871E-4</v>
      </c>
      <c r="P430" s="145">
        <v>-1.7307773572490248E-3</v>
      </c>
      <c r="Q4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3.287300742726984E-5</v>
      </c>
      <c r="R4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1.2322697134790062</v>
      </c>
      <c r="S4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3.5779180507233832E-5</v>
      </c>
      <c r="T4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1.4972775890242929E-2</v>
      </c>
      <c r="U4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-2.5152992577659461E-8</v>
      </c>
      <c r="V4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9.4769101114189347E-4</v>
      </c>
      <c r="W4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-9.8241466848136838E-4</v>
      </c>
      <c r="X4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6.9753491160895464E-7</v>
      </c>
      <c r="Y430" s="162" t="str">
        <f>ReportSummary___Track[[#This Row],[Track ID]]&amp;"-"&amp;ReportSummary___Track[[#This Row],[Epoch]]</f>
        <v>250-RL-OP-0032-45833.2847222222</v>
      </c>
      <c r="Z430" s="126">
        <f>SUBTOTAL(103,ReportSummary___Track[[#This Row],[Track ID]])</f>
        <v>1</v>
      </c>
      <c r="AA430" s="114">
        <f>_xlfn.NUMBERVALUE(RIGHT(ReportSummary___Track[[#This Row],[Track ID]],4))</f>
        <v>32</v>
      </c>
      <c r="AB430" s="78"/>
      <c r="AG430" s="10"/>
      <c r="AH430" s="10"/>
      <c r="AJ430" s="1"/>
    </row>
    <row r="431" spans="5:36" ht="12.75" x14ac:dyDescent="0.2">
      <c r="E431" s="74">
        <v>45833.284722222219</v>
      </c>
      <c r="F431" s="107" t="s">
        <v>272</v>
      </c>
      <c r="G431" s="142">
        <v>51897.636352352805</v>
      </c>
      <c r="H431" s="142">
        <v>159192.13417808473</v>
      </c>
      <c r="I431" s="142">
        <v>18.863098241340175</v>
      </c>
      <c r="J431" s="142">
        <v>51897.270420156812</v>
      </c>
      <c r="K431" s="142">
        <v>159190.86830352191</v>
      </c>
      <c r="L431" s="142">
        <v>18.858833233345244</v>
      </c>
      <c r="M431" s="145">
        <v>4.2650079949311248E-3</v>
      </c>
      <c r="N431" s="145">
        <v>1.3177112624309579</v>
      </c>
      <c r="O431" s="145">
        <v>4.0487797094002076E-4</v>
      </c>
      <c r="P431" s="145">
        <v>-4.3724264078548458E-4</v>
      </c>
      <c r="Q4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5.673934779792944E-4</v>
      </c>
      <c r="R4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1.1360690613280156</v>
      </c>
      <c r="S4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7.7706042844738477E-4</v>
      </c>
      <c r="T4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1.263079294488989E-3</v>
      </c>
      <c r="U4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-3.7321045809335374E-7</v>
      </c>
      <c r="V4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7.0763640763127356E-4</v>
      </c>
      <c r="W4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-6.485979344397208E-4</v>
      </c>
      <c r="X4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-3.243090360065537E-4</v>
      </c>
      <c r="Y431" s="162" t="str">
        <f>ReportSummary___Track[[#This Row],[Track ID]]&amp;"-"&amp;ReportSummary___Track[[#This Row],[Epoch]]</f>
        <v>250-RL-OP-0033-45833.2847222222</v>
      </c>
      <c r="Z431" s="126">
        <f>SUBTOTAL(103,ReportSummary___Track[[#This Row],[Track ID]])</f>
        <v>1</v>
      </c>
      <c r="AA431" s="114">
        <f>_xlfn.NUMBERVALUE(RIGHT(ReportSummary___Track[[#This Row],[Track ID]],4))</f>
        <v>33</v>
      </c>
      <c r="AB431" s="78"/>
      <c r="AG431" s="10"/>
      <c r="AH431" s="10"/>
      <c r="AJ431" s="1"/>
    </row>
    <row r="432" spans="5:36" ht="12.75" x14ac:dyDescent="0.2">
      <c r="E432" s="74">
        <v>45833.284722222219</v>
      </c>
      <c r="F432" s="107" t="s">
        <v>273</v>
      </c>
      <c r="G432" s="142">
        <v>51898.597306053045</v>
      </c>
      <c r="H432" s="142">
        <v>159191.85747350132</v>
      </c>
      <c r="I432" s="142">
        <v>18.864698091872608</v>
      </c>
      <c r="J432" s="142">
        <v>51898.232318895534</v>
      </c>
      <c r="K432" s="142">
        <v>159190.59489819428</v>
      </c>
      <c r="L432" s="142">
        <v>18.859419126521821</v>
      </c>
      <c r="M432" s="145">
        <v>5.2789653507865353E-3</v>
      </c>
      <c r="N432" s="145">
        <v>1.314283035949801</v>
      </c>
      <c r="O432" s="145">
        <v>1.7647925366190975E-3</v>
      </c>
      <c r="P432" s="145">
        <v>8.8765637797649788E-4</v>
      </c>
      <c r="Q4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1.101913948531319E-3</v>
      </c>
      <c r="R4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1.0398690464556992</v>
      </c>
      <c r="S4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1.518341672834822E-3</v>
      </c>
      <c r="T4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2.5252558906174727E-3</v>
      </c>
      <c r="U4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-7.2126792716176169E-7</v>
      </c>
      <c r="V4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4.6758199471108597E-4</v>
      </c>
      <c r="W4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-3.1478120040517865E-4</v>
      </c>
      <c r="X4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-6.6350209927179549E-4</v>
      </c>
      <c r="Y432" s="162" t="str">
        <f>ReportSummary___Track[[#This Row],[Track ID]]&amp;"-"&amp;ReportSummary___Track[[#This Row],[Epoch]]</f>
        <v>250-RL-OP-0034-45833.2847222222</v>
      </c>
      <c r="Z432" s="126">
        <f>SUBTOTAL(103,ReportSummary___Track[[#This Row],[Track ID]])</f>
        <v>1</v>
      </c>
      <c r="AA432" s="114">
        <f>_xlfn.NUMBERVALUE(RIGHT(ReportSummary___Track[[#This Row],[Track ID]],4))</f>
        <v>34</v>
      </c>
      <c r="AB432" s="78"/>
      <c r="AG432" s="10"/>
      <c r="AH432" s="10"/>
      <c r="AJ432" s="1"/>
    </row>
    <row r="433" spans="5:36" ht="12.75" x14ac:dyDescent="0.2">
      <c r="E433" s="74">
        <v>45833.284722222219</v>
      </c>
      <c r="F433" s="107" t="s">
        <v>274</v>
      </c>
      <c r="G433" s="142">
        <v>51899.557752893597</v>
      </c>
      <c r="H433" s="142">
        <v>159191.58239357785</v>
      </c>
      <c r="I433" s="142">
        <v>18.865938379525691</v>
      </c>
      <c r="J433" s="142">
        <v>51899.202492788187</v>
      </c>
      <c r="K433" s="142">
        <v>159190.3196927908</v>
      </c>
      <c r="L433" s="142">
        <v>18.8597161823111</v>
      </c>
      <c r="M433" s="145">
        <v>6.2221972145906079E-3</v>
      </c>
      <c r="N433" s="145">
        <v>1.3117399650249</v>
      </c>
      <c r="O433" s="145">
        <v>2.9711465755148936E-3</v>
      </c>
      <c r="P433" s="145">
        <v>2.0161099807722849E-3</v>
      </c>
      <c r="Q4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-3.6476836484666819E-4</v>
      </c>
      <c r="R4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0.90396882701582193</v>
      </c>
      <c r="S4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-3.9764137227393803E-4</v>
      </c>
      <c r="T4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-3.618621917667042E-4</v>
      </c>
      <c r="U4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-5.7782550300089497E-8</v>
      </c>
      <c r="V4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2.5388712425011839E-4</v>
      </c>
      <c r="W4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-3.2629557722430036E-8</v>
      </c>
      <c r="X4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-9.8244729803909081E-4</v>
      </c>
      <c r="Y433" s="162" t="str">
        <f>ReportSummary___Track[[#This Row],[Track ID]]&amp;"-"&amp;ReportSummary___Track[[#This Row],[Epoch]]</f>
        <v>250-RL-OP-0035-45833.2847222222</v>
      </c>
      <c r="Z433" s="126">
        <f>SUBTOTAL(103,ReportSummary___Track[[#This Row],[Track ID]])</f>
        <v>1</v>
      </c>
      <c r="AA433" s="114">
        <f>_xlfn.NUMBERVALUE(RIGHT(ReportSummary___Track[[#This Row],[Track ID]],4))</f>
        <v>35</v>
      </c>
      <c r="AB433" s="78"/>
      <c r="AG433" s="10"/>
      <c r="AH433" s="10"/>
      <c r="AJ433" s="1"/>
    </row>
    <row r="434" spans="5:36" ht="12.75" x14ac:dyDescent="0.2">
      <c r="E434" s="74">
        <v>45833.284722222219</v>
      </c>
      <c r="F434" s="107" t="s">
        <v>275</v>
      </c>
      <c r="G434" s="142">
        <v>51900.520801428909</v>
      </c>
      <c r="H434" s="142">
        <v>159191.31306588146</v>
      </c>
      <c r="I434" s="142">
        <v>18.865605835141952</v>
      </c>
      <c r="J434" s="142">
        <v>51900.165160812627</v>
      </c>
      <c r="K434" s="142">
        <v>159190.04900973692</v>
      </c>
      <c r="L434" s="142">
        <v>18.858736865907805</v>
      </c>
      <c r="M434" s="145">
        <v>6.8689692341479258E-3</v>
      </c>
      <c r="N434" s="145">
        <v>1.3131509308712204</v>
      </c>
      <c r="O434" s="145">
        <v>2.603961239216801E-3</v>
      </c>
      <c r="P434" s="145">
        <v>3.0088392101568218E-3</v>
      </c>
      <c r="Q4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-6.5601593277619941E-3</v>
      </c>
      <c r="R4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0.59688745349562033</v>
      </c>
      <c r="S4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-7.1275528057412885E-3</v>
      </c>
      <c r="T4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-6.3504923772939037E-3</v>
      </c>
      <c r="U4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-3.6562779825999314E-7</v>
      </c>
      <c r="V4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1.6549662749709704E-4</v>
      </c>
      <c r="W4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7.5826598333605943E-9</v>
      </c>
      <c r="X4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-6.4859035177988744E-4</v>
      </c>
      <c r="Y434" s="162" t="str">
        <f>ReportSummary___Track[[#This Row],[Track ID]]&amp;"-"&amp;ReportSummary___Track[[#This Row],[Epoch]]</f>
        <v>250-RL-OP-0036-45833.2847222222</v>
      </c>
      <c r="Z434" s="126">
        <f>SUBTOTAL(103,ReportSummary___Track[[#This Row],[Track ID]])</f>
        <v>1</v>
      </c>
      <c r="AA434" s="114">
        <f>_xlfn.NUMBERVALUE(RIGHT(ReportSummary___Track[[#This Row],[Track ID]],4))</f>
        <v>36</v>
      </c>
      <c r="AB434" s="78"/>
      <c r="AG434" s="10"/>
      <c r="AH434" s="10"/>
      <c r="AJ434" s="1"/>
    </row>
    <row r="435" spans="5:36" ht="12.75" x14ac:dyDescent="0.2">
      <c r="E435" s="74">
        <v>45833.284722222219</v>
      </c>
      <c r="F435" s="107" t="s">
        <v>276</v>
      </c>
      <c r="G435" s="142">
        <v>51901.483849964221</v>
      </c>
      <c r="H435" s="142">
        <v>159191.04373818505</v>
      </c>
      <c r="I435" s="142">
        <v>18.865273290758211</v>
      </c>
      <c r="J435" s="142">
        <v>51901.127828837074</v>
      </c>
      <c r="K435" s="142">
        <v>159189.77832668304</v>
      </c>
      <c r="L435" s="142">
        <v>18.857757549504509</v>
      </c>
      <c r="M435" s="145">
        <v>7.515741253701691E-3</v>
      </c>
      <c r="N435" s="145">
        <v>1.3145622080246222</v>
      </c>
      <c r="O435" s="145">
        <v>2.2367759029151557E-3</v>
      </c>
      <c r="P435" s="145">
        <v>4.0015684395342532E-3</v>
      </c>
      <c r="Q4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-1.275555029067732E-2</v>
      </c>
      <c r="R4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0.28980143166479344</v>
      </c>
      <c r="S4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-1.3857464239208639E-2</v>
      </c>
      <c r="T4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-1.2339122566373817E-2</v>
      </c>
      <c r="U4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-6.7347304266718311E-7</v>
      </c>
      <c r="V4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7.710624173662417E-5</v>
      </c>
      <c r="W4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4.7794884494578582E-8</v>
      </c>
      <c r="X4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-3.1473340552068407E-4</v>
      </c>
      <c r="Y435" s="162" t="str">
        <f>ReportSummary___Track[[#This Row],[Track ID]]&amp;"-"&amp;ReportSummary___Track[[#This Row],[Epoch]]</f>
        <v>250-RL-OP-0037-45833.2847222222</v>
      </c>
      <c r="Z435" s="126">
        <f>SUBTOTAL(103,ReportSummary___Track[[#This Row],[Track ID]])</f>
        <v>1</v>
      </c>
      <c r="AA435" s="114">
        <f>_xlfn.NUMBERVALUE(RIGHT(ReportSummary___Track[[#This Row],[Track ID]],4))</f>
        <v>37</v>
      </c>
      <c r="AB435" s="78"/>
      <c r="AG435" s="10"/>
      <c r="AH435" s="10"/>
      <c r="AJ435" s="1"/>
    </row>
    <row r="436" spans="5:36" ht="12.75" x14ac:dyDescent="0.2">
      <c r="E436" s="74">
        <v>45833.284722222219</v>
      </c>
      <c r="F436" s="107" t="s">
        <v>277</v>
      </c>
      <c r="G436" s="142">
        <v>51902.447765809411</v>
      </c>
      <c r="H436" s="142">
        <v>159190.77523042282</v>
      </c>
      <c r="I436" s="142">
        <v>18.865124802963386</v>
      </c>
      <c r="J436" s="142">
        <v>51902.099872443272</v>
      </c>
      <c r="K436" s="142">
        <v>159189.50604742009</v>
      </c>
      <c r="L436" s="142">
        <v>18.8569</v>
      </c>
      <c r="M436" s="145">
        <v>8.2248029633866793E-3</v>
      </c>
      <c r="N436" s="145">
        <v>1.316025431369896</v>
      </c>
      <c r="O436" s="145">
        <v>2.0026057487960713E-3</v>
      </c>
      <c r="P436" s="145">
        <v>4.9737523243109649E-3</v>
      </c>
      <c r="Q4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-2.9991342742619054E-8</v>
      </c>
      <c r="S4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3.6476836484666819E-4</v>
      </c>
      <c r="T4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-3.287300742726984E-5</v>
      </c>
      <c r="U4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4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-5.7328607817819233E-5</v>
      </c>
      <c r="W4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4.6844473189366909E-8</v>
      </c>
      <c r="X4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1.4214915466936873E-8</v>
      </c>
      <c r="Y436" s="162" t="str">
        <f>ReportSummary___Track[[#This Row],[Track ID]]&amp;"-"&amp;ReportSummary___Track[[#This Row],[Epoch]]</f>
        <v>250-RL-OP-0038-45833.2847222222</v>
      </c>
      <c r="Z436" s="126">
        <f>SUBTOTAL(103,ReportSummary___Track[[#This Row],[Track ID]])</f>
        <v>1</v>
      </c>
      <c r="AA436" s="114">
        <f>_xlfn.NUMBERVALUE(RIGHT(ReportSummary___Track[[#This Row],[Track ID]],4))</f>
        <v>38</v>
      </c>
      <c r="AB436" s="78"/>
      <c r="AG436" s="10"/>
      <c r="AH436" s="10"/>
      <c r="AJ436" s="1"/>
    </row>
    <row r="437" spans="5:36" ht="12.75" x14ac:dyDescent="0.2">
      <c r="E437" s="74">
        <v>45833.284722222219</v>
      </c>
      <c r="F437" s="107" t="s">
        <v>278</v>
      </c>
      <c r="G437" s="142">
        <v>51903.412339687529</v>
      </c>
      <c r="H437" s="142">
        <v>159190.51141847001</v>
      </c>
      <c r="I437" s="142">
        <v>18.865822806114334</v>
      </c>
      <c r="J437" s="142">
        <v>51903.064539433311</v>
      </c>
      <c r="K437" s="142">
        <v>159189.24257522359</v>
      </c>
      <c r="L437" s="142">
        <v>18.8569</v>
      </c>
      <c r="M437" s="145">
        <v>8.9228061143344917E-3</v>
      </c>
      <c r="N437" s="145">
        <v>1.3156777026646718</v>
      </c>
      <c r="O437" s="145">
        <v>2.0538368801865658E-3</v>
      </c>
      <c r="P437" s="145">
        <v>4.6577981194033669E-3</v>
      </c>
      <c r="Q4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4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6.5601593277619941E-3</v>
      </c>
      <c r="T4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-5.673934779792944E-4</v>
      </c>
      <c r="U4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4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-3.7795694380471367E-4</v>
      </c>
      <c r="W4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2.935148124549869E-7</v>
      </c>
      <c r="X4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3.0109747228834749E-7</v>
      </c>
      <c r="Y437" s="162" t="str">
        <f>ReportSummary___Track[[#This Row],[Track ID]]&amp;"-"&amp;ReportSummary___Track[[#This Row],[Epoch]]</f>
        <v>250-RL-OP-0039-45833.2847222222</v>
      </c>
      <c r="Z437" s="126">
        <f>SUBTOTAL(103,ReportSummary___Track[[#This Row],[Track ID]])</f>
        <v>1</v>
      </c>
      <c r="AA437" s="114">
        <f>_xlfn.NUMBERVALUE(RIGHT(ReportSummary___Track[[#This Row],[Track ID]],4))</f>
        <v>39</v>
      </c>
      <c r="AB437" s="78"/>
      <c r="AG437" s="10"/>
      <c r="AH437" s="10"/>
      <c r="AJ437" s="1"/>
    </row>
    <row r="438" spans="5:36" ht="12.75" x14ac:dyDescent="0.2">
      <c r="E438" s="74">
        <v>45833.284722222219</v>
      </c>
      <c r="F438" s="107" t="s">
        <v>279</v>
      </c>
      <c r="G438" s="142">
        <v>51904.376913565648</v>
      </c>
      <c r="H438" s="142">
        <v>159190.24760651719</v>
      </c>
      <c r="I438" s="142">
        <v>18.866520809265282</v>
      </c>
      <c r="J438" s="142">
        <v>51904.029206423351</v>
      </c>
      <c r="K438" s="142">
        <v>159188.97910302709</v>
      </c>
      <c r="L438" s="142">
        <v>18.8569</v>
      </c>
      <c r="M438" s="145">
        <v>9.6208092652823041E-3</v>
      </c>
      <c r="N438" s="145">
        <v>1.3153303467915645</v>
      </c>
      <c r="O438" s="145">
        <v>2.1050680115806131E-3</v>
      </c>
      <c r="P438" s="145">
        <v>4.3418439144957688E-3</v>
      </c>
      <c r="Q4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4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1.9233503678606212E-9</v>
      </c>
      <c r="S4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1.2755550294230034E-2</v>
      </c>
      <c r="T4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-1.1019139449786053E-3</v>
      </c>
      <c r="U4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-1.3328789449928991E-7</v>
      </c>
      <c r="V4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-6.9858295093339073E-4</v>
      </c>
      <c r="W4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5.401851481678932E-7</v>
      </c>
      <c r="X4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5.8798003266247179E-7</v>
      </c>
      <c r="Y438" s="162" t="str">
        <f>ReportSummary___Track[[#This Row],[Track ID]]&amp;"-"&amp;ReportSummary___Track[[#This Row],[Epoch]]</f>
        <v>250-RL-OP-0040-45833.2847222222</v>
      </c>
      <c r="Z438" s="126">
        <f>SUBTOTAL(103,ReportSummary___Track[[#This Row],[Track ID]])</f>
        <v>1</v>
      </c>
      <c r="AA438" s="114">
        <f>_xlfn.NUMBERVALUE(RIGHT(ReportSummary___Track[[#This Row],[Track ID]],4))</f>
        <v>40</v>
      </c>
      <c r="AB438" s="78"/>
      <c r="AG438" s="10"/>
      <c r="AH438" s="10"/>
      <c r="AJ438" s="1"/>
    </row>
    <row r="439" spans="5:36" ht="12.75" x14ac:dyDescent="0.2">
      <c r="E439" s="74">
        <v>45833.284722222219</v>
      </c>
      <c r="F439" s="107" t="s">
        <v>280</v>
      </c>
      <c r="G439" s="142">
        <v>51905.341856193925</v>
      </c>
      <c r="H439" s="142">
        <v>159189.98523491604</v>
      </c>
      <c r="I439" s="142">
        <v>18.867392432941728</v>
      </c>
      <c r="J439" s="142">
        <v>51905.003852289636</v>
      </c>
      <c r="K439" s="142">
        <v>159188.71395704275</v>
      </c>
      <c r="L439" s="142">
        <v>18.857104615128524</v>
      </c>
      <c r="M439" s="145">
        <v>1.0287817813203759E-2</v>
      </c>
      <c r="N439" s="145">
        <v>1.3154846671880813</v>
      </c>
      <c r="O439" s="145">
        <v>2.0630148498170797E-3</v>
      </c>
      <c r="P439" s="145">
        <v>4.0656205986131511E-3</v>
      </c>
      <c r="Q4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9.723273919348685E-5</v>
      </c>
      <c r="R4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4.4893886333774446E-2</v>
      </c>
      <c r="S4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9.723273919348685E-5</v>
      </c>
      <c r="T4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4.6200110404015504E-4</v>
      </c>
      <c r="U4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4.5028432538174457E-8</v>
      </c>
      <c r="V4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-8.6048499288349234E-4</v>
      </c>
      <c r="W4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5.5966509648897045E-8</v>
      </c>
      <c r="X4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1.0281098283826395E-7</v>
      </c>
      <c r="Y439" s="162" t="str">
        <f>ReportSummary___Track[[#This Row],[Track ID]]&amp;"-"&amp;ReportSummary___Track[[#This Row],[Epoch]]</f>
        <v>250-RL-OP-0041-45833.2847222222</v>
      </c>
      <c r="Z439" s="126">
        <f>SUBTOTAL(103,ReportSummary___Track[[#This Row],[Track ID]])</f>
        <v>1</v>
      </c>
      <c r="AA439" s="114">
        <f>_xlfn.NUMBERVALUE(RIGHT(ReportSummary___Track[[#This Row],[Track ID]],4))</f>
        <v>41</v>
      </c>
      <c r="AB439" s="78"/>
      <c r="AG439" s="10"/>
      <c r="AH439" s="10"/>
      <c r="AJ439" s="1"/>
    </row>
    <row r="440" spans="5:36" ht="12.75" x14ac:dyDescent="0.2">
      <c r="E440" s="74">
        <v>45833.284722222219</v>
      </c>
      <c r="F440" s="107" t="s">
        <v>281</v>
      </c>
      <c r="G440" s="142">
        <v>51906.308696346234</v>
      </c>
      <c r="H440" s="142">
        <v>159189.72985839445</v>
      </c>
      <c r="I440" s="142">
        <v>18.869110605337301</v>
      </c>
      <c r="J440" s="142">
        <v>51905.970415524411</v>
      </c>
      <c r="K440" s="142">
        <v>159188.45753288973</v>
      </c>
      <c r="L440" s="142">
        <v>18.858576666412869</v>
      </c>
      <c r="M440" s="145">
        <v>1.0533938924432107E-2</v>
      </c>
      <c r="N440" s="145">
        <v>1.3165701911539522</v>
      </c>
      <c r="O440" s="145">
        <v>1.6111328100976152E-3</v>
      </c>
      <c r="P440" s="145">
        <v>3.6649696902841811E-3</v>
      </c>
      <c r="Q4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7.6219486189188501E-4</v>
      </c>
      <c r="R4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0.29178322878387064</v>
      </c>
      <c r="S4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7.6219486189188501E-4</v>
      </c>
      <c r="T4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7.3223541896538791E-3</v>
      </c>
      <c r="U4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3.3442005076267378E-7</v>
      </c>
      <c r="V4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-1.7444968608204547E-4</v>
      </c>
      <c r="W4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4.0653303656768003E-7</v>
      </c>
      <c r="X4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7.0004784902266692E-7</v>
      </c>
      <c r="Y440" s="162" t="str">
        <f>ReportSummary___Track[[#This Row],[Track ID]]&amp;"-"&amp;ReportSummary___Track[[#This Row],[Epoch]]</f>
        <v>250-RL-OP-0042-45833.2847222222</v>
      </c>
      <c r="Z440" s="126">
        <f>SUBTOTAL(103,ReportSummary___Track[[#This Row],[Track ID]])</f>
        <v>1</v>
      </c>
      <c r="AA440" s="114">
        <f>_xlfn.NUMBERVALUE(RIGHT(ReportSummary___Track[[#This Row],[Track ID]],4))</f>
        <v>42</v>
      </c>
      <c r="AB440" s="78"/>
      <c r="AG440" s="10"/>
      <c r="AH440" s="10"/>
      <c r="AJ440" s="1"/>
    </row>
    <row r="441" spans="5:36" ht="12.75" x14ac:dyDescent="0.2">
      <c r="E441" s="74">
        <v>45833.284722222219</v>
      </c>
      <c r="F441" s="107" t="s">
        <v>282</v>
      </c>
      <c r="G441" s="142">
        <v>51907.275536498542</v>
      </c>
      <c r="H441" s="142">
        <v>159189.47448187289</v>
      </c>
      <c r="I441" s="142">
        <v>18.870828777732875</v>
      </c>
      <c r="J441" s="142">
        <v>51906.936978759186</v>
      </c>
      <c r="K441" s="142">
        <v>159188.20110873674</v>
      </c>
      <c r="L441" s="142">
        <v>18.860048717697211</v>
      </c>
      <c r="M441" s="145">
        <v>1.0780060035664008E-2</v>
      </c>
      <c r="N441" s="145">
        <v>1.3176557579445634</v>
      </c>
      <c r="O441" s="145">
        <v>1.1592507703817034E-3</v>
      </c>
      <c r="P441" s="145">
        <v>3.2643187819623165E-3</v>
      </c>
      <c r="Q4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1.4271569881429969E-3</v>
      </c>
      <c r="R4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0.53867211893798839</v>
      </c>
      <c r="S4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1.4271569845902832E-3</v>
      </c>
      <c r="T4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1.4182707278820317E-2</v>
      </c>
      <c r="U4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6.2381166898717311E-7</v>
      </c>
      <c r="V4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5.1158373556514647E-4</v>
      </c>
      <c r="W4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7.5709956348646301E-7</v>
      </c>
      <c r="X4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1.2972847116543562E-6</v>
      </c>
      <c r="Y441" s="162" t="str">
        <f>ReportSummary___Track[[#This Row],[Track ID]]&amp;"-"&amp;ReportSummary___Track[[#This Row],[Epoch]]</f>
        <v>250-RL-OP-0043-45833.2847222222</v>
      </c>
      <c r="Z441" s="126">
        <f>SUBTOTAL(103,ReportSummary___Track[[#This Row],[Track ID]])</f>
        <v>1</v>
      </c>
      <c r="AA441" s="114">
        <f>_xlfn.NUMBERVALUE(RIGHT(ReportSummary___Track[[#This Row],[Track ID]],4))</f>
        <v>43</v>
      </c>
      <c r="AB441" s="78"/>
      <c r="AG441" s="10"/>
      <c r="AH441" s="10"/>
      <c r="AJ441" s="1"/>
    </row>
    <row r="442" spans="5:36" ht="12.75" x14ac:dyDescent="0.2">
      <c r="E442" s="74">
        <v>45833.284722222219</v>
      </c>
      <c r="F442" s="107" t="s">
        <v>283</v>
      </c>
      <c r="G442" s="142">
        <v>51908.24281274675</v>
      </c>
      <c r="H442" s="142">
        <v>159189.22252581976</v>
      </c>
      <c r="I442" s="142">
        <v>18.872961662236339</v>
      </c>
      <c r="J442" s="142">
        <v>51907.905517584324</v>
      </c>
      <c r="K442" s="142">
        <v>159187.94820456346</v>
      </c>
      <c r="L442" s="142">
        <v>18.861831288624529</v>
      </c>
      <c r="M442" s="145">
        <v>1.1130373611809574E-2</v>
      </c>
      <c r="N442" s="145">
        <v>1.3182513326571177</v>
      </c>
      <c r="O442" s="145">
        <v>8.425557986058152E-4</v>
      </c>
      <c r="P442" s="145">
        <v>2.9055706484228949E-3</v>
      </c>
      <c r="Q4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0.10197077546081346</v>
      </c>
      <c r="R4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0.62729085969559506</v>
      </c>
      <c r="S4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0.10187354272161997</v>
      </c>
      <c r="T4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0.10197077546081346</v>
      </c>
      <c r="U4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1.021712734896596E-4</v>
      </c>
      <c r="V4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7.5944865612354029E-4</v>
      </c>
      <c r="W4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1.0212624505712142E-4</v>
      </c>
      <c r="X4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1.0218221156677032E-4</v>
      </c>
      <c r="Y442" s="162" t="str">
        <f>ReportSummary___Track[[#This Row],[Track ID]]&amp;"-"&amp;ReportSummary___Track[[#This Row],[Epoch]]</f>
        <v>250-RL-OP-0044-45833.2847222222</v>
      </c>
      <c r="Z442" s="126">
        <f>SUBTOTAL(103,ReportSummary___Track[[#This Row],[Track ID]])</f>
        <v>1</v>
      </c>
      <c r="AA442" s="114">
        <f>_xlfn.NUMBERVALUE(RIGHT(ReportSummary___Track[[#This Row],[Track ID]],4))</f>
        <v>44</v>
      </c>
      <c r="AB442" s="78"/>
      <c r="AG442" s="10"/>
      <c r="AH442" s="10"/>
      <c r="AJ442" s="1"/>
    </row>
    <row r="443" spans="5:36" ht="12.75" x14ac:dyDescent="0.2">
      <c r="E443" s="74">
        <v>45833.284722222219</v>
      </c>
      <c r="F443" s="107" t="s">
        <v>284</v>
      </c>
      <c r="G443" s="142">
        <v>51909.212340103608</v>
      </c>
      <c r="H443" s="142">
        <v>159188.97756142766</v>
      </c>
      <c r="I443" s="142">
        <v>18.875986708591601</v>
      </c>
      <c r="J443" s="142">
        <v>51908.874845612299</v>
      </c>
      <c r="K443" s="142">
        <v>159187.70244515949</v>
      </c>
      <c r="L443" s="142">
        <v>18.864174266709455</v>
      </c>
      <c r="M443" s="145">
        <v>1.1812441882145919E-2</v>
      </c>
      <c r="N443" s="145">
        <v>1.3190767842665618</v>
      </c>
      <c r="O443" s="145">
        <v>1.2785029577138118E-3</v>
      </c>
      <c r="P443" s="145">
        <v>2.8896357678114271E-3</v>
      </c>
      <c r="Q4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0.42275563332694333</v>
      </c>
      <c r="R4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0.40214515055736477</v>
      </c>
      <c r="S4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0.42199343846505144</v>
      </c>
      <c r="T4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0.42275563332694333</v>
      </c>
      <c r="U4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4.235868266384557E-4</v>
      </c>
      <c r="V4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1.4344839571900359E-4</v>
      </c>
      <c r="W4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4.2325240658769303E-4</v>
      </c>
      <c r="X4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4.2365893962426071E-4</v>
      </c>
      <c r="Y443" s="162" t="str">
        <f>ReportSummary___Track[[#This Row],[Track ID]]&amp;"-"&amp;ReportSummary___Track[[#This Row],[Epoch]]</f>
        <v>250-RL-OP-0045-45833.2847222222</v>
      </c>
      <c r="Z443" s="126">
        <f>SUBTOTAL(103,ReportSummary___Track[[#This Row],[Track ID]])</f>
        <v>1</v>
      </c>
      <c r="AA443" s="114">
        <f>_xlfn.NUMBERVALUE(RIGHT(ReportSummary___Track[[#This Row],[Track ID]],4))</f>
        <v>45</v>
      </c>
      <c r="AB443" s="78"/>
      <c r="AG443" s="10"/>
      <c r="AH443" s="10"/>
      <c r="AJ443" s="1"/>
    </row>
    <row r="444" spans="5:36" ht="12.75" x14ac:dyDescent="0.2">
      <c r="E444" s="74">
        <v>45833.284722222219</v>
      </c>
      <c r="F444" s="107" t="s">
        <v>285</v>
      </c>
      <c r="G444" s="142">
        <v>51910.181867460466</v>
      </c>
      <c r="H444" s="142">
        <v>159188.73259703559</v>
      </c>
      <c r="I444" s="142">
        <v>18.879011754946863</v>
      </c>
      <c r="J444" s="142">
        <v>51909.844173640267</v>
      </c>
      <c r="K444" s="142">
        <v>159187.45668575552</v>
      </c>
      <c r="L444" s="142">
        <v>18.86651724479438</v>
      </c>
      <c r="M444" s="145">
        <v>1.2494510152482263E-2</v>
      </c>
      <c r="N444" s="145">
        <v>1.3199025811001963</v>
      </c>
      <c r="O444" s="145">
        <v>1.7144501168182558E-3</v>
      </c>
      <c r="P444" s="145">
        <v>2.8737008871999592E-3</v>
      </c>
      <c r="Q4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0.74354049119662591</v>
      </c>
      <c r="R4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0.17725040070826203</v>
      </c>
      <c r="S4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0.74211333420848291</v>
      </c>
      <c r="T4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0.74354049119307319</v>
      </c>
      <c r="U4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7.4500237978725181E-4</v>
      </c>
      <c r="V4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-4.7229876126886339E-4</v>
      </c>
      <c r="W4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7.4437856811826464E-4</v>
      </c>
      <c r="X4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7.451356676817511E-4</v>
      </c>
      <c r="Y444" s="162" t="str">
        <f>ReportSummary___Track[[#This Row],[Track ID]]&amp;"-"&amp;ReportSummary___Track[[#This Row],[Epoch]]</f>
        <v>250-RL-OP-0046-45833.2847222222</v>
      </c>
      <c r="Z444" s="126">
        <f>SUBTOTAL(103,ReportSummary___Track[[#This Row],[Track ID]])</f>
        <v>1</v>
      </c>
      <c r="AA444" s="114">
        <f>_xlfn.NUMBERVALUE(RIGHT(ReportSummary___Track[[#This Row],[Track ID]],4))</f>
        <v>46</v>
      </c>
      <c r="AB444" s="78"/>
      <c r="AG444" s="10"/>
      <c r="AH444" s="10"/>
      <c r="AJ444" s="1"/>
    </row>
    <row r="445" spans="5:36" ht="12.75" x14ac:dyDescent="0.2">
      <c r="E445" s="74">
        <v>45833.284722222219</v>
      </c>
      <c r="F445" s="107" t="s">
        <v>286</v>
      </c>
      <c r="G445" s="142">
        <v>51911.152141496423</v>
      </c>
      <c r="H445" s="142">
        <v>159188.48944319948</v>
      </c>
      <c r="I445" s="142">
        <v>18.882328518492972</v>
      </c>
      <c r="J445" s="142">
        <v>51910.835192576567</v>
      </c>
      <c r="K445" s="142">
        <v>159187.20751747841</v>
      </c>
      <c r="L445" s="142">
        <v>18.869138865821263</v>
      </c>
      <c r="M445" s="145">
        <v>1.318965267170924E-2</v>
      </c>
      <c r="N445" s="145">
        <v>1.3205923440119054</v>
      </c>
      <c r="O445" s="145">
        <v>2.0592790598996658E-3</v>
      </c>
      <c r="P445" s="145">
        <v>2.901834858505481E-3</v>
      </c>
      <c r="Q4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1.0028207205259321</v>
      </c>
      <c r="R4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-7.751859166793551E-3</v>
      </c>
      <c r="S4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0.90084994506511862</v>
      </c>
      <c r="T4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1.0027234877867386</v>
      </c>
      <c r="U4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9.2596909811248906E-4</v>
      </c>
      <c r="V4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-9.4442436982866695E-4</v>
      </c>
      <c r="W4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8.2379782462282947E-4</v>
      </c>
      <c r="X4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9.2592406967995089E-4</v>
      </c>
      <c r="Y445" s="162" t="str">
        <f>ReportSummary___Track[[#This Row],[Track ID]]&amp;"-"&amp;ReportSummary___Track[[#This Row],[Epoch]]</f>
        <v>250-RL-OP-0047-45833.2847222222</v>
      </c>
      <c r="Z445" s="126">
        <f>SUBTOTAL(103,ReportSummary___Track[[#This Row],[Track ID]])</f>
        <v>1</v>
      </c>
      <c r="AA445" s="114">
        <f>_xlfn.NUMBERVALUE(RIGHT(ReportSummary___Track[[#This Row],[Track ID]],4))</f>
        <v>47</v>
      </c>
      <c r="AB445" s="78"/>
      <c r="AG445" s="10"/>
      <c r="AH445" s="10"/>
      <c r="AJ445" s="1"/>
    </row>
    <row r="446" spans="5:36" ht="12.75" x14ac:dyDescent="0.2">
      <c r="E446" s="74">
        <v>45833.284722222219</v>
      </c>
      <c r="F446" s="107" t="s">
        <v>287</v>
      </c>
      <c r="G446" s="142">
        <v>51912.123875350415</v>
      </c>
      <c r="H446" s="142">
        <v>159188.25340524639</v>
      </c>
      <c r="I446" s="142">
        <v>18.886733255176896</v>
      </c>
      <c r="J446" s="142">
        <v>51911.806757288294</v>
      </c>
      <c r="K446" s="142">
        <v>159186.97076749388</v>
      </c>
      <c r="L446" s="142">
        <v>18.872523500824762</v>
      </c>
      <c r="M446" s="145">
        <v>1.4209754352133785E-2</v>
      </c>
      <c r="N446" s="145">
        <v>1.3213346989290595</v>
      </c>
      <c r="O446" s="145">
        <v>2.3973124699878667E-3</v>
      </c>
      <c r="P446" s="145">
        <v>3.6758154277016786E-3</v>
      </c>
      <c r="Q4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1.003787368873077</v>
      </c>
      <c r="R4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-8.9453451088239433E-2</v>
      </c>
      <c r="S4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0.58103173554613363</v>
      </c>
      <c r="T4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1.0030251740111851</v>
      </c>
      <c r="U4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5.7477886145562707E-4</v>
      </c>
      <c r="V4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-8.6473870991299329E-4</v>
      </c>
      <c r="W4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1.5119203481717136E-4</v>
      </c>
      <c r="X4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5.7444444140486439E-4</v>
      </c>
      <c r="Y446" s="162" t="str">
        <f>ReportSummary___Track[[#This Row],[Track ID]]&amp;"-"&amp;ReportSummary___Track[[#This Row],[Epoch]]</f>
        <v>250-RL-OP-0048-45833.2847222222</v>
      </c>
      <c r="Z446" s="126">
        <f>SUBTOTAL(103,ReportSummary___Track[[#This Row],[Track ID]])</f>
        <v>1</v>
      </c>
      <c r="AA446" s="114">
        <f>_xlfn.NUMBERVALUE(RIGHT(ReportSummary___Track[[#This Row],[Track ID]],4))</f>
        <v>48</v>
      </c>
      <c r="AB446" s="78"/>
      <c r="AG446" s="10"/>
      <c r="AH446" s="10"/>
      <c r="AJ446" s="1"/>
    </row>
    <row r="447" spans="5:36" ht="12.75" x14ac:dyDescent="0.2">
      <c r="E447" s="74">
        <v>45833.284722222219</v>
      </c>
      <c r="F447" s="107" t="s">
        <v>288</v>
      </c>
      <c r="G447" s="142">
        <v>51913.095609204407</v>
      </c>
      <c r="H447" s="142">
        <v>159188.0173672933</v>
      </c>
      <c r="I447" s="142">
        <v>18.89113799186082</v>
      </c>
      <c r="J447" s="142">
        <v>51912.77832200002</v>
      </c>
      <c r="K447" s="142">
        <v>159186.73401750936</v>
      </c>
      <c r="L447" s="142">
        <v>18.875908135828258</v>
      </c>
      <c r="M447" s="145">
        <v>1.5229856032561884E-2</v>
      </c>
      <c r="N447" s="145">
        <v>1.3220778292277922</v>
      </c>
      <c r="O447" s="145">
        <v>2.7353458800796204E-3</v>
      </c>
      <c r="P447" s="145">
        <v>4.4497959968978762E-3</v>
      </c>
      <c r="Q4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1.0047540172273273</v>
      </c>
      <c r="R4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-0.17115312374271774</v>
      </c>
      <c r="S4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0.26121352603070136</v>
      </c>
      <c r="T4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1.0033268602391843</v>
      </c>
      <c r="U4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2.2358862479876507E-4</v>
      </c>
      <c r="V4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-7.8568591574801339E-4</v>
      </c>
      <c r="W4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-5.2141375498848674E-4</v>
      </c>
      <c r="X4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2.2296481312977789E-4</v>
      </c>
      <c r="Y447" s="162" t="str">
        <f>ReportSummary___Track[[#This Row],[Track ID]]&amp;"-"&amp;ReportSummary___Track[[#This Row],[Epoch]]</f>
        <v>250-RL-OP-0049-45833.2847222222</v>
      </c>
      <c r="Z447" s="126">
        <f>SUBTOTAL(103,ReportSummary___Track[[#This Row],[Track ID]])</f>
        <v>1</v>
      </c>
      <c r="AA447" s="114">
        <f>_xlfn.NUMBERVALUE(RIGHT(ReportSummary___Track[[#This Row],[Track ID]],4))</f>
        <v>49</v>
      </c>
      <c r="AB447" s="78"/>
      <c r="AG447" s="10"/>
      <c r="AH447" s="10"/>
      <c r="AJ447" s="1"/>
    </row>
    <row r="448" spans="5:36" ht="12.75" x14ac:dyDescent="0.2">
      <c r="E448" s="74">
        <v>45831.291666666664</v>
      </c>
      <c r="F448" s="107" t="s">
        <v>235</v>
      </c>
      <c r="G448" s="142">
        <v>51886.101888003854</v>
      </c>
      <c r="H448" s="142">
        <v>159195.44568170901</v>
      </c>
      <c r="I448" s="142">
        <v>18.86977464079656</v>
      </c>
      <c r="J448" s="142">
        <v>51885.742050789791</v>
      </c>
      <c r="K448" s="142">
        <v>159194.18595535541</v>
      </c>
      <c r="L448" s="142">
        <v>18.865787559209785</v>
      </c>
      <c r="M448" s="145">
        <v>3.9870815867750764E-3</v>
      </c>
      <c r="N448" s="145">
        <v>1.3101180112494399</v>
      </c>
      <c r="O448" s="145"/>
      <c r="P448" s="145"/>
      <c r="Q4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-0.28168315921917042</v>
      </c>
      <c r="R4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-1.6513796974315653E-4</v>
      </c>
      <c r="S44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4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1.0495213587091712E-8</v>
      </c>
      <c r="V4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6.9136213395437629E-4</v>
      </c>
      <c r="W44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4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48" s="162" t="str">
        <f>ReportSummary___Track[[#This Row],[Track ID]]&amp;"-"&amp;ReportSummary___Track[[#This Row],[Epoch]]</f>
        <v>250-RL-OP-0021-45831.2916666667</v>
      </c>
      <c r="Z448" s="126">
        <f>SUBTOTAL(103,ReportSummary___Track[[#This Row],[Track ID]])</f>
        <v>1</v>
      </c>
      <c r="AA448" s="114">
        <f>_xlfn.NUMBERVALUE(RIGHT(ReportSummary___Track[[#This Row],[Track ID]],4))</f>
        <v>21</v>
      </c>
      <c r="AB448" s="78"/>
      <c r="AG448" s="10"/>
      <c r="AH448" s="10"/>
      <c r="AJ448" s="1"/>
    </row>
    <row r="449" spans="5:39" ht="12.75" x14ac:dyDescent="0.2">
      <c r="E449" s="74">
        <v>45831.291666666664</v>
      </c>
      <c r="F449" s="107" t="s">
        <v>236</v>
      </c>
      <c r="G449" s="142">
        <v>51887.0635346048</v>
      </c>
      <c r="H449" s="142">
        <v>159195.17139037082</v>
      </c>
      <c r="I449" s="142">
        <v>18.869497718698447</v>
      </c>
      <c r="J449" s="142">
        <v>51886.703169527536</v>
      </c>
      <c r="K449" s="142">
        <v>159193.90981996525</v>
      </c>
      <c r="L449" s="142">
        <v>18.865652414029238</v>
      </c>
      <c r="M449" s="145">
        <v>3.8453046692090709E-3</v>
      </c>
      <c r="N449" s="145">
        <v>1.3120356944363132</v>
      </c>
      <c r="O449" s="145"/>
      <c r="P449" s="145"/>
      <c r="Q4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-0.62781659348942753</v>
      </c>
      <c r="R4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6.8813412270607444E-3</v>
      </c>
      <c r="S44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4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2.310965641072471E-8</v>
      </c>
      <c r="V4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3.6666787461769879E-4</v>
      </c>
      <c r="W44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4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49" s="162" t="str">
        <f>ReportSummary___Track[[#This Row],[Track ID]]&amp;"-"&amp;ReportSummary___Track[[#This Row],[Epoch]]</f>
        <v>250-RL-OP-0022-45831.2916666667</v>
      </c>
      <c r="Z449" s="126">
        <f>SUBTOTAL(103,ReportSummary___Track[[#This Row],[Track ID]])</f>
        <v>1</v>
      </c>
      <c r="AA449" s="114">
        <f>_xlfn.NUMBERVALUE(RIGHT(ReportSummary___Track[[#This Row],[Track ID]],4))</f>
        <v>22</v>
      </c>
      <c r="AB449" s="78"/>
      <c r="AG449" s="10"/>
      <c r="AH449" s="10"/>
      <c r="AJ449" s="1"/>
    </row>
    <row r="450" spans="5:39" ht="12.75" x14ac:dyDescent="0.2">
      <c r="E450" s="74">
        <v>45831.291666666664</v>
      </c>
      <c r="F450" s="107" t="s">
        <v>237</v>
      </c>
      <c r="G450" s="142">
        <v>51888.025181205747</v>
      </c>
      <c r="H450" s="142">
        <v>159194.89709903265</v>
      </c>
      <c r="I450" s="142">
        <v>18.869220796600338</v>
      </c>
      <c r="J450" s="142">
        <v>51887.664288265281</v>
      </c>
      <c r="K450" s="142">
        <v>159193.63368457509</v>
      </c>
      <c r="L450" s="142">
        <v>18.865517268848695</v>
      </c>
      <c r="M450" s="145">
        <v>3.7035277516430654E-3</v>
      </c>
      <c r="N450" s="145">
        <v>1.3139533942111896</v>
      </c>
      <c r="O450" s="145"/>
      <c r="P450" s="145"/>
      <c r="Q4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-0.97395002775968464</v>
      </c>
      <c r="R4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1.3914600802023003E-2</v>
      </c>
      <c r="S45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5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3.572409568164403E-8</v>
      </c>
      <c r="V4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4.1973394681482645E-5</v>
      </c>
      <c r="W45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5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50" s="162" t="str">
        <f>ReportSummary___Track[[#This Row],[Track ID]]&amp;"-"&amp;ReportSummary___Track[[#This Row],[Epoch]]</f>
        <v>250-RL-OP-0023-45831.2916666667</v>
      </c>
      <c r="Z450" s="126">
        <f>SUBTOTAL(103,ReportSummary___Track[[#This Row],[Track ID]])</f>
        <v>1</v>
      </c>
      <c r="AA450" s="114">
        <f>_xlfn.NUMBERVALUE(RIGHT(ReportSummary___Track[[#This Row],[Track ID]],4))</f>
        <v>23</v>
      </c>
      <c r="AB450" s="78"/>
      <c r="AG450" s="10"/>
      <c r="AH450" s="10"/>
      <c r="AJ450" s="1"/>
    </row>
    <row r="451" spans="5:39" ht="12.75" x14ac:dyDescent="0.2">
      <c r="E451" s="74">
        <v>45831.291666666664</v>
      </c>
      <c r="F451" s="107" t="s">
        <v>238</v>
      </c>
      <c r="G451" s="142">
        <v>51888.986288492531</v>
      </c>
      <c r="H451" s="142">
        <v>159194.62201568196</v>
      </c>
      <c r="I451" s="142">
        <v>18.868826216423926</v>
      </c>
      <c r="J451" s="142">
        <v>51888.624103758353</v>
      </c>
      <c r="K451" s="142">
        <v>159193.35707278902</v>
      </c>
      <c r="L451" s="142">
        <v>18.86445322191301</v>
      </c>
      <c r="M451" s="145">
        <v>4.3729945109163282E-3</v>
      </c>
      <c r="N451" s="145">
        <v>1.3157801591303508</v>
      </c>
      <c r="O451" s="145">
        <v>3.8591292414125178E-4</v>
      </c>
      <c r="P451" s="145"/>
      <c r="Q4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-0.38942704816236073</v>
      </c>
      <c r="R4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1.0729798535002999E-2</v>
      </c>
      <c r="S4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-0.10774388894319031</v>
      </c>
      <c r="T45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3.1148618117526894E-4</v>
      </c>
      <c r="V4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9.9836200040392953E-7</v>
      </c>
      <c r="W4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3.1147568596168185E-4</v>
      </c>
      <c r="X45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51" s="162" t="str">
        <f>ReportSummary___Track[[#This Row],[Track ID]]&amp;"-"&amp;ReportSummary___Track[[#This Row],[Epoch]]</f>
        <v>250-RL-OP-0024-45831.2916666667</v>
      </c>
      <c r="Z451" s="126">
        <f>SUBTOTAL(103,ReportSummary___Track[[#This Row],[Track ID]])</f>
        <v>1</v>
      </c>
      <c r="AA451" s="114">
        <f>_xlfn.NUMBERVALUE(RIGHT(ReportSummary___Track[[#This Row],[Track ID]],4))</f>
        <v>24</v>
      </c>
      <c r="AB451" s="78"/>
      <c r="AG451" s="10"/>
      <c r="AH451" s="10"/>
      <c r="AJ451" s="1"/>
    </row>
    <row r="452" spans="5:39" ht="12.75" x14ac:dyDescent="0.2">
      <c r="E452" s="74">
        <v>45831.291666666664</v>
      </c>
      <c r="F452" s="107" t="s">
        <v>239</v>
      </c>
      <c r="G452" s="142">
        <v>51889.947664755273</v>
      </c>
      <c r="H452" s="142">
        <v>159194.34677847879</v>
      </c>
      <c r="I452" s="142">
        <v>18.868421951254046</v>
      </c>
      <c r="J452" s="142">
        <v>51889.584962165369</v>
      </c>
      <c r="K452" s="142">
        <v>159193.08003546728</v>
      </c>
      <c r="L452" s="142">
        <v>18.863251548067314</v>
      </c>
      <c r="M452" s="145">
        <v>5.1704031867316758E-3</v>
      </c>
      <c r="N452" s="145">
        <v>1.3176561611450195</v>
      </c>
      <c r="O452" s="145">
        <v>1.3250985175226049E-3</v>
      </c>
      <c r="P452" s="145"/>
      <c r="Q4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0.29080845758855389</v>
      </c>
      <c r="R4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7.1708280560134341E-3</v>
      </c>
      <c r="S4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0.91862505107798142</v>
      </c>
      <c r="T45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6.4837367974845961E-4</v>
      </c>
      <c r="V4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2.3846623655732202E-6</v>
      </c>
      <c r="W4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6.4835057009204888E-4</v>
      </c>
      <c r="X45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52" s="162" t="str">
        <f>ReportSummary___Track[[#This Row],[Track ID]]&amp;"-"&amp;ReportSummary___Track[[#This Row],[Epoch]]</f>
        <v>250-RL-OP-0025-45831.2916666667</v>
      </c>
      <c r="Z452" s="126">
        <f>SUBTOTAL(103,ReportSummary___Track[[#This Row],[Track ID]])</f>
        <v>1</v>
      </c>
      <c r="AA452" s="114">
        <f>_xlfn.NUMBERVALUE(RIGHT(ReportSummary___Track[[#This Row],[Track ID]],4))</f>
        <v>25</v>
      </c>
      <c r="AB452" s="78"/>
      <c r="AG452" s="10"/>
      <c r="AH452" s="10"/>
      <c r="AJ452" s="1"/>
    </row>
    <row r="453" spans="5:39" ht="12.75" x14ac:dyDescent="0.2">
      <c r="E453" s="74">
        <v>45831.291666666664</v>
      </c>
      <c r="F453" s="107" t="s">
        <v>240</v>
      </c>
      <c r="G453" s="142">
        <v>51890.909041018014</v>
      </c>
      <c r="H453" s="142">
        <v>159194.07154127565</v>
      </c>
      <c r="I453" s="142">
        <v>18.868017686084166</v>
      </c>
      <c r="J453" s="142">
        <v>51890.545820572392</v>
      </c>
      <c r="K453" s="142">
        <v>159192.80299814555</v>
      </c>
      <c r="L453" s="142">
        <v>18.862049874221618</v>
      </c>
      <c r="M453" s="145">
        <v>5.9678118625470233E-3</v>
      </c>
      <c r="N453" s="145">
        <v>1.3195326368977505</v>
      </c>
      <c r="O453" s="145">
        <v>2.264284110903958E-3</v>
      </c>
      <c r="P453" s="145"/>
      <c r="Q4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0.97104396333946852</v>
      </c>
      <c r="R4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4.0763485422701251E-3</v>
      </c>
      <c r="S4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1.9449939910991532</v>
      </c>
      <c r="T45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9.8526117831809756E-4</v>
      </c>
      <c r="V4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4.0882103491401978E-6</v>
      </c>
      <c r="W4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9.8522545422241592E-4</v>
      </c>
      <c r="X45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53" s="162" t="str">
        <f>ReportSummary___Track[[#This Row],[Track ID]]&amp;"-"&amp;ReportSummary___Track[[#This Row],[Epoch]]</f>
        <v>250-RL-OP-0026-45831.2916666667</v>
      </c>
      <c r="Z453" s="126">
        <f>SUBTOTAL(103,ReportSummary___Track[[#This Row],[Track ID]])</f>
        <v>1</v>
      </c>
      <c r="AA453" s="114">
        <f>_xlfn.NUMBERVALUE(RIGHT(ReportSummary___Track[[#This Row],[Track ID]],4))</f>
        <v>26</v>
      </c>
      <c r="AB453" s="78"/>
      <c r="AG453" s="10"/>
      <c r="AH453" s="10"/>
      <c r="AJ453" s="1"/>
    </row>
    <row r="454" spans="5:39" ht="12.75" x14ac:dyDescent="0.2">
      <c r="E454" s="74">
        <v>45831.291666666664</v>
      </c>
      <c r="F454" s="107" t="s">
        <v>241</v>
      </c>
      <c r="G454" s="142">
        <v>51891.869997674046</v>
      </c>
      <c r="H454" s="142">
        <v>159193.79503821288</v>
      </c>
      <c r="I454" s="142">
        <v>18.865661670375356</v>
      </c>
      <c r="J454" s="142">
        <v>51891.504353461787</v>
      </c>
      <c r="K454" s="142">
        <v>159192.52690810763</v>
      </c>
      <c r="L454" s="142">
        <v>18.860283132921658</v>
      </c>
      <c r="M454" s="145">
        <v>5.3785374536978736E-3</v>
      </c>
      <c r="N454" s="145">
        <v>1.3198024785804405</v>
      </c>
      <c r="O454" s="145">
        <v>1.0055429427815454E-3</v>
      </c>
      <c r="P454" s="145">
        <v>1.3914558669227972E-3</v>
      </c>
      <c r="Q4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0.67559113216475453</v>
      </c>
      <c r="R4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-0.3984491365611742</v>
      </c>
      <c r="S4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1.0650181803271153</v>
      </c>
      <c r="T4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0.95727429138392495</v>
      </c>
      <c r="U4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1.0002226435297246E-3</v>
      </c>
      <c r="V4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-3.1282634603413406E-4</v>
      </c>
      <c r="W4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6.8873646235445563E-4</v>
      </c>
      <c r="X4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1.0002121483161375E-3</v>
      </c>
      <c r="Y454" s="162" t="str">
        <f>ReportSummary___Track[[#This Row],[Track ID]]&amp;"-"&amp;ReportSummary___Track[[#This Row],[Epoch]]</f>
        <v>250-RL-OP-0027-45831.2916666667</v>
      </c>
      <c r="Z454" s="126">
        <f>SUBTOTAL(103,ReportSummary___Track[[#This Row],[Track ID]])</f>
        <v>1</v>
      </c>
      <c r="AA454" s="114">
        <f>_xlfn.NUMBERVALUE(RIGHT(ReportSummary___Track[[#This Row],[Track ID]],4))</f>
        <v>27</v>
      </c>
      <c r="AB454" s="78"/>
      <c r="AG454" s="10"/>
      <c r="AH454" s="10"/>
      <c r="AJ454" s="1"/>
    </row>
    <row r="455" spans="5:39" ht="12.75" x14ac:dyDescent="0.2">
      <c r="E455" s="74">
        <v>45831.291666666664</v>
      </c>
      <c r="F455" s="107" t="s">
        <v>242</v>
      </c>
      <c r="G455" s="142">
        <v>51892.83098666594</v>
      </c>
      <c r="H455" s="142">
        <v>159193.51846240537</v>
      </c>
      <c r="I455" s="142">
        <v>18.863216230483452</v>
      </c>
      <c r="J455" s="142">
        <v>51892.465288045249</v>
      </c>
      <c r="K455" s="142">
        <v>159192.25013834573</v>
      </c>
      <c r="L455" s="142">
        <v>18.858487246856445</v>
      </c>
      <c r="M455" s="145">
        <v>4.7289836270074659E-3</v>
      </c>
      <c r="N455" s="145">
        <v>1.3200014260289132</v>
      </c>
      <c r="O455" s="145">
        <v>-4.4141955972420988E-4</v>
      </c>
      <c r="P455" s="145">
        <v>8.83678957798395E-4</v>
      </c>
      <c r="Q4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0.33625131225534233</v>
      </c>
      <c r="R4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-0.81935511929787097</v>
      </c>
      <c r="S4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4.5442854666788435E-2</v>
      </c>
      <c r="T4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0.96406790574476986</v>
      </c>
      <c r="U4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1.0004554855420622E-3</v>
      </c>
      <c r="V4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-6.4434169695948285E-4</v>
      </c>
      <c r="W4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3.520818057936026E-4</v>
      </c>
      <c r="X4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1.0004323758856515E-3</v>
      </c>
      <c r="Y455" s="162" t="str">
        <f>ReportSummary___Track[[#This Row],[Track ID]]&amp;"-"&amp;ReportSummary___Track[[#This Row],[Epoch]]</f>
        <v>250-RL-OP-0028-45831.2916666667</v>
      </c>
      <c r="Z455" s="126">
        <f>SUBTOTAL(103,ReportSummary___Track[[#This Row],[Track ID]])</f>
        <v>1</v>
      </c>
      <c r="AA455" s="114">
        <f>_xlfn.NUMBERVALUE(RIGHT(ReportSummary___Track[[#This Row],[Track ID]],4))</f>
        <v>28</v>
      </c>
      <c r="AB455" s="78"/>
      <c r="AG455" s="10"/>
      <c r="AH455" s="10"/>
      <c r="AK455" s="7"/>
      <c r="AL455" s="10"/>
      <c r="AM455" s="7"/>
    </row>
    <row r="456" spans="5:39" ht="12.75" x14ac:dyDescent="0.2">
      <c r="E456" s="74">
        <v>45831.291666666664</v>
      </c>
      <c r="F456" s="107" t="s">
        <v>243</v>
      </c>
      <c r="G456" s="142">
        <v>51893.791838945894</v>
      </c>
      <c r="H456" s="142">
        <v>159193.24190592306</v>
      </c>
      <c r="I456" s="142">
        <v>18.860908806466888</v>
      </c>
      <c r="J456" s="142">
        <v>51893.426692096931</v>
      </c>
      <c r="K456" s="142">
        <v>159191.97323012195</v>
      </c>
      <c r="L456" s="142">
        <v>18.856702718975292</v>
      </c>
      <c r="M456" s="145">
        <v>4.2060874915961222E-3</v>
      </c>
      <c r="N456" s="145">
        <v>1.3201849115956525</v>
      </c>
      <c r="O456" s="145">
        <v>-1.7617243709509012E-3</v>
      </c>
      <c r="P456" s="145">
        <v>5.0255973995305681E-4</v>
      </c>
      <c r="Q4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-2.648395280857585E-6</v>
      </c>
      <c r="R4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-1.2136981021100279</v>
      </c>
      <c r="S4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-0.97104661173474938</v>
      </c>
      <c r="T4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0.97394737936440379</v>
      </c>
      <c r="U4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9.8238977326658983E-4</v>
      </c>
      <c r="V4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-9.3958581447384226E-4</v>
      </c>
      <c r="W4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-2.8714050515077361E-6</v>
      </c>
      <c r="X4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9.8235404917090818E-4</v>
      </c>
      <c r="Y456" s="162" t="str">
        <f>ReportSummary___Track[[#This Row],[Track ID]]&amp;"-"&amp;ReportSummary___Track[[#This Row],[Epoch]]</f>
        <v>250-RL-OP-0029-45831.2916666667</v>
      </c>
      <c r="Z456" s="126">
        <f>SUBTOTAL(103,ReportSummary___Track[[#This Row],[Track ID]])</f>
        <v>1</v>
      </c>
      <c r="AA456" s="114">
        <f>_xlfn.NUMBERVALUE(RIGHT(ReportSummary___Track[[#This Row],[Track ID]],4))</f>
        <v>29</v>
      </c>
      <c r="AB456" s="78"/>
      <c r="AG456" s="10"/>
      <c r="AH456" s="10"/>
      <c r="AK456" s="7"/>
      <c r="AL456" s="10"/>
      <c r="AM456" s="7"/>
    </row>
    <row r="457" spans="5:39" ht="12.75" x14ac:dyDescent="0.2">
      <c r="E457" s="74">
        <v>45831.291666666664</v>
      </c>
      <c r="F457" s="107" t="s">
        <v>269</v>
      </c>
      <c r="G457" s="142">
        <v>51894.752729759806</v>
      </c>
      <c r="H457" s="142">
        <v>159192.96497846718</v>
      </c>
      <c r="I457" s="142">
        <v>18.861075912100414</v>
      </c>
      <c r="J457" s="142">
        <v>51894.387465102576</v>
      </c>
      <c r="K457" s="142">
        <v>159191.69589464201</v>
      </c>
      <c r="L457" s="142">
        <v>18.85721573318164</v>
      </c>
      <c r="M457" s="145">
        <v>3.8601789187744373E-3</v>
      </c>
      <c r="N457" s="145">
        <v>1.3206085438607473</v>
      </c>
      <c r="O457" s="145">
        <v>-1.5183585349234363E-3</v>
      </c>
      <c r="P457" s="145">
        <v>-5.1281559214189087E-4</v>
      </c>
      <c r="Q4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-1.6077216713483722E-4</v>
      </c>
      <c r="R4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-0.37656995224399914</v>
      </c>
      <c r="S4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-0.67575190433188936</v>
      </c>
      <c r="T4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0.3892662759952259</v>
      </c>
      <c r="U4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6.482736187649607E-4</v>
      </c>
      <c r="V4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-2.9088107490249371E-4</v>
      </c>
      <c r="W4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-3.5194902476476386E-4</v>
      </c>
      <c r="X4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3.3678743758969176E-4</v>
      </c>
      <c r="Y457" s="162" t="str">
        <f>ReportSummary___Track[[#This Row],[Track ID]]&amp;"-"&amp;ReportSummary___Track[[#This Row],[Epoch]]</f>
        <v>250-RL-OP-0030-45831.2916666667</v>
      </c>
      <c r="Z457" s="126">
        <f>SUBTOTAL(103,ReportSummary___Track[[#This Row],[Track ID]])</f>
        <v>1</v>
      </c>
      <c r="AA457" s="114">
        <f>_xlfn.NUMBERVALUE(RIGHT(ReportSummary___Track[[#This Row],[Track ID]],4))</f>
        <v>30</v>
      </c>
      <c r="AB457" s="78"/>
      <c r="AG457" s="10"/>
      <c r="AH457" s="10"/>
      <c r="AK457" s="7"/>
      <c r="AL457" s="10"/>
      <c r="AM457" s="7"/>
    </row>
    <row r="458" spans="5:39" ht="12.75" x14ac:dyDescent="0.2">
      <c r="E458" s="74">
        <v>45831.291666666664</v>
      </c>
      <c r="F458" s="107" t="s">
        <v>270</v>
      </c>
      <c r="G458" s="142">
        <v>51895.713620573719</v>
      </c>
      <c r="H458" s="142">
        <v>159192.68805101133</v>
      </c>
      <c r="I458" s="142">
        <v>18.861243017733944</v>
      </c>
      <c r="J458" s="142">
        <v>51895.348238108229</v>
      </c>
      <c r="K458" s="142">
        <v>159191.41855916206</v>
      </c>
      <c r="L458" s="142">
        <v>18.857728747387988</v>
      </c>
      <c r="M458" s="145">
        <v>3.5142703459563052E-3</v>
      </c>
      <c r="N458" s="145">
        <v>1.3210322674068526</v>
      </c>
      <c r="O458" s="145">
        <v>-1.2147132810511607E-3</v>
      </c>
      <c r="P458" s="145">
        <v>-1.6561328407753706E-3</v>
      </c>
      <c r="Q4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-3.1889593543610317E-4</v>
      </c>
      <c r="R4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0.46055961360003117</v>
      </c>
      <c r="S4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-0.33657020819077843</v>
      </c>
      <c r="T4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-0.29112735352399</v>
      </c>
      <c r="U4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3.1415746426688429E-4</v>
      </c>
      <c r="V4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3.5791487588365811E-4</v>
      </c>
      <c r="W4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-6.8629802127517792E-4</v>
      </c>
      <c r="X4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-3.3421621548157532E-4</v>
      </c>
      <c r="Y458" s="162" t="str">
        <f>ReportSummary___Track[[#This Row],[Track ID]]&amp;"-"&amp;ReportSummary___Track[[#This Row],[Epoch]]</f>
        <v>250-RL-OP-0031-45831.2916666667</v>
      </c>
      <c r="Z458" s="126">
        <f>SUBTOTAL(103,ReportSummary___Track[[#This Row],[Track ID]])</f>
        <v>1</v>
      </c>
      <c r="AA458" s="114">
        <f>_xlfn.NUMBERVALUE(RIGHT(ReportSummary___Track[[#This Row],[Track ID]],4))</f>
        <v>31</v>
      </c>
      <c r="AB458" s="78"/>
      <c r="AG458" s="10"/>
      <c r="AH458" s="10"/>
      <c r="AK458" s="7"/>
      <c r="AL458" s="10"/>
      <c r="AM458" s="7"/>
    </row>
    <row r="459" spans="5:39" ht="12.75" x14ac:dyDescent="0.2">
      <c r="E459" s="74">
        <v>45831.291666666664</v>
      </c>
      <c r="F459" s="107" t="s">
        <v>271</v>
      </c>
      <c r="G459" s="142">
        <v>51896.675404337235</v>
      </c>
      <c r="H459" s="142">
        <v>159192.41090242262</v>
      </c>
      <c r="I459" s="142">
        <v>18.861498400271905</v>
      </c>
      <c r="J459" s="142">
        <v>51896.308530813891</v>
      </c>
      <c r="K459" s="142">
        <v>159191.14174193272</v>
      </c>
      <c r="L459" s="142">
        <v>18.85824732893396</v>
      </c>
      <c r="M459" s="145">
        <v>3.2510713379458878E-3</v>
      </c>
      <c r="N459" s="145">
        <v>1.3211264514502137</v>
      </c>
      <c r="O459" s="145">
        <v>-9.550161536502344E-4</v>
      </c>
      <c r="P459" s="145">
        <v>-2.7167405246011356E-3</v>
      </c>
      <c r="Q4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5.3571877600688822E-5</v>
      </c>
      <c r="R4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1.2184347894166336</v>
      </c>
      <c r="S4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5.6220272881546407E-5</v>
      </c>
      <c r="T4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-0.97099039146186783</v>
      </c>
      <c r="U4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-4.4541224042404792E-9</v>
      </c>
      <c r="V4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9.3385608707952095E-4</v>
      </c>
      <c r="W4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-9.8239422738899407E-4</v>
      </c>
      <c r="X4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-9.852656324405018E-4</v>
      </c>
      <c r="Y459" s="162" t="str">
        <f>ReportSummary___Track[[#This Row],[Track ID]]&amp;"-"&amp;ReportSummary___Track[[#This Row],[Epoch]]</f>
        <v>250-RL-OP-0032-45831.2916666667</v>
      </c>
      <c r="Z459" s="126">
        <f>SUBTOTAL(103,ReportSummary___Track[[#This Row],[Track ID]])</f>
        <v>1</v>
      </c>
      <c r="AA459" s="114">
        <f>_xlfn.NUMBERVALUE(RIGHT(ReportSummary___Track[[#This Row],[Track ID]],4))</f>
        <v>32</v>
      </c>
      <c r="AB459" s="78"/>
      <c r="AG459" s="10"/>
      <c r="AH459" s="10"/>
      <c r="AK459" s="7"/>
      <c r="AL459" s="10"/>
      <c r="AM459" s="7"/>
    </row>
    <row r="460" spans="5:39" ht="12.75" x14ac:dyDescent="0.2">
      <c r="E460" s="74">
        <v>45831.291666666664</v>
      </c>
      <c r="F460" s="107" t="s">
        <v>272</v>
      </c>
      <c r="G460" s="142">
        <v>51897.636450471109</v>
      </c>
      <c r="H460" s="142">
        <v>159192.13451905019</v>
      </c>
      <c r="I460" s="142">
        <v>18.863098404693126</v>
      </c>
      <c r="J460" s="142">
        <v>51897.270545837273</v>
      </c>
      <c r="K460" s="142">
        <v>159190.86874605055</v>
      </c>
      <c r="L460" s="142">
        <v>18.858833083067108</v>
      </c>
      <c r="M460" s="145">
        <v>4.2653216260184479E-3</v>
      </c>
      <c r="N460" s="145">
        <v>1.3176060415221669</v>
      </c>
      <c r="O460" s="145">
        <v>4.0514270724401058E-4</v>
      </c>
      <c r="P460" s="145">
        <v>-1.1132158276794257E-3</v>
      </c>
      <c r="Q4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8.810245653023685E-4</v>
      </c>
      <c r="R4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1.0308481525369562</v>
      </c>
      <c r="S4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1.0417967324372057E-3</v>
      </c>
      <c r="T4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-0.67471010759945216</v>
      </c>
      <c r="U4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-5.9579370770279638E-8</v>
      </c>
      <c r="V4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6.0241549884021417E-4</v>
      </c>
      <c r="W4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-6.4833319813573098E-4</v>
      </c>
      <c r="X4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-1.0002822229004948E-3</v>
      </c>
      <c r="Y460" s="162" t="str">
        <f>ReportSummary___Track[[#This Row],[Track ID]]&amp;"-"&amp;ReportSummary___Track[[#This Row],[Epoch]]</f>
        <v>250-RL-OP-0033-45831.2916666667</v>
      </c>
      <c r="Z460" s="126">
        <f>SUBTOTAL(103,ReportSummary___Track[[#This Row],[Track ID]])</f>
        <v>1</v>
      </c>
      <c r="AA460" s="114">
        <f>_xlfn.NUMBERVALUE(RIGHT(ReportSummary___Track[[#This Row],[Track ID]],4))</f>
        <v>33</v>
      </c>
      <c r="AB460" s="78"/>
      <c r="AG460" s="10"/>
      <c r="AH460" s="10"/>
      <c r="AK460" s="7"/>
      <c r="AL460" s="10"/>
      <c r="AM460" s="7"/>
    </row>
    <row r="461" spans="5:39" ht="12.75" x14ac:dyDescent="0.2">
      <c r="E461" s="74">
        <v>45831.291666666664</v>
      </c>
      <c r="F461" s="107" t="s">
        <v>273</v>
      </c>
      <c r="G461" s="142">
        <v>51898.597496604991</v>
      </c>
      <c r="H461" s="142">
        <v>159191.85813567779</v>
      </c>
      <c r="I461" s="142">
        <v>18.86469840911435</v>
      </c>
      <c r="J461" s="142">
        <v>51898.232560860655</v>
      </c>
      <c r="K461" s="142">
        <v>159190.59575016837</v>
      </c>
      <c r="L461" s="142">
        <v>18.859418837200256</v>
      </c>
      <c r="M461" s="145">
        <v>5.2795719140945607E-3</v>
      </c>
      <c r="N461" s="145">
        <v>1.3140864300913908</v>
      </c>
      <c r="O461" s="145">
        <v>1.7653015681382556E-3</v>
      </c>
      <c r="P461" s="145">
        <v>5.5058828708709484E-4</v>
      </c>
      <c r="Q4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1.7084772565567619E-3</v>
      </c>
      <c r="R4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0.8432631880455066</v>
      </c>
      <c r="S4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2.027373191992865E-3</v>
      </c>
      <c r="T4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-0.33454283499878557</v>
      </c>
      <c r="U4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-1.147046191363188E-7</v>
      </c>
      <c r="V4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2.7097613630089334E-4</v>
      </c>
      <c r="W4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-3.1427216888602061E-4</v>
      </c>
      <c r="X4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-1.0005701901611985E-3</v>
      </c>
      <c r="Y461" s="162" t="str">
        <f>ReportSummary___Track[[#This Row],[Track ID]]&amp;"-"&amp;ReportSummary___Track[[#This Row],[Epoch]]</f>
        <v>250-RL-OP-0034-45831.2916666667</v>
      </c>
      <c r="Z461" s="126">
        <f>SUBTOTAL(103,ReportSummary___Track[[#This Row],[Track ID]])</f>
        <v>1</v>
      </c>
      <c r="AA461" s="114">
        <f>_xlfn.NUMBERVALUE(RIGHT(ReportSummary___Track[[#This Row],[Track ID]],4))</f>
        <v>34</v>
      </c>
      <c r="AB461" s="78"/>
      <c r="AG461" s="10"/>
      <c r="AH461" s="10"/>
      <c r="AK461" s="7"/>
      <c r="AL461" s="10"/>
      <c r="AM461" s="7"/>
    </row>
    <row r="462" spans="5:39" ht="12.75" x14ac:dyDescent="0.2">
      <c r="E462" s="74">
        <v>45831.291666666664</v>
      </c>
      <c r="F462" s="107" t="s">
        <v>274</v>
      </c>
      <c r="G462" s="142">
        <v>51899.557752893597</v>
      </c>
      <c r="H462" s="142">
        <v>159191.58339357786</v>
      </c>
      <c r="I462" s="142">
        <v>18.865938379525691</v>
      </c>
      <c r="J462" s="142">
        <v>51899.203488296611</v>
      </c>
      <c r="K462" s="142">
        <v>159190.32067681968</v>
      </c>
      <c r="L462" s="142">
        <v>18.85971612452855</v>
      </c>
      <c r="M462" s="145">
        <v>6.222254997140908E-3</v>
      </c>
      <c r="N462" s="145">
        <v>1.3114860779006499</v>
      </c>
      <c r="O462" s="145">
        <v>2.9711836591950203E-3</v>
      </c>
      <c r="P462" s="145">
        <v>2.0161675055447859E-3</v>
      </c>
      <c r="Q4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-3.0698581454657869E-4</v>
      </c>
      <c r="R4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0.65008170276570354</v>
      </c>
      <c r="S4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-3.6055769214726752E-4</v>
      </c>
      <c r="T4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-3.0433741926572111E-4</v>
      </c>
      <c r="U4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4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4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4.4541224042404792E-9</v>
      </c>
      <c r="X4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-9.8238977326658983E-4</v>
      </c>
      <c r="Y462" s="162" t="str">
        <f>ReportSummary___Track[[#This Row],[Track ID]]&amp;"-"&amp;ReportSummary___Track[[#This Row],[Epoch]]</f>
        <v>250-RL-OP-0035-45831.2916666667</v>
      </c>
      <c r="Z462" s="126">
        <f>SUBTOTAL(103,ReportSummary___Track[[#This Row],[Track ID]])</f>
        <v>1</v>
      </c>
      <c r="AA462" s="114">
        <f>_xlfn.NUMBERVALUE(RIGHT(ReportSummary___Track[[#This Row],[Track ID]],4))</f>
        <v>35</v>
      </c>
      <c r="AB462" s="78"/>
      <c r="AG462" s="10"/>
      <c r="AH462" s="10"/>
      <c r="AK462" s="7"/>
      <c r="AL462" s="10"/>
      <c r="AM462" s="7"/>
    </row>
    <row r="463" spans="5:39" ht="12.75" x14ac:dyDescent="0.2">
      <c r="E463" s="74">
        <v>45831.291666666664</v>
      </c>
      <c r="F463" s="107" t="s">
        <v>275</v>
      </c>
      <c r="G463" s="142">
        <v>51900.520801428909</v>
      </c>
      <c r="H463" s="142">
        <v>159191.31406588148</v>
      </c>
      <c r="I463" s="142">
        <v>18.865605835141952</v>
      </c>
      <c r="J463" s="142">
        <v>51900.16613239151</v>
      </c>
      <c r="K463" s="142">
        <v>159190.04990867738</v>
      </c>
      <c r="L463" s="142">
        <v>18.858736500280006</v>
      </c>
      <c r="M463" s="145">
        <v>6.8693348619461858E-3</v>
      </c>
      <c r="N463" s="145">
        <v>1.3129854342437233</v>
      </c>
      <c r="O463" s="145">
        <v>2.6040132359277379E-3</v>
      </c>
      <c r="P463" s="145">
        <v>3.0091559431717485E-3</v>
      </c>
      <c r="Q4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-6.1945315295020009E-3</v>
      </c>
      <c r="R4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0.4313908259985233</v>
      </c>
      <c r="S4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-7.0755560948043694E-3</v>
      </c>
      <c r="T4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-6.0337593623671637E-3</v>
      </c>
      <c r="U4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4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4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5.9579370770279638E-8</v>
      </c>
      <c r="X4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-6.482736187649607E-4</v>
      </c>
      <c r="Y463" s="162" t="str">
        <f>ReportSummary___Track[[#This Row],[Track ID]]&amp;"-"&amp;ReportSummary___Track[[#This Row],[Epoch]]</f>
        <v>250-RL-OP-0036-45831.2916666667</v>
      </c>
      <c r="Z463" s="126">
        <f>SUBTOTAL(103,ReportSummary___Track[[#This Row],[Track ID]])</f>
        <v>1</v>
      </c>
      <c r="AA463" s="114">
        <f>_xlfn.NUMBERVALUE(RIGHT(ReportSummary___Track[[#This Row],[Track ID]],4))</f>
        <v>36</v>
      </c>
      <c r="AB463" s="78"/>
      <c r="AG463" s="10"/>
      <c r="AH463" s="10"/>
      <c r="AK463" s="7"/>
      <c r="AL463" s="10"/>
      <c r="AM463" s="7"/>
    </row>
    <row r="464" spans="5:39" ht="12.75" x14ac:dyDescent="0.2">
      <c r="E464" s="74">
        <v>45831.291666666664</v>
      </c>
      <c r="F464" s="107" t="s">
        <v>276</v>
      </c>
      <c r="G464" s="142">
        <v>51901.483849964221</v>
      </c>
      <c r="H464" s="142">
        <v>159191.04473818507</v>
      </c>
      <c r="I464" s="142">
        <v>18.865273290758211</v>
      </c>
      <c r="J464" s="142">
        <v>51901.12877648641</v>
      </c>
      <c r="K464" s="142">
        <v>159189.77914053507</v>
      </c>
      <c r="L464" s="142">
        <v>18.857756876031466</v>
      </c>
      <c r="M464" s="145">
        <v>7.5164147267443582E-3</v>
      </c>
      <c r="N464" s="145">
        <v>1.3144851017828856</v>
      </c>
      <c r="O464" s="145">
        <v>2.2368428126497975E-3</v>
      </c>
      <c r="P464" s="145">
        <v>4.002144380788053E-3</v>
      </c>
      <c r="Q4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-1.2082077248010137E-2</v>
      </c>
      <c r="R4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0.21269518992816927</v>
      </c>
      <c r="S4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-1.3790554504566899E-2</v>
      </c>
      <c r="T4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-1.1763181312574034E-2</v>
      </c>
      <c r="U4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4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4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1.147046191363188E-7</v>
      </c>
      <c r="X4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-3.1415746426688429E-4</v>
      </c>
      <c r="Y464" s="162" t="str">
        <f>ReportSummary___Track[[#This Row],[Track ID]]&amp;"-"&amp;ReportSummary___Track[[#This Row],[Epoch]]</f>
        <v>250-RL-OP-0037-45831.2916666667</v>
      </c>
      <c r="Z464" s="126">
        <f>SUBTOTAL(103,ReportSummary___Track[[#This Row],[Track ID]])</f>
        <v>1</v>
      </c>
      <c r="AA464" s="114">
        <f>_xlfn.NUMBERVALUE(RIGHT(ReportSummary___Track[[#This Row],[Track ID]],4))</f>
        <v>37</v>
      </c>
      <c r="AB464" s="78"/>
      <c r="AG464" s="10"/>
      <c r="AH464" s="10"/>
      <c r="AK464" s="7"/>
      <c r="AL464" s="10"/>
      <c r="AM464" s="7"/>
    </row>
    <row r="465" spans="5:39" ht="12.75" x14ac:dyDescent="0.2">
      <c r="E465" s="74">
        <v>45831.291666666664</v>
      </c>
      <c r="F465" s="107" t="s">
        <v>277</v>
      </c>
      <c r="G465" s="142">
        <v>51902.447765809411</v>
      </c>
      <c r="H465" s="142">
        <v>159190.77623042284</v>
      </c>
      <c r="I465" s="142">
        <v>18.865124802963386</v>
      </c>
      <c r="J465" s="142">
        <v>51902.099861120325</v>
      </c>
      <c r="K465" s="142">
        <v>159189.50700598882</v>
      </c>
      <c r="L465" s="142">
        <v>18.8569</v>
      </c>
      <c r="M465" s="145">
        <v>8.2248029633866793E-3</v>
      </c>
      <c r="N465" s="145">
        <v>1.3160683811909299</v>
      </c>
      <c r="O465" s="145">
        <v>2.0025479662457712E-3</v>
      </c>
      <c r="P465" s="145">
        <v>4.9737316254407915E-3</v>
      </c>
      <c r="Q4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4.2949791042579122E-2</v>
      </c>
      <c r="S4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3.0698581454657869E-4</v>
      </c>
      <c r="T4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-5.3571877600688822E-5</v>
      </c>
      <c r="U4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4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-1.4378786783897368E-5</v>
      </c>
      <c r="W4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-1.0938077110722588E-8</v>
      </c>
      <c r="X4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-6.483954706482109E-9</v>
      </c>
      <c r="Y465" s="162" t="str">
        <f>ReportSummary___Track[[#This Row],[Track ID]]&amp;"-"&amp;ReportSummary___Track[[#This Row],[Epoch]]</f>
        <v>250-RL-OP-0038-45831.2916666667</v>
      </c>
      <c r="Z465" s="126">
        <f>SUBTOTAL(103,ReportSummary___Track[[#This Row],[Track ID]])</f>
        <v>1</v>
      </c>
      <c r="AA465" s="114">
        <f>_xlfn.NUMBERVALUE(RIGHT(ReportSummary___Track[[#This Row],[Track ID]],4))</f>
        <v>38</v>
      </c>
      <c r="AB465" s="78"/>
      <c r="AG465" s="10"/>
      <c r="AH465" s="10"/>
      <c r="AK465" s="7"/>
      <c r="AL465" s="10"/>
      <c r="AM465" s="7"/>
    </row>
    <row r="466" spans="5:39" ht="12.75" x14ac:dyDescent="0.2">
      <c r="E466" s="74">
        <v>45831.291666666664</v>
      </c>
      <c r="F466" s="107" t="s">
        <v>278</v>
      </c>
      <c r="G466" s="142">
        <v>51903.412339687522</v>
      </c>
      <c r="H466" s="142">
        <v>159190.51241847003</v>
      </c>
      <c r="I466" s="142">
        <v>18.865822806114334</v>
      </c>
      <c r="J466" s="142">
        <v>51903.064443484443</v>
      </c>
      <c r="K466" s="142">
        <v>159189.2432241418</v>
      </c>
      <c r="L466" s="142">
        <v>18.8569</v>
      </c>
      <c r="M466" s="145">
        <v>8.9228061143344917E-3</v>
      </c>
      <c r="N466" s="145">
        <v>1.3160416510836046</v>
      </c>
      <c r="O466" s="145">
        <v>2.0534712523883059E-3</v>
      </c>
      <c r="P466" s="145">
        <v>4.6574844883160438E-3</v>
      </c>
      <c r="Q4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0.36394841893283569</v>
      </c>
      <c r="S4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6.1945315295020009E-3</v>
      </c>
      <c r="T4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-8.810245653023685E-4</v>
      </c>
      <c r="U4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4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-1.4008524871877981E-5</v>
      </c>
      <c r="W4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-7.2112985805006247E-8</v>
      </c>
      <c r="X4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-1.2533615034726608E-8</v>
      </c>
      <c r="Y466" s="162" t="str">
        <f>ReportSummary___Track[[#This Row],[Track ID]]&amp;"-"&amp;ReportSummary___Track[[#This Row],[Epoch]]</f>
        <v>250-RL-OP-0039-45831.2916666667</v>
      </c>
      <c r="Z466" s="126">
        <f>SUBTOTAL(103,ReportSummary___Track[[#This Row],[Track ID]])</f>
        <v>1</v>
      </c>
      <c r="AA466" s="114">
        <f>_xlfn.NUMBERVALUE(RIGHT(ReportSummary___Track[[#This Row],[Track ID]],4))</f>
        <v>39</v>
      </c>
      <c r="AB466" s="78"/>
      <c r="AG466" s="10"/>
      <c r="AH466" s="10"/>
      <c r="AK466" s="7"/>
      <c r="AL466" s="10"/>
      <c r="AM466" s="7"/>
    </row>
    <row r="467" spans="5:39" ht="12.75" x14ac:dyDescent="0.2">
      <c r="E467" s="74">
        <v>45831.291666666664</v>
      </c>
      <c r="F467" s="107" t="s">
        <v>279</v>
      </c>
      <c r="G467" s="142">
        <v>51904.37691356564</v>
      </c>
      <c r="H467" s="142">
        <v>159190.24860651721</v>
      </c>
      <c r="I467" s="142">
        <v>18.866520809265278</v>
      </c>
      <c r="J467" s="142">
        <v>51904.029025848562</v>
      </c>
      <c r="K467" s="142">
        <v>159188.97944229477</v>
      </c>
      <c r="L467" s="142">
        <v>18.8569</v>
      </c>
      <c r="M467" s="145">
        <v>9.6208092652787514E-3</v>
      </c>
      <c r="N467" s="145">
        <v>1.3160152913936094</v>
      </c>
      <c r="O467" s="145">
        <v>2.1043945385343932E-3</v>
      </c>
      <c r="P467" s="145">
        <v>4.3412373511841906E-3</v>
      </c>
      <c r="Q4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0.68494460396828494</v>
      </c>
      <c r="S4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1.2082077248010137E-2</v>
      </c>
      <c r="T4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-1.7084772565567619E-3</v>
      </c>
      <c r="U4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-1.3328789805200358E-7</v>
      </c>
      <c r="V4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-1.3638348888456164E-5</v>
      </c>
      <c r="W4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-1.3328789805200358E-7</v>
      </c>
      <c r="X4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-1.8583278915684787E-8</v>
      </c>
      <c r="Y467" s="162" t="str">
        <f>ReportSummary___Track[[#This Row],[Track ID]]&amp;"-"&amp;ReportSummary___Track[[#This Row],[Epoch]]</f>
        <v>250-RL-OP-0040-45831.2916666667</v>
      </c>
      <c r="Z467" s="126">
        <f>SUBTOTAL(103,ReportSummary___Track[[#This Row],[Track ID]])</f>
        <v>1</v>
      </c>
      <c r="AA467" s="114">
        <f>_xlfn.NUMBERVALUE(RIGHT(ReportSummary___Track[[#This Row],[Track ID]],4))</f>
        <v>40</v>
      </c>
      <c r="AB467" s="78"/>
      <c r="AG467" s="10"/>
      <c r="AH467" s="10"/>
      <c r="AK467" s="7"/>
      <c r="AL467" s="10"/>
      <c r="AM467" s="7"/>
    </row>
    <row r="468" spans="5:39" ht="12.75" x14ac:dyDescent="0.2">
      <c r="E468" s="74">
        <v>45831.291666666664</v>
      </c>
      <c r="F468" s="107" t="s">
        <v>280</v>
      </c>
      <c r="G468" s="142">
        <v>51905.341856193925</v>
      </c>
      <c r="H468" s="142">
        <v>159189.98623491602</v>
      </c>
      <c r="I468" s="142">
        <v>18.867392432941728</v>
      </c>
      <c r="J468" s="142">
        <v>51905.003864651924</v>
      </c>
      <c r="K468" s="142">
        <v>159188.71400367381</v>
      </c>
      <c r="L468" s="142">
        <v>18.857104633955977</v>
      </c>
      <c r="M468" s="145">
        <v>1.0287798985750385E-2</v>
      </c>
      <c r="N468" s="145">
        <v>1.3164028467503601</v>
      </c>
      <c r="O468" s="145">
        <v>2.0629960223637056E-3</v>
      </c>
      <c r="P468" s="145">
        <v>4.0655439886094769E-3</v>
      </c>
      <c r="Q4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7.8405285819371784E-5</v>
      </c>
      <c r="R4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0.96307344861257249</v>
      </c>
      <c r="S4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7.8405285819371784E-5</v>
      </c>
      <c r="T4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3.8539110036595048E-4</v>
      </c>
      <c r="U4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2.620097916405939E-8</v>
      </c>
      <c r="V4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5.7694569395305706E-5</v>
      </c>
      <c r="W4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3.7139056274781979E-8</v>
      </c>
      <c r="X4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2.620097916405939E-8</v>
      </c>
      <c r="Y468" s="162" t="str">
        <f>ReportSummary___Track[[#This Row],[Track ID]]&amp;"-"&amp;ReportSummary___Track[[#This Row],[Epoch]]</f>
        <v>250-RL-OP-0041-45831.2916666667</v>
      </c>
      <c r="Z468" s="126">
        <f>SUBTOTAL(103,ReportSummary___Track[[#This Row],[Track ID]])</f>
        <v>1</v>
      </c>
      <c r="AA468" s="114">
        <f>_xlfn.NUMBERVALUE(RIGHT(ReportSummary___Track[[#This Row],[Track ID]],4))</f>
        <v>41</v>
      </c>
      <c r="AB468" s="78"/>
      <c r="AG468" s="10"/>
      <c r="AH468" s="10"/>
      <c r="AK468" s="7"/>
      <c r="AL468" s="10"/>
      <c r="AM468" s="7"/>
    </row>
    <row r="469" spans="5:39" ht="12.75" x14ac:dyDescent="0.2">
      <c r="E469" s="74">
        <v>45831.291666666664</v>
      </c>
      <c r="F469" s="107" t="s">
        <v>281</v>
      </c>
      <c r="G469" s="142">
        <v>51906.308696346234</v>
      </c>
      <c r="H469" s="142">
        <v>159189.73085839444</v>
      </c>
      <c r="I469" s="142">
        <v>18.869110605337301</v>
      </c>
      <c r="J469" s="142">
        <v>51905.970516824033</v>
      </c>
      <c r="K469" s="142">
        <v>159188.45791499614</v>
      </c>
      <c r="L469" s="142">
        <v>18.858576820689617</v>
      </c>
      <c r="M469" s="145">
        <v>1.0533784647684286E-2</v>
      </c>
      <c r="N469" s="145">
        <v>1.3171413155546867</v>
      </c>
      <c r="O469" s="145">
        <v>1.6109785333497939E-3</v>
      </c>
      <c r="P469" s="145">
        <v>3.6644497857380998E-3</v>
      </c>
      <c r="Q4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6.0791811407057139E-4</v>
      </c>
      <c r="R4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0.86290762951835021</v>
      </c>
      <c r="S4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6.0791811407057139E-4</v>
      </c>
      <c r="T4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6.8024496435725723E-3</v>
      </c>
      <c r="U4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1.8014330294136016E-7</v>
      </c>
      <c r="V4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3.9667471465243409E-4</v>
      </c>
      <c r="W4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2.5225628874636641E-7</v>
      </c>
      <c r="X4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1.8014330294136016E-7</v>
      </c>
      <c r="Y469" s="162" t="str">
        <f>ReportSummary___Track[[#This Row],[Track ID]]&amp;"-"&amp;ReportSummary___Track[[#This Row],[Epoch]]</f>
        <v>250-RL-OP-0042-45831.2916666667</v>
      </c>
      <c r="Z469" s="126">
        <f>SUBTOTAL(103,ReportSummary___Track[[#This Row],[Track ID]])</f>
        <v>1</v>
      </c>
      <c r="AA469" s="114">
        <f>_xlfn.NUMBERVALUE(RIGHT(ReportSummary___Track[[#This Row],[Track ID]],4))</f>
        <v>42</v>
      </c>
      <c r="AB469" s="78"/>
      <c r="AG469" s="10"/>
      <c r="AH469" s="10"/>
      <c r="AK469" s="7"/>
      <c r="AL469" s="10"/>
      <c r="AM469" s="7"/>
    </row>
    <row r="470" spans="5:39" ht="12.75" x14ac:dyDescent="0.2">
      <c r="E470" s="74">
        <v>45831.291666666664</v>
      </c>
      <c r="F470" s="107" t="s">
        <v>282</v>
      </c>
      <c r="G470" s="142">
        <v>51907.275536498542</v>
      </c>
      <c r="H470" s="142">
        <v>159189.47548187288</v>
      </c>
      <c r="I470" s="142">
        <v>18.870828777732875</v>
      </c>
      <c r="J470" s="142">
        <v>51906.937168996134</v>
      </c>
      <c r="K470" s="142">
        <v>159188.20182631849</v>
      </c>
      <c r="L470" s="142">
        <v>18.860049007423257</v>
      </c>
      <c r="M470" s="145">
        <v>1.0779770309618186E-2</v>
      </c>
      <c r="N470" s="145">
        <v>1.3178798281248316</v>
      </c>
      <c r="O470" s="145">
        <v>1.1589610443394349E-3</v>
      </c>
      <c r="P470" s="145">
        <v>3.2633555828738281E-3</v>
      </c>
      <c r="Q4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1.137430942321771E-3</v>
      </c>
      <c r="R4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0.7627422992062538</v>
      </c>
      <c r="S4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1.137430942321771E-3</v>
      </c>
      <c r="T4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1.3219508190331908E-2</v>
      </c>
      <c r="U4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3.3408562316594725E-7</v>
      </c>
      <c r="V4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7.3565391583341189E-4</v>
      </c>
      <c r="W4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4.6737352121795084E-7</v>
      </c>
      <c r="X4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3.3408562316594725E-7</v>
      </c>
      <c r="Y470" s="162" t="str">
        <f>ReportSummary___Track[[#This Row],[Track ID]]&amp;"-"&amp;ReportSummary___Track[[#This Row],[Epoch]]</f>
        <v>250-RL-OP-0043-45831.2916666667</v>
      </c>
      <c r="Z470" s="126">
        <f>SUBTOTAL(103,ReportSummary___Track[[#This Row],[Track ID]])</f>
        <v>1</v>
      </c>
      <c r="AA470" s="114">
        <f>_xlfn.NUMBERVALUE(RIGHT(ReportSummary___Track[[#This Row],[Track ID]],4))</f>
        <v>43</v>
      </c>
      <c r="AB470" s="78"/>
      <c r="AG470" s="10"/>
      <c r="AH470" s="10"/>
      <c r="AK470" s="7"/>
      <c r="AL470" s="10"/>
      <c r="AM470" s="7"/>
    </row>
    <row r="471" spans="5:39" ht="12.75" x14ac:dyDescent="0.2">
      <c r="E471" s="74">
        <v>45831.291666666664</v>
      </c>
      <c r="F471" s="107" t="s">
        <v>283</v>
      </c>
      <c r="G471" s="142">
        <v>51908.24281274675</v>
      </c>
      <c r="H471" s="142">
        <v>159189.22352581975</v>
      </c>
      <c r="I471" s="142">
        <v>18.872961662236339</v>
      </c>
      <c r="J471" s="142">
        <v>51907.905517584324</v>
      </c>
      <c r="K471" s="142">
        <v>159187.94920456348</v>
      </c>
      <c r="L471" s="142">
        <v>18.861831288624526</v>
      </c>
      <c r="M471" s="145">
        <v>1.1130373611813127E-2</v>
      </c>
      <c r="N471" s="145">
        <v>1.3182513326289838</v>
      </c>
      <c r="O471" s="145">
        <v>8.4257462606274203E-4</v>
      </c>
      <c r="P471" s="145">
        <v>2.9055706484264476E-3</v>
      </c>
      <c r="Q4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0.10197077546436617</v>
      </c>
      <c r="R4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0.62729083156165544</v>
      </c>
      <c r="S4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0.1018923701785468</v>
      </c>
      <c r="T4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0.10197077546436617</v>
      </c>
      <c r="U4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1.0217127349321231E-4</v>
      </c>
      <c r="V4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7.5944862798960067E-4</v>
      </c>
      <c r="W4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1.0214507251404825E-4</v>
      </c>
      <c r="X4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1.0218221157032303E-4</v>
      </c>
      <c r="Y471" s="162" t="str">
        <f>ReportSummary___Track[[#This Row],[Track ID]]&amp;"-"&amp;ReportSummary___Track[[#This Row],[Epoch]]</f>
        <v>250-RL-OP-0044-45831.2916666667</v>
      </c>
      <c r="Z471" s="126">
        <f>SUBTOTAL(103,ReportSummary___Track[[#This Row],[Track ID]])</f>
        <v>1</v>
      </c>
      <c r="AA471" s="114">
        <f>_xlfn.NUMBERVALUE(RIGHT(ReportSummary___Track[[#This Row],[Track ID]],4))</f>
        <v>44</v>
      </c>
      <c r="AB471" s="78"/>
      <c r="AG471" s="10"/>
      <c r="AH471" s="10"/>
      <c r="AK471" s="7"/>
      <c r="AL471" s="10"/>
      <c r="AM471" s="7"/>
    </row>
    <row r="472" spans="5:39" ht="12.75" x14ac:dyDescent="0.2">
      <c r="E472" s="74">
        <v>45831.291666666664</v>
      </c>
      <c r="F472" s="107" t="s">
        <v>284</v>
      </c>
      <c r="G472" s="142">
        <v>51909.212340103608</v>
      </c>
      <c r="H472" s="142">
        <v>159188.97856142768</v>
      </c>
      <c r="I472" s="142">
        <v>18.875986708591611</v>
      </c>
      <c r="J472" s="142">
        <v>51908.874845612292</v>
      </c>
      <c r="K472" s="142">
        <v>159187.70344515948</v>
      </c>
      <c r="L472" s="142">
        <v>18.864174266709448</v>
      </c>
      <c r="M472" s="145">
        <v>1.1812441882163682E-2</v>
      </c>
      <c r="N472" s="145">
        <v>1.3190767842965574</v>
      </c>
      <c r="O472" s="145">
        <v>1.2786572344793967E-3</v>
      </c>
      <c r="P472" s="145">
        <v>2.8896357678291906E-3</v>
      </c>
      <c r="Q4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0.42275563334470689</v>
      </c>
      <c r="R4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0.40214518055292636</v>
      </c>
      <c r="S4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0.42214771523063632</v>
      </c>
      <c r="T4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0.42275563334470689</v>
      </c>
      <c r="U4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4.2358682665621927E-4</v>
      </c>
      <c r="V4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1.4344842571456518E-4</v>
      </c>
      <c r="W4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4.2340668335327791E-4</v>
      </c>
      <c r="X4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4.2365893964202428E-4</v>
      </c>
      <c r="Y472" s="162" t="str">
        <f>ReportSummary___Track[[#This Row],[Track ID]]&amp;"-"&amp;ReportSummary___Track[[#This Row],[Epoch]]</f>
        <v>250-RL-OP-0045-45831.2916666667</v>
      </c>
      <c r="Z472" s="126">
        <f>SUBTOTAL(103,ReportSummary___Track[[#This Row],[Track ID]])</f>
        <v>1</v>
      </c>
      <c r="AA472" s="114">
        <f>_xlfn.NUMBERVALUE(RIGHT(ReportSummary___Track[[#This Row],[Track ID]],4))</f>
        <v>45</v>
      </c>
      <c r="AB472" s="78"/>
      <c r="AG472" s="10"/>
      <c r="AH472" s="10"/>
      <c r="AK472" s="7"/>
      <c r="AL472" s="10"/>
      <c r="AM472" s="7"/>
    </row>
    <row r="473" spans="5:39" ht="12.75" x14ac:dyDescent="0.2">
      <c r="E473" s="74">
        <v>45831.291666666664</v>
      </c>
      <c r="F473" s="107" t="s">
        <v>285</v>
      </c>
      <c r="G473" s="142">
        <v>51910.181867460473</v>
      </c>
      <c r="H473" s="142">
        <v>159188.73359703558</v>
      </c>
      <c r="I473" s="142">
        <v>18.87901175494688</v>
      </c>
      <c r="J473" s="142">
        <v>51909.84417364026</v>
      </c>
      <c r="K473" s="142">
        <v>159187.45768575551</v>
      </c>
      <c r="L473" s="142">
        <v>18.866517244794366</v>
      </c>
      <c r="M473" s="145">
        <v>1.2494510152514238E-2</v>
      </c>
      <c r="N473" s="145">
        <v>1.3199025811039198</v>
      </c>
      <c r="O473" s="145">
        <v>1.7147398428960514E-3</v>
      </c>
      <c r="P473" s="145">
        <v>2.8737008872354863E-3</v>
      </c>
      <c r="Q4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0.74354049122860033</v>
      </c>
      <c r="R4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0.17725040443172801</v>
      </c>
      <c r="S4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0.74240306028627856</v>
      </c>
      <c r="T4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0.74354049122860033</v>
      </c>
      <c r="U4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7.4500237981922623E-4</v>
      </c>
      <c r="V4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-4.7229875754539741E-4</v>
      </c>
      <c r="W4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7.4466829419606029E-4</v>
      </c>
      <c r="X4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7.4513566771727824E-4</v>
      </c>
      <c r="Y473" s="162" t="str">
        <f>ReportSummary___Track[[#This Row],[Track ID]]&amp;"-"&amp;ReportSummary___Track[[#This Row],[Epoch]]</f>
        <v>250-RL-OP-0046-45831.2916666667</v>
      </c>
      <c r="Z473" s="126">
        <f>SUBTOTAL(103,ReportSummary___Track[[#This Row],[Track ID]])</f>
        <v>1</v>
      </c>
      <c r="AA473" s="114">
        <f>_xlfn.NUMBERVALUE(RIGHT(ReportSummary___Track[[#This Row],[Track ID]],4))</f>
        <v>46</v>
      </c>
      <c r="AB473" s="78"/>
      <c r="AG473" s="10"/>
      <c r="AH473" s="10"/>
      <c r="AK473" s="7"/>
      <c r="AL473" s="10"/>
      <c r="AM473" s="7"/>
    </row>
    <row r="474" spans="5:39" ht="12.75" x14ac:dyDescent="0.2">
      <c r="E474" s="74">
        <v>45831.291666666664</v>
      </c>
      <c r="F474" s="107" t="s">
        <v>286</v>
      </c>
      <c r="G474" s="142">
        <v>51911.152141496423</v>
      </c>
      <c r="H474" s="142">
        <v>159188.49044319949</v>
      </c>
      <c r="I474" s="142">
        <v>18.882328518492972</v>
      </c>
      <c r="J474" s="142">
        <v>51910.835192576567</v>
      </c>
      <c r="K474" s="142">
        <v>159187.2085174784</v>
      </c>
      <c r="L474" s="142">
        <v>18.869138865821263</v>
      </c>
      <c r="M474" s="145">
        <v>1.318965267170924E-2</v>
      </c>
      <c r="N474" s="145">
        <v>1.320592344040157</v>
      </c>
      <c r="O474" s="145">
        <v>2.059279059896113E-3</v>
      </c>
      <c r="P474" s="145">
        <v>2.9018536859588551E-3</v>
      </c>
      <c r="Q4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1.0028207205259321</v>
      </c>
      <c r="R4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-7.751830915170288E-3</v>
      </c>
      <c r="S4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0.9008499450615659</v>
      </c>
      <c r="T4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1.0027423152401127</v>
      </c>
      <c r="U4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9.2596909811248906E-4</v>
      </c>
      <c r="V4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-9.4442434157704369E-4</v>
      </c>
      <c r="W4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8.2379782461927675E-4</v>
      </c>
      <c r="X4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9.25942897133325E-4</v>
      </c>
      <c r="Y474" s="162" t="str">
        <f>ReportSummary___Track[[#This Row],[Track ID]]&amp;"-"&amp;ReportSummary___Track[[#This Row],[Epoch]]</f>
        <v>250-RL-OP-0047-45831.2916666667</v>
      </c>
      <c r="Z474" s="126">
        <f>SUBTOTAL(103,ReportSummary___Track[[#This Row],[Track ID]])</f>
        <v>1</v>
      </c>
      <c r="AA474" s="114">
        <f>_xlfn.NUMBERVALUE(RIGHT(ReportSummary___Track[[#This Row],[Track ID]],4))</f>
        <v>47</v>
      </c>
      <c r="AB474" s="78"/>
      <c r="AG474" s="10"/>
      <c r="AH474" s="10"/>
      <c r="AK474" s="7"/>
      <c r="AL474" s="10"/>
      <c r="AM474" s="7"/>
    </row>
    <row r="475" spans="5:39" ht="12.75" x14ac:dyDescent="0.2">
      <c r="E475" s="74">
        <v>45831.291666666664</v>
      </c>
      <c r="F475" s="107" t="s">
        <v>287</v>
      </c>
      <c r="G475" s="142">
        <v>51912.123875350408</v>
      </c>
      <c r="H475" s="142">
        <v>159188.25440524641</v>
      </c>
      <c r="I475" s="142">
        <v>18.886733255176882</v>
      </c>
      <c r="J475" s="142">
        <v>51911.806757288294</v>
      </c>
      <c r="K475" s="142">
        <v>159186.97176749387</v>
      </c>
      <c r="L475" s="142">
        <v>18.872523500824762</v>
      </c>
      <c r="M475" s="145">
        <v>1.4209754352119575E-2</v>
      </c>
      <c r="N475" s="145">
        <v>1.3213346989555645</v>
      </c>
      <c r="O475" s="145">
        <v>2.3973124699558923E-3</v>
      </c>
      <c r="P475" s="145">
        <v>3.675969704435289E-3</v>
      </c>
      <c r="Q4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1.0037873688588661</v>
      </c>
      <c r="R4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-8.9453424583219032E-2</v>
      </c>
      <c r="S4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0.58103173551415921</v>
      </c>
      <c r="T4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1.0031794507447955</v>
      </c>
      <c r="U4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5.7477886144141621E-4</v>
      </c>
      <c r="V4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-8.6473868340797289E-4</v>
      </c>
      <c r="W4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1.5119203478519694E-4</v>
      </c>
      <c r="X4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5.7459871813847485E-4</v>
      </c>
      <c r="Y475" s="162" t="str">
        <f>ReportSummary___Track[[#This Row],[Track ID]]&amp;"-"&amp;ReportSummary___Track[[#This Row],[Epoch]]</f>
        <v>250-RL-OP-0048-45831.2916666667</v>
      </c>
      <c r="Z475" s="126">
        <f>SUBTOTAL(103,ReportSummary___Track[[#This Row],[Track ID]])</f>
        <v>1</v>
      </c>
      <c r="AA475" s="114">
        <f>_xlfn.NUMBERVALUE(RIGHT(ReportSummary___Track[[#This Row],[Track ID]],4))</f>
        <v>48</v>
      </c>
      <c r="AB475" s="78"/>
      <c r="AG475" s="10"/>
      <c r="AH475" s="10"/>
      <c r="AK475" s="7"/>
      <c r="AL475" s="10"/>
      <c r="AM475" s="7"/>
    </row>
    <row r="476" spans="5:39" ht="12.75" x14ac:dyDescent="0.2">
      <c r="E476" s="74">
        <v>45831.291666666664</v>
      </c>
      <c r="F476" s="107" t="s">
        <v>288</v>
      </c>
      <c r="G476" s="142">
        <v>51913.0956092044</v>
      </c>
      <c r="H476" s="142">
        <v>159188.01836729329</v>
      </c>
      <c r="I476" s="142">
        <v>18.891137991860795</v>
      </c>
      <c r="J476" s="142">
        <v>51912.77832200002</v>
      </c>
      <c r="K476" s="142">
        <v>159186.73501750935</v>
      </c>
      <c r="L476" s="142">
        <v>18.875908135828258</v>
      </c>
      <c r="M476" s="145">
        <v>1.5229856032537015E-2</v>
      </c>
      <c r="N476" s="145">
        <v>1.3220778292260456</v>
      </c>
      <c r="O476" s="145">
        <v>2.735345880022777E-3</v>
      </c>
      <c r="P476" s="145">
        <v>4.4500857229188284E-3</v>
      </c>
      <c r="Q4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1.0047540172024583</v>
      </c>
      <c r="R4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-0.1711531254893206</v>
      </c>
      <c r="S4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0.26121352597385794</v>
      </c>
      <c r="T4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1.0036165862601365</v>
      </c>
      <c r="U4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2.2358862477389607E-4</v>
      </c>
      <c r="V4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-7.8568591749461625E-4</v>
      </c>
      <c r="W4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-5.2141375504533016E-4</v>
      </c>
      <c r="X4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2.2325453915073012E-4</v>
      </c>
      <c r="Y476" s="162" t="str">
        <f>ReportSummary___Track[[#This Row],[Track ID]]&amp;"-"&amp;ReportSummary___Track[[#This Row],[Epoch]]</f>
        <v>250-RL-OP-0049-45831.2916666667</v>
      </c>
      <c r="Z476" s="126">
        <f>SUBTOTAL(103,ReportSummary___Track[[#This Row],[Track ID]])</f>
        <v>1</v>
      </c>
      <c r="AA476" s="114">
        <f>_xlfn.NUMBERVALUE(RIGHT(ReportSummary___Track[[#This Row],[Track ID]],4))</f>
        <v>49</v>
      </c>
      <c r="AB476" s="78"/>
      <c r="AG476" s="10"/>
      <c r="AH476" s="10"/>
      <c r="AK476" s="7"/>
      <c r="AL476" s="10"/>
      <c r="AM476" s="7"/>
    </row>
    <row r="477" spans="5:39" ht="12.75" x14ac:dyDescent="0.2">
      <c r="E477" s="74">
        <v>45827.284722222219</v>
      </c>
      <c r="F477" s="107" t="s">
        <v>235</v>
      </c>
      <c r="G477" s="142">
        <v>51886.101888003854</v>
      </c>
      <c r="H477" s="142">
        <v>159195.44568170901</v>
      </c>
      <c r="I477" s="142">
        <v>18.86977464079656</v>
      </c>
      <c r="J477" s="142">
        <v>51885.742954659283</v>
      </c>
      <c r="K477" s="142">
        <v>159194.18662102622</v>
      </c>
      <c r="L477" s="142">
        <v>18.865787533191366</v>
      </c>
      <c r="M477" s="145">
        <v>3.9871076051944954E-3</v>
      </c>
      <c r="N477" s="145">
        <v>1.3092298674457663</v>
      </c>
      <c r="O477" s="145"/>
      <c r="P477" s="145"/>
      <c r="Q4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-0.28165714079975146</v>
      </c>
      <c r="R4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-0.8883089416433787</v>
      </c>
      <c r="S47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7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3.651363300605226E-8</v>
      </c>
      <c r="V4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-1.9678166971925926E-4</v>
      </c>
      <c r="W47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7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77" s="162" t="str">
        <f>ReportSummary___Track[[#This Row],[Track ID]]&amp;"-"&amp;ReportSummary___Track[[#This Row],[Epoch]]</f>
        <v>250-RL-OP-0021-45827.2847222222</v>
      </c>
      <c r="Z477" s="126">
        <f>SUBTOTAL(103,ReportSummary___Track[[#This Row],[Track ID]])</f>
        <v>1</v>
      </c>
      <c r="AA477" s="114">
        <f>_xlfn.NUMBERVALUE(RIGHT(ReportSummary___Track[[#This Row],[Track ID]],4))</f>
        <v>21</v>
      </c>
      <c r="AB477" s="78"/>
      <c r="AG477" s="10"/>
      <c r="AH477" s="10"/>
      <c r="AK477" s="7"/>
      <c r="AL477" s="10"/>
      <c r="AM477" s="7"/>
    </row>
    <row r="478" spans="5:39" ht="12.75" x14ac:dyDescent="0.2">
      <c r="E478" s="74">
        <v>45827.284722222219</v>
      </c>
      <c r="F478" s="107" t="s">
        <v>236</v>
      </c>
      <c r="G478" s="142">
        <v>51887.0635346048</v>
      </c>
      <c r="H478" s="142">
        <v>159195.17139037082</v>
      </c>
      <c r="I478" s="142">
        <v>18.869497718698447</v>
      </c>
      <c r="J478" s="142">
        <v>51886.703957855534</v>
      </c>
      <c r="K478" s="142">
        <v>159193.91008379814</v>
      </c>
      <c r="L478" s="142">
        <v>18.865652356738678</v>
      </c>
      <c r="M478" s="145">
        <v>3.8453619597689226E-3</v>
      </c>
      <c r="N478" s="145">
        <v>1.3115656657972146</v>
      </c>
      <c r="O478" s="145"/>
      <c r="P478" s="145"/>
      <c r="Q4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-0.62775930292957582</v>
      </c>
      <c r="R4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-0.46314729787155784</v>
      </c>
      <c r="S47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7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8.0400216262432878E-8</v>
      </c>
      <c r="V4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-1.033607644809198E-4</v>
      </c>
      <c r="W47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7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78" s="162" t="str">
        <f>ReportSummary___Track[[#This Row],[Track ID]]&amp;"-"&amp;ReportSummary___Track[[#This Row],[Epoch]]</f>
        <v>250-RL-OP-0022-45827.2847222222</v>
      </c>
      <c r="Z478" s="126">
        <f>SUBTOTAL(103,ReportSummary___Track[[#This Row],[Track ID]])</f>
        <v>1</v>
      </c>
      <c r="AA478" s="114">
        <f>_xlfn.NUMBERVALUE(RIGHT(ReportSummary___Track[[#This Row],[Track ID]],4))</f>
        <v>22</v>
      </c>
      <c r="AB478" s="78"/>
      <c r="AG478" s="10"/>
      <c r="AH478" s="10"/>
      <c r="AK478" s="7"/>
      <c r="AL478" s="10"/>
      <c r="AM478" s="7"/>
    </row>
    <row r="479" spans="5:39" ht="12.75" x14ac:dyDescent="0.2">
      <c r="E479" s="74">
        <v>45827.284722222219</v>
      </c>
      <c r="F479" s="107" t="s">
        <v>237</v>
      </c>
      <c r="G479" s="142">
        <v>51888.025181205747</v>
      </c>
      <c r="H479" s="142">
        <v>159194.89709903265</v>
      </c>
      <c r="I479" s="142">
        <v>18.869220796600338</v>
      </c>
      <c r="J479" s="142">
        <v>51887.664961051785</v>
      </c>
      <c r="K479" s="142">
        <v>159193.63354657005</v>
      </c>
      <c r="L479" s="142">
        <v>18.865517180285991</v>
      </c>
      <c r="M479" s="145">
        <v>3.7036163143469025E-3</v>
      </c>
      <c r="N479" s="145">
        <v>1.3139014810187717</v>
      </c>
      <c r="O479" s="145"/>
      <c r="P479" s="145"/>
      <c r="Q4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-0.97386146505584748</v>
      </c>
      <c r="R4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-3.7998591615906463E-2</v>
      </c>
      <c r="S47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47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1.242867995188135E-7</v>
      </c>
      <c r="V4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-9.9397977364468204E-6</v>
      </c>
      <c r="W47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47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79" s="162" t="str">
        <f>ReportSummary___Track[[#This Row],[Track ID]]&amp;"-"&amp;ReportSummary___Track[[#This Row],[Epoch]]</f>
        <v>250-RL-OP-0023-45827.2847222222</v>
      </c>
      <c r="Z479" s="126">
        <f>SUBTOTAL(103,ReportSummary___Track[[#This Row],[Track ID]])</f>
        <v>1</v>
      </c>
      <c r="AA479" s="114">
        <f>_xlfn.NUMBERVALUE(RIGHT(ReportSummary___Track[[#This Row],[Track ID]],4))</f>
        <v>23</v>
      </c>
      <c r="AB479" s="78"/>
      <c r="AG479" s="10"/>
      <c r="AH479" s="10"/>
      <c r="AK479" s="7"/>
      <c r="AL479" s="10"/>
      <c r="AM479" s="7"/>
    </row>
    <row r="480" spans="5:39" ht="12.75" x14ac:dyDescent="0.2">
      <c r="E480" s="74">
        <v>45827.284722222219</v>
      </c>
      <c r="F480" s="107" t="s">
        <v>238</v>
      </c>
      <c r="G480" s="142">
        <v>51888.986288492531</v>
      </c>
      <c r="H480" s="142">
        <v>159194.62201568196</v>
      </c>
      <c r="I480" s="142">
        <v>18.868826216423926</v>
      </c>
      <c r="J480" s="142">
        <v>51888.624104054346</v>
      </c>
      <c r="K480" s="142">
        <v>159193.35707270369</v>
      </c>
      <c r="L480" s="142">
        <v>18.864752301102019</v>
      </c>
      <c r="M480" s="145">
        <v>4.0739153219071511E-3</v>
      </c>
      <c r="N480" s="145">
        <v>1.3157791996908479</v>
      </c>
      <c r="O480" s="145">
        <v>8.6807716712655747E-5</v>
      </c>
      <c r="P480" s="145"/>
      <c r="Q4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-0.6885062371715378</v>
      </c>
      <c r="R4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9.7703590320463718E-3</v>
      </c>
      <c r="S4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-0.40684909637178635</v>
      </c>
      <c r="T48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1.2406992166091868E-5</v>
      </c>
      <c r="V4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3.8922497447302362E-8</v>
      </c>
      <c r="W4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1.2370478533085816E-5</v>
      </c>
      <c r="X48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80" s="162" t="str">
        <f>ReportSummary___Track[[#This Row],[Track ID]]&amp;"-"&amp;ReportSummary___Track[[#This Row],[Epoch]]</f>
        <v>250-RL-OP-0024-45827.2847222222</v>
      </c>
      <c r="Z480" s="126">
        <f>SUBTOTAL(103,ReportSummary___Track[[#This Row],[Track ID]])</f>
        <v>1</v>
      </c>
      <c r="AA480" s="114">
        <f>_xlfn.NUMBERVALUE(RIGHT(ReportSummary___Track[[#This Row],[Track ID]],4))</f>
        <v>24</v>
      </c>
      <c r="AB480" s="78"/>
      <c r="AG480" s="10"/>
      <c r="AH480" s="10"/>
      <c r="AK480" s="7"/>
      <c r="AL480" s="10"/>
      <c r="AM480" s="7"/>
    </row>
    <row r="481" spans="5:39" ht="12.75" x14ac:dyDescent="0.2">
      <c r="E481" s="74">
        <v>45827.284722222219</v>
      </c>
      <c r="F481" s="107" t="s">
        <v>239</v>
      </c>
      <c r="G481" s="142">
        <v>51889.947664755273</v>
      </c>
      <c r="H481" s="142">
        <v>159194.34677847879</v>
      </c>
      <c r="I481" s="142">
        <v>18.868421951254046</v>
      </c>
      <c r="J481" s="142">
        <v>51889.584962801164</v>
      </c>
      <c r="K481" s="142">
        <v>159193.08003528396</v>
      </c>
      <c r="L481" s="142">
        <v>18.863893962337269</v>
      </c>
      <c r="M481" s="145">
        <v>4.5279889167773035E-3</v>
      </c>
      <c r="N481" s="145">
        <v>1.3176537981809908</v>
      </c>
      <c r="O481" s="145">
        <v>6.8262695700838094E-4</v>
      </c>
      <c r="P481" s="145"/>
      <c r="Q4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-0.35160581236581834</v>
      </c>
      <c r="R4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4.8078640273452322E-3</v>
      </c>
      <c r="S4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0.27615349056375749</v>
      </c>
      <c r="T48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5.959409794087378E-6</v>
      </c>
      <c r="V4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2.1698336905018323E-8</v>
      </c>
      <c r="W4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5.8790095778249452E-6</v>
      </c>
      <c r="X48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81" s="162" t="str">
        <f>ReportSummary___Track[[#This Row],[Track ID]]&amp;"-"&amp;ReportSummary___Track[[#This Row],[Epoch]]</f>
        <v>250-RL-OP-0025-45827.2847222222</v>
      </c>
      <c r="Z481" s="126">
        <f>SUBTOTAL(103,ReportSummary___Track[[#This Row],[Track ID]])</f>
        <v>1</v>
      </c>
      <c r="AA481" s="114">
        <f>_xlfn.NUMBERVALUE(RIGHT(ReportSummary___Track[[#This Row],[Track ID]],4))</f>
        <v>25</v>
      </c>
      <c r="AB481" s="78"/>
      <c r="AG481" s="10"/>
      <c r="AH481" s="10"/>
      <c r="AK481" s="7"/>
      <c r="AL481" s="10"/>
      <c r="AM481" s="7"/>
    </row>
    <row r="482" spans="5:39" ht="12.75" x14ac:dyDescent="0.2">
      <c r="E482" s="74">
        <v>45827.284722222219</v>
      </c>
      <c r="F482" s="107" t="s">
        <v>240</v>
      </c>
      <c r="G482" s="142">
        <v>51890.909041018014</v>
      </c>
      <c r="H482" s="142">
        <v>159194.07154127565</v>
      </c>
      <c r="I482" s="142">
        <v>18.868017686084166</v>
      </c>
      <c r="J482" s="142">
        <v>51890.545821547981</v>
      </c>
      <c r="K482" s="142">
        <v>159192.80299786426</v>
      </c>
      <c r="L482" s="142">
        <v>18.863035623572515</v>
      </c>
      <c r="M482" s="145">
        <v>4.9820625116510087E-3</v>
      </c>
      <c r="N482" s="145">
        <v>1.3195285487449451</v>
      </c>
      <c r="O482" s="145">
        <v>1.2784461973041061E-3</v>
      </c>
      <c r="P482" s="145"/>
      <c r="Q4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-1.4705387556546157E-2</v>
      </c>
      <c r="R4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-1.1804263122527914E-5</v>
      </c>
      <c r="S4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0.95915607749930132</v>
      </c>
      <c r="T48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4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-4.8817257791711199E-7</v>
      </c>
      <c r="V4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5.7543747544741564E-11</v>
      </c>
      <c r="W4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-6.1245937743592549E-7</v>
      </c>
      <c r="X48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482" s="162" t="str">
        <f>ReportSummary___Track[[#This Row],[Track ID]]&amp;"-"&amp;ReportSummary___Track[[#This Row],[Epoch]]</f>
        <v>250-RL-OP-0026-45827.2847222222</v>
      </c>
      <c r="Z482" s="126">
        <f>SUBTOTAL(103,ReportSummary___Track[[#This Row],[Track ID]])</f>
        <v>1</v>
      </c>
      <c r="AA482" s="114">
        <f>_xlfn.NUMBERVALUE(RIGHT(ReportSummary___Track[[#This Row],[Track ID]],4))</f>
        <v>26</v>
      </c>
      <c r="AB482" s="78"/>
      <c r="AG482" s="10"/>
      <c r="AH482" s="10"/>
      <c r="AK482" s="7"/>
      <c r="AL482" s="10"/>
      <c r="AM482" s="7"/>
    </row>
    <row r="483" spans="5:39" ht="12.75" x14ac:dyDescent="0.2">
      <c r="E483" s="74">
        <v>45827.284722222219</v>
      </c>
      <c r="F483" s="107" t="s">
        <v>241</v>
      </c>
      <c r="G483" s="142">
        <v>51891.870085166687</v>
      </c>
      <c r="H483" s="142">
        <v>159193.79534240576</v>
      </c>
      <c r="I483" s="142">
        <v>18.865661447731828</v>
      </c>
      <c r="J483" s="142">
        <v>51891.504352850017</v>
      </c>
      <c r="K483" s="142">
        <v>159192.52690828382</v>
      </c>
      <c r="L483" s="142">
        <v>18.860959197096111</v>
      </c>
      <c r="M483" s="145">
        <v>4.7022506357166094E-3</v>
      </c>
      <c r="N483" s="145">
        <v>1.3201164192322909</v>
      </c>
      <c r="O483" s="145">
        <v>6.2833531380945828E-4</v>
      </c>
      <c r="P483" s="145">
        <v>7.1514303052211403E-4</v>
      </c>
      <c r="Q4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-6.9568581650969463E-4</v>
      </c>
      <c r="R4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-8.4508484710754672E-2</v>
      </c>
      <c r="S4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0.68781055135502811</v>
      </c>
      <c r="T4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0.28096145498324177</v>
      </c>
      <c r="U4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3.2393582554846034E-4</v>
      </c>
      <c r="V4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1.1143058162854658E-6</v>
      </c>
      <c r="W4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3.1152883338236848E-4</v>
      </c>
      <c r="X4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3.2389931191545429E-4</v>
      </c>
      <c r="Y483" s="162" t="str">
        <f>ReportSummary___Track[[#This Row],[Track ID]]&amp;"-"&amp;ReportSummary___Track[[#This Row],[Epoch]]</f>
        <v>250-RL-OP-0027-45827.2847222222</v>
      </c>
      <c r="Z483" s="126">
        <f>SUBTOTAL(103,ReportSummary___Track[[#This Row],[Track ID]])</f>
        <v>1</v>
      </c>
      <c r="AA483" s="114">
        <f>_xlfn.NUMBERVALUE(RIGHT(ReportSummary___Track[[#This Row],[Track ID]],4))</f>
        <v>27</v>
      </c>
      <c r="AB483" s="78"/>
      <c r="AG483" s="10"/>
      <c r="AH483" s="10"/>
      <c r="AK483" s="7"/>
      <c r="AL483" s="10"/>
      <c r="AM483" s="7"/>
    </row>
    <row r="484" spans="5:39" ht="12.75" x14ac:dyDescent="0.2">
      <c r="E484" s="74">
        <v>45827.284722222219</v>
      </c>
      <c r="F484" s="107" t="s">
        <v>242</v>
      </c>
      <c r="G484" s="142">
        <v>51892.831165658921</v>
      </c>
      <c r="H484" s="142">
        <v>159193.51908472509</v>
      </c>
      <c r="I484" s="142">
        <v>18.863215774997911</v>
      </c>
      <c r="J484" s="142">
        <v>51892.465286793558</v>
      </c>
      <c r="K484" s="142">
        <v>159192.25013870624</v>
      </c>
      <c r="L484" s="142">
        <v>18.858824466025101</v>
      </c>
      <c r="M484" s="145">
        <v>4.3913089728100374E-3</v>
      </c>
      <c r="N484" s="145">
        <v>1.3206478056180186</v>
      </c>
      <c r="O484" s="145">
        <v>-1.3667994396726613E-4</v>
      </c>
      <c r="P484" s="145">
        <v>5.4594701304111481E-4</v>
      </c>
      <c r="Q4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-1.4233419420861537E-3</v>
      </c>
      <c r="R4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-0.17297553019246514</v>
      </c>
      <c r="S4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0.35018247042373218</v>
      </c>
      <c r="T4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0.62633596098748967</v>
      </c>
      <c r="U4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6.6278083134463373E-4</v>
      </c>
      <c r="V4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2.0378921459229815E-6</v>
      </c>
      <c r="W4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6.5682142155054635E-4</v>
      </c>
      <c r="X4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6.6270043112837129E-4</v>
      </c>
      <c r="Y484" s="162" t="str">
        <f>ReportSummary___Track[[#This Row],[Track ID]]&amp;"-"&amp;ReportSummary___Track[[#This Row],[Epoch]]</f>
        <v>250-RL-OP-0028-45827.2847222222</v>
      </c>
      <c r="Z484" s="126">
        <f>SUBTOTAL(103,ReportSummary___Track[[#This Row],[Track ID]])</f>
        <v>1</v>
      </c>
      <c r="AA484" s="114">
        <f>_xlfn.NUMBERVALUE(RIGHT(ReportSummary___Track[[#This Row],[Track ID]],4))</f>
        <v>28</v>
      </c>
      <c r="AB484" s="78"/>
      <c r="AG484" s="10"/>
      <c r="AH484" s="10"/>
      <c r="AK484" s="7"/>
      <c r="AL484" s="10"/>
      <c r="AM484" s="7"/>
    </row>
    <row r="485" spans="5:39" ht="14.25" customHeight="1" x14ac:dyDescent="0.2">
      <c r="E485" s="74">
        <v>45827.284722222219</v>
      </c>
      <c r="F485" s="107" t="s">
        <v>243</v>
      </c>
      <c r="G485" s="142">
        <v>51893.791834256968</v>
      </c>
      <c r="H485" s="142">
        <v>159193.24288966309</v>
      </c>
      <c r="I485" s="142">
        <v>18.860908805651452</v>
      </c>
      <c r="J485" s="142">
        <v>51893.426692718742</v>
      </c>
      <c r="K485" s="142">
        <v>159191.97323227779</v>
      </c>
      <c r="L485" s="142">
        <v>18.856702718339658</v>
      </c>
      <c r="M485" s="145">
        <v>4.2060873117932829E-3</v>
      </c>
      <c r="N485" s="145">
        <v>1.3211267577952399</v>
      </c>
      <c r="O485" s="145">
        <v>-7.7597519985772578E-4</v>
      </c>
      <c r="P485" s="145">
        <v>5.0247099744638035E-4</v>
      </c>
      <c r="Q4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-2.8281981201416784E-6</v>
      </c>
      <c r="R4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-0.27185190252265734</v>
      </c>
      <c r="S4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1.4702559358426015E-2</v>
      </c>
      <c r="T4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0.97385863685772733</v>
      </c>
      <c r="U4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9.8238959346375054E-4</v>
      </c>
      <c r="V4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2.2603851135283293E-6</v>
      </c>
      <c r="W4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9.8287776604166766E-4</v>
      </c>
      <c r="X4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9.8226530666423173E-4</v>
      </c>
      <c r="Y485" s="162" t="str">
        <f>ReportSummary___Track[[#This Row],[Track ID]]&amp;"-"&amp;ReportSummary___Track[[#This Row],[Epoch]]</f>
        <v>250-RL-OP-0029-45827.2847222222</v>
      </c>
      <c r="Z485" s="126">
        <f>SUBTOTAL(103,ReportSummary___Track[[#This Row],[Track ID]])</f>
        <v>1</v>
      </c>
      <c r="AA485" s="114">
        <f>_xlfn.NUMBERVALUE(RIGHT(ReportSummary___Track[[#This Row],[Track ID]],4))</f>
        <v>29</v>
      </c>
      <c r="AB485" s="78"/>
    </row>
    <row r="486" spans="5:39" ht="14.25" customHeight="1" x14ac:dyDescent="0.2">
      <c r="E486" s="74">
        <v>45827.284722222219</v>
      </c>
      <c r="F486" s="107" t="s">
        <v>269</v>
      </c>
      <c r="G486" s="142">
        <v>51894.752636096942</v>
      </c>
      <c r="H486" s="142">
        <v>159192.96565366906</v>
      </c>
      <c r="I486" s="142">
        <v>18.861075895811787</v>
      </c>
      <c r="J486" s="142">
        <v>51894.387583047202</v>
      </c>
      <c r="K486" s="142">
        <v>159191.69630356206</v>
      </c>
      <c r="L486" s="142">
        <v>18.857215612615047</v>
      </c>
      <c r="M486" s="145">
        <v>3.8602831967402551E-3</v>
      </c>
      <c r="N486" s="145">
        <v>1.3208059376979049</v>
      </c>
      <c r="O486" s="145">
        <v>-8.4196743897635429E-4</v>
      </c>
      <c r="P486" s="145">
        <v>-2.13632125166896E-4</v>
      </c>
      <c r="Q4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-5.6494201317036641E-5</v>
      </c>
      <c r="R4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-0.17917611508644349</v>
      </c>
      <c r="S4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6.3919161519265799E-4</v>
      </c>
      <c r="T4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0.68844974297022077</v>
      </c>
      <c r="U4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6.483778967307785E-4</v>
      </c>
      <c r="V4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-9.3487237744938056E-5</v>
      </c>
      <c r="W4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3.2444207118231816E-4</v>
      </c>
      <c r="X4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6.3597090456468663E-4</v>
      </c>
      <c r="Y486" s="162" t="str">
        <f>ReportSummary___Track[[#This Row],[Track ID]]&amp;"-"&amp;ReportSummary___Track[[#This Row],[Epoch]]</f>
        <v>250-RL-OP-0030-45827.2847222222</v>
      </c>
      <c r="Z486" s="126">
        <f>SUBTOTAL(103,ReportSummary___Track[[#This Row],[Track ID]])</f>
        <v>1</v>
      </c>
      <c r="AA486" s="114">
        <f>_xlfn.NUMBERVALUE(RIGHT(ReportSummary___Track[[#This Row],[Track ID]],4))</f>
        <v>30</v>
      </c>
      <c r="AB486" s="78"/>
    </row>
    <row r="487" spans="5:39" ht="14.25" customHeight="1" x14ac:dyDescent="0.2">
      <c r="E487" s="74">
        <v>45827.284722222219</v>
      </c>
      <c r="F487" s="107" t="s">
        <v>270</v>
      </c>
      <c r="G487" s="142">
        <v>51895.713437936924</v>
      </c>
      <c r="H487" s="142">
        <v>159192.68841767506</v>
      </c>
      <c r="I487" s="142">
        <v>18.861242985972126</v>
      </c>
      <c r="J487" s="142">
        <v>51895.348473375663</v>
      </c>
      <c r="K487" s="142">
        <v>159191.4193748463</v>
      </c>
      <c r="L487" s="142">
        <v>18.857728506890432</v>
      </c>
      <c r="M487" s="145">
        <v>3.5144790816943328E-3</v>
      </c>
      <c r="N487" s="145">
        <v>1.3204852077050584</v>
      </c>
      <c r="O487" s="145">
        <v>-8.7682989111570464E-4</v>
      </c>
      <c r="P487" s="145">
        <v>-1.0135098350829708E-3</v>
      </c>
      <c r="Q4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-1.1016019740850425E-4</v>
      </c>
      <c r="R4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-8.650008819421906E-2</v>
      </c>
      <c r="S4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1.3131817446776495E-3</v>
      </c>
      <c r="T4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0.35149565216840983</v>
      </c>
      <c r="U4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3.1436620000491189E-4</v>
      </c>
      <c r="V4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-1.8914482591059212E-4</v>
      </c>
      <c r="W4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-3.4841463133972184E-4</v>
      </c>
      <c r="X4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3.0840679021082451E-4</v>
      </c>
      <c r="Y487" s="162" t="str">
        <f>ReportSummary___Track[[#This Row],[Track ID]]&amp;"-"&amp;ReportSummary___Track[[#This Row],[Epoch]]</f>
        <v>250-RL-OP-0031-45827.2847222222</v>
      </c>
      <c r="Z487" s="126">
        <f>SUBTOTAL(103,ReportSummary___Track[[#This Row],[Track ID]])</f>
        <v>1</v>
      </c>
      <c r="AA487" s="114">
        <f>_xlfn.NUMBERVALUE(RIGHT(ReportSummary___Track[[#This Row],[Track ID]],4))</f>
        <v>31</v>
      </c>
      <c r="AB487" s="78"/>
    </row>
    <row r="488" spans="5:39" ht="14.25" customHeight="1" x14ac:dyDescent="0.2">
      <c r="E488" s="74">
        <v>45827.284722222219</v>
      </c>
      <c r="F488" s="107" t="s">
        <v>271</v>
      </c>
      <c r="G488" s="142">
        <v>51896.675405999806</v>
      </c>
      <c r="H488" s="142">
        <v>159192.41090809429</v>
      </c>
      <c r="I488" s="142">
        <v>18.861476983212484</v>
      </c>
      <c r="J488" s="142">
        <v>51896.309521418087</v>
      </c>
      <c r="K488" s="142">
        <v>159191.14270884954</v>
      </c>
      <c r="L488" s="142">
        <v>18.858247340168667</v>
      </c>
      <c r="M488" s="145">
        <v>3.2296430438165658E-3</v>
      </c>
      <c r="N488" s="145">
        <v>1.3199285140152794</v>
      </c>
      <c r="O488" s="145">
        <v>-9.7644426797671713E-4</v>
      </c>
      <c r="P488" s="145">
        <v>-1.7524194678344429E-3</v>
      </c>
      <c r="Q4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-2.1374722251721323E-2</v>
      </c>
      <c r="R4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2.0497354482396091E-2</v>
      </c>
      <c r="S4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-2.1371894053601181E-2</v>
      </c>
      <c r="T4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-6.6693346951751664E-3</v>
      </c>
      <c r="U4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-2.1432748251726252E-5</v>
      </c>
      <c r="V4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-2.640813478547166E-4</v>
      </c>
      <c r="W4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-1.0038223417154768E-3</v>
      </c>
      <c r="X4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-2.094457567380914E-5</v>
      </c>
      <c r="Y488" s="162" t="str">
        <f>ReportSummary___Track[[#This Row],[Track ID]]&amp;"-"&amp;ReportSummary___Track[[#This Row],[Epoch]]</f>
        <v>250-RL-OP-0032-45827.2847222222</v>
      </c>
      <c r="Z488" s="126">
        <f>SUBTOTAL(103,ReportSummary___Track[[#This Row],[Track ID]])</f>
        <v>1</v>
      </c>
      <c r="AA488" s="114">
        <f>_xlfn.NUMBERVALUE(RIGHT(ReportSummary___Track[[#This Row],[Track ID]],4))</f>
        <v>32</v>
      </c>
      <c r="AB488" s="78"/>
    </row>
    <row r="489" spans="5:39" ht="14.25" customHeight="1" x14ac:dyDescent="0.2">
      <c r="E489" s="74">
        <v>45827.284722222219</v>
      </c>
      <c r="F489" s="107" t="s">
        <v>272</v>
      </c>
      <c r="G489" s="142">
        <v>51897.636479167399</v>
      </c>
      <c r="H489" s="142">
        <v>159192.13461694415</v>
      </c>
      <c r="I489" s="142">
        <v>18.862728742765061</v>
      </c>
      <c r="J489" s="142">
        <v>51897.271420156809</v>
      </c>
      <c r="K489" s="142">
        <v>159190.8693035219</v>
      </c>
      <c r="L489" s="142">
        <v>18.858833233345244</v>
      </c>
      <c r="M489" s="145">
        <v>3.8955094198165341E-3</v>
      </c>
      <c r="N489" s="145">
        <v>1.3169287424649867</v>
      </c>
      <c r="O489" s="145">
        <v>3.5226223076278984E-5</v>
      </c>
      <c r="P489" s="145">
        <v>-8.067412159000753E-4</v>
      </c>
      <c r="Q4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-0.36893118163661143</v>
      </c>
      <c r="R4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0.35354909535678658</v>
      </c>
      <c r="S4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-0.36887468743529439</v>
      </c>
      <c r="T4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-0.36823549582010173</v>
      </c>
      <c r="U4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-3.6987178557268408E-4</v>
      </c>
      <c r="V4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-7.4883558339955414E-5</v>
      </c>
      <c r="W4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-1.0182496823034626E-3</v>
      </c>
      <c r="X4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-6.9380761112114442E-4</v>
      </c>
      <c r="Y489" s="162" t="str">
        <f>ReportSummary___Track[[#This Row],[Track ID]]&amp;"-"&amp;ReportSummary___Track[[#This Row],[Epoch]]</f>
        <v>250-RL-OP-0033-45827.2847222222</v>
      </c>
      <c r="Z489" s="126">
        <f>SUBTOTAL(103,ReportSummary___Track[[#This Row],[Track ID]])</f>
        <v>1</v>
      </c>
      <c r="AA489" s="114">
        <f>_xlfn.NUMBERVALUE(RIGHT(ReportSummary___Track[[#This Row],[Track ID]],4))</f>
        <v>33</v>
      </c>
      <c r="AB489" s="78"/>
    </row>
    <row r="490" spans="5:39" ht="14.25" customHeight="1" x14ac:dyDescent="0.2">
      <c r="E490" s="74">
        <v>45827.284722222219</v>
      </c>
      <c r="F490" s="107" t="s">
        <v>273</v>
      </c>
      <c r="G490" s="142">
        <v>51898.597552334984</v>
      </c>
      <c r="H490" s="142">
        <v>159191.85832579402</v>
      </c>
      <c r="I490" s="142">
        <v>18.863980502317638</v>
      </c>
      <c r="J490" s="142">
        <v>51898.233318895531</v>
      </c>
      <c r="K490" s="142">
        <v>159190.59589819427</v>
      </c>
      <c r="L490" s="142">
        <v>18.859419126521821</v>
      </c>
      <c r="M490" s="145">
        <v>4.5613757958165024E-3</v>
      </c>
      <c r="N490" s="145">
        <v>1.3139293166602817</v>
      </c>
      <c r="O490" s="145">
        <v>1.0468967141221697E-3</v>
      </c>
      <c r="P490" s="145">
        <v>1.7006682300646503E-4</v>
      </c>
      <c r="Q4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-0.71648764102150153</v>
      </c>
      <c r="R4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0.6861497569363717</v>
      </c>
      <c r="S4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-0.71637748082409303</v>
      </c>
      <c r="T4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-0.71506429907941538</v>
      </c>
      <c r="U4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-7.1831082289719461E-4</v>
      </c>
      <c r="V4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1.1386270519175845E-4</v>
      </c>
      <c r="W4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-1.0326770229021065E-3</v>
      </c>
      <c r="X4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-1.3810916542418283E-3</v>
      </c>
      <c r="Y490" s="162" t="str">
        <f>ReportSummary___Track[[#This Row],[Track ID]]&amp;"-"&amp;ReportSummary___Track[[#This Row],[Epoch]]</f>
        <v>250-RL-OP-0034-45827.2847222222</v>
      </c>
      <c r="Z490" s="126">
        <f>SUBTOTAL(103,ReportSummary___Track[[#This Row],[Track ID]])</f>
        <v>1</v>
      </c>
      <c r="AA490" s="114">
        <f>_xlfn.NUMBERVALUE(RIGHT(ReportSummary___Track[[#This Row],[Track ID]],4))</f>
        <v>34</v>
      </c>
      <c r="AB490" s="78"/>
    </row>
    <row r="491" spans="5:39" ht="14.25" customHeight="1" x14ac:dyDescent="0.2">
      <c r="E491" s="74">
        <v>45827.284722222219</v>
      </c>
      <c r="F491" s="107" t="s">
        <v>274</v>
      </c>
      <c r="G491" s="142">
        <v>51899.558748431518</v>
      </c>
      <c r="H491" s="142">
        <v>159191.58337758735</v>
      </c>
      <c r="I491" s="142">
        <v>18.865000000000002</v>
      </c>
      <c r="J491" s="142">
        <v>51899.203488296611</v>
      </c>
      <c r="K491" s="142">
        <v>159190.32067681968</v>
      </c>
      <c r="L491" s="142">
        <v>18.85971612452855</v>
      </c>
      <c r="M491" s="145">
        <v>5.2838754714521485E-3</v>
      </c>
      <c r="N491" s="145">
        <v>1.311735839051877</v>
      </c>
      <c r="O491" s="145">
        <v>2.0542324276355828E-3</v>
      </c>
      <c r="P491" s="145">
        <v>1.0777881596588657E-3</v>
      </c>
      <c r="Q4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-0.93868651150330606</v>
      </c>
      <c r="R4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0.89984285399280495</v>
      </c>
      <c r="S4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-0.91731178925158474</v>
      </c>
      <c r="T4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-0.93868368330518592</v>
      </c>
      <c r="U4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-9.3837952568875949E-4</v>
      </c>
      <c r="V4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2.4976115122710141E-4</v>
      </c>
      <c r="W4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-9.1694677743703323E-4</v>
      </c>
      <c r="X4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-1.92076911915251E-3</v>
      </c>
      <c r="Y491" s="162" t="str">
        <f>ReportSummary___Track[[#This Row],[Track ID]]&amp;"-"&amp;ReportSummary___Track[[#This Row],[Epoch]]</f>
        <v>250-RL-OP-0035-45827.2847222222</v>
      </c>
      <c r="Z491" s="126">
        <f>SUBTOTAL(103,ReportSummary___Track[[#This Row],[Track ID]])</f>
        <v>1</v>
      </c>
      <c r="AA491" s="114">
        <f>_xlfn.NUMBERVALUE(RIGHT(ReportSummary___Track[[#This Row],[Track ID]],4))</f>
        <v>35</v>
      </c>
      <c r="AB491" s="78"/>
    </row>
    <row r="492" spans="5:39" ht="14.25" customHeight="1" x14ac:dyDescent="0.2">
      <c r="E492" s="74">
        <v>45827.284722222219</v>
      </c>
      <c r="F492" s="107" t="s">
        <v>275</v>
      </c>
      <c r="G492" s="142">
        <v>51900.521772886575</v>
      </c>
      <c r="H492" s="142">
        <v>159191.31396359557</v>
      </c>
      <c r="I492" s="142">
        <v>18.865000000000002</v>
      </c>
      <c r="J492" s="142">
        <v>51900.16613239151</v>
      </c>
      <c r="K492" s="142">
        <v>159190.04990867738</v>
      </c>
      <c r="L492" s="142">
        <v>18.858736500280006</v>
      </c>
      <c r="M492" s="145">
        <v>6.2634997199957354E-3</v>
      </c>
      <c r="N492" s="145">
        <v>1.3131466899682083</v>
      </c>
      <c r="O492" s="145">
        <v>2.3679903001792013E-3</v>
      </c>
      <c r="P492" s="145">
        <v>2.4032165232554803E-3</v>
      </c>
      <c r="Q4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-0.61202967347995241</v>
      </c>
      <c r="R4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0.59264655048352211</v>
      </c>
      <c r="S4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-0.24309849184334098</v>
      </c>
      <c r="T4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-0.61197317927863537</v>
      </c>
      <c r="U4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-6.0583514195045041E-4</v>
      </c>
      <c r="V4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1.6125572448499881E-4</v>
      </c>
      <c r="W4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-2.3596335637776633E-4</v>
      </c>
      <c r="X4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-1.2542130386812289E-3</v>
      </c>
      <c r="Y492" s="162" t="str">
        <f>ReportSummary___Track[[#This Row],[Track ID]]&amp;"-"&amp;ReportSummary___Track[[#This Row],[Epoch]]</f>
        <v>250-RL-OP-0036-45827.2847222222</v>
      </c>
      <c r="Z492" s="126">
        <f>SUBTOTAL(103,ReportSummary___Track[[#This Row],[Track ID]])</f>
        <v>1</v>
      </c>
      <c r="AA492" s="114">
        <f>_xlfn.NUMBERVALUE(RIGHT(ReportSummary___Track[[#This Row],[Track ID]],4))</f>
        <v>36</v>
      </c>
      <c r="AB492" s="78"/>
    </row>
    <row r="493" spans="5:39" ht="14.25" customHeight="1" x14ac:dyDescent="0.2">
      <c r="E493" s="74">
        <v>45827.284722222219</v>
      </c>
      <c r="F493" s="107" t="s">
        <v>276</v>
      </c>
      <c r="G493" s="142">
        <v>51901.484797341633</v>
      </c>
      <c r="H493" s="142">
        <v>159191.0445496038</v>
      </c>
      <c r="I493" s="142">
        <v>18.864999999999998</v>
      </c>
      <c r="J493" s="142">
        <v>51901.12877648641</v>
      </c>
      <c r="K493" s="142">
        <v>159189.77914053507</v>
      </c>
      <c r="L493" s="142">
        <v>18.857756876031466</v>
      </c>
      <c r="M493" s="145">
        <v>7.2431239685322168E-3</v>
      </c>
      <c r="N493" s="145">
        <v>1.3145582617054885</v>
      </c>
      <c r="O493" s="145">
        <v>2.6817481727157144E-3</v>
      </c>
      <c r="P493" s="145">
        <v>3.7286448868378841E-3</v>
      </c>
      <c r="Q4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-0.28537283546015146</v>
      </c>
      <c r="R4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0.28585511253109708</v>
      </c>
      <c r="S4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0.43111480556135007</v>
      </c>
      <c r="T4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-0.28526267526274296</v>
      </c>
      <c r="U4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-2.7329075821214133E-4</v>
      </c>
      <c r="V4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7.3159922602927807E-5</v>
      </c>
      <c r="W4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4.4502006468505328E-4</v>
      </c>
      <c r="X4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-5.8765695821705322E-4</v>
      </c>
      <c r="Y493" s="162" t="str">
        <f>ReportSummary___Track[[#This Row],[Track ID]]&amp;"-"&amp;ReportSummary___Track[[#This Row],[Epoch]]</f>
        <v>250-RL-OP-0037-45827.2847222222</v>
      </c>
      <c r="Z493" s="126">
        <f>SUBTOTAL(103,ReportSummary___Track[[#This Row],[Track ID]])</f>
        <v>1</v>
      </c>
      <c r="AA493" s="114">
        <f>_xlfn.NUMBERVALUE(RIGHT(ReportSummary___Track[[#This Row],[Track ID]],4))</f>
        <v>37</v>
      </c>
      <c r="AB493" s="78"/>
    </row>
    <row r="494" spans="5:39" ht="14.25" customHeight="1" x14ac:dyDescent="0.2">
      <c r="E494" s="74">
        <v>45827.284722222219</v>
      </c>
      <c r="F494" s="107" t="s">
        <v>277</v>
      </c>
      <c r="G494" s="142">
        <v>51902.447765809411</v>
      </c>
      <c r="H494" s="142">
        <v>159190.77623042284</v>
      </c>
      <c r="I494" s="142">
        <v>18.865124802963386</v>
      </c>
      <c r="J494" s="142">
        <v>51902.099872443272</v>
      </c>
      <c r="K494" s="142">
        <v>159189.50704742008</v>
      </c>
      <c r="L494" s="142">
        <v>18.8569</v>
      </c>
      <c r="M494" s="145">
        <v>8.2248029633866793E-3</v>
      </c>
      <c r="N494" s="145">
        <v>1.3160254313979638</v>
      </c>
      <c r="O494" s="145">
        <v>2.9409274919345307E-3</v>
      </c>
      <c r="P494" s="145">
        <v>4.9951599195701135E-3</v>
      </c>
      <c r="Q4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-1.9235724124655462E-9</v>
      </c>
      <c r="S4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0.93868651150330606</v>
      </c>
      <c r="T4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2.1374722251721323E-2</v>
      </c>
      <c r="U4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4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-5.7328579750048902E-5</v>
      </c>
      <c r="W4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9.3836858761164876E-4</v>
      </c>
      <c r="X4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2.142181017461553E-5</v>
      </c>
      <c r="Y494" s="162" t="str">
        <f>ReportSummary___Track[[#This Row],[Track ID]]&amp;"-"&amp;ReportSummary___Track[[#This Row],[Epoch]]</f>
        <v>250-RL-OP-0038-45827.2847222222</v>
      </c>
      <c r="Z494" s="126">
        <f>SUBTOTAL(103,ReportSummary___Track[[#This Row],[Track ID]])</f>
        <v>1</v>
      </c>
      <c r="AA494" s="114">
        <f>_xlfn.NUMBERVALUE(RIGHT(ReportSummary___Track[[#This Row],[Track ID]],4))</f>
        <v>38</v>
      </c>
      <c r="AB494" s="78"/>
    </row>
    <row r="495" spans="5:39" ht="14.25" customHeight="1" x14ac:dyDescent="0.2">
      <c r="E495" s="74">
        <v>45827.284722222219</v>
      </c>
      <c r="F495" s="107" t="s">
        <v>278</v>
      </c>
      <c r="G495" s="142">
        <v>51903.412339687522</v>
      </c>
      <c r="H495" s="142">
        <v>159190.51241847003</v>
      </c>
      <c r="I495" s="142">
        <v>18.865822806114334</v>
      </c>
      <c r="J495" s="142">
        <v>51903.064539433311</v>
      </c>
      <c r="K495" s="142">
        <v>159189.24357522361</v>
      </c>
      <c r="L495" s="142">
        <v>18.8569</v>
      </c>
      <c r="M495" s="145">
        <v>8.9228061143344917E-3</v>
      </c>
      <c r="N495" s="145">
        <v>1.3156777026627484</v>
      </c>
      <c r="O495" s="145">
        <v>2.6593063943387563E-3</v>
      </c>
      <c r="P495" s="145">
        <v>5.0272966945179576E-3</v>
      </c>
      <c r="Q4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-1.9233503678606212E-9</v>
      </c>
      <c r="S4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0.61202967347995241</v>
      </c>
      <c r="T4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0.36893118163661143</v>
      </c>
      <c r="U4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4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-3.7795694572806404E-4</v>
      </c>
      <c r="W4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6.057630289646454E-4</v>
      </c>
      <c r="X4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3.6979967258687907E-4</v>
      </c>
      <c r="Y495" s="162" t="str">
        <f>ReportSummary___Track[[#This Row],[Track ID]]&amp;"-"&amp;ReportSummary___Track[[#This Row],[Epoch]]</f>
        <v>250-RL-OP-0039-45827.2847222222</v>
      </c>
      <c r="Z495" s="126">
        <f>SUBTOTAL(103,ReportSummary___Track[[#This Row],[Track ID]])</f>
        <v>1</v>
      </c>
      <c r="AA495" s="114">
        <f>_xlfn.NUMBERVALUE(RIGHT(ReportSummary___Track[[#This Row],[Track ID]],4))</f>
        <v>39</v>
      </c>
      <c r="AB495" s="78"/>
    </row>
    <row r="496" spans="5:39" ht="14.25" customHeight="1" x14ac:dyDescent="0.2">
      <c r="E496" s="74">
        <v>45827.284722222219</v>
      </c>
      <c r="F496" s="107" t="s">
        <v>279</v>
      </c>
      <c r="G496" s="142">
        <v>51904.37691356564</v>
      </c>
      <c r="H496" s="142">
        <v>159190.24860651721</v>
      </c>
      <c r="I496" s="142">
        <v>18.866520809265278</v>
      </c>
      <c r="J496" s="142">
        <v>51904.029206423358</v>
      </c>
      <c r="K496" s="142">
        <v>159188.9801030271</v>
      </c>
      <c r="L496" s="142">
        <v>18.8569</v>
      </c>
      <c r="M496" s="145">
        <v>9.6208092652787514E-3</v>
      </c>
      <c r="N496" s="145">
        <v>1.3153303467877178</v>
      </c>
      <c r="O496" s="145">
        <v>2.3776852967465345E-3</v>
      </c>
      <c r="P496" s="145">
        <v>5.0594334694622489E-3</v>
      </c>
      <c r="Q4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4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-1.9233503678606212E-9</v>
      </c>
      <c r="S4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0.28537283546015146</v>
      </c>
      <c r="T4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0.71648764102150153</v>
      </c>
      <c r="U4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-1.3328789805200358E-7</v>
      </c>
      <c r="V4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-6.9858295478009147E-4</v>
      </c>
      <c r="W4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2.7315747031408932E-4</v>
      </c>
      <c r="X4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7.1817753499914261E-4</v>
      </c>
      <c r="Y496" s="162" t="str">
        <f>ReportSummary___Track[[#This Row],[Track ID]]&amp;"-"&amp;ReportSummary___Track[[#This Row],[Epoch]]</f>
        <v>250-RL-OP-0040-45827.2847222222</v>
      </c>
      <c r="Z496" s="126">
        <f>SUBTOTAL(103,ReportSummary___Track[[#This Row],[Track ID]])</f>
        <v>1</v>
      </c>
      <c r="AA496" s="114">
        <f>_xlfn.NUMBERVALUE(RIGHT(ReportSummary___Track[[#This Row],[Track ID]],4))</f>
        <v>40</v>
      </c>
      <c r="AB496" s="78"/>
    </row>
    <row r="497" spans="5:28" ht="14.25" customHeight="1" x14ac:dyDescent="0.2">
      <c r="E497" s="74">
        <v>45827.284722222219</v>
      </c>
      <c r="F497" s="107" t="s">
        <v>280</v>
      </c>
      <c r="G497" s="142">
        <v>51905.341856193925</v>
      </c>
      <c r="H497" s="142">
        <v>159189.98623491602</v>
      </c>
      <c r="I497" s="142">
        <v>18.867392432941728</v>
      </c>
      <c r="J497" s="142">
        <v>51905.003864651924</v>
      </c>
      <c r="K497" s="142">
        <v>159188.71500367383</v>
      </c>
      <c r="L497" s="142">
        <v>18.857104633955974</v>
      </c>
      <c r="M497" s="145">
        <v>1.0287798985753938E-2</v>
      </c>
      <c r="N497" s="145">
        <v>1.3154364265905301</v>
      </c>
      <c r="O497" s="145">
        <v>2.0629960223672583E-3</v>
      </c>
      <c r="P497" s="145">
        <v>5.0039235143017891E-3</v>
      </c>
      <c r="Q4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7.8405289372085463E-5</v>
      </c>
      <c r="R4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-3.3467112174889735E-3</v>
      </c>
      <c r="S4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7.8405289372085463E-5</v>
      </c>
      <c r="T4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0.93876491679267815</v>
      </c>
      <c r="U4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2.6200982716773069E-8</v>
      </c>
      <c r="V4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-9.0872559043475576E-4</v>
      </c>
      <c r="W4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3.7139059827495657E-8</v>
      </c>
      <c r="X4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9.3840572667147626E-4</v>
      </c>
      <c r="Y497" s="162" t="str">
        <f>ReportSummary___Track[[#This Row],[Track ID]]&amp;"-"&amp;ReportSummary___Track[[#This Row],[Epoch]]</f>
        <v>250-RL-OP-0041-45827.2847222222</v>
      </c>
      <c r="Z497" s="126">
        <f>SUBTOTAL(103,ReportSummary___Track[[#This Row],[Track ID]])</f>
        <v>1</v>
      </c>
      <c r="AA497" s="114">
        <f>_xlfn.NUMBERVALUE(RIGHT(ReportSummary___Track[[#This Row],[Track ID]],4))</f>
        <v>41</v>
      </c>
      <c r="AB497" s="78"/>
    </row>
    <row r="498" spans="5:28" ht="14.25" customHeight="1" x14ac:dyDescent="0.2">
      <c r="E498" s="74">
        <v>45827.284722222219</v>
      </c>
      <c r="F498" s="107" t="s">
        <v>281</v>
      </c>
      <c r="G498" s="142">
        <v>51906.308696346234</v>
      </c>
      <c r="H498" s="142">
        <v>159189.73085839444</v>
      </c>
      <c r="I498" s="142">
        <v>18.869110605337301</v>
      </c>
      <c r="J498" s="142">
        <v>51905.970516824025</v>
      </c>
      <c r="K498" s="142">
        <v>159188.45891499615</v>
      </c>
      <c r="L498" s="142">
        <v>18.85857682068961</v>
      </c>
      <c r="M498" s="145">
        <v>1.0533784647691391E-2</v>
      </c>
      <c r="N498" s="145">
        <v>1.3161748965478155</v>
      </c>
      <c r="O498" s="145">
        <v>1.6109785333568993E-3</v>
      </c>
      <c r="P498" s="145">
        <v>4.2702849276956556E-3</v>
      </c>
      <c r="Q4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6.0791812117599875E-4</v>
      </c>
      <c r="R4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-0.10351137735287175</v>
      </c>
      <c r="S4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6.0791812117599875E-4</v>
      </c>
      <c r="T4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0.61263759160112841</v>
      </c>
      <c r="U4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1.8014331004678752E-7</v>
      </c>
      <c r="V4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-5.6974429221878786E-4</v>
      </c>
      <c r="W4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2.5225629585179377E-7</v>
      </c>
      <c r="X4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6.0601528526049719E-4</v>
      </c>
      <c r="Y498" s="162" t="str">
        <f>ReportSummary___Track[[#This Row],[Track ID]]&amp;"-"&amp;ReportSummary___Track[[#This Row],[Epoch]]</f>
        <v>250-RL-OP-0042-45827.2847222222</v>
      </c>
      <c r="Z498" s="126">
        <f>SUBTOTAL(103,ReportSummary___Track[[#This Row],[Track ID]])</f>
        <v>1</v>
      </c>
      <c r="AA498" s="114">
        <f>_xlfn.NUMBERVALUE(RIGHT(ReportSummary___Track[[#This Row],[Track ID]],4))</f>
        <v>42</v>
      </c>
      <c r="AB498" s="78"/>
    </row>
    <row r="499" spans="5:28" ht="14.25" customHeight="1" x14ac:dyDescent="0.2">
      <c r="E499" s="74">
        <v>45827.284722222219</v>
      </c>
      <c r="F499" s="107" t="s">
        <v>282</v>
      </c>
      <c r="G499" s="142">
        <v>51907.275536498542</v>
      </c>
      <c r="H499" s="142">
        <v>159189.47548187288</v>
      </c>
      <c r="I499" s="142">
        <v>18.870828777732875</v>
      </c>
      <c r="J499" s="142">
        <v>51906.937168996134</v>
      </c>
      <c r="K499" s="142">
        <v>159188.20282631848</v>
      </c>
      <c r="L499" s="142">
        <v>18.860049007423246</v>
      </c>
      <c r="M499" s="145">
        <v>1.0779770309628844E-2</v>
      </c>
      <c r="N499" s="145">
        <v>1.3169134103261324</v>
      </c>
      <c r="O499" s="145">
        <v>1.1589610443500931E-3</v>
      </c>
      <c r="P499" s="145">
        <v>3.5366463410966276E-3</v>
      </c>
      <c r="Q4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1.137430952979912E-3</v>
      </c>
      <c r="R4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-0.20367549949296126</v>
      </c>
      <c r="S4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1.137430952979912E-3</v>
      </c>
      <c r="T4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0.28651026641313138</v>
      </c>
      <c r="U4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3.3408563382408829E-7</v>
      </c>
      <c r="V4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-2.3076388286580318E-4</v>
      </c>
      <c r="W4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4.6737353187609187E-7</v>
      </c>
      <c r="X4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2.7362484384596542E-4</v>
      </c>
      <c r="Y499" s="162" t="str">
        <f>ReportSummary___Track[[#This Row],[Track ID]]&amp;"-"&amp;ReportSummary___Track[[#This Row],[Epoch]]</f>
        <v>250-RL-OP-0043-45827.2847222222</v>
      </c>
      <c r="Z499" s="126">
        <f>SUBTOTAL(103,ReportSummary___Track[[#This Row],[Track ID]])</f>
        <v>1</v>
      </c>
      <c r="AA499" s="114">
        <f>_xlfn.NUMBERVALUE(RIGHT(ReportSummary___Track[[#This Row],[Track ID]],4))</f>
        <v>43</v>
      </c>
      <c r="AB499" s="78"/>
    </row>
    <row r="500" spans="5:28" ht="14.25" customHeight="1" x14ac:dyDescent="0.2">
      <c r="E500" s="74">
        <v>45827.284722222219</v>
      </c>
      <c r="F500" s="107" t="s">
        <v>283</v>
      </c>
      <c r="G500" s="142">
        <v>51908.242813030833</v>
      </c>
      <c r="H500" s="142">
        <v>159189.22352574798</v>
      </c>
      <c r="I500" s="142">
        <v>18.872859358535198</v>
      </c>
      <c r="J500" s="142">
        <v>51907.905490809295</v>
      </c>
      <c r="K500" s="142">
        <v>159187.95009902434</v>
      </c>
      <c r="L500" s="142">
        <v>18.861831223906176</v>
      </c>
      <c r="M500" s="145">
        <v>1.102813462902219E-2</v>
      </c>
      <c r="N500" s="145">
        <v>1.3173926982378532</v>
      </c>
      <c r="O500" s="145">
        <v>7.4033564326825285E-4</v>
      </c>
      <c r="P500" s="145">
        <v>2.8033316656355112E-3</v>
      </c>
      <c r="Q5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-2.6820732657029112E-4</v>
      </c>
      <c r="R5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-0.23134355956888619</v>
      </c>
      <c r="S5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-3.4661261594237658E-4</v>
      </c>
      <c r="T5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-2.6820732657029112E-4</v>
      </c>
      <c r="U5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-6.7709297724150019E-8</v>
      </c>
      <c r="V5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-9.9185763140940963E-5</v>
      </c>
      <c r="W5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-9.3910280440923088E-8</v>
      </c>
      <c r="X5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-5.6771220613427431E-8</v>
      </c>
      <c r="Y500" s="162" t="str">
        <f>ReportSummary___Track[[#This Row],[Track ID]]&amp;"-"&amp;ReportSummary___Track[[#This Row],[Epoch]]</f>
        <v>250-RL-OP-0044-45827.2847222222</v>
      </c>
      <c r="Z500" s="126">
        <f>SUBTOTAL(103,ReportSummary___Track[[#This Row],[Track ID]])</f>
        <v>1</v>
      </c>
      <c r="AA500" s="114">
        <f>_xlfn.NUMBERVALUE(RIGHT(ReportSummary___Track[[#This Row],[Track ID]],4))</f>
        <v>44</v>
      </c>
      <c r="AB500" s="78"/>
    </row>
    <row r="501" spans="5:28" ht="14.25" customHeight="1" x14ac:dyDescent="0.2">
      <c r="E501" s="74">
        <v>45827.284722222219</v>
      </c>
      <c r="F501" s="107" t="s">
        <v>284</v>
      </c>
      <c r="G501" s="142">
        <v>51909.212341281331</v>
      </c>
      <c r="H501" s="142">
        <v>159188.97856113012</v>
      </c>
      <c r="I501" s="142">
        <v>18.875562593940042</v>
      </c>
      <c r="J501" s="142">
        <v>51908.874743372122</v>
      </c>
      <c r="K501" s="142">
        <v>159187.70404215946</v>
      </c>
      <c r="L501" s="142">
        <v>18.864174019583121</v>
      </c>
      <c r="M501" s="145">
        <v>1.138857435692131E-2</v>
      </c>
      <c r="N501" s="145">
        <v>1.3185221479010016</v>
      </c>
      <c r="O501" s="145">
        <v>8.5478970922991948E-4</v>
      </c>
      <c r="P501" s="145">
        <v>2.4657682425868188E-3</v>
      </c>
      <c r="Q5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-1.1118918976649184E-3</v>
      </c>
      <c r="R5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-0.1524912150028257</v>
      </c>
      <c r="S5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-1.7198100188409171E-3</v>
      </c>
      <c r="T5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-1.1118918976649184E-3</v>
      </c>
      <c r="U5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-2.8069858615253906E-7</v>
      </c>
      <c r="V5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-4.1118796984118688E-4</v>
      </c>
      <c r="W5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-4.6084189619932658E-7</v>
      </c>
      <c r="X5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-2.0858560034753282E-7</v>
      </c>
      <c r="Y501" s="162" t="str">
        <f>ReportSummary___Track[[#This Row],[Track ID]]&amp;"-"&amp;ReportSummary___Track[[#This Row],[Epoch]]</f>
        <v>250-RL-OP-0045-45827.2847222222</v>
      </c>
      <c r="Z501" s="126">
        <f>SUBTOTAL(103,ReportSummary___Track[[#This Row],[Track ID]])</f>
        <v>1</v>
      </c>
      <c r="AA501" s="114">
        <f>_xlfn.NUMBERVALUE(RIGHT(ReportSummary___Track[[#This Row],[Track ID]],4))</f>
        <v>45</v>
      </c>
      <c r="AB501" s="78"/>
    </row>
    <row r="502" spans="5:28" ht="14.25" customHeight="1" x14ac:dyDescent="0.2">
      <c r="E502" s="74">
        <v>45827.284722222219</v>
      </c>
      <c r="F502" s="107" t="s">
        <v>285</v>
      </c>
      <c r="G502" s="142">
        <v>51910.181869531829</v>
      </c>
      <c r="H502" s="142">
        <v>159188.73359651223</v>
      </c>
      <c r="I502" s="142">
        <v>18.878265829344887</v>
      </c>
      <c r="J502" s="142">
        <v>51909.843995934956</v>
      </c>
      <c r="K502" s="142">
        <v>159187.4579852946</v>
      </c>
      <c r="L502" s="142">
        <v>18.866516815260066</v>
      </c>
      <c r="M502" s="145">
        <v>1.1749014084820431E-2</v>
      </c>
      <c r="N502" s="145">
        <v>1.3196516909151512</v>
      </c>
      <c r="O502" s="145">
        <v>9.6924377519158611E-4</v>
      </c>
      <c r="P502" s="145">
        <v>2.1282048195416792E-3</v>
      </c>
      <c r="Q5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-1.9555764652068319E-3</v>
      </c>
      <c r="R5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-7.3639784336831937E-2</v>
      </c>
      <c r="S5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-3.093007418186744E-3</v>
      </c>
      <c r="T5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-1.9555764652068319E-3</v>
      </c>
      <c r="U5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-4.9368787458092811E-7</v>
      </c>
      <c r="V5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-7.2318894631395736E-4</v>
      </c>
      <c r="W5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-8.277735084050164E-7</v>
      </c>
      <c r="X5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-3.6039997652892453E-7</v>
      </c>
      <c r="Y502" s="162" t="str">
        <f>ReportSummary___Track[[#This Row],[Track ID]]&amp;"-"&amp;ReportSummary___Track[[#This Row],[Epoch]]</f>
        <v>250-RL-OP-0046-45827.2847222222</v>
      </c>
      <c r="Z502" s="126">
        <f>SUBTOTAL(103,ReportSummary___Track[[#This Row],[Track ID]])</f>
        <v>1</v>
      </c>
      <c r="AA502" s="114">
        <f>_xlfn.NUMBERVALUE(RIGHT(ReportSummary___Track[[#This Row],[Track ID]],4))</f>
        <v>46</v>
      </c>
      <c r="AB502" s="78"/>
    </row>
    <row r="503" spans="5:28" ht="14.25" customHeight="1" x14ac:dyDescent="0.2">
      <c r="E503" s="74">
        <v>45827.284722222219</v>
      </c>
      <c r="F503" s="107" t="s">
        <v>286</v>
      </c>
      <c r="G503" s="142">
        <v>51911.152137059078</v>
      </c>
      <c r="H503" s="142">
        <v>159188.49042637122</v>
      </c>
      <c r="I503" s="142">
        <v>18.881402549394856</v>
      </c>
      <c r="J503" s="142">
        <v>51910.835188304052</v>
      </c>
      <c r="K503" s="142">
        <v>159187.20849995175</v>
      </c>
      <c r="L503" s="142">
        <v>18.869139116386201</v>
      </c>
      <c r="M503" s="145">
        <v>1.2263433008655511E-2</v>
      </c>
      <c r="N503" s="145">
        <v>1.3205840564066833</v>
      </c>
      <c r="O503" s="145">
        <v>1.2352983796333206E-3</v>
      </c>
      <c r="P503" s="145">
        <v>1.9756340229015734E-3</v>
      </c>
      <c r="Q5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7.6601057472203138E-2</v>
      </c>
      <c r="R5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-1.6039464388883928E-2</v>
      </c>
      <c r="S5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7.6869264798773429E-2</v>
      </c>
      <c r="T5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7.6522652182831052E-2</v>
      </c>
      <c r="U5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-2.505649412398725E-7</v>
      </c>
      <c r="V5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-9.5271197505075733E-4</v>
      </c>
      <c r="W5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-1.8285564351572248E-7</v>
      </c>
      <c r="X5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-2.7676592395664557E-7</v>
      </c>
      <c r="Y503" s="162" t="str">
        <f>ReportSummary___Track[[#This Row],[Track ID]]&amp;"-"&amp;ReportSummary___Track[[#This Row],[Epoch]]</f>
        <v>250-RL-OP-0047-45827.2847222222</v>
      </c>
      <c r="Z503" s="126">
        <f>SUBTOTAL(103,ReportSummary___Track[[#This Row],[Track ID]])</f>
        <v>1</v>
      </c>
      <c r="AA503" s="114">
        <f>_xlfn.NUMBERVALUE(RIGHT(ReportSummary___Track[[#This Row],[Track ID]],4))</f>
        <v>47</v>
      </c>
      <c r="AB503" s="78"/>
    </row>
    <row r="504" spans="5:28" ht="14.25" customHeight="1" x14ac:dyDescent="0.2">
      <c r="E504" s="74">
        <v>45827.284722222219</v>
      </c>
      <c r="F504" s="107" t="s">
        <v>287</v>
      </c>
      <c r="G504" s="142">
        <v>51912.123849863063</v>
      </c>
      <c r="H504" s="142">
        <v>159188.25430858764</v>
      </c>
      <c r="I504" s="142">
        <v>18.886158476315426</v>
      </c>
      <c r="J504" s="142">
        <v>51911.806733444027</v>
      </c>
      <c r="K504" s="142">
        <v>159186.97166968035</v>
      </c>
      <c r="L504" s="142">
        <v>18.872524899190594</v>
      </c>
      <c r="M504" s="145">
        <v>1.363357712483193E-2</v>
      </c>
      <c r="N504" s="145">
        <v>1.321329354904929</v>
      </c>
      <c r="O504" s="145">
        <v>2.2450027679106199E-3</v>
      </c>
      <c r="P504" s="145">
        <v>3.0997924771405394E-3</v>
      </c>
      <c r="Q5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0.4276101415712219</v>
      </c>
      <c r="R5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-9.4797475218788563E-2</v>
      </c>
      <c r="S5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0.42872203346888682</v>
      </c>
      <c r="T5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0.4270022234500459</v>
      </c>
      <c r="U5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-1.3983658462279891E-6</v>
      </c>
      <c r="V5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-8.7008273404354242E-4</v>
      </c>
      <c r="W5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-1.11766726007545E-6</v>
      </c>
      <c r="X5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-1.5785091562747766E-6</v>
      </c>
      <c r="Y504" s="162" t="str">
        <f>ReportSummary___Track[[#This Row],[Track ID]]&amp;"-"&amp;ReportSummary___Track[[#This Row],[Epoch]]</f>
        <v>250-RL-OP-0048-45827.2847222222</v>
      </c>
      <c r="Z504" s="126">
        <f>SUBTOTAL(103,ReportSummary___Track[[#This Row],[Track ID]])</f>
        <v>1</v>
      </c>
      <c r="AA504" s="114">
        <f>_xlfn.NUMBERVALUE(RIGHT(ReportSummary___Track[[#This Row],[Track ID]],4))</f>
        <v>48</v>
      </c>
      <c r="AB504" s="78"/>
    </row>
    <row r="505" spans="5:28" ht="14.25" customHeight="1" x14ac:dyDescent="0.2">
      <c r="E505" s="74">
        <v>45827.284722222219</v>
      </c>
      <c r="F505" s="107" t="s">
        <v>288</v>
      </c>
      <c r="G505" s="142">
        <v>51913.095562667047</v>
      </c>
      <c r="H505" s="142">
        <v>159188.01819080405</v>
      </c>
      <c r="I505" s="142">
        <v>18.890914403235996</v>
      </c>
      <c r="J505" s="142">
        <v>51912.77827858401</v>
      </c>
      <c r="K505" s="142">
        <v>159186.73483940892</v>
      </c>
      <c r="L505" s="142">
        <v>18.875910681994984</v>
      </c>
      <c r="M505" s="145">
        <v>1.5003721241011903E-2</v>
      </c>
      <c r="N505" s="145">
        <v>1.3220760584745206</v>
      </c>
      <c r="O505" s="145">
        <v>3.254707156191472E-3</v>
      </c>
      <c r="P505" s="145">
        <v>4.2239509313830581E-3</v>
      </c>
      <c r="Q5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0.77861922567734609</v>
      </c>
      <c r="R5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-0.17292387701428602</v>
      </c>
      <c r="S5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0.78057480214255293</v>
      </c>
      <c r="T5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0.77748179472436618</v>
      </c>
      <c r="U5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-2.5461667512161057E-6</v>
      </c>
      <c r="V5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-7.8745666901958167E-4</v>
      </c>
      <c r="W5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-2.0524788766351776E-6</v>
      </c>
      <c r="X5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-2.880252385040194E-6</v>
      </c>
      <c r="Y505" s="162" t="str">
        <f>ReportSummary___Track[[#This Row],[Track ID]]&amp;"-"&amp;ReportSummary___Track[[#This Row],[Epoch]]</f>
        <v>250-RL-OP-0049-45827.2847222222</v>
      </c>
      <c r="Z505" s="126">
        <f>SUBTOTAL(103,ReportSummary___Track[[#This Row],[Track ID]])</f>
        <v>1</v>
      </c>
      <c r="AA505" s="114">
        <f>_xlfn.NUMBERVALUE(RIGHT(ReportSummary___Track[[#This Row],[Track ID]],4))</f>
        <v>49</v>
      </c>
      <c r="AB505" s="78"/>
    </row>
    <row r="506" spans="5:28" ht="14.25" customHeight="1" x14ac:dyDescent="0.2">
      <c r="E506" s="74">
        <v>45825.229166666664</v>
      </c>
      <c r="F506" s="107" t="s">
        <v>235</v>
      </c>
      <c r="G506" s="142">
        <v>51886.101888003854</v>
      </c>
      <c r="H506" s="142">
        <v>159195.44568170901</v>
      </c>
      <c r="I506" s="142">
        <v>18.86977464079656</v>
      </c>
      <c r="J506" s="142">
        <v>51885.742050789791</v>
      </c>
      <c r="K506" s="142">
        <v>159194.18595535541</v>
      </c>
      <c r="L506" s="142">
        <v>18.865787559209785</v>
      </c>
      <c r="M506" s="145">
        <v>3.9870815867750764E-3</v>
      </c>
      <c r="N506" s="145">
        <v>1.3101180112494399</v>
      </c>
      <c r="O506" s="145"/>
      <c r="P506" s="145"/>
      <c r="Q5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-0.28168315921917042</v>
      </c>
      <c r="R5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-1.6513796974315653E-4</v>
      </c>
      <c r="S50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0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1.0495213587091712E-8</v>
      </c>
      <c r="V5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6.9136213395437629E-4</v>
      </c>
      <c r="W50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0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06" s="162" t="str">
        <f>ReportSummary___Track[[#This Row],[Track ID]]&amp;"-"&amp;ReportSummary___Track[[#This Row],[Epoch]]</f>
        <v>250-RL-OP-0021-45825.2291666667</v>
      </c>
      <c r="Z506" s="126">
        <f>SUBTOTAL(103,ReportSummary___Track[[#This Row],[Track ID]])</f>
        <v>1</v>
      </c>
      <c r="AA506" s="114">
        <f>_xlfn.NUMBERVALUE(RIGHT(ReportSummary___Track[[#This Row],[Track ID]],4))</f>
        <v>21</v>
      </c>
      <c r="AB506" s="78"/>
    </row>
    <row r="507" spans="5:28" ht="14.25" customHeight="1" x14ac:dyDescent="0.2">
      <c r="E507" s="74">
        <v>45825.229166666664</v>
      </c>
      <c r="F507" s="107" t="s">
        <v>236</v>
      </c>
      <c r="G507" s="142">
        <v>51887.0635346048</v>
      </c>
      <c r="H507" s="142">
        <v>159195.17139037082</v>
      </c>
      <c r="I507" s="142">
        <v>18.869497718698447</v>
      </c>
      <c r="J507" s="142">
        <v>51886.703169527536</v>
      </c>
      <c r="K507" s="142">
        <v>159193.90981996525</v>
      </c>
      <c r="L507" s="142">
        <v>18.865652414029238</v>
      </c>
      <c r="M507" s="145">
        <v>3.8453046692090709E-3</v>
      </c>
      <c r="N507" s="145">
        <v>1.3120356944363132</v>
      </c>
      <c r="O507" s="145"/>
      <c r="P507" s="145"/>
      <c r="Q5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-0.62781659348942753</v>
      </c>
      <c r="R5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6.8813412270607444E-3</v>
      </c>
      <c r="S50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0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2.310965641072471E-8</v>
      </c>
      <c r="V5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3.6666787461769879E-4</v>
      </c>
      <c r="W50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0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07" s="162" t="str">
        <f>ReportSummary___Track[[#This Row],[Track ID]]&amp;"-"&amp;ReportSummary___Track[[#This Row],[Epoch]]</f>
        <v>250-RL-OP-0022-45825.2291666667</v>
      </c>
      <c r="Z507" s="126">
        <f>SUBTOTAL(103,ReportSummary___Track[[#This Row],[Track ID]])</f>
        <v>1</v>
      </c>
      <c r="AA507" s="114">
        <f>_xlfn.NUMBERVALUE(RIGHT(ReportSummary___Track[[#This Row],[Track ID]],4))</f>
        <v>22</v>
      </c>
      <c r="AB507" s="78"/>
    </row>
    <row r="508" spans="5:28" ht="14.25" customHeight="1" x14ac:dyDescent="0.2">
      <c r="E508" s="74">
        <v>45825.229166666664</v>
      </c>
      <c r="F508" s="107" t="s">
        <v>237</v>
      </c>
      <c r="G508" s="142">
        <v>51888.025181205747</v>
      </c>
      <c r="H508" s="142">
        <v>159194.89709903265</v>
      </c>
      <c r="I508" s="142">
        <v>18.869220796600338</v>
      </c>
      <c r="J508" s="142">
        <v>51887.664288265281</v>
      </c>
      <c r="K508" s="142">
        <v>159193.63368457509</v>
      </c>
      <c r="L508" s="142">
        <v>18.865517268848695</v>
      </c>
      <c r="M508" s="145">
        <v>3.7035277516430654E-3</v>
      </c>
      <c r="N508" s="145">
        <v>1.3139533942111896</v>
      </c>
      <c r="O508" s="145"/>
      <c r="P508" s="145"/>
      <c r="Q5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-0.97395002775968464</v>
      </c>
      <c r="R5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1.3914600802023003E-2</v>
      </c>
      <c r="S50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0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3.572409568164403E-8</v>
      </c>
      <c r="V5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4.1973394681482645E-5</v>
      </c>
      <c r="W50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0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08" s="162" t="str">
        <f>ReportSummary___Track[[#This Row],[Track ID]]&amp;"-"&amp;ReportSummary___Track[[#This Row],[Epoch]]</f>
        <v>250-RL-OP-0023-45825.2291666667</v>
      </c>
      <c r="Z508" s="126">
        <f>SUBTOTAL(103,ReportSummary___Track[[#This Row],[Track ID]])</f>
        <v>1</v>
      </c>
      <c r="AA508" s="114">
        <f>_xlfn.NUMBERVALUE(RIGHT(ReportSummary___Track[[#This Row],[Track ID]],4))</f>
        <v>23</v>
      </c>
      <c r="AB508" s="78"/>
    </row>
    <row r="509" spans="5:28" ht="14.25" customHeight="1" x14ac:dyDescent="0.2">
      <c r="E509" s="74">
        <v>45825.229166666664</v>
      </c>
      <c r="F509" s="107" t="s">
        <v>238</v>
      </c>
      <c r="G509" s="142">
        <v>51888.986288492531</v>
      </c>
      <c r="H509" s="142">
        <v>159194.62201568196</v>
      </c>
      <c r="I509" s="142">
        <v>18.868826216423926</v>
      </c>
      <c r="J509" s="142">
        <v>51888.624104054346</v>
      </c>
      <c r="K509" s="142">
        <v>159193.35707270369</v>
      </c>
      <c r="L509" s="142">
        <v>18.864752301102019</v>
      </c>
      <c r="M509" s="145">
        <v>4.0739153219071511E-3</v>
      </c>
      <c r="N509" s="145">
        <v>1.3157791996908479</v>
      </c>
      <c r="O509" s="145">
        <v>8.6833735132074708E-5</v>
      </c>
      <c r="P509" s="145"/>
      <c r="Q5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-0.6885062371715378</v>
      </c>
      <c r="R5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9.7703590320463718E-3</v>
      </c>
      <c r="S5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-0.40682307795236738</v>
      </c>
      <c r="T50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1.2406992166091868E-5</v>
      </c>
      <c r="V5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3.8922497447302362E-8</v>
      </c>
      <c r="W5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1.2396496952504776E-5</v>
      </c>
      <c r="X50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09" s="162" t="str">
        <f>ReportSummary___Track[[#This Row],[Track ID]]&amp;"-"&amp;ReportSummary___Track[[#This Row],[Epoch]]</f>
        <v>250-RL-OP-0024-45825.2291666667</v>
      </c>
      <c r="Z509" s="126">
        <f>SUBTOTAL(103,ReportSummary___Track[[#This Row],[Track ID]])</f>
        <v>1</v>
      </c>
      <c r="AA509" s="114">
        <f>_xlfn.NUMBERVALUE(RIGHT(ReportSummary___Track[[#This Row],[Track ID]],4))</f>
        <v>24</v>
      </c>
      <c r="AB509" s="78"/>
    </row>
    <row r="510" spans="5:28" ht="14.25" customHeight="1" x14ac:dyDescent="0.2">
      <c r="E510" s="74">
        <v>45825.229166666664</v>
      </c>
      <c r="F510" s="107" t="s">
        <v>239</v>
      </c>
      <c r="G510" s="142">
        <v>51889.947664755273</v>
      </c>
      <c r="H510" s="142">
        <v>159194.34677847879</v>
      </c>
      <c r="I510" s="142">
        <v>18.868421951254046</v>
      </c>
      <c r="J510" s="142">
        <v>51889.584962801164</v>
      </c>
      <c r="K510" s="142">
        <v>159193.08003528396</v>
      </c>
      <c r="L510" s="142">
        <v>18.863893962337269</v>
      </c>
      <c r="M510" s="145">
        <v>4.5279889167773035E-3</v>
      </c>
      <c r="N510" s="145">
        <v>1.3176537981809908</v>
      </c>
      <c r="O510" s="145">
        <v>6.8268424756823265E-4</v>
      </c>
      <c r="P510" s="145"/>
      <c r="Q5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-0.35160581236581834</v>
      </c>
      <c r="R5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4.8078640273452322E-3</v>
      </c>
      <c r="S5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0.27621078112360919</v>
      </c>
      <c r="T51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5.959409794087378E-6</v>
      </c>
      <c r="V5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2.1698336905018323E-8</v>
      </c>
      <c r="W5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5.9363001376766533E-6</v>
      </c>
      <c r="X51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10" s="162" t="str">
        <f>ReportSummary___Track[[#This Row],[Track ID]]&amp;"-"&amp;ReportSummary___Track[[#This Row],[Epoch]]</f>
        <v>250-RL-OP-0025-45825.2291666667</v>
      </c>
      <c r="Z510" s="126">
        <f>SUBTOTAL(103,ReportSummary___Track[[#This Row],[Track ID]])</f>
        <v>1</v>
      </c>
      <c r="AA510" s="114">
        <f>_xlfn.NUMBERVALUE(RIGHT(ReportSummary___Track[[#This Row],[Track ID]],4))</f>
        <v>25</v>
      </c>
      <c r="AB510" s="78"/>
    </row>
    <row r="511" spans="5:28" ht="14.25" customHeight="1" x14ac:dyDescent="0.2">
      <c r="E511" s="74">
        <v>45825.229166666664</v>
      </c>
      <c r="F511" s="107" t="s">
        <v>240</v>
      </c>
      <c r="G511" s="142">
        <v>51890.909041018014</v>
      </c>
      <c r="H511" s="142">
        <v>159194.07154127565</v>
      </c>
      <c r="I511" s="142">
        <v>18.868017686084166</v>
      </c>
      <c r="J511" s="142">
        <v>51890.545821547981</v>
      </c>
      <c r="K511" s="142">
        <v>159192.80299786426</v>
      </c>
      <c r="L511" s="142">
        <v>18.863035623572515</v>
      </c>
      <c r="M511" s="145">
        <v>4.9820625116510087E-3</v>
      </c>
      <c r="N511" s="145">
        <v>1.3195285487449451</v>
      </c>
      <c r="O511" s="145">
        <v>1.2785347600079433E-3</v>
      </c>
      <c r="P511" s="145"/>
      <c r="Q5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-1.4705387556546157E-2</v>
      </c>
      <c r="R5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-1.1804263122527914E-5</v>
      </c>
      <c r="S5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0.95924464020313849</v>
      </c>
      <c r="T51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-4.8817257791711199E-7</v>
      </c>
      <c r="V5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5.7543747544741564E-11</v>
      </c>
      <c r="W5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-5.2389667359875602E-7</v>
      </c>
      <c r="X51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11" s="162" t="str">
        <f>ReportSummary___Track[[#This Row],[Track ID]]&amp;"-"&amp;ReportSummary___Track[[#This Row],[Epoch]]</f>
        <v>250-RL-OP-0026-45825.2291666667</v>
      </c>
      <c r="Z511" s="126">
        <f>SUBTOTAL(103,ReportSummary___Track[[#This Row],[Track ID]])</f>
        <v>1</v>
      </c>
      <c r="AA511" s="114">
        <f>_xlfn.NUMBERVALUE(RIGHT(ReportSummary___Track[[#This Row],[Track ID]],4))</f>
        <v>26</v>
      </c>
      <c r="AB511" s="78"/>
    </row>
    <row r="512" spans="5:28" ht="14.25" customHeight="1" x14ac:dyDescent="0.2">
      <c r="E512" s="74">
        <v>45825.229166666664</v>
      </c>
      <c r="F512" s="107" t="s">
        <v>241</v>
      </c>
      <c r="G512" s="142">
        <v>51891.869997674046</v>
      </c>
      <c r="H512" s="142">
        <v>159193.79503821288</v>
      </c>
      <c r="I512" s="142">
        <v>18.865661670375356</v>
      </c>
      <c r="J512" s="142">
        <v>51891.504266656018</v>
      </c>
      <c r="K512" s="142">
        <v>159192.52660920296</v>
      </c>
      <c r="L512" s="142">
        <v>18.860959388577548</v>
      </c>
      <c r="M512" s="145">
        <v>4.7022817978081832E-3</v>
      </c>
      <c r="N512" s="145">
        <v>1.3201111476657097</v>
      </c>
      <c r="O512" s="145">
        <v>6.2836647590103212E-4</v>
      </c>
      <c r="P512" s="145">
        <v>7.1520021103310683E-4</v>
      </c>
      <c r="Q5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-6.6452372493586154E-4</v>
      </c>
      <c r="R5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-8.9780051292009944E-2</v>
      </c>
      <c r="S5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0.68784171344660194</v>
      </c>
      <c r="T5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0.28101863549423456</v>
      </c>
      <c r="U5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3.2396698764003418E-4</v>
      </c>
      <c r="V5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-4.1572607649698057E-6</v>
      </c>
      <c r="W5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3.1155999547394231E-4</v>
      </c>
      <c r="X5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3.2395649242644708E-4</v>
      </c>
      <c r="Y512" s="162" t="str">
        <f>ReportSummary___Track[[#This Row],[Track ID]]&amp;"-"&amp;ReportSummary___Track[[#This Row],[Epoch]]</f>
        <v>250-RL-OP-0027-45825.2291666667</v>
      </c>
      <c r="Z512" s="126">
        <f>SUBTOTAL(103,ReportSummary___Track[[#This Row],[Track ID]])</f>
        <v>1</v>
      </c>
      <c r="AA512" s="114">
        <f>_xlfn.NUMBERVALUE(RIGHT(ReportSummary___Track[[#This Row],[Track ID]],4))</f>
        <v>27</v>
      </c>
      <c r="AB512" s="78"/>
    </row>
    <row r="513" spans="5:28" ht="14.25" customHeight="1" x14ac:dyDescent="0.2">
      <c r="E513" s="74">
        <v>45825.229166666664</v>
      </c>
      <c r="F513" s="107" t="s">
        <v>242</v>
      </c>
      <c r="G513" s="142">
        <v>51892.83098666594</v>
      </c>
      <c r="H513" s="142">
        <v>159193.51846240537</v>
      </c>
      <c r="I513" s="142">
        <v>18.863216230483452</v>
      </c>
      <c r="J513" s="142">
        <v>51892.465110438468</v>
      </c>
      <c r="K513" s="142">
        <v>159192.24952677931</v>
      </c>
      <c r="L513" s="142">
        <v>18.858824857800926</v>
      </c>
      <c r="M513" s="145">
        <v>4.3913726825266508E-3</v>
      </c>
      <c r="N513" s="145">
        <v>1.3206370890779862</v>
      </c>
      <c r="O513" s="145">
        <v>-1.3661623425065272E-4</v>
      </c>
      <c r="P513" s="145">
        <v>5.4606801331757993E-4</v>
      </c>
      <c r="Q5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-1.3596322254727511E-3</v>
      </c>
      <c r="R5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-0.18369207022495004</v>
      </c>
      <c r="S5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0.35024618014034559</v>
      </c>
      <c r="T5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0.62645696126395478</v>
      </c>
      <c r="U5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6.6284454106124713E-4</v>
      </c>
      <c r="V5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-8.6786478865619188E-6</v>
      </c>
      <c r="W5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6.5688513126715975E-4</v>
      </c>
      <c r="X5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6.628214314048364E-4</v>
      </c>
      <c r="Y513" s="162" t="str">
        <f>ReportSummary___Track[[#This Row],[Track ID]]&amp;"-"&amp;ReportSummary___Track[[#This Row],[Epoch]]</f>
        <v>250-RL-OP-0028-45825.2291666667</v>
      </c>
      <c r="Z513" s="126">
        <f>SUBTOTAL(103,ReportSummary___Track[[#This Row],[Track ID]])</f>
        <v>1</v>
      </c>
      <c r="AA513" s="114">
        <f>_xlfn.NUMBERVALUE(RIGHT(ReportSummary___Track[[#This Row],[Track ID]],4))</f>
        <v>28</v>
      </c>
      <c r="AB513" s="78"/>
    </row>
    <row r="514" spans="5:28" ht="14.25" customHeight="1" x14ac:dyDescent="0.2">
      <c r="E514" s="74">
        <v>45825.229166666664</v>
      </c>
      <c r="F514" s="107" t="s">
        <v>243</v>
      </c>
      <c r="G514" s="142">
        <v>51893.791838945894</v>
      </c>
      <c r="H514" s="142">
        <v>159193.24190592306</v>
      </c>
      <c r="I514" s="142">
        <v>18.860908806466888</v>
      </c>
      <c r="J514" s="142">
        <v>51893.426692718742</v>
      </c>
      <c r="K514" s="142">
        <v>159191.9722322778</v>
      </c>
      <c r="L514" s="142">
        <v>18.856702718339658</v>
      </c>
      <c r="M514" s="145">
        <v>4.20608812722989E-3</v>
      </c>
      <c r="N514" s="145">
        <v>1.3211436802472951</v>
      </c>
      <c r="O514" s="145">
        <v>-7.7597438442111866E-4</v>
      </c>
      <c r="P514" s="145">
        <v>5.0256037558682465E-4</v>
      </c>
      <c r="Q5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-2.0127615130149934E-6</v>
      </c>
      <c r="R5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-0.25492945046745596</v>
      </c>
      <c r="S5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1.4703374795033142E-2</v>
      </c>
      <c r="T5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0.97394801499817163</v>
      </c>
      <c r="U5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9.8239040890035767E-4</v>
      </c>
      <c r="V5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1.9182837168729705E-5</v>
      </c>
      <c r="W5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9.8287858147827478E-4</v>
      </c>
      <c r="X5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9.8235468480467603E-4</v>
      </c>
      <c r="Y514" s="162" t="str">
        <f>ReportSummary___Track[[#This Row],[Track ID]]&amp;"-"&amp;ReportSummary___Track[[#This Row],[Epoch]]</f>
        <v>250-RL-OP-0029-45825.2291666667</v>
      </c>
      <c r="Z514" s="126">
        <f>SUBTOTAL(103,ReportSummary___Track[[#This Row],[Track ID]])</f>
        <v>1</v>
      </c>
      <c r="AA514" s="114">
        <f>_xlfn.NUMBERVALUE(RIGHT(ReportSummary___Track[[#This Row],[Track ID]],4))</f>
        <v>29</v>
      </c>
      <c r="AB514" s="78"/>
    </row>
    <row r="515" spans="5:28" ht="14.25" customHeight="1" x14ac:dyDescent="0.2">
      <c r="E515" s="74">
        <v>45825.229166666664</v>
      </c>
      <c r="F515" s="107" t="s">
        <v>269</v>
      </c>
      <c r="G515" s="142">
        <v>51894.752729759806</v>
      </c>
      <c r="H515" s="142">
        <v>159192.96497846718</v>
      </c>
      <c r="I515" s="142">
        <v>18.861075912100414</v>
      </c>
      <c r="J515" s="142">
        <v>51894.387583047202</v>
      </c>
      <c r="K515" s="142">
        <v>159191.69530356207</v>
      </c>
      <c r="L515" s="142">
        <v>18.857215612615047</v>
      </c>
      <c r="M515" s="145">
        <v>3.8602994853675909E-3</v>
      </c>
      <c r="N515" s="145">
        <v>1.3211439695596803</v>
      </c>
      <c r="O515" s="145">
        <v>-8.419823124405923E-4</v>
      </c>
      <c r="P515" s="145">
        <v>-2.1361583653956018E-4</v>
      </c>
      <c r="Q5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-4.0205573981211273E-5</v>
      </c>
      <c r="R5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0.1588557466889462</v>
      </c>
      <c r="S5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6.2431815095465026E-4</v>
      </c>
      <c r="T5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0.68846603159755659</v>
      </c>
      <c r="U5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6.4839418535811433E-4</v>
      </c>
      <c r="V5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2.4454462403045163E-4</v>
      </c>
      <c r="W5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3.2442719771808015E-4</v>
      </c>
      <c r="X5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6.3598719319202246E-4</v>
      </c>
      <c r="Y515" s="162" t="str">
        <f>ReportSummary___Track[[#This Row],[Track ID]]&amp;"-"&amp;ReportSummary___Track[[#This Row],[Epoch]]</f>
        <v>250-RL-OP-0030-45825.2291666667</v>
      </c>
      <c r="Z515" s="126">
        <f>SUBTOTAL(103,ReportSummary___Track[[#This Row],[Track ID]])</f>
        <v>1</v>
      </c>
      <c r="AA515" s="114">
        <f>_xlfn.NUMBERVALUE(RIGHT(ReportSummary___Track[[#This Row],[Track ID]],4))</f>
        <v>30</v>
      </c>
      <c r="AB515" s="78"/>
    </row>
    <row r="516" spans="5:28" ht="14.25" customHeight="1" x14ac:dyDescent="0.2">
      <c r="E516" s="74">
        <v>45825.229166666664</v>
      </c>
      <c r="F516" s="107" t="s">
        <v>270</v>
      </c>
      <c r="G516" s="142">
        <v>51895.713620573719</v>
      </c>
      <c r="H516" s="142">
        <v>159192.68805101133</v>
      </c>
      <c r="I516" s="142">
        <v>18.861243017733944</v>
      </c>
      <c r="J516" s="142">
        <v>51895.348473375663</v>
      </c>
      <c r="K516" s="142">
        <v>159191.41837484631</v>
      </c>
      <c r="L516" s="142">
        <v>18.857728506890432</v>
      </c>
      <c r="M516" s="145">
        <v>3.5145108435123973E-3</v>
      </c>
      <c r="N516" s="145">
        <v>1.3211443494340338</v>
      </c>
      <c r="O516" s="145">
        <v>-8.7686183901425352E-4</v>
      </c>
      <c r="P516" s="145">
        <v>-1.0134780732649062E-3</v>
      </c>
      <c r="Q5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-7.8398379343980196E-5</v>
      </c>
      <c r="R5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0.57264164078119073</v>
      </c>
      <c r="S5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1.2812338461287709E-3</v>
      </c>
      <c r="T5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0.35152741398647436</v>
      </c>
      <c r="U5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3.1439796182297641E-4</v>
      </c>
      <c r="V5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4.6999690306481767E-4</v>
      </c>
      <c r="W5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-3.4844657923827071E-4</v>
      </c>
      <c r="X5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3.0843855202888903E-4</v>
      </c>
      <c r="Y516" s="162" t="str">
        <f>ReportSummary___Track[[#This Row],[Track ID]]&amp;"-"&amp;ReportSummary___Track[[#This Row],[Epoch]]</f>
        <v>250-RL-OP-0031-45825.2291666667</v>
      </c>
      <c r="Z516" s="126">
        <f>SUBTOTAL(103,ReportSummary___Track[[#This Row],[Track ID]])</f>
        <v>1</v>
      </c>
      <c r="AA516" s="114">
        <f>_xlfn.NUMBERVALUE(RIGHT(ReportSummary___Track[[#This Row],[Track ID]],4))</f>
        <v>31</v>
      </c>
      <c r="AB516" s="78"/>
    </row>
    <row r="517" spans="5:28" ht="14.25" customHeight="1" x14ac:dyDescent="0.2">
      <c r="E517" s="74">
        <v>45825.229166666664</v>
      </c>
      <c r="F517" s="107" t="s">
        <v>271</v>
      </c>
      <c r="G517" s="142">
        <v>51896.675405970513</v>
      </c>
      <c r="H517" s="142">
        <v>159192.4109081027</v>
      </c>
      <c r="I517" s="142">
        <v>18.861498367389412</v>
      </c>
      <c r="J517" s="142">
        <v>51896.309528737984</v>
      </c>
      <c r="K517" s="142">
        <v>159191.14173461875</v>
      </c>
      <c r="L517" s="142">
        <v>18.85824734462722</v>
      </c>
      <c r="M517" s="145">
        <v>3.2510227621926902E-3</v>
      </c>
      <c r="N517" s="145">
        <v>1.3208626161658641</v>
      </c>
      <c r="O517" s="145">
        <v>-9.5506536503719985E-4</v>
      </c>
      <c r="P517" s="145">
        <v>-1.7310397494583185E-3</v>
      </c>
      <c r="Q5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4.9961244030782836E-6</v>
      </c>
      <c r="R5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0.95459950506704416</v>
      </c>
      <c r="S5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7.008885916093277E-6</v>
      </c>
      <c r="T5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1.4710383680949235E-2</v>
      </c>
      <c r="U5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-5.3029875601851018E-8</v>
      </c>
      <c r="V5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6.7002080272993148E-4</v>
      </c>
      <c r="W5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-9.8244343877595952E-4</v>
      </c>
      <c r="X5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4.3514270231526098E-7</v>
      </c>
      <c r="Y517" s="162" t="str">
        <f>ReportSummary___Track[[#This Row],[Track ID]]&amp;"-"&amp;ReportSummary___Track[[#This Row],[Epoch]]</f>
        <v>250-RL-OP-0032-45825.2291666667</v>
      </c>
      <c r="Z517" s="126">
        <f>SUBTOTAL(103,ReportSummary___Track[[#This Row],[Track ID]])</f>
        <v>1</v>
      </c>
      <c r="AA517" s="114">
        <f>_xlfn.NUMBERVALUE(RIGHT(ReportSummary___Track[[#This Row],[Track ID]],4))</f>
        <v>32</v>
      </c>
      <c r="AB517" s="78"/>
    </row>
    <row r="518" spans="5:28" ht="14.25" customHeight="1" x14ac:dyDescent="0.2">
      <c r="E518" s="74">
        <v>45825.229166666664</v>
      </c>
      <c r="F518" s="107" t="s">
        <v>272</v>
      </c>
      <c r="G518" s="142">
        <v>51897.63647866169</v>
      </c>
      <c r="H518" s="142">
        <v>159192.13461708953</v>
      </c>
      <c r="I518" s="142">
        <v>18.863097837135957</v>
      </c>
      <c r="J518" s="142">
        <v>51897.271518069443</v>
      </c>
      <c r="K518" s="142">
        <v>159190.86864821697</v>
      </c>
      <c r="L518" s="142">
        <v>18.858833292983896</v>
      </c>
      <c r="M518" s="145">
        <v>4.2645441520612337E-3</v>
      </c>
      <c r="N518" s="145">
        <v>1.3175323929630547</v>
      </c>
      <c r="O518" s="145">
        <v>4.0424466669364278E-4</v>
      </c>
      <c r="P518" s="145">
        <v>-4.3773764574694951E-4</v>
      </c>
      <c r="Q5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1.0355060808819871E-4</v>
      </c>
      <c r="R5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0.95719959342477345</v>
      </c>
      <c r="S5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1.4375618206940999E-4</v>
      </c>
      <c r="T5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7.6807433302406025E-4</v>
      </c>
      <c r="U5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-8.3705332798444942E-7</v>
      </c>
      <c r="V5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5.2876693972803146E-4</v>
      </c>
      <c r="W5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-6.4923123868609878E-4</v>
      </c>
      <c r="X5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-3.2480404096801863E-4</v>
      </c>
      <c r="Y518" s="162" t="str">
        <f>ReportSummary___Track[[#This Row],[Track ID]]&amp;"-"&amp;ReportSummary___Track[[#This Row],[Epoch]]</f>
        <v>250-RL-OP-0033-45825.2291666667</v>
      </c>
      <c r="Z518" s="126">
        <f>SUBTOTAL(103,ReportSummary___Track[[#This Row],[Track ID]])</f>
        <v>1</v>
      </c>
      <c r="AA518" s="114">
        <f>_xlfn.NUMBERVALUE(RIGHT(ReportSummary___Track[[#This Row],[Track ID]],4))</f>
        <v>33</v>
      </c>
      <c r="AB518" s="78"/>
    </row>
    <row r="519" spans="5:28" ht="14.25" customHeight="1" x14ac:dyDescent="0.2">
      <c r="E519" s="74">
        <v>45825.229166666664</v>
      </c>
      <c r="F519" s="107" t="s">
        <v>273</v>
      </c>
      <c r="G519" s="142">
        <v>51898.597551352876</v>
      </c>
      <c r="H519" s="142">
        <v>159191.85832607636</v>
      </c>
      <c r="I519" s="142">
        <v>18.864697306882498</v>
      </c>
      <c r="J519" s="142">
        <v>51898.233507400895</v>
      </c>
      <c r="K519" s="142">
        <v>159190.59556181522</v>
      </c>
      <c r="L519" s="142">
        <v>18.859419241340568</v>
      </c>
      <c r="M519" s="145">
        <v>5.2780655419297773E-3</v>
      </c>
      <c r="N519" s="145">
        <v>1.3142029661147632</v>
      </c>
      <c r="O519" s="145">
        <v>1.76355469841738E-3</v>
      </c>
      <c r="P519" s="145">
        <v>8.8669285940312648E-4</v>
      </c>
      <c r="Q5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2.0210509177331915E-4</v>
      </c>
      <c r="R5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0.95979921141786662</v>
      </c>
      <c r="S5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2.8050347111729934E-4</v>
      </c>
      <c r="T5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1.5617373172460702E-3</v>
      </c>
      <c r="U5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-1.6210767839197615E-6</v>
      </c>
      <c r="V5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3.8751215967325336E-4</v>
      </c>
      <c r="W5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-3.1601903860689617E-4</v>
      </c>
      <c r="X5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-6.6446561784516689E-4</v>
      </c>
      <c r="Y519" s="162" t="str">
        <f>ReportSummary___Track[[#This Row],[Track ID]]&amp;"-"&amp;ReportSummary___Track[[#This Row],[Epoch]]</f>
        <v>250-RL-OP-0034-45825.2291666667</v>
      </c>
      <c r="Z519" s="126">
        <f>SUBTOTAL(103,ReportSummary___Track[[#This Row],[Track ID]])</f>
        <v>1</v>
      </c>
      <c r="AA519" s="114">
        <f>_xlfn.NUMBERVALUE(RIGHT(ReportSummary___Track[[#This Row],[Track ID]],4))</f>
        <v>34</v>
      </c>
      <c r="AB519" s="78"/>
    </row>
    <row r="520" spans="5:28" ht="14.25" customHeight="1" x14ac:dyDescent="0.2">
      <c r="E520" s="74">
        <v>45825.229166666664</v>
      </c>
      <c r="F520" s="107" t="s">
        <v>274</v>
      </c>
      <c r="G520" s="142">
        <v>51899.558732421232</v>
      </c>
      <c r="H520" s="142">
        <v>159191.58332043167</v>
      </c>
      <c r="I520" s="142">
        <v>18.865938365312182</v>
      </c>
      <c r="J520" s="142">
        <v>51899.203472361332</v>
      </c>
      <c r="K520" s="142">
        <v>159190.32062001547</v>
      </c>
      <c r="L520" s="142">
        <v>18.859777427163273</v>
      </c>
      <c r="M520" s="145">
        <v>6.1609381489091675E-3</v>
      </c>
      <c r="N520" s="145">
        <v>1.3117393065717484</v>
      </c>
      <c r="O520" s="145">
        <v>2.9099153867164773E-3</v>
      </c>
      <c r="P520" s="145">
        <v>1.9548500216792775E-3</v>
      </c>
      <c r="Q5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-6.1623834046287129E-2</v>
      </c>
      <c r="R5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0.90331037386426338</v>
      </c>
      <c r="S5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-6.1628830170690208E-2</v>
      </c>
      <c r="T5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-6.1621821284774114E-2</v>
      </c>
      <c r="U5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-6.1316848231740551E-5</v>
      </c>
      <c r="V5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2.5322867109855984E-4</v>
      </c>
      <c r="W5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-6.12638183561387E-5</v>
      </c>
      <c r="X5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-1.0437072571320982E-3</v>
      </c>
      <c r="Y520" s="162" t="str">
        <f>ReportSummary___Track[[#This Row],[Track ID]]&amp;"-"&amp;ReportSummary___Track[[#This Row],[Epoch]]</f>
        <v>250-RL-OP-0035-45825.2291666667</v>
      </c>
      <c r="Z520" s="126">
        <f>SUBTOTAL(103,ReportSummary___Track[[#This Row],[Track ID]])</f>
        <v>1</v>
      </c>
      <c r="AA520" s="114">
        <f>_xlfn.NUMBERVALUE(RIGHT(ReportSummary___Track[[#This Row],[Track ID]],4))</f>
        <v>35</v>
      </c>
      <c r="AB520" s="78"/>
    </row>
    <row r="521" spans="5:28" ht="14.25" customHeight="1" x14ac:dyDescent="0.2">
      <c r="E521" s="74">
        <v>45825.229166666664</v>
      </c>
      <c r="F521" s="107" t="s">
        <v>275</v>
      </c>
      <c r="G521" s="142">
        <v>51900.521670474314</v>
      </c>
      <c r="H521" s="142">
        <v>159191.31359799046</v>
      </c>
      <c r="I521" s="142">
        <v>18.865605744223032</v>
      </c>
      <c r="J521" s="142">
        <v>51900.166031558641</v>
      </c>
      <c r="K521" s="142">
        <v>159190.04954924015</v>
      </c>
      <c r="L521" s="142">
        <v>18.859124401927648</v>
      </c>
      <c r="M521" s="145">
        <v>6.4813422953839961E-3</v>
      </c>
      <c r="N521" s="145">
        <v>1.3131413820665372</v>
      </c>
      <c r="O521" s="145">
        <v>2.2167981433227624E-3</v>
      </c>
      <c r="P521" s="145">
        <v>2.6210428100164052E-3</v>
      </c>
      <c r="Q5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-0.39418709809169172</v>
      </c>
      <c r="R5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0.58733864881244102</v>
      </c>
      <c r="S5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-0.39429064869977992</v>
      </c>
      <c r="T5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-0.39414689251771051</v>
      </c>
      <c r="U5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-3.8799256656218972E-4</v>
      </c>
      <c r="V5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1.5594782281391772E-4</v>
      </c>
      <c r="W5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-3.8715551323420527E-4</v>
      </c>
      <c r="X5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-1.0363867519203041E-3</v>
      </c>
      <c r="Y521" s="162" t="str">
        <f>ReportSummary___Track[[#This Row],[Track ID]]&amp;"-"&amp;ReportSummary___Track[[#This Row],[Epoch]]</f>
        <v>250-RL-OP-0036-45825.2291666667</v>
      </c>
      <c r="Z521" s="126">
        <f>SUBTOTAL(103,ReportSummary___Track[[#This Row],[Track ID]])</f>
        <v>1</v>
      </c>
      <c r="AA521" s="114">
        <f>_xlfn.NUMBERVALUE(RIGHT(ReportSummary___Track[[#This Row],[Track ID]],4))</f>
        <v>36</v>
      </c>
      <c r="AB521" s="78"/>
    </row>
    <row r="522" spans="5:28" ht="14.25" customHeight="1" x14ac:dyDescent="0.2">
      <c r="E522" s="74">
        <v>45825.229166666664</v>
      </c>
      <c r="F522" s="107" t="s">
        <v>276</v>
      </c>
      <c r="G522" s="142">
        <v>51901.484608527397</v>
      </c>
      <c r="H522" s="142">
        <v>159191.04387554925</v>
      </c>
      <c r="I522" s="142">
        <v>18.865273123133885</v>
      </c>
      <c r="J522" s="142">
        <v>51901.128590755958</v>
      </c>
      <c r="K522" s="142">
        <v>159189.77847846484</v>
      </c>
      <c r="L522" s="142">
        <v>18.858471376692027</v>
      </c>
      <c r="M522" s="145">
        <v>6.8017464418588247E-3</v>
      </c>
      <c r="N522" s="145">
        <v>1.3145435323987757</v>
      </c>
      <c r="O522" s="145">
        <v>1.5236808999290474E-3</v>
      </c>
      <c r="P522" s="145">
        <v>3.2872355983464274E-3</v>
      </c>
      <c r="Q5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-0.7267503621335436</v>
      </c>
      <c r="R5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0.27112580581833967</v>
      </c>
      <c r="S5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-0.72695246722531692</v>
      </c>
      <c r="T5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-0.72667196375419962</v>
      </c>
      <c r="U5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-7.1466828488553347E-4</v>
      </c>
      <c r="V5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5.8430615890170401E-5</v>
      </c>
      <c r="W5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-7.1304720810161371E-4</v>
      </c>
      <c r="X5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-1.0290662467085099E-3</v>
      </c>
      <c r="Y522" s="162" t="str">
        <f>ReportSummary___Track[[#This Row],[Track ID]]&amp;"-"&amp;ReportSummary___Track[[#This Row],[Epoch]]</f>
        <v>250-RL-OP-0037-45825.2291666667</v>
      </c>
      <c r="Z522" s="126">
        <f>SUBTOTAL(103,ReportSummary___Track[[#This Row],[Track ID]])</f>
        <v>1</v>
      </c>
      <c r="AA522" s="114">
        <f>_xlfn.NUMBERVALUE(RIGHT(ReportSummary___Track[[#This Row],[Track ID]],4))</f>
        <v>37</v>
      </c>
      <c r="AB522" s="78"/>
    </row>
    <row r="523" spans="5:28" ht="14.25" customHeight="1" x14ac:dyDescent="0.2">
      <c r="E523" s="74">
        <v>45825.229166666664</v>
      </c>
      <c r="F523" s="107" t="s">
        <v>277</v>
      </c>
      <c r="G523" s="142">
        <v>51902.447780924784</v>
      </c>
      <c r="H523" s="142">
        <v>159190.77528572394</v>
      </c>
      <c r="I523" s="142">
        <v>18.865124813901463</v>
      </c>
      <c r="J523" s="142">
        <v>51902.09987243612</v>
      </c>
      <c r="K523" s="142">
        <v>159189.50604742204</v>
      </c>
      <c r="L523" s="142">
        <v>18.857855472302717</v>
      </c>
      <c r="M523" s="145">
        <v>7.2693415987465926E-3</v>
      </c>
      <c r="N523" s="145">
        <v>1.3160771355916003</v>
      </c>
      <c r="O523" s="145">
        <v>1.1084034498374251E-3</v>
      </c>
      <c r="P523" s="145">
        <v>4.0183188365539024E-3</v>
      </c>
      <c r="Q5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-0.95546136464008669</v>
      </c>
      <c r="R5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5.1704191712964587E-2</v>
      </c>
      <c r="S5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-0.89383753059379956</v>
      </c>
      <c r="T5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-0.95546636076448976</v>
      </c>
      <c r="U5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-9.5547230271719741E-4</v>
      </c>
      <c r="V5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-5.6243861135119033E-6</v>
      </c>
      <c r="W5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-8.9415545448545686E-4</v>
      </c>
      <c r="X5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-9.5541927284159556E-4</v>
      </c>
      <c r="Y523" s="162" t="str">
        <f>ReportSummary___Track[[#This Row],[Track ID]]&amp;"-"&amp;ReportSummary___Track[[#This Row],[Epoch]]</f>
        <v>250-RL-OP-0038-45825.2291666667</v>
      </c>
      <c r="Z523" s="126">
        <f>SUBTOTAL(103,ReportSummary___Track[[#This Row],[Track ID]])</f>
        <v>1</v>
      </c>
      <c r="AA523" s="114">
        <f>_xlfn.NUMBERVALUE(RIGHT(ReportSummary___Track[[#This Row],[Track ID]],4))</f>
        <v>38</v>
      </c>
      <c r="AB523" s="78"/>
    </row>
    <row r="524" spans="5:28" ht="14.25" customHeight="1" x14ac:dyDescent="0.2">
      <c r="E524" s="74">
        <v>45825.229166666664</v>
      </c>
      <c r="F524" s="107" t="s">
        <v>278</v>
      </c>
      <c r="G524" s="142">
        <v>51903.412439340806</v>
      </c>
      <c r="H524" s="142">
        <v>159190.51178306149</v>
      </c>
      <c r="I524" s="142">
        <v>18.86582287822732</v>
      </c>
      <c r="J524" s="142">
        <v>51903.064539372746</v>
      </c>
      <c r="K524" s="142">
        <v>159189.24257524015</v>
      </c>
      <c r="L524" s="142">
        <v>18.857522679348417</v>
      </c>
      <c r="M524" s="145">
        <v>8.3001988789028758E-3</v>
      </c>
      <c r="N524" s="145">
        <v>1.3160515851735737</v>
      </c>
      <c r="O524" s="145">
        <v>1.8188565835188797E-3</v>
      </c>
      <c r="P524" s="145">
        <v>4.0356547268416421E-3</v>
      </c>
      <c r="Q5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-0.62260723543161589</v>
      </c>
      <c r="R5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0.37388250890191266</v>
      </c>
      <c r="S5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-0.22842013733992417</v>
      </c>
      <c r="T5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-0.62271078603970409</v>
      </c>
      <c r="U5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-6.226793484174209E-4</v>
      </c>
      <c r="V5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-4.0744349028010163E-6</v>
      </c>
      <c r="W5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-2.3468678185523117E-4</v>
      </c>
      <c r="X5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-6.2184229508943645E-4</v>
      </c>
      <c r="Y524" s="162" t="str">
        <f>ReportSummary___Track[[#This Row],[Track ID]]&amp;"-"&amp;ReportSummary___Track[[#This Row],[Epoch]]</f>
        <v>250-RL-OP-0039-45825.2291666667</v>
      </c>
      <c r="Z524" s="126">
        <f>SUBTOTAL(103,ReportSummary___Track[[#This Row],[Track ID]])</f>
        <v>1</v>
      </c>
      <c r="AA524" s="114">
        <f>_xlfn.NUMBERVALUE(RIGHT(ReportSummary___Track[[#This Row],[Track ID]],4))</f>
        <v>39</v>
      </c>
      <c r="AB524" s="78"/>
    </row>
    <row r="525" spans="5:28" ht="14.25" customHeight="1" x14ac:dyDescent="0.2">
      <c r="E525" s="74">
        <v>45825.229166666664</v>
      </c>
      <c r="F525" s="107" t="s">
        <v>279</v>
      </c>
      <c r="G525" s="142">
        <v>51904.377097756827</v>
      </c>
      <c r="H525" s="142">
        <v>159190.24828039907</v>
      </c>
      <c r="I525" s="142">
        <v>18.86652094255318</v>
      </c>
      <c r="J525" s="142">
        <v>51904.029206309366</v>
      </c>
      <c r="K525" s="142">
        <v>159188.97910305823</v>
      </c>
      <c r="L525" s="142">
        <v>18.857189886394121</v>
      </c>
      <c r="M525" s="145">
        <v>9.331056159059159E-3</v>
      </c>
      <c r="N525" s="145">
        <v>1.3160268425599719</v>
      </c>
      <c r="O525" s="145">
        <v>2.5293097172003343E-3</v>
      </c>
      <c r="P525" s="145">
        <v>4.0529906171293817E-3</v>
      </c>
      <c r="Q5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-0.28975310621959238</v>
      </c>
      <c r="R5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0.69649577033081833</v>
      </c>
      <c r="S5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0.43699725591395122</v>
      </c>
      <c r="T5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-0.2899552113113657</v>
      </c>
      <c r="U5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-2.8988639411764439E-4</v>
      </c>
      <c r="V5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-2.0871825259227705E-6</v>
      </c>
      <c r="W5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4.2478189076788908E-4</v>
      </c>
      <c r="X5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-2.8826531733372462E-4</v>
      </c>
      <c r="Y525" s="162" t="str">
        <f>ReportSummary___Track[[#This Row],[Track ID]]&amp;"-"&amp;ReportSummary___Track[[#This Row],[Epoch]]</f>
        <v>250-RL-OP-0040-45825.2291666667</v>
      </c>
      <c r="Z525" s="126">
        <f>SUBTOTAL(103,ReportSummary___Track[[#This Row],[Track ID]])</f>
        <v>1</v>
      </c>
      <c r="AA525" s="114">
        <f>_xlfn.NUMBERVALUE(RIGHT(ReportSummary___Track[[#This Row],[Track ID]],4))</f>
        <v>40</v>
      </c>
      <c r="AB525" s="78"/>
    </row>
    <row r="526" spans="5:28" ht="14.25" customHeight="1" x14ac:dyDescent="0.2">
      <c r="E526" s="74">
        <v>45825.229166666664</v>
      </c>
      <c r="F526" s="107" t="s">
        <v>280</v>
      </c>
      <c r="G526" s="142">
        <v>51905.341841450259</v>
      </c>
      <c r="H526" s="142">
        <v>159189.98617913548</v>
      </c>
      <c r="I526" s="142">
        <v>18.867392406740745</v>
      </c>
      <c r="J526" s="142">
        <v>51905.003864651924</v>
      </c>
      <c r="K526" s="142">
        <v>159188.71400367381</v>
      </c>
      <c r="L526" s="142">
        <v>18.857104633955977</v>
      </c>
      <c r="M526" s="145">
        <v>1.0287772784767668E-2</v>
      </c>
      <c r="N526" s="145">
        <v>1.3163451522090919</v>
      </c>
      <c r="O526" s="145">
        <v>3.0184311860210755E-3</v>
      </c>
      <c r="P526" s="145">
        <v>4.1268346358585006E-3</v>
      </c>
      <c r="Q5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5.2204303102598715E-5</v>
      </c>
      <c r="R5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0.90537890734432303</v>
      </c>
      <c r="S5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0.95551356894318928</v>
      </c>
      <c r="T5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6.1676038349389728E-2</v>
      </c>
      <c r="U5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5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2.8127056239668491E-11</v>
      </c>
      <c r="W5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9.5547230271364469E-4</v>
      </c>
      <c r="X5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6.1316848228187837E-5</v>
      </c>
      <c r="Y526" s="162" t="str">
        <f>ReportSummary___Track[[#This Row],[Track ID]]&amp;"-"&amp;ReportSummary___Track[[#This Row],[Epoch]]</f>
        <v>250-RL-OP-0041-45825.2291666667</v>
      </c>
      <c r="Z526" s="126">
        <f>SUBTOTAL(103,ReportSummary___Track[[#This Row],[Track ID]])</f>
        <v>1</v>
      </c>
      <c r="AA526" s="114">
        <f>_xlfn.NUMBERVALUE(RIGHT(ReportSummary___Track[[#This Row],[Track ID]],4))</f>
        <v>41</v>
      </c>
      <c r="AB526" s="78"/>
    </row>
    <row r="527" spans="5:28" ht="14.25" customHeight="1" x14ac:dyDescent="0.2">
      <c r="E527" s="74">
        <v>45825.229166666664</v>
      </c>
      <c r="F527" s="107" t="s">
        <v>281</v>
      </c>
      <c r="G527" s="142">
        <v>51906.308594977025</v>
      </c>
      <c r="H527" s="142">
        <v>159189.73047487877</v>
      </c>
      <c r="I527" s="142">
        <v>18.869110425193991</v>
      </c>
      <c r="J527" s="142">
        <v>51905.970516824033</v>
      </c>
      <c r="K527" s="142">
        <v>159188.45791499614</v>
      </c>
      <c r="L527" s="142">
        <v>18.858576820689617</v>
      </c>
      <c r="M527" s="145">
        <v>1.0533604504374239E-2</v>
      </c>
      <c r="N527" s="145">
        <v>1.3167446408662935</v>
      </c>
      <c r="O527" s="145">
        <v>2.233405625471363E-3</v>
      </c>
      <c r="P527" s="145">
        <v>4.0522622089902427E-3</v>
      </c>
      <c r="Q5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4.2777480402378387E-4</v>
      </c>
      <c r="R5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0.46623294112513314</v>
      </c>
      <c r="S5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0.62303501023563967</v>
      </c>
      <c r="T5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0.39461487289571551</v>
      </c>
      <c r="U5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-7.1054273576010019E-15</v>
      </c>
      <c r="V5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2.6259217023039128E-11</v>
      </c>
      <c r="W5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6.2267934841031547E-4</v>
      </c>
      <c r="X5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3.879925665550843E-4</v>
      </c>
      <c r="Y527" s="162" t="str">
        <f>ReportSummary___Track[[#This Row],[Track ID]]&amp;"-"&amp;ReportSummary___Track[[#This Row],[Epoch]]</f>
        <v>250-RL-OP-0042-45825.2291666667</v>
      </c>
      <c r="Z527" s="126">
        <f>SUBTOTAL(103,ReportSummary___Track[[#This Row],[Track ID]])</f>
        <v>1</v>
      </c>
      <c r="AA527" s="114">
        <f>_xlfn.NUMBERVALUE(RIGHT(ReportSummary___Track[[#This Row],[Track ID]],4))</f>
        <v>42</v>
      </c>
      <c r="AB527" s="78"/>
    </row>
    <row r="528" spans="5:28" ht="14.25" customHeight="1" x14ac:dyDescent="0.2">
      <c r="E528" s="74">
        <v>45825.229166666664</v>
      </c>
      <c r="F528" s="107" t="s">
        <v>282</v>
      </c>
      <c r="G528" s="142">
        <v>51907.275348503783</v>
      </c>
      <c r="H528" s="142">
        <v>159189.47477062207</v>
      </c>
      <c r="I528" s="142">
        <v>18.870828443647241</v>
      </c>
      <c r="J528" s="142">
        <v>51906.937168996134</v>
      </c>
      <c r="K528" s="142">
        <v>159188.20182631849</v>
      </c>
      <c r="L528" s="142">
        <v>18.860049007423257</v>
      </c>
      <c r="M528" s="145">
        <v>1.0779436223984362E-2</v>
      </c>
      <c r="N528" s="145">
        <v>1.3171441742089982</v>
      </c>
      <c r="O528" s="145">
        <v>1.4483800649252032E-3</v>
      </c>
      <c r="P528" s="145">
        <v>3.9776897821255375E-3</v>
      </c>
      <c r="Q5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8.0334530849768271E-4</v>
      </c>
      <c r="R5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2.7088383372841918E-2</v>
      </c>
      <c r="S5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0.29055645152809007</v>
      </c>
      <c r="T5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0.72755370744204129</v>
      </c>
      <c r="U5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-1.0658141036401503E-14</v>
      </c>
      <c r="V5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5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2.8988639410698624E-4</v>
      </c>
      <c r="X5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7.1466828487487533E-4</v>
      </c>
      <c r="Y528" s="162" t="str">
        <f>ReportSummary___Track[[#This Row],[Track ID]]&amp;"-"&amp;ReportSummary___Track[[#This Row],[Epoch]]</f>
        <v>250-RL-OP-0043-45825.2291666667</v>
      </c>
      <c r="Z528" s="126">
        <f>SUBTOTAL(103,ReportSummary___Track[[#This Row],[Track ID]])</f>
        <v>1</v>
      </c>
      <c r="AA528" s="114">
        <f>_xlfn.NUMBERVALUE(RIGHT(ReportSummary___Track[[#This Row],[Track ID]],4))</f>
        <v>43</v>
      </c>
      <c r="AB528" s="78"/>
    </row>
    <row r="529" spans="5:28" ht="14.25" customHeight="1" x14ac:dyDescent="0.2">
      <c r="E529" s="74">
        <v>45825.229166666664</v>
      </c>
      <c r="F529" s="107" t="s">
        <v>283</v>
      </c>
      <c r="G529" s="142">
        <v>51908.242813030833</v>
      </c>
      <c r="H529" s="142">
        <v>159189.22252574799</v>
      </c>
      <c r="I529" s="142">
        <v>18.872859358535198</v>
      </c>
      <c r="J529" s="142">
        <v>51907.905490809295</v>
      </c>
      <c r="K529" s="142">
        <v>159187.94909902435</v>
      </c>
      <c r="L529" s="142">
        <v>18.861831223906176</v>
      </c>
      <c r="M529" s="145">
        <v>1.102813462902219E-2</v>
      </c>
      <c r="N529" s="145">
        <v>1.3173926982378532</v>
      </c>
      <c r="O529" s="145">
        <v>7.4036184425452234E-4</v>
      </c>
      <c r="P529" s="145">
        <v>3.7587930302755979E-3</v>
      </c>
      <c r="Q5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-2.6820732657029112E-4</v>
      </c>
      <c r="R5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-0.23134355956888619</v>
      </c>
      <c r="S5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-3.2041162967288983E-4</v>
      </c>
      <c r="T5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0.95519315731351639</v>
      </c>
      <c r="U5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-6.7709297724150019E-8</v>
      </c>
      <c r="V5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-9.9185763140940963E-5</v>
      </c>
      <c r="W5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-6.7709294171436341E-8</v>
      </c>
      <c r="X5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9.5540459341947326E-4</v>
      </c>
      <c r="Y529" s="162" t="str">
        <f>ReportSummary___Track[[#This Row],[Track ID]]&amp;"-"&amp;ReportSummary___Track[[#This Row],[Epoch]]</f>
        <v>250-RL-OP-0044-45825.2291666667</v>
      </c>
      <c r="Z529" s="126">
        <f>SUBTOTAL(103,ReportSummary___Track[[#This Row],[Track ID]])</f>
        <v>1</v>
      </c>
      <c r="AA529" s="114">
        <f>_xlfn.NUMBERVALUE(RIGHT(ReportSummary___Track[[#This Row],[Track ID]],4))</f>
        <v>44</v>
      </c>
      <c r="AB529" s="78"/>
    </row>
    <row r="530" spans="5:28" ht="14.25" customHeight="1" x14ac:dyDescent="0.2">
      <c r="E530" s="74">
        <v>45825.229166666664</v>
      </c>
      <c r="F530" s="107" t="s">
        <v>284</v>
      </c>
      <c r="G530" s="142">
        <v>51909.212341281323</v>
      </c>
      <c r="H530" s="142">
        <v>159188.9775611301</v>
      </c>
      <c r="I530" s="142">
        <v>18.875562593940035</v>
      </c>
      <c r="J530" s="142">
        <v>51908.874743372122</v>
      </c>
      <c r="K530" s="142">
        <v>159187.70304215947</v>
      </c>
      <c r="L530" s="142">
        <v>18.864174019583121</v>
      </c>
      <c r="M530" s="145">
        <v>1.1388574356914205E-2</v>
      </c>
      <c r="N530" s="145">
        <v>1.3185221478710061</v>
      </c>
      <c r="O530" s="145">
        <v>8.5496985253996627E-4</v>
      </c>
      <c r="P530" s="145">
        <v>3.0883754780113293E-3</v>
      </c>
      <c r="Q5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-1.1118919047703457E-3</v>
      </c>
      <c r="R5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-0.15249124499838729</v>
      </c>
      <c r="S5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-1.5396667087941296E-3</v>
      </c>
      <c r="T5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0.62149534352684555</v>
      </c>
      <c r="U5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-2.8069859325796642E-7</v>
      </c>
      <c r="V5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-4.1118799983674847E-4</v>
      </c>
      <c r="W5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-2.8069858615253906E-7</v>
      </c>
      <c r="X5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6.2239864982416293E-4</v>
      </c>
      <c r="Y530" s="162" t="str">
        <f>ReportSummary___Track[[#This Row],[Track ID]]&amp;"-"&amp;ReportSummary___Track[[#This Row],[Epoch]]</f>
        <v>250-RL-OP-0045-45825.2291666667</v>
      </c>
      <c r="Z530" s="126">
        <f>SUBTOTAL(103,ReportSummary___Track[[#This Row],[Track ID]])</f>
        <v>1</v>
      </c>
      <c r="AA530" s="114">
        <f>_xlfn.NUMBERVALUE(RIGHT(ReportSummary___Track[[#This Row],[Track ID]],4))</f>
        <v>45</v>
      </c>
      <c r="AB530" s="78"/>
    </row>
    <row r="531" spans="5:28" ht="14.25" customHeight="1" x14ac:dyDescent="0.2">
      <c r="E531" s="74">
        <v>45825.229166666664</v>
      </c>
      <c r="F531" s="107" t="s">
        <v>285</v>
      </c>
      <c r="G531" s="142">
        <v>51910.181869531822</v>
      </c>
      <c r="H531" s="142">
        <v>159188.73259651221</v>
      </c>
      <c r="I531" s="142">
        <v>18.878265829344873</v>
      </c>
      <c r="J531" s="142">
        <v>51909.843995934956</v>
      </c>
      <c r="K531" s="142">
        <v>159187.45698529462</v>
      </c>
      <c r="L531" s="142">
        <v>18.866516815260066</v>
      </c>
      <c r="M531" s="145">
        <v>1.174901408480622E-2</v>
      </c>
      <c r="N531" s="145">
        <v>1.3196516908851557</v>
      </c>
      <c r="O531" s="145">
        <v>9.6957786082185748E-4</v>
      </c>
      <c r="P531" s="145">
        <v>2.4179579257470607E-3</v>
      </c>
      <c r="Q5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-1.9555764794176866E-3</v>
      </c>
      <c r="R5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-7.3639814332393527E-2</v>
      </c>
      <c r="S5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-2.7589217879153694E-3</v>
      </c>
      <c r="T5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0.2877975297401747</v>
      </c>
      <c r="U5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-4.9368788879178283E-7</v>
      </c>
      <c r="V5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-7.2318897630951895E-4</v>
      </c>
      <c r="W5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-4.9368787813364179E-7</v>
      </c>
      <c r="X5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2.893927062288526E-4</v>
      </c>
      <c r="Y531" s="162" t="str">
        <f>ReportSummary___Track[[#This Row],[Track ID]]&amp;"-"&amp;ReportSummary___Track[[#This Row],[Epoch]]</f>
        <v>250-RL-OP-0046-45825.2291666667</v>
      </c>
      <c r="Z531" s="126">
        <f>SUBTOTAL(103,ReportSummary___Track[[#This Row],[Track ID]])</f>
        <v>1</v>
      </c>
      <c r="AA531" s="114">
        <f>_xlfn.NUMBERVALUE(RIGHT(ReportSummary___Track[[#This Row],[Track ID]],4))</f>
        <v>46</v>
      </c>
      <c r="AB531" s="78"/>
    </row>
    <row r="532" spans="5:28" ht="14.25" customHeight="1" x14ac:dyDescent="0.2">
      <c r="E532" s="74">
        <v>45825.229166666664</v>
      </c>
      <c r="F532" s="107" t="s">
        <v>286</v>
      </c>
      <c r="G532" s="142">
        <v>51911.152141168488</v>
      </c>
      <c r="H532" s="142">
        <v>159188.48944327913</v>
      </c>
      <c r="I532" s="142">
        <v>18.881402208832402</v>
      </c>
      <c r="J532" s="142">
        <v>51910.835192576567</v>
      </c>
      <c r="K532" s="142">
        <v>159187.20751747841</v>
      </c>
      <c r="L532" s="142">
        <v>18.869138865821263</v>
      </c>
      <c r="M532" s="145">
        <v>1.2263343011138517E-2</v>
      </c>
      <c r="N532" s="145">
        <v>1.3205834157898841</v>
      </c>
      <c r="O532" s="145">
        <v>1.2352083821163262E-3</v>
      </c>
      <c r="P532" s="145">
        <v>1.9755702263708486E-3</v>
      </c>
      <c r="Q5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7.6511059955208793E-2</v>
      </c>
      <c r="R5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-1.6680081188047424E-2</v>
      </c>
      <c r="S5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7.6779267281779084E-2</v>
      </c>
      <c r="T5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7.6458855652106195E-2</v>
      </c>
      <c r="U5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-3.4056245823421705E-7</v>
      </c>
      <c r="V5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-9.5335259184992083E-4</v>
      </c>
      <c r="W5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-2.7285316051006703E-7</v>
      </c>
      <c r="X5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-3.4056245468150337E-7</v>
      </c>
      <c r="Y532" s="162" t="str">
        <f>ReportSummary___Track[[#This Row],[Track ID]]&amp;"-"&amp;ReportSummary___Track[[#This Row],[Epoch]]</f>
        <v>250-RL-OP-0047-45825.2291666667</v>
      </c>
      <c r="Z532" s="126">
        <f>SUBTOTAL(103,ReportSummary___Track[[#This Row],[Track ID]])</f>
        <v>1</v>
      </c>
      <c r="AA532" s="114">
        <f>_xlfn.NUMBERVALUE(RIGHT(ReportSummary___Track[[#This Row],[Track ID]],4))</f>
        <v>47</v>
      </c>
      <c r="AB532" s="78"/>
    </row>
    <row r="533" spans="5:28" ht="14.25" customHeight="1" x14ac:dyDescent="0.2">
      <c r="E533" s="74">
        <v>45825.229166666664</v>
      </c>
      <c r="F533" s="107" t="s">
        <v>287</v>
      </c>
      <c r="G533" s="142">
        <v>51912.123873466815</v>
      </c>
      <c r="H533" s="142">
        <v>159188.25340570393</v>
      </c>
      <c r="I533" s="142">
        <v>18.886156520181554</v>
      </c>
      <c r="J533" s="142">
        <v>51911.806757288294</v>
      </c>
      <c r="K533" s="142">
        <v>159186.97076749388</v>
      </c>
      <c r="L533" s="142">
        <v>18.872523500824762</v>
      </c>
      <c r="M533" s="145">
        <v>1.3633019356792175E-2</v>
      </c>
      <c r="N533" s="145">
        <v>1.3213286146028067</v>
      </c>
      <c r="O533" s="145">
        <v>2.2444449998779703E-3</v>
      </c>
      <c r="P533" s="145">
        <v>3.0994148524179366E-3</v>
      </c>
      <c r="Q5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0.42705237353146686</v>
      </c>
      <c r="R5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-9.5537777341059282E-2</v>
      </c>
      <c r="S5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0.4281642654362372</v>
      </c>
      <c r="T5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0.42662459872744307</v>
      </c>
      <c r="U5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-1.9561338859830357E-6</v>
      </c>
      <c r="V5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-8.7082303616581314E-4</v>
      </c>
      <c r="W5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-1.6754352927250693E-6</v>
      </c>
      <c r="X5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-1.9561338788776084E-6</v>
      </c>
      <c r="Y533" s="162" t="str">
        <f>ReportSummary___Track[[#This Row],[Track ID]]&amp;"-"&amp;ReportSummary___Track[[#This Row],[Epoch]]</f>
        <v>250-RL-OP-0048-45825.2291666667</v>
      </c>
      <c r="Z533" s="126">
        <f>SUBTOTAL(103,ReportSummary___Track[[#This Row],[Track ID]])</f>
        <v>1</v>
      </c>
      <c r="AA533" s="114">
        <f>_xlfn.NUMBERVALUE(RIGHT(ReportSummary___Track[[#This Row],[Track ID]],4))</f>
        <v>48</v>
      </c>
      <c r="AB533" s="78"/>
    </row>
    <row r="534" spans="5:28" ht="14.25" customHeight="1" x14ac:dyDescent="0.2">
      <c r="E534" s="74">
        <v>45825.229166666664</v>
      </c>
      <c r="F534" s="107" t="s">
        <v>288</v>
      </c>
      <c r="G534" s="142">
        <v>51913.095605765142</v>
      </c>
      <c r="H534" s="142">
        <v>159188.0173681287</v>
      </c>
      <c r="I534" s="142">
        <v>18.890910831530704</v>
      </c>
      <c r="J534" s="142">
        <v>51912.77832200002</v>
      </c>
      <c r="K534" s="142">
        <v>159186.73401750936</v>
      </c>
      <c r="L534" s="142">
        <v>18.875908135828258</v>
      </c>
      <c r="M534" s="145">
        <v>1.5002695702445834E-2</v>
      </c>
      <c r="N534" s="145">
        <v>1.3220752174719781</v>
      </c>
      <c r="O534" s="145">
        <v>3.2536816176396144E-3</v>
      </c>
      <c r="P534" s="145">
        <v>4.2232594784614719E-3</v>
      </c>
      <c r="Q5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0.77759368711127763</v>
      </c>
      <c r="R5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-0.17376487955678144</v>
      </c>
      <c r="S5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0.77954926359069532</v>
      </c>
      <c r="T5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0.77679034180277995</v>
      </c>
      <c r="U5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-3.5717053172845681E-6</v>
      </c>
      <c r="V5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-7.8829767156207708E-4</v>
      </c>
      <c r="W5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-3.0780174284927853E-6</v>
      </c>
      <c r="X5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-3.571705306626427E-6</v>
      </c>
      <c r="Y534" s="162" t="str">
        <f>ReportSummary___Track[[#This Row],[Track ID]]&amp;"-"&amp;ReportSummary___Track[[#This Row],[Epoch]]</f>
        <v>250-RL-OP-0049-45825.2291666667</v>
      </c>
      <c r="Z534" s="126">
        <f>SUBTOTAL(103,ReportSummary___Track[[#This Row],[Track ID]])</f>
        <v>1</v>
      </c>
      <c r="AA534" s="114">
        <f>_xlfn.NUMBERVALUE(RIGHT(ReportSummary___Track[[#This Row],[Track ID]],4))</f>
        <v>49</v>
      </c>
      <c r="AB534" s="78"/>
    </row>
    <row r="535" spans="5:28" ht="14.25" customHeight="1" x14ac:dyDescent="0.2">
      <c r="E535" s="74">
        <v>45821.291666666664</v>
      </c>
      <c r="F535" s="107" t="s">
        <v>235</v>
      </c>
      <c r="G535" s="142">
        <v>51886.101888031983</v>
      </c>
      <c r="H535" s="142">
        <v>159195.44568170098</v>
      </c>
      <c r="I535" s="142">
        <v>18.870056339802886</v>
      </c>
      <c r="J535" s="142">
        <v>51885.743050780671</v>
      </c>
      <c r="K535" s="142">
        <v>159194.18695535802</v>
      </c>
      <c r="L535" s="142">
        <v>18.866068661183395</v>
      </c>
      <c r="M535" s="145">
        <v>3.9876786194916747E-3</v>
      </c>
      <c r="N535" s="145">
        <v>1.3088819965794494</v>
      </c>
      <c r="O535" s="145"/>
      <c r="P535" s="145"/>
      <c r="Q5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-0.28108612650257214</v>
      </c>
      <c r="R5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-1.2361798079603137</v>
      </c>
      <c r="S53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3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6.0752793018536977E-7</v>
      </c>
      <c r="V5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-5.4465253603619423E-4</v>
      </c>
      <c r="W53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3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35" s="162" t="str">
        <f>ReportSummary___Track[[#This Row],[Track ID]]&amp;"-"&amp;ReportSummary___Track[[#This Row],[Epoch]]</f>
        <v>250-RL-OP-0021-45821.2916666667</v>
      </c>
      <c r="Z535" s="126">
        <f>SUBTOTAL(103,ReportSummary___Track[[#This Row],[Track ID]])</f>
        <v>1</v>
      </c>
      <c r="AA535" s="114">
        <f>_xlfn.NUMBERVALUE(RIGHT(ReportSummary___Track[[#This Row],[Track ID]],4))</f>
        <v>21</v>
      </c>
      <c r="AB535" s="78"/>
    </row>
    <row r="536" spans="5:28" ht="14.25" customHeight="1" x14ac:dyDescent="0.2">
      <c r="E536" s="74">
        <v>45821.291666666664</v>
      </c>
      <c r="F536" s="107" t="s">
        <v>236</v>
      </c>
      <c r="G536" s="142">
        <v>51887.063534667497</v>
      </c>
      <c r="H536" s="142">
        <v>159195.17139035295</v>
      </c>
      <c r="I536" s="142">
        <v>18.870125570329904</v>
      </c>
      <c r="J536" s="142">
        <v>51886.704169507437</v>
      </c>
      <c r="K536" s="142">
        <v>159193.910819971</v>
      </c>
      <c r="L536" s="142">
        <v>18.866271378951897</v>
      </c>
      <c r="M536" s="145">
        <v>3.8541913780072434E-3</v>
      </c>
      <c r="N536" s="145">
        <v>1.3107997028102769</v>
      </c>
      <c r="O536" s="145"/>
      <c r="P536" s="145"/>
      <c r="Q5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-0.61892988469125498</v>
      </c>
      <c r="R5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-1.2291102848092095</v>
      </c>
      <c r="S53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3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8.9098184545832737E-6</v>
      </c>
      <c r="V5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-8.6932375141857143E-4</v>
      </c>
      <c r="W53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3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36" s="162" t="str">
        <f>ReportSummary___Track[[#This Row],[Track ID]]&amp;"-"&amp;ReportSummary___Track[[#This Row],[Epoch]]</f>
        <v>250-RL-OP-0022-45821.2916666667</v>
      </c>
      <c r="Z536" s="126">
        <f>SUBTOTAL(103,ReportSummary___Track[[#This Row],[Track ID]])</f>
        <v>1</v>
      </c>
      <c r="AA536" s="114">
        <f>_xlfn.NUMBERVALUE(RIGHT(ReportSummary___Track[[#This Row],[Track ID]],4))</f>
        <v>22</v>
      </c>
      <c r="AB536" s="78"/>
    </row>
    <row r="537" spans="5:28" ht="14.25" customHeight="1" x14ac:dyDescent="0.2">
      <c r="E537" s="74">
        <v>45821.291666666664</v>
      </c>
      <c r="F537" s="107" t="s">
        <v>237</v>
      </c>
      <c r="G537" s="142">
        <v>51888.025181303019</v>
      </c>
      <c r="H537" s="142">
        <v>159194.89709900491</v>
      </c>
      <c r="I537" s="142">
        <v>18.870194800856918</v>
      </c>
      <c r="J537" s="142">
        <v>51887.66528823421</v>
      </c>
      <c r="K537" s="142">
        <v>159193.63468458402</v>
      </c>
      <c r="L537" s="142">
        <v>18.866474096720399</v>
      </c>
      <c r="M537" s="145">
        <v>3.7207041365192595E-3</v>
      </c>
      <c r="N537" s="145">
        <v>1.3127174237832977</v>
      </c>
      <c r="O537" s="145"/>
      <c r="P537" s="145"/>
      <c r="Q5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-0.95677364288349054</v>
      </c>
      <c r="R5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-1.2220558270898962</v>
      </c>
      <c r="S53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3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1.721210897187575E-5</v>
      </c>
      <c r="V5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-1.1939970332104366E-3</v>
      </c>
      <c r="W53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3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37" s="162" t="str">
        <f>ReportSummary___Track[[#This Row],[Track ID]]&amp;"-"&amp;ReportSummary___Track[[#This Row],[Epoch]]</f>
        <v>250-RL-OP-0023-45821.2916666667</v>
      </c>
      <c r="Z537" s="126">
        <f>SUBTOTAL(103,ReportSummary___Track[[#This Row],[Track ID]])</f>
        <v>1</v>
      </c>
      <c r="AA537" s="114">
        <f>_xlfn.NUMBERVALUE(RIGHT(ReportSummary___Track[[#This Row],[Track ID]],4))</f>
        <v>23</v>
      </c>
      <c r="AB537" s="78"/>
    </row>
    <row r="538" spans="5:28" ht="14.25" customHeight="1" x14ac:dyDescent="0.2">
      <c r="E538" s="74">
        <v>45821.291666666664</v>
      </c>
      <c r="F538" s="107" t="s">
        <v>238</v>
      </c>
      <c r="G538" s="142">
        <v>51888.98628832103</v>
      </c>
      <c r="H538" s="142">
        <v>159194.62201573106</v>
      </c>
      <c r="I538" s="142">
        <v>18.869514730242752</v>
      </c>
      <c r="J538" s="142">
        <v>51888.625001090913</v>
      </c>
      <c r="K538" s="142">
        <v>159193.35771698906</v>
      </c>
      <c r="L538" s="142">
        <v>18.86545297618737</v>
      </c>
      <c r="M538" s="145">
        <v>4.0617540553817832E-3</v>
      </c>
      <c r="N538" s="145">
        <v>1.3149130273541991</v>
      </c>
      <c r="O538" s="145">
        <v>7.4075435890108565E-5</v>
      </c>
      <c r="P538" s="145"/>
      <c r="Q5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-0.70066750369690567</v>
      </c>
      <c r="R5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-0.85640197761671644</v>
      </c>
      <c r="S5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-0.41958137719433353</v>
      </c>
      <c r="T53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2.4572564072400382E-7</v>
      </c>
      <c r="V5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-8.6613341415131551E-4</v>
      </c>
      <c r="W5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-3.6180228946136594E-7</v>
      </c>
      <c r="X53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38" s="162" t="str">
        <f>ReportSummary___Track[[#This Row],[Track ID]]&amp;"-"&amp;ReportSummary___Track[[#This Row],[Epoch]]</f>
        <v>250-RL-OP-0024-45821.2916666667</v>
      </c>
      <c r="Z538" s="126">
        <f>SUBTOTAL(103,ReportSummary___Track[[#This Row],[Track ID]])</f>
        <v>1</v>
      </c>
      <c r="AA538" s="114">
        <f>_xlfn.NUMBERVALUE(RIGHT(ReportSummary___Track[[#This Row],[Track ID]],4))</f>
        <v>24</v>
      </c>
      <c r="AB538" s="78"/>
    </row>
    <row r="539" spans="5:28" ht="14.25" customHeight="1" x14ac:dyDescent="0.2">
      <c r="E539" s="74">
        <v>45821.291666666664</v>
      </c>
      <c r="F539" s="107" t="s">
        <v>239</v>
      </c>
      <c r="G539" s="142">
        <v>51889.947664398285</v>
      </c>
      <c r="H539" s="142">
        <v>159194.34677858101</v>
      </c>
      <c r="I539" s="142">
        <v>18.868773577574299</v>
      </c>
      <c r="J539" s="142">
        <v>51889.585741638402</v>
      </c>
      <c r="K539" s="142">
        <v>159193.08027121829</v>
      </c>
      <c r="L539" s="142">
        <v>18.864251020255072</v>
      </c>
      <c r="M539" s="145">
        <v>4.5225573192269053E-3</v>
      </c>
      <c r="N539" s="145">
        <v>1.317212753299484</v>
      </c>
      <c r="O539" s="145">
        <v>6.6836594121966186E-4</v>
      </c>
      <c r="P539" s="145"/>
      <c r="Q5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-0.35703740991621657</v>
      </c>
      <c r="R5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-0.43623701747952381</v>
      </c>
      <c r="S5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0.26189247477503841</v>
      </c>
      <c r="T53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5.2781224368914081E-7</v>
      </c>
      <c r="V5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-4.4102318316996403E-4</v>
      </c>
      <c r="W5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-8.3820062108941329E-6</v>
      </c>
      <c r="X53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39" s="162" t="str">
        <f>ReportSummary___Track[[#This Row],[Track ID]]&amp;"-"&amp;ReportSummary___Track[[#This Row],[Epoch]]</f>
        <v>250-RL-OP-0025-45821.2916666667</v>
      </c>
      <c r="Z539" s="126">
        <f>SUBTOTAL(103,ReportSummary___Track[[#This Row],[Track ID]])</f>
        <v>1</v>
      </c>
      <c r="AA539" s="114">
        <f>_xlfn.NUMBERVALUE(RIGHT(ReportSummary___Track[[#This Row],[Track ID]],4))</f>
        <v>25</v>
      </c>
      <c r="AB539" s="78"/>
    </row>
    <row r="540" spans="5:28" ht="14.25" customHeight="1" x14ac:dyDescent="0.2">
      <c r="E540" s="74">
        <v>45821.291666666664</v>
      </c>
      <c r="F540" s="107" t="s">
        <v>240</v>
      </c>
      <c r="G540" s="142">
        <v>51890.909040475541</v>
      </c>
      <c r="H540" s="142">
        <v>159194.07154143095</v>
      </c>
      <c r="I540" s="142">
        <v>18.868032424905849</v>
      </c>
      <c r="J540" s="142">
        <v>51890.546482185884</v>
      </c>
      <c r="K540" s="142">
        <v>159192.80282544752</v>
      </c>
      <c r="L540" s="142">
        <v>18.86304906432277</v>
      </c>
      <c r="M540" s="145">
        <v>4.9833605830791328E-3</v>
      </c>
      <c r="N540" s="145">
        <v>1.319512634988963</v>
      </c>
      <c r="O540" s="145">
        <v>1.2626564465598733E-3</v>
      </c>
      <c r="P540" s="145"/>
      <c r="Q5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-1.3407316128422053E-2</v>
      </c>
      <c r="R5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-1.5925560245211301E-2</v>
      </c>
      <c r="S5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0.94336632675506848</v>
      </c>
      <c r="T54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8.0989885020699148E-7</v>
      </c>
      <c r="V5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-1.5913698438341228E-5</v>
      </c>
      <c r="W5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-1.6402210121668759E-5</v>
      </c>
      <c r="X54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40" s="162" t="str">
        <f>ReportSummary___Track[[#This Row],[Track ID]]&amp;"-"&amp;ReportSummary___Track[[#This Row],[Epoch]]</f>
        <v>250-RL-OP-0026-45821.2916666667</v>
      </c>
      <c r="Z540" s="126">
        <f>SUBTOTAL(103,ReportSummary___Track[[#This Row],[Track ID]])</f>
        <v>1</v>
      </c>
      <c r="AA540" s="114">
        <f>_xlfn.NUMBERVALUE(RIGHT(ReportSummary___Track[[#This Row],[Track ID]],4))</f>
        <v>26</v>
      </c>
      <c r="AB540" s="78"/>
    </row>
    <row r="541" spans="5:28" ht="14.25" customHeight="1" x14ac:dyDescent="0.2">
      <c r="E541" s="74">
        <v>45821.291666666664</v>
      </c>
      <c r="F541" s="107" t="s">
        <v>241</v>
      </c>
      <c r="G541" s="142">
        <v>51891.870085166687</v>
      </c>
      <c r="H541" s="142">
        <v>159193.79534240576</v>
      </c>
      <c r="I541" s="142">
        <v>18.865661447731828</v>
      </c>
      <c r="J541" s="142">
        <v>51891.504353461787</v>
      </c>
      <c r="K541" s="142">
        <v>159192.52690810763</v>
      </c>
      <c r="L541" s="142">
        <v>18.861283132921656</v>
      </c>
      <c r="M541" s="145">
        <v>4.3783148101717018E-3</v>
      </c>
      <c r="N541" s="145">
        <v>1.3201153049264747</v>
      </c>
      <c r="O541" s="145">
        <v>3.1656075478991852E-4</v>
      </c>
      <c r="P541" s="145">
        <v>3.9063619068002708E-4</v>
      </c>
      <c r="Q5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-0.32463151136141732</v>
      </c>
      <c r="R5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-8.5622790527040138E-2</v>
      </c>
      <c r="S5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0.37603599233548834</v>
      </c>
      <c r="T5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-4.3545384858845182E-2</v>
      </c>
      <c r="U5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5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5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-2.4572563717129015E-7</v>
      </c>
      <c r="X5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-6.0752792663265609E-7</v>
      </c>
      <c r="Y541" s="162" t="str">
        <f>ReportSummary___Track[[#This Row],[Track ID]]&amp;"-"&amp;ReportSummary___Track[[#This Row],[Epoch]]</f>
        <v>250-RL-OP-0027-45821.2916666667</v>
      </c>
      <c r="Z541" s="126">
        <f>SUBTOTAL(103,ReportSummary___Track[[#This Row],[Track ID]])</f>
        <v>1</v>
      </c>
      <c r="AA541" s="114">
        <f>_xlfn.NUMBERVALUE(RIGHT(ReportSummary___Track[[#This Row],[Track ID]],4))</f>
        <v>27</v>
      </c>
      <c r="AB541" s="78"/>
    </row>
    <row r="542" spans="5:28" ht="14.25" customHeight="1" x14ac:dyDescent="0.2">
      <c r="E542" s="74">
        <v>45821.291666666664</v>
      </c>
      <c r="F542" s="107" t="s">
        <v>242</v>
      </c>
      <c r="G542" s="142">
        <v>51892.831165658921</v>
      </c>
      <c r="H542" s="142">
        <v>159193.51908472509</v>
      </c>
      <c r="I542" s="142">
        <v>18.863215774997911</v>
      </c>
      <c r="J542" s="142">
        <v>51892.465288045249</v>
      </c>
      <c r="K542" s="142">
        <v>159192.25013834573</v>
      </c>
      <c r="L542" s="142">
        <v>18.859487246856443</v>
      </c>
      <c r="M542" s="145">
        <v>3.7285281414689564E-3</v>
      </c>
      <c r="N542" s="145">
        <v>1.3206457677258727</v>
      </c>
      <c r="O542" s="145">
        <v>-7.940291777579489E-4</v>
      </c>
      <c r="P542" s="145">
        <v>-1.2566323653828704E-4</v>
      </c>
      <c r="Q5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-0.66420417328316717</v>
      </c>
      <c r="R5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-0.17501342233838812</v>
      </c>
      <c r="S5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-0.30716676336695059</v>
      </c>
      <c r="T5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-4.5274288591912182E-2</v>
      </c>
      <c r="U5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5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5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-5.2781224013642714E-7</v>
      </c>
      <c r="X5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-8.90981845103056E-6</v>
      </c>
      <c r="Y542" s="162" t="str">
        <f>ReportSummary___Track[[#This Row],[Track ID]]&amp;"-"&amp;ReportSummary___Track[[#This Row],[Epoch]]</f>
        <v>250-RL-OP-0028-45821.2916666667</v>
      </c>
      <c r="Z542" s="126">
        <f>SUBTOTAL(103,ReportSummary___Track[[#This Row],[Track ID]])</f>
        <v>1</v>
      </c>
      <c r="AA542" s="114">
        <f>_xlfn.NUMBERVALUE(RIGHT(ReportSummary___Track[[#This Row],[Track ID]],4))</f>
        <v>28</v>
      </c>
      <c r="AB542" s="78"/>
    </row>
    <row r="543" spans="5:28" ht="14.25" customHeight="1" x14ac:dyDescent="0.2">
      <c r="E543" s="74">
        <v>45821.291666666664</v>
      </c>
      <c r="F543" s="107" t="s">
        <v>243</v>
      </c>
      <c r="G543" s="142">
        <v>51893.791838945894</v>
      </c>
      <c r="H543" s="142">
        <v>159193.24290592305</v>
      </c>
      <c r="I543" s="142">
        <v>18.860908806466888</v>
      </c>
      <c r="J543" s="142">
        <v>51893.426692719338</v>
      </c>
      <c r="K543" s="142">
        <v>159191.97323227764</v>
      </c>
      <c r="L543" s="142">
        <v>18.857700906113323</v>
      </c>
      <c r="M543" s="145">
        <v>3.2079003535656625E-3</v>
      </c>
      <c r="N543" s="145">
        <v>1.3211408794063266</v>
      </c>
      <c r="O543" s="145">
        <v>-1.7754602295134703E-3</v>
      </c>
      <c r="P543" s="145">
        <v>-5.1280378295359696E-4</v>
      </c>
      <c r="Q5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-0.99818978642574052</v>
      </c>
      <c r="R5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-0.2577302914359425</v>
      </c>
      <c r="S5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-0.98478247029731847</v>
      </c>
      <c r="T5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-4.1416143542249984E-2</v>
      </c>
      <c r="U5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-1.5797364763869837E-5</v>
      </c>
      <c r="V5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1.6381996200243165E-5</v>
      </c>
      <c r="W5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-1.6607263614076828E-5</v>
      </c>
      <c r="X5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-3.3009473735745587E-5</v>
      </c>
      <c r="Y543" s="162" t="str">
        <f>ReportSummary___Track[[#This Row],[Track ID]]&amp;"-"&amp;ReportSummary___Track[[#This Row],[Epoch]]</f>
        <v>250-RL-OP-0029-45821.2916666667</v>
      </c>
      <c r="Z543" s="126">
        <f>SUBTOTAL(103,ReportSummary___Track[[#This Row],[Track ID]])</f>
        <v>1</v>
      </c>
      <c r="AA543" s="114">
        <f>_xlfn.NUMBERVALUE(RIGHT(ReportSummary___Track[[#This Row],[Track ID]],4))</f>
        <v>29</v>
      </c>
      <c r="AB543" s="78"/>
    </row>
    <row r="544" spans="5:28" ht="14.25" customHeight="1" x14ac:dyDescent="0.2">
      <c r="E544" s="74">
        <v>45821.291666666664</v>
      </c>
      <c r="F544" s="107" t="s">
        <v>269</v>
      </c>
      <c r="G544" s="142">
        <v>51894.752729759806</v>
      </c>
      <c r="H544" s="142">
        <v>159192.96597846717</v>
      </c>
      <c r="I544" s="142">
        <v>18.861075912100414</v>
      </c>
      <c r="J544" s="142">
        <v>51894.38758316014</v>
      </c>
      <c r="K544" s="142">
        <v>159191.69630352949</v>
      </c>
      <c r="L544" s="142">
        <v>18.857871870891774</v>
      </c>
      <c r="M544" s="145">
        <v>3.2040412086402625E-3</v>
      </c>
      <c r="N544" s="145">
        <v>1.3211422150903742</v>
      </c>
      <c r="O544" s="145">
        <v>-1.1742736015314392E-3</v>
      </c>
      <c r="P544" s="145">
        <v>-8.5771284674152071E-4</v>
      </c>
      <c r="Q5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-0.6562984823013096</v>
      </c>
      <c r="R5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0.15710127738288726</v>
      </c>
      <c r="S5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-0.33166697093989228</v>
      </c>
      <c r="T5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4.4369021395596064E-2</v>
      </c>
      <c r="U5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-7.8640913692140657E-6</v>
      </c>
      <c r="V5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2.4279015472439269E-4</v>
      </c>
      <c r="W5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-7.8640913727667794E-6</v>
      </c>
      <c r="X5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-8.1098170099380695E-6</v>
      </c>
      <c r="Y544" s="162" t="str">
        <f>ReportSummary___Track[[#This Row],[Track ID]]&amp;"-"&amp;ReportSummary___Track[[#This Row],[Epoch]]</f>
        <v>250-RL-OP-0030-45821.2916666667</v>
      </c>
      <c r="Z544" s="126">
        <f>SUBTOTAL(103,ReportSummary___Track[[#This Row],[Track ID]])</f>
        <v>1</v>
      </c>
      <c r="AA544" s="114">
        <f>_xlfn.NUMBERVALUE(RIGHT(ReportSummary___Track[[#This Row],[Track ID]],4))</f>
        <v>30</v>
      </c>
      <c r="AB544" s="78"/>
    </row>
    <row r="545" spans="5:28" ht="14.25" customHeight="1" x14ac:dyDescent="0.2">
      <c r="E545" s="74">
        <v>45821.291666666664</v>
      </c>
      <c r="F545" s="107" t="s">
        <v>270</v>
      </c>
      <c r="G545" s="142">
        <v>51895.713620573719</v>
      </c>
      <c r="H545" s="142">
        <v>159192.68905101132</v>
      </c>
      <c r="I545" s="142">
        <v>18.861243017733944</v>
      </c>
      <c r="J545" s="142">
        <v>51895.348473600949</v>
      </c>
      <c r="K545" s="142">
        <v>159191.41937478137</v>
      </c>
      <c r="L545" s="142">
        <v>18.858042835670226</v>
      </c>
      <c r="M545" s="145">
        <v>3.2001820637184153E-3</v>
      </c>
      <c r="N545" s="145">
        <v>1.3211435507837024</v>
      </c>
      <c r="O545" s="145">
        <v>-5.283460777505411E-4</v>
      </c>
      <c r="P545" s="145">
        <v>-1.32237525550849E-3</v>
      </c>
      <c r="Q5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-0.31440717817332597</v>
      </c>
      <c r="R5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0.57184299044976683</v>
      </c>
      <c r="S5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0.34979699510984119</v>
      </c>
      <c r="T5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4.2630231742890601E-2</v>
      </c>
      <c r="U5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6.9182028994418943E-8</v>
      </c>
      <c r="V5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4.6919825273339377E-4</v>
      </c>
      <c r="W5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6.9182025441705264E-8</v>
      </c>
      <c r="X5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-4.5863021469472187E-7</v>
      </c>
      <c r="Y545" s="162" t="str">
        <f>ReportSummary___Track[[#This Row],[Track ID]]&amp;"-"&amp;ReportSummary___Track[[#This Row],[Epoch]]</f>
        <v>250-RL-OP-0031-45821.2916666667</v>
      </c>
      <c r="Z545" s="126">
        <f>SUBTOTAL(103,ReportSummary___Track[[#This Row],[Track ID]])</f>
        <v>1</v>
      </c>
      <c r="AA545" s="114">
        <f>_xlfn.NUMBERVALUE(RIGHT(ReportSummary___Track[[#This Row],[Track ID]],4))</f>
        <v>31</v>
      </c>
      <c r="AB545" s="78"/>
    </row>
    <row r="546" spans="5:28" ht="14.25" customHeight="1" x14ac:dyDescent="0.2">
      <c r="E546" s="74">
        <v>45821.291666666664</v>
      </c>
      <c r="F546" s="107" t="s">
        <v>271</v>
      </c>
      <c r="G546" s="142">
        <v>51896.675400289481</v>
      </c>
      <c r="H546" s="142">
        <v>159192.41188835373</v>
      </c>
      <c r="I546" s="142">
        <v>18.861498357934735</v>
      </c>
      <c r="J546" s="142">
        <v>51896.309521418087</v>
      </c>
      <c r="K546" s="142">
        <v>159191.14270884954</v>
      </c>
      <c r="L546" s="142">
        <v>18.858247340168667</v>
      </c>
      <c r="M546" s="145">
        <v>3.2510177660682871E-3</v>
      </c>
      <c r="N546" s="145">
        <v>1.3208688547716598</v>
      </c>
      <c r="O546" s="145">
        <v>4.3117412502624575E-5</v>
      </c>
      <c r="P546" s="145">
        <v>-1.7323428170108457E-3</v>
      </c>
      <c r="Q5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5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0.96083811086278281</v>
      </c>
      <c r="S5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0.99818978642574052</v>
      </c>
      <c r="T5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1.3407316128422053E-2</v>
      </c>
      <c r="U5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-5.8026000004929301E-8</v>
      </c>
      <c r="V5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6.7625940852567012E-4</v>
      </c>
      <c r="W5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1.5739338763864907E-5</v>
      </c>
      <c r="X5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-8.6792485021192078E-7</v>
      </c>
      <c r="Y546" s="162" t="str">
        <f>ReportSummary___Track[[#This Row],[Track ID]]&amp;"-"&amp;ReportSummary___Track[[#This Row],[Epoch]]</f>
        <v>250-RL-OP-0032-45821.2916666667</v>
      </c>
      <c r="Z546" s="126">
        <f>SUBTOTAL(103,ReportSummary___Track[[#This Row],[Track ID]])</f>
        <v>1</v>
      </c>
      <c r="AA546" s="114">
        <f>_xlfn.NUMBERVALUE(RIGHT(ReportSummary___Track[[#This Row],[Track ID]],4))</f>
        <v>32</v>
      </c>
      <c r="AB546" s="78"/>
    </row>
    <row r="547" spans="5:28" ht="14.25" customHeight="1" x14ac:dyDescent="0.2">
      <c r="E547" s="74">
        <v>45821.291666666664</v>
      </c>
      <c r="F547" s="107" t="s">
        <v>272</v>
      </c>
      <c r="G547" s="142">
        <v>51897.636380606236</v>
      </c>
      <c r="H547" s="142">
        <v>159192.13527621914</v>
      </c>
      <c r="I547" s="142">
        <v>18.863097673946701</v>
      </c>
      <c r="J547" s="142">
        <v>51897.271420156809</v>
      </c>
      <c r="K547" s="142">
        <v>159190.8693035219</v>
      </c>
      <c r="L547" s="142">
        <v>18.858833233345244</v>
      </c>
      <c r="M547" s="145">
        <v>4.2644406014566982E-3</v>
      </c>
      <c r="N547" s="145">
        <v>1.317536028062456</v>
      </c>
      <c r="O547" s="145">
        <v>1.0603993928164357E-3</v>
      </c>
      <c r="P547" s="145">
        <v>-1.1387420871500353E-4</v>
      </c>
      <c r="Q5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5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0.96083469282604028</v>
      </c>
      <c r="S5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0.65629848230486232</v>
      </c>
      <c r="T5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0.32463151136497004</v>
      </c>
      <c r="U5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-9.4060393251993446E-7</v>
      </c>
      <c r="V5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5.3240203912929829E-4</v>
      </c>
      <c r="W5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6.9234874366941312E-6</v>
      </c>
      <c r="X5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-9.4060393607264814E-7</v>
      </c>
      <c r="Y547" s="162" t="str">
        <f>ReportSummary___Track[[#This Row],[Track ID]]&amp;"-"&amp;ReportSummary___Track[[#This Row],[Epoch]]</f>
        <v>250-RL-OP-0033-45821.2916666667</v>
      </c>
      <c r="Z547" s="126">
        <f>SUBTOTAL(103,ReportSummary___Track[[#This Row],[Track ID]])</f>
        <v>1</v>
      </c>
      <c r="AA547" s="114">
        <f>_xlfn.NUMBERVALUE(RIGHT(ReportSummary___Track[[#This Row],[Track ID]],4))</f>
        <v>33</v>
      </c>
      <c r="AB547" s="78"/>
    </row>
    <row r="548" spans="5:28" ht="14.25" customHeight="1" x14ac:dyDescent="0.2">
      <c r="E548" s="74">
        <v>45821.291666666664</v>
      </c>
      <c r="F548" s="107" t="s">
        <v>273</v>
      </c>
      <c r="G548" s="142">
        <v>51898.597360922991</v>
      </c>
      <c r="H548" s="142">
        <v>159191.85866408455</v>
      </c>
      <c r="I548" s="142">
        <v>18.864696989958667</v>
      </c>
      <c r="J548" s="142">
        <v>51898.233318895531</v>
      </c>
      <c r="K548" s="142">
        <v>159190.59589819427</v>
      </c>
      <c r="L548" s="142">
        <v>18.859419126521821</v>
      </c>
      <c r="M548" s="145">
        <v>5.2778634368451094E-3</v>
      </c>
      <c r="N548" s="145">
        <v>1.3142039975782294</v>
      </c>
      <c r="O548" s="145">
        <v>2.0776813731266941E-3</v>
      </c>
      <c r="P548" s="145">
        <v>1.549335295376153E-3</v>
      </c>
      <c r="Q5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7.1054273576010019E-12</v>
      </c>
      <c r="R5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0.96083067488406115</v>
      </c>
      <c r="S5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0.3144071781804314</v>
      </c>
      <c r="T5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0.66420417329027259</v>
      </c>
      <c r="U5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-1.8231818685876533E-6</v>
      </c>
      <c r="V5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3.885436231394479E-4</v>
      </c>
      <c r="W5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-1.8923638975820722E-6</v>
      </c>
      <c r="X5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-1.823181872140367E-6</v>
      </c>
      <c r="Y548" s="162" t="str">
        <f>ReportSummary___Track[[#This Row],[Track ID]]&amp;"-"&amp;ReportSummary___Track[[#This Row],[Epoch]]</f>
        <v>250-RL-OP-0034-45821.2916666667</v>
      </c>
      <c r="Z548" s="126">
        <f>SUBTOTAL(103,ReportSummary___Track[[#This Row],[Track ID]])</f>
        <v>1</v>
      </c>
      <c r="AA548" s="114">
        <f>_xlfn.NUMBERVALUE(RIGHT(ReportSummary___Track[[#This Row],[Track ID]],4))</f>
        <v>34</v>
      </c>
      <c r="AB548" s="78"/>
    </row>
    <row r="549" spans="5:28" ht="14.25" customHeight="1" x14ac:dyDescent="0.2">
      <c r="E549" s="74">
        <v>45821.291666666664</v>
      </c>
      <c r="F549" s="107" t="s">
        <v>274</v>
      </c>
      <c r="G549" s="142">
        <v>51899.558748431518</v>
      </c>
      <c r="H549" s="142">
        <v>159191.58337758735</v>
      </c>
      <c r="I549" s="142">
        <v>18.866</v>
      </c>
      <c r="J549" s="142">
        <v>51899.203488344778</v>
      </c>
      <c r="K549" s="142">
        <v>159190.32067680615</v>
      </c>
      <c r="L549" s="142">
        <v>18.859777416319687</v>
      </c>
      <c r="M549" s="145">
        <v>6.2225836803122547E-3</v>
      </c>
      <c r="N549" s="145">
        <v>1.3117399561705241</v>
      </c>
      <c r="O549" s="145">
        <v>2.9715659142439677E-3</v>
      </c>
      <c r="P549" s="145">
        <v>3.0146833267465922E-3</v>
      </c>
      <c r="Q5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5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0.90395997263992278</v>
      </c>
      <c r="S5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2.1697356800132184E-5</v>
      </c>
      <c r="T5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0.99821148378254065</v>
      </c>
      <c r="U5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5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2.5387826987421924E-4</v>
      </c>
      <c r="W5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3.8670917135164018E-7</v>
      </c>
      <c r="X5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1.6126047935216548E-5</v>
      </c>
      <c r="Y549" s="162" t="str">
        <f>ReportSummary___Track[[#This Row],[Track ID]]&amp;"-"&amp;ReportSummary___Track[[#This Row],[Epoch]]</f>
        <v>250-RL-OP-0035-45821.2916666667</v>
      </c>
      <c r="Z549" s="126">
        <f>SUBTOTAL(103,ReportSummary___Track[[#This Row],[Track ID]])</f>
        <v>1</v>
      </c>
      <c r="AA549" s="114">
        <f>_xlfn.NUMBERVALUE(RIGHT(ReportSummary___Track[[#This Row],[Track ID]],4))</f>
        <v>35</v>
      </c>
      <c r="AB549" s="78"/>
    </row>
    <row r="550" spans="5:28" ht="14.25" customHeight="1" x14ac:dyDescent="0.2">
      <c r="E550" s="74">
        <v>45821.291666666664</v>
      </c>
      <c r="F550" s="107" t="s">
        <v>275</v>
      </c>
      <c r="G550" s="142">
        <v>51900.521772886575</v>
      </c>
      <c r="H550" s="142">
        <v>159191.31396359557</v>
      </c>
      <c r="I550" s="142">
        <v>18.866</v>
      </c>
      <c r="J550" s="142">
        <v>51900.166132696293</v>
      </c>
      <c r="K550" s="142">
        <v>159190.04990859167</v>
      </c>
      <c r="L550" s="142">
        <v>18.859124333313233</v>
      </c>
      <c r="M550" s="145">
        <v>6.8756666867670901E-3</v>
      </c>
      <c r="N550" s="145">
        <v>1.3131497525562015</v>
      </c>
      <c r="O550" s="145">
        <v>2.6112260853103919E-3</v>
      </c>
      <c r="P550" s="145">
        <v>3.6716254781268276E-3</v>
      </c>
      <c r="Q5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5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0.5957091384767299</v>
      </c>
      <c r="S5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1.3729328784961581E-4</v>
      </c>
      <c r="T5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0.65643577559271193</v>
      </c>
      <c r="U5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5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1.6431831247820661E-4</v>
      </c>
      <c r="W5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7.2724287534242649E-6</v>
      </c>
      <c r="X5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1.4195916190118396E-5</v>
      </c>
      <c r="Y550" s="162" t="str">
        <f>ReportSummary___Track[[#This Row],[Track ID]]&amp;"-"&amp;ReportSummary___Track[[#This Row],[Epoch]]</f>
        <v>250-RL-OP-0036-45821.2916666667</v>
      </c>
      <c r="Z550" s="126">
        <f>SUBTOTAL(103,ReportSummary___Track[[#This Row],[Track ID]])</f>
        <v>1</v>
      </c>
      <c r="AA550" s="114">
        <f>_xlfn.NUMBERVALUE(RIGHT(ReportSummary___Track[[#This Row],[Track ID]],4))</f>
        <v>36</v>
      </c>
      <c r="AB550" s="78"/>
    </row>
    <row r="551" spans="5:28" ht="14.25" customHeight="1" x14ac:dyDescent="0.2">
      <c r="E551" s="74">
        <v>45821.291666666664</v>
      </c>
      <c r="F551" s="107" t="s">
        <v>276</v>
      </c>
      <c r="G551" s="142">
        <v>51901.484797341633</v>
      </c>
      <c r="H551" s="142">
        <v>159191.0445496038</v>
      </c>
      <c r="I551" s="142">
        <v>18.866</v>
      </c>
      <c r="J551" s="142">
        <v>51901.128777047808</v>
      </c>
      <c r="K551" s="142">
        <v>159189.77914037718</v>
      </c>
      <c r="L551" s="142">
        <v>18.858471250306778</v>
      </c>
      <c r="M551" s="145">
        <v>7.5287496932219256E-3</v>
      </c>
      <c r="N551" s="145">
        <v>1.3145598664545886</v>
      </c>
      <c r="O551" s="145">
        <v>2.2508862563768162E-3</v>
      </c>
      <c r="P551" s="145">
        <v>4.3285676295035103E-3</v>
      </c>
      <c r="Q5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2.5288922955724047E-4</v>
      </c>
      <c r="R5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0.28745986163114523</v>
      </c>
      <c r="S5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2.5288922245181311E-4</v>
      </c>
      <c r="T5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0.31466006740288321</v>
      </c>
      <c r="U5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1.2334966477567377E-5</v>
      </c>
      <c r="V5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7.476467170297596E-5</v>
      </c>
      <c r="W5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1.4158148346155031E-5</v>
      </c>
      <c r="X5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1.2265784448572958E-5</v>
      </c>
      <c r="Y551" s="162" t="str">
        <f>ReportSummary___Track[[#This Row],[Track ID]]&amp;"-"&amp;ReportSummary___Track[[#This Row],[Epoch]]</f>
        <v>250-RL-OP-0037-45821.2916666667</v>
      </c>
      <c r="Z551" s="126">
        <f>SUBTOTAL(103,ReportSummary___Track[[#This Row],[Track ID]])</f>
        <v>1</v>
      </c>
      <c r="AA551" s="114">
        <f>_xlfn.NUMBERVALUE(RIGHT(ReportSummary___Track[[#This Row],[Track ID]],4))</f>
        <v>37</v>
      </c>
      <c r="AB551" s="78"/>
    </row>
    <row r="552" spans="5:28" ht="14.25" customHeight="1" x14ac:dyDescent="0.2">
      <c r="E552" s="74">
        <v>45821.291666666664</v>
      </c>
      <c r="F552" s="107" t="s">
        <v>277</v>
      </c>
      <c r="G552" s="142">
        <v>51902.447765839897</v>
      </c>
      <c r="H552" s="142">
        <v>159190.77623041449</v>
      </c>
      <c r="I552" s="142">
        <v>18.866065372992377</v>
      </c>
      <c r="J552" s="142">
        <v>51902.099872443272</v>
      </c>
      <c r="K552" s="142">
        <v>159189.50704742008</v>
      </c>
      <c r="L552" s="142">
        <v>18.857900000000001</v>
      </c>
      <c r="M552" s="145">
        <v>8.1653729923765184E-3</v>
      </c>
      <c r="N552" s="145">
        <v>1.3160250613221585</v>
      </c>
      <c r="O552" s="145">
        <v>1.9427893120642636E-3</v>
      </c>
      <c r="P552" s="145">
        <v>4.9143552263082313E-3</v>
      </c>
      <c r="Q5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5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-3.7007772890618185E-4</v>
      </c>
      <c r="S5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-5.945166836696103E-2</v>
      </c>
      <c r="T5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-5.9429971010160898E-2</v>
      </c>
      <c r="U5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5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-5.7698655555382672E-5</v>
      </c>
      <c r="W5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-5.9769592258618331E-5</v>
      </c>
      <c r="X5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-5.9382883087266691E-5</v>
      </c>
      <c r="Y552" s="162" t="str">
        <f>ReportSummary___Track[[#This Row],[Track ID]]&amp;"-"&amp;ReportSummary___Track[[#This Row],[Epoch]]</f>
        <v>250-RL-OP-0038-45821.2916666667</v>
      </c>
      <c r="Z552" s="126">
        <f>SUBTOTAL(103,ReportSummary___Track[[#This Row],[Track ID]])</f>
        <v>1</v>
      </c>
      <c r="AA552" s="114">
        <f>_xlfn.NUMBERVALUE(RIGHT(ReportSummary___Track[[#This Row],[Track ID]],4))</f>
        <v>38</v>
      </c>
      <c r="AB552" s="78"/>
    </row>
    <row r="553" spans="5:28" ht="14.25" customHeight="1" x14ac:dyDescent="0.2">
      <c r="E553" s="74">
        <v>45821.291666666664</v>
      </c>
      <c r="F553" s="107" t="s">
        <v>278</v>
      </c>
      <c r="G553" s="142">
        <v>51903.412339888513</v>
      </c>
      <c r="H553" s="142">
        <v>159190.51241841505</v>
      </c>
      <c r="I553" s="142">
        <v>18.86643099375512</v>
      </c>
      <c r="J553" s="142">
        <v>51903.064539433311</v>
      </c>
      <c r="K553" s="142">
        <v>159189.24357522361</v>
      </c>
      <c r="L553" s="142">
        <v>18.857900000000001</v>
      </c>
      <c r="M553" s="145">
        <v>8.5309937551194537E-3</v>
      </c>
      <c r="N553" s="145">
        <v>1.3156751038779333</v>
      </c>
      <c r="O553" s="145">
        <v>1.6553270683523635E-3</v>
      </c>
      <c r="P553" s="145">
        <v>4.2665531536627554E-3</v>
      </c>
      <c r="Q5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-0.39181235921503799</v>
      </c>
      <c r="R5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-2.5987867384724694E-3</v>
      </c>
      <c r="S5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-0.39194965250644032</v>
      </c>
      <c r="T5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-0.3918123592185907</v>
      </c>
      <c r="U5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-3.9188447220084299E-4</v>
      </c>
      <c r="V5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-3.8055573054318614E-4</v>
      </c>
      <c r="W5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-3.9821629702174732E-4</v>
      </c>
      <c r="X5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-3.9094386826832306E-4</v>
      </c>
      <c r="Y553" s="162" t="str">
        <f>ReportSummary___Track[[#This Row],[Track ID]]&amp;"-"&amp;ReportSummary___Track[[#This Row],[Epoch]]</f>
        <v>250-RL-OP-0039-45821.2916666667</v>
      </c>
      <c r="Z553" s="126">
        <f>SUBTOTAL(103,ReportSummary___Track[[#This Row],[Track ID]])</f>
        <v>1</v>
      </c>
      <c r="AA553" s="114">
        <f>_xlfn.NUMBERVALUE(RIGHT(ReportSummary___Track[[#This Row],[Track ID]],4))</f>
        <v>39</v>
      </c>
      <c r="AB553" s="78"/>
    </row>
    <row r="554" spans="5:28" ht="14.25" customHeight="1" x14ac:dyDescent="0.2">
      <c r="E554" s="74">
        <v>45821.291666666664</v>
      </c>
      <c r="F554" s="107" t="s">
        <v>279</v>
      </c>
      <c r="G554" s="142">
        <v>51904.376913937129</v>
      </c>
      <c r="H554" s="142">
        <v>159190.24860641561</v>
      </c>
      <c r="I554" s="142">
        <v>18.866796614517863</v>
      </c>
      <c r="J554" s="142">
        <v>51904.029206423358</v>
      </c>
      <c r="K554" s="142">
        <v>159188.9801030271</v>
      </c>
      <c r="L554" s="142">
        <v>18.857900000000001</v>
      </c>
      <c r="M554" s="145">
        <v>8.896614517862389E-3</v>
      </c>
      <c r="N554" s="145">
        <v>1.3153252493336465</v>
      </c>
      <c r="O554" s="145">
        <v>1.3678648246404634E-3</v>
      </c>
      <c r="P554" s="145">
        <v>3.6187510810172796E-3</v>
      </c>
      <c r="Q5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-0.72419474741636236</v>
      </c>
      <c r="R5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-5.0974559946403986E-3</v>
      </c>
      <c r="S5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-0.7244476366459196</v>
      </c>
      <c r="T5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-0.72419474742346779</v>
      </c>
      <c r="U5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-7.2432803531441436E-4</v>
      </c>
      <c r="V5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-7.036804088513815E-4</v>
      </c>
      <c r="W5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-7.3666300179198174E-4</v>
      </c>
      <c r="X5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-7.2250485344582671E-4</v>
      </c>
      <c r="Y554" s="162" t="str">
        <f>ReportSummary___Track[[#This Row],[Track ID]]&amp;"-"&amp;ReportSummary___Track[[#This Row],[Epoch]]</f>
        <v>250-RL-OP-0040-45821.2916666667</v>
      </c>
      <c r="Z554" s="126">
        <f>SUBTOTAL(103,ReportSummary___Track[[#This Row],[Track ID]])</f>
        <v>1</v>
      </c>
      <c r="AA554" s="114">
        <f>_xlfn.NUMBERVALUE(RIGHT(ReportSummary___Track[[#This Row],[Track ID]],4))</f>
        <v>40</v>
      </c>
      <c r="AB554" s="78"/>
    </row>
    <row r="555" spans="5:28" ht="14.25" customHeight="1" x14ac:dyDescent="0.2">
      <c r="E555" s="74">
        <v>45821.291666666664</v>
      </c>
      <c r="F555" s="107" t="s">
        <v>280</v>
      </c>
      <c r="G555" s="142">
        <v>51905.341856193925</v>
      </c>
      <c r="H555" s="142">
        <v>159189.98623491602</v>
      </c>
      <c r="I555" s="142">
        <v>18.867392432941728</v>
      </c>
      <c r="J555" s="142">
        <v>51905.003852351983</v>
      </c>
      <c r="K555" s="142">
        <v>159188.71495702621</v>
      </c>
      <c r="L555" s="142">
        <v>18.858054709071411</v>
      </c>
      <c r="M555" s="145">
        <v>9.3377238703169496E-3</v>
      </c>
      <c r="N555" s="145">
        <v>1.315477579961768</v>
      </c>
      <c r="O555" s="145">
        <v>1.1723508779404312E-3</v>
      </c>
      <c r="P555" s="145">
        <v>3.1151401900046949E-3</v>
      </c>
      <c r="Q5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-0.94999671014761589</v>
      </c>
      <c r="R5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3.7806660020400784E-2</v>
      </c>
      <c r="S5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-0.89056673913745499</v>
      </c>
      <c r="T5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-0.95001840750441602</v>
      </c>
      <c r="U5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-9.500489144542712E-4</v>
      </c>
      <c r="V5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-8.67572219196866E-4</v>
      </c>
      <c r="W5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-8.9060800536699958E-4</v>
      </c>
      <c r="X5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-9.5037759762561791E-4</v>
      </c>
      <c r="Y555" s="162" t="str">
        <f>ReportSummary___Track[[#This Row],[Track ID]]&amp;"-"&amp;ReportSummary___Track[[#This Row],[Epoch]]</f>
        <v>250-RL-OP-0041-45821.2916666667</v>
      </c>
      <c r="Z555" s="126">
        <f>SUBTOTAL(103,ReportSummary___Track[[#This Row],[Track ID]])</f>
        <v>1</v>
      </c>
      <c r="AA555" s="114">
        <f>_xlfn.NUMBERVALUE(RIGHT(ReportSummary___Track[[#This Row],[Track ID]],4))</f>
        <v>41</v>
      </c>
      <c r="AB555" s="78"/>
    </row>
    <row r="556" spans="5:28" ht="14.25" customHeight="1" x14ac:dyDescent="0.2">
      <c r="E556" s="74">
        <v>45821.291666666664</v>
      </c>
      <c r="F556" s="107" t="s">
        <v>281</v>
      </c>
      <c r="G556" s="142">
        <v>51906.308696346234</v>
      </c>
      <c r="H556" s="142">
        <v>159189.73085839444</v>
      </c>
      <c r="I556" s="142">
        <v>18.869110605337301</v>
      </c>
      <c r="J556" s="142">
        <v>51905.970416035314</v>
      </c>
      <c r="K556" s="142">
        <v>159188.45853275422</v>
      </c>
      <c r="L556" s="142">
        <v>18.859167723973648</v>
      </c>
      <c r="M556" s="145">
        <v>9.9428813636528446E-3</v>
      </c>
      <c r="N556" s="145">
        <v>1.3165655944227044</v>
      </c>
      <c r="O556" s="145">
        <v>1.4118876085333909E-3</v>
      </c>
      <c r="P556" s="145">
        <v>3.0672146768857544E-3</v>
      </c>
      <c r="Q5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-0.59029536591737042</v>
      </c>
      <c r="R5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0.28718649753600722</v>
      </c>
      <c r="S5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-0.19848300670233243</v>
      </c>
      <c r="T5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-0.59043265920877275</v>
      </c>
      <c r="U5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-5.9072314072849963E-4</v>
      </c>
      <c r="V5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-1.7904641732990889E-4</v>
      </c>
      <c r="W5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-1.9883866852765664E-4</v>
      </c>
      <c r="X5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-5.9705496554940396E-4</v>
      </c>
      <c r="Y556" s="162" t="str">
        <f>ReportSummary___Track[[#This Row],[Track ID]]&amp;"-"&amp;ReportSummary___Track[[#This Row],[Epoch]]</f>
        <v>250-RL-OP-0042-45821.2916666667</v>
      </c>
      <c r="Z556" s="126">
        <f>SUBTOTAL(103,ReportSummary___Track[[#This Row],[Track ID]])</f>
        <v>1</v>
      </c>
      <c r="AA556" s="114">
        <f>_xlfn.NUMBERVALUE(RIGHT(ReportSummary___Track[[#This Row],[Track ID]],4))</f>
        <v>42</v>
      </c>
      <c r="AB556" s="78"/>
    </row>
    <row r="557" spans="5:28" ht="14.25" customHeight="1" x14ac:dyDescent="0.2">
      <c r="E557" s="74">
        <v>45821.291666666664</v>
      </c>
      <c r="F557" s="107" t="s">
        <v>282</v>
      </c>
      <c r="G557" s="142">
        <v>51907.275536498542</v>
      </c>
      <c r="H557" s="142">
        <v>159189.47548187288</v>
      </c>
      <c r="I557" s="142">
        <v>18.870828777732875</v>
      </c>
      <c r="J557" s="142">
        <v>51906.936979718637</v>
      </c>
      <c r="K557" s="142">
        <v>159188.20210848222</v>
      </c>
      <c r="L557" s="142">
        <v>18.860280738875886</v>
      </c>
      <c r="M557" s="145">
        <v>1.054803885698874E-2</v>
      </c>
      <c r="N557" s="145">
        <v>1.3176538795888009</v>
      </c>
      <c r="O557" s="145">
        <v>1.6514243391263506E-3</v>
      </c>
      <c r="P557" s="145">
        <v>3.019289163766814E-3</v>
      </c>
      <c r="Q5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-0.23059402168712495</v>
      </c>
      <c r="R5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0.53679376317550265</v>
      </c>
      <c r="S5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0.49360072572923741</v>
      </c>
      <c r="T5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-0.23084691091668219</v>
      </c>
      <c r="U5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-2.3139736700628077E-4</v>
      </c>
      <c r="V5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5.0970537980266073E-4</v>
      </c>
      <c r="W5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4.9293066830813359E-4</v>
      </c>
      <c r="X5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-2.4373233348384815E-4</v>
      </c>
      <c r="Y557" s="162" t="str">
        <f>ReportSummary___Track[[#This Row],[Track ID]]&amp;"-"&amp;ReportSummary___Track[[#This Row],[Epoch]]</f>
        <v>250-RL-OP-0043-45821.2916666667</v>
      </c>
      <c r="Z557" s="126">
        <f>SUBTOTAL(103,ReportSummary___Track[[#This Row],[Track ID]])</f>
        <v>1</v>
      </c>
      <c r="AA557" s="114">
        <f>_xlfn.NUMBERVALUE(RIGHT(ReportSummary___Track[[#This Row],[Track ID]],4))</f>
        <v>43</v>
      </c>
      <c r="AB557" s="78"/>
    </row>
    <row r="558" spans="5:28" ht="14.25" customHeight="1" x14ac:dyDescent="0.2">
      <c r="E558" s="74">
        <v>45821.291666666664</v>
      </c>
      <c r="F558" s="107" t="s">
        <v>283</v>
      </c>
      <c r="G558" s="142">
        <v>51908.24281274675</v>
      </c>
      <c r="H558" s="142">
        <v>159189.22352581975</v>
      </c>
      <c r="I558" s="142">
        <v>18.872961662236339</v>
      </c>
      <c r="J558" s="142">
        <v>51907.905517584324</v>
      </c>
      <c r="K558" s="142">
        <v>159187.94920456348</v>
      </c>
      <c r="L558" s="142">
        <v>18.861831288624526</v>
      </c>
      <c r="M558" s="145">
        <v>1.1130373611813127E-2</v>
      </c>
      <c r="N558" s="145">
        <v>1.3182513326289838</v>
      </c>
      <c r="O558" s="145">
        <v>1.7926497414961773E-3</v>
      </c>
      <c r="P558" s="145">
        <v>2.9650006194366085E-3</v>
      </c>
      <c r="Q5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0.10197077546436617</v>
      </c>
      <c r="R5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0.62729083156165544</v>
      </c>
      <c r="S5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1.0519674856119821</v>
      </c>
      <c r="T5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0.16140074647452707</v>
      </c>
      <c r="U5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1.0217127349321231E-4</v>
      </c>
      <c r="V5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7.5944862798960067E-4</v>
      </c>
      <c r="W5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1.0522201879474835E-3</v>
      </c>
      <c r="X5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1.6161218258048393E-4</v>
      </c>
      <c r="Y558" s="162" t="str">
        <f>ReportSummary___Track[[#This Row],[Track ID]]&amp;"-"&amp;ReportSummary___Track[[#This Row],[Epoch]]</f>
        <v>250-RL-OP-0044-45821.2916666667</v>
      </c>
      <c r="Z558" s="126">
        <f>SUBTOTAL(103,ReportSummary___Track[[#This Row],[Track ID]])</f>
        <v>1</v>
      </c>
      <c r="AA558" s="114">
        <f>_xlfn.NUMBERVALUE(RIGHT(ReportSummary___Track[[#This Row],[Track ID]],4))</f>
        <v>44</v>
      </c>
      <c r="AB558" s="78"/>
    </row>
    <row r="559" spans="5:28" ht="14.25" customHeight="1" x14ac:dyDescent="0.2">
      <c r="E559" s="74">
        <v>45821.291666666664</v>
      </c>
      <c r="F559" s="107" t="s">
        <v>284</v>
      </c>
      <c r="G559" s="142">
        <v>51909.212340103608</v>
      </c>
      <c r="H559" s="142">
        <v>159188.97856142768</v>
      </c>
      <c r="I559" s="142">
        <v>18.875986708591611</v>
      </c>
      <c r="J559" s="142">
        <v>51908.874845612292</v>
      </c>
      <c r="K559" s="142">
        <v>159187.70344515948</v>
      </c>
      <c r="L559" s="142">
        <v>18.864174266709448</v>
      </c>
      <c r="M559" s="145">
        <v>1.1812441882163682E-2</v>
      </c>
      <c r="N559" s="145">
        <v>1.3190767842965574</v>
      </c>
      <c r="O559" s="145">
        <v>1.8695605185108377E-3</v>
      </c>
      <c r="P559" s="145">
        <v>3.2814481270442286E-3</v>
      </c>
      <c r="Q5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0.42275563334470689</v>
      </c>
      <c r="R5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0.40214518055292636</v>
      </c>
      <c r="S5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1.0130509992620773</v>
      </c>
      <c r="T5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0.81456799255974488</v>
      </c>
      <c r="U5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4.2358682665621927E-4</v>
      </c>
      <c r="V5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1.4344842571456518E-4</v>
      </c>
      <c r="W5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1.0143099673847189E-3</v>
      </c>
      <c r="X5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8.1547129885706227E-4</v>
      </c>
      <c r="Y559" s="162" t="str">
        <f>ReportSummary___Track[[#This Row],[Track ID]]&amp;"-"&amp;ReportSummary___Track[[#This Row],[Epoch]]</f>
        <v>250-RL-OP-0045-45821.2916666667</v>
      </c>
      <c r="Z559" s="126">
        <f>SUBTOTAL(103,ReportSummary___Track[[#This Row],[Track ID]])</f>
        <v>1</v>
      </c>
      <c r="AA559" s="114">
        <f>_xlfn.NUMBERVALUE(RIGHT(ReportSummary___Track[[#This Row],[Track ID]],4))</f>
        <v>45</v>
      </c>
      <c r="AB559" s="78"/>
    </row>
    <row r="560" spans="5:28" ht="14.25" customHeight="1" x14ac:dyDescent="0.2">
      <c r="E560" s="74">
        <v>45821.291666666664</v>
      </c>
      <c r="F560" s="107" t="s">
        <v>285</v>
      </c>
      <c r="G560" s="142">
        <v>51910.181867460473</v>
      </c>
      <c r="H560" s="142">
        <v>159188.73359703558</v>
      </c>
      <c r="I560" s="142">
        <v>18.87901175494688</v>
      </c>
      <c r="J560" s="142">
        <v>51909.84417364026</v>
      </c>
      <c r="K560" s="142">
        <v>159187.45768575551</v>
      </c>
      <c r="L560" s="142">
        <v>18.866517244794366</v>
      </c>
      <c r="M560" s="145">
        <v>1.2494510152514238E-2</v>
      </c>
      <c r="N560" s="145">
        <v>1.3199025811039198</v>
      </c>
      <c r="O560" s="145">
        <v>1.9464712955254981E-3</v>
      </c>
      <c r="P560" s="145">
        <v>3.5978956346518487E-3</v>
      </c>
      <c r="Q5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0.74354049122860033</v>
      </c>
      <c r="R5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0.17725040443172801</v>
      </c>
      <c r="S5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0.97413451291572528</v>
      </c>
      <c r="T5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1.4677352386449627</v>
      </c>
      <c r="U5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7.4500237981922623E-4</v>
      </c>
      <c r="V5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-4.7229875754539741E-4</v>
      </c>
      <c r="W5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9.7639974682550701E-4</v>
      </c>
      <c r="X5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1.4693304151336406E-3</v>
      </c>
      <c r="Y560" s="162" t="str">
        <f>ReportSummary___Track[[#This Row],[Track ID]]&amp;"-"&amp;ReportSummary___Track[[#This Row],[Epoch]]</f>
        <v>250-RL-OP-0046-45821.2916666667</v>
      </c>
      <c r="Z560" s="126">
        <f>SUBTOTAL(103,ReportSummary___Track[[#This Row],[Track ID]])</f>
        <v>1</v>
      </c>
      <c r="AA560" s="114">
        <f>_xlfn.NUMBERVALUE(RIGHT(ReportSummary___Track[[#This Row],[Track ID]],4))</f>
        <v>46</v>
      </c>
      <c r="AB560" s="78"/>
    </row>
    <row r="561" spans="5:28" ht="14.25" customHeight="1" x14ac:dyDescent="0.2">
      <c r="E561" s="74">
        <v>45821.291666666664</v>
      </c>
      <c r="F561" s="107" t="s">
        <v>286</v>
      </c>
      <c r="G561" s="142">
        <v>51911.152137387231</v>
      </c>
      <c r="H561" s="142">
        <v>159188.49042629151</v>
      </c>
      <c r="I561" s="142">
        <v>18.882328834015588</v>
      </c>
      <c r="J561" s="142">
        <v>51910.835192576567</v>
      </c>
      <c r="K561" s="142">
        <v>159187.2085174784</v>
      </c>
      <c r="L561" s="142">
        <v>18.869138865821263</v>
      </c>
      <c r="M561" s="145">
        <v>1.3189968194325274E-2</v>
      </c>
      <c r="N561" s="145">
        <v>1.3205749480395894</v>
      </c>
      <c r="O561" s="145">
        <v>2.0595945825121476E-3</v>
      </c>
      <c r="P561" s="145">
        <v>3.8522443240083248E-3</v>
      </c>
      <c r="Q5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1.0031362431419666</v>
      </c>
      <c r="R5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-2.5147831482774663E-2</v>
      </c>
      <c r="S5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0.90116546767760042</v>
      </c>
      <c r="T5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1.9531329532895825</v>
      </c>
      <c r="U5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9.2628462072852358E-4</v>
      </c>
      <c r="V5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-9.6182034214464807E-4</v>
      </c>
      <c r="W5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8.2411334723531127E-4</v>
      </c>
      <c r="X5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1.8763335351827948E-3</v>
      </c>
      <c r="Y561" s="162" t="str">
        <f>ReportSummary___Track[[#This Row],[Track ID]]&amp;"-"&amp;ReportSummary___Track[[#This Row],[Epoch]]</f>
        <v>250-RL-OP-0047-45821.2916666667</v>
      </c>
      <c r="Z561" s="126">
        <f>SUBTOTAL(103,ReportSummary___Track[[#This Row],[Track ID]])</f>
        <v>1</v>
      </c>
      <c r="AA561" s="114">
        <f>_xlfn.NUMBERVALUE(RIGHT(ReportSummary___Track[[#This Row],[Track ID]],4))</f>
        <v>47</v>
      </c>
      <c r="AB561" s="78"/>
    </row>
    <row r="562" spans="5:28" ht="14.25" customHeight="1" x14ac:dyDescent="0.2">
      <c r="E562" s="74">
        <v>45821.291666666664</v>
      </c>
      <c r="F562" s="107" t="s">
        <v>287</v>
      </c>
      <c r="G562" s="142">
        <v>51912.123851747907</v>
      </c>
      <c r="H562" s="142">
        <v>159188.25430812963</v>
      </c>
      <c r="I562" s="142">
        <v>18.886735067486104</v>
      </c>
      <c r="J562" s="142">
        <v>51911.806757288294</v>
      </c>
      <c r="K562" s="142">
        <v>159186.97176749387</v>
      </c>
      <c r="L562" s="142">
        <v>18.872523500824762</v>
      </c>
      <c r="M562" s="145">
        <v>1.4211566661341379E-2</v>
      </c>
      <c r="N562" s="145">
        <v>1.3212347812999976</v>
      </c>
      <c r="O562" s="145">
        <v>2.3991247791776971E-3</v>
      </c>
      <c r="P562" s="145">
        <v>4.2686852976885348E-3</v>
      </c>
      <c r="Q5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1.0055996780806709</v>
      </c>
      <c r="R5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-0.18937108015015802</v>
      </c>
      <c r="S5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0.58284404473596396</v>
      </c>
      <c r="T5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1.5958950439980413</v>
      </c>
      <c r="U5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5.7659117066322096E-4</v>
      </c>
      <c r="V5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-9.6465633897491188E-4</v>
      </c>
      <c r="W5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1.5300434400700169E-4</v>
      </c>
      <c r="X5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1.1673143113917206E-3</v>
      </c>
      <c r="Y562" s="162" t="str">
        <f>ReportSummary___Track[[#This Row],[Track ID]]&amp;"-"&amp;ReportSummary___Track[[#This Row],[Epoch]]</f>
        <v>250-RL-OP-0048-45821.2916666667</v>
      </c>
      <c r="Z562" s="126">
        <f>SUBTOTAL(103,ReportSummary___Track[[#This Row],[Track ID]])</f>
        <v>1</v>
      </c>
      <c r="AA562" s="114">
        <f>_xlfn.NUMBERVALUE(RIGHT(ReportSummary___Track[[#This Row],[Track ID]],4))</f>
        <v>48</v>
      </c>
      <c r="AB562" s="78"/>
    </row>
    <row r="563" spans="5:28" ht="14.25" customHeight="1" x14ac:dyDescent="0.2">
      <c r="E563" s="74">
        <v>45821.291666666664</v>
      </c>
      <c r="F563" s="107" t="s">
        <v>288</v>
      </c>
      <c r="G563" s="142">
        <v>51913.095566108583</v>
      </c>
      <c r="H563" s="142">
        <v>159188.01818996778</v>
      </c>
      <c r="I563" s="142">
        <v>18.891141300956619</v>
      </c>
      <c r="J563" s="142">
        <v>51912.77832200002</v>
      </c>
      <c r="K563" s="142">
        <v>159186.73501750935</v>
      </c>
      <c r="L563" s="142">
        <v>18.875908135828258</v>
      </c>
      <c r="M563" s="145">
        <v>1.5233165128361037E-2</v>
      </c>
      <c r="N563" s="145">
        <v>1.3218953936809181</v>
      </c>
      <c r="O563" s="145">
        <v>2.7386549758467993E-3</v>
      </c>
      <c r="P563" s="145">
        <v>4.6851262713722974E-3</v>
      </c>
      <c r="Q5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1.0080631130264806</v>
      </c>
      <c r="R5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-0.35358867061674459</v>
      </c>
      <c r="S5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0.26452262179788022</v>
      </c>
      <c r="T5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1.2386571347136055</v>
      </c>
      <c r="U5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2.2689772059791835E-4</v>
      </c>
      <c r="V5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-9.6812146262204024E-4</v>
      </c>
      <c r="W5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-5.1810465922130788E-4</v>
      </c>
      <c r="X5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4.5829508760419913E-4</v>
      </c>
      <c r="Y563" s="162" t="str">
        <f>ReportSummary___Track[[#This Row],[Track ID]]&amp;"-"&amp;ReportSummary___Track[[#This Row],[Epoch]]</f>
        <v>250-RL-OP-0049-45821.2916666667</v>
      </c>
      <c r="Z563" s="126">
        <f>SUBTOTAL(103,ReportSummary___Track[[#This Row],[Track ID]])</f>
        <v>1</v>
      </c>
      <c r="AA563" s="114">
        <f>_xlfn.NUMBERVALUE(RIGHT(ReportSummary___Track[[#This Row],[Track ID]],4))</f>
        <v>49</v>
      </c>
      <c r="AB563" s="78"/>
    </row>
    <row r="564" spans="5:28" ht="14.25" customHeight="1" x14ac:dyDescent="0.2">
      <c r="E564" s="74">
        <v>45817.284722222219</v>
      </c>
      <c r="F564" s="107" t="s">
        <v>235</v>
      </c>
      <c r="G564" s="142">
        <v>51886.101888003854</v>
      </c>
      <c r="H564" s="142">
        <v>159195.44568170901</v>
      </c>
      <c r="I564" s="142">
        <v>18.86977464079656</v>
      </c>
      <c r="J564" s="142">
        <v>51885.743029345111</v>
      </c>
      <c r="K564" s="142">
        <v>159194.18588072801</v>
      </c>
      <c r="L564" s="142">
        <v>18.86578752268592</v>
      </c>
      <c r="M564" s="145">
        <v>3.9871181106398978E-3</v>
      </c>
      <c r="N564" s="145">
        <v>1.3099213509981491</v>
      </c>
      <c r="O564" s="145"/>
      <c r="P564" s="145"/>
      <c r="Q5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-0.28164663535434897</v>
      </c>
      <c r="R5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-0.1968253892605798</v>
      </c>
      <c r="S56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6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4.7019078408538917E-8</v>
      </c>
      <c r="V5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4.9470188266353965E-4</v>
      </c>
      <c r="W56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6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64" s="162" t="str">
        <f>ReportSummary___Track[[#This Row],[Track ID]]&amp;"-"&amp;ReportSummary___Track[[#This Row],[Epoch]]</f>
        <v>250-RL-OP-0021-45817.2847222222</v>
      </c>
      <c r="Z564" s="126">
        <f>SUBTOTAL(103,ReportSummary___Track[[#This Row],[Track ID]])</f>
        <v>1</v>
      </c>
      <c r="AA564" s="114">
        <f>_xlfn.NUMBERVALUE(RIGHT(ReportSummary___Track[[#This Row],[Track ID]],4))</f>
        <v>21</v>
      </c>
      <c r="AB564" s="78"/>
    </row>
    <row r="565" spans="5:28" ht="14.25" customHeight="1" x14ac:dyDescent="0.2">
      <c r="E565" s="74">
        <v>45817.284722222219</v>
      </c>
      <c r="F565" s="107" t="s">
        <v>236</v>
      </c>
      <c r="G565" s="142">
        <v>51887.0635346048</v>
      </c>
      <c r="H565" s="142">
        <v>159195.17139037082</v>
      </c>
      <c r="I565" s="142">
        <v>18.869497718698447</v>
      </c>
      <c r="J565" s="142">
        <v>51886.704122307987</v>
      </c>
      <c r="K565" s="142">
        <v>159193.90965564147</v>
      </c>
      <c r="L565" s="142">
        <v>18.865652333606498</v>
      </c>
      <c r="M565" s="145">
        <v>3.845385091949538E-3</v>
      </c>
      <c r="N565" s="145">
        <v>1.311932358513253</v>
      </c>
      <c r="O565" s="145"/>
      <c r="P565" s="145"/>
      <c r="Q5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-0.62773617074896038</v>
      </c>
      <c r="R5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-9.6454581833160802E-2</v>
      </c>
      <c r="S56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6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1.0353239687788118E-7</v>
      </c>
      <c r="V5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2.6333195155747724E-4</v>
      </c>
      <c r="W56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6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65" s="162" t="str">
        <f>ReportSummary___Track[[#This Row],[Track ID]]&amp;"-"&amp;ReportSummary___Track[[#This Row],[Epoch]]</f>
        <v>250-RL-OP-0022-45817.2847222222</v>
      </c>
      <c r="Z565" s="126">
        <f>SUBTOTAL(103,ReportSummary___Track[[#This Row],[Track ID]])</f>
        <v>1</v>
      </c>
      <c r="AA565" s="114">
        <f>_xlfn.NUMBERVALUE(RIGHT(ReportSummary___Track[[#This Row],[Track ID]],4))</f>
        <v>22</v>
      </c>
      <c r="AB565" s="78"/>
    </row>
    <row r="566" spans="5:28" ht="14.25" customHeight="1" x14ac:dyDescent="0.2">
      <c r="E566" s="74">
        <v>45817.284722222219</v>
      </c>
      <c r="F566" s="107" t="s">
        <v>237</v>
      </c>
      <c r="G566" s="142">
        <v>51888.025181205747</v>
      </c>
      <c r="H566" s="142">
        <v>159194.89709903265</v>
      </c>
      <c r="I566" s="142">
        <v>18.869220796600338</v>
      </c>
      <c r="J566" s="142">
        <v>51887.665215270863</v>
      </c>
      <c r="K566" s="142">
        <v>159193.63343055494</v>
      </c>
      <c r="L566" s="142">
        <v>18.865517144527075</v>
      </c>
      <c r="M566" s="145">
        <v>3.7036520732627309E-3</v>
      </c>
      <c r="N566" s="145">
        <v>1.3139433826740909</v>
      </c>
      <c r="O566" s="145"/>
      <c r="P566" s="145"/>
      <c r="Q5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-0.97382570614001907</v>
      </c>
      <c r="R5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3.9030637033476978E-3</v>
      </c>
      <c r="S56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6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1.6004571534722345E-7</v>
      </c>
      <c r="V5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3.196185758280734E-5</v>
      </c>
      <c r="W56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6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66" s="162" t="str">
        <f>ReportSummary___Track[[#This Row],[Track ID]]&amp;"-"&amp;ReportSummary___Track[[#This Row],[Epoch]]</f>
        <v>250-RL-OP-0023-45817.2847222222</v>
      </c>
      <c r="Z566" s="126">
        <f>SUBTOTAL(103,ReportSummary___Track[[#This Row],[Track ID]])</f>
        <v>1</v>
      </c>
      <c r="AA566" s="114">
        <f>_xlfn.NUMBERVALUE(RIGHT(ReportSummary___Track[[#This Row],[Track ID]],4))</f>
        <v>23</v>
      </c>
      <c r="AB566" s="78"/>
    </row>
    <row r="567" spans="5:28" ht="14.25" customHeight="1" x14ac:dyDescent="0.2">
      <c r="E567" s="74">
        <v>45817.284722222219</v>
      </c>
      <c r="F567" s="107" t="s">
        <v>238</v>
      </c>
      <c r="G567" s="142">
        <v>51888.986206032256</v>
      </c>
      <c r="H567" s="142">
        <v>159194.62172783251</v>
      </c>
      <c r="I567" s="142">
        <v>18.868826251099026</v>
      </c>
      <c r="J567" s="142">
        <v>51888.624024403252</v>
      </c>
      <c r="K567" s="142">
        <v>159193.35679661779</v>
      </c>
      <c r="L567" s="142">
        <v>18.864752372254646</v>
      </c>
      <c r="M567" s="145">
        <v>4.0738788443803742E-3</v>
      </c>
      <c r="N567" s="145">
        <v>1.3157671172466587</v>
      </c>
      <c r="O567" s="145">
        <v>8.6760733740476326E-5</v>
      </c>
      <c r="P567" s="145"/>
      <c r="Q5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-0.68854271469831474</v>
      </c>
      <c r="R5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-2.3120851571079015E-3</v>
      </c>
      <c r="S5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-0.40689607934396577</v>
      </c>
      <c r="T56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1.2370514639314933E-5</v>
      </c>
      <c r="V5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-1.2043521691706971E-5</v>
      </c>
      <c r="W5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1.2323495560906395E-5</v>
      </c>
      <c r="X56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67" s="162" t="str">
        <f>ReportSummary___Track[[#This Row],[Track ID]]&amp;"-"&amp;ReportSummary___Track[[#This Row],[Epoch]]</f>
        <v>250-RL-OP-0024-45817.2847222222</v>
      </c>
      <c r="Z567" s="126">
        <f>SUBTOTAL(103,ReportSummary___Track[[#This Row],[Track ID]])</f>
        <v>1</v>
      </c>
      <c r="AA567" s="114">
        <f>_xlfn.NUMBERVALUE(RIGHT(ReportSummary___Track[[#This Row],[Track ID]],4))</f>
        <v>24</v>
      </c>
      <c r="AB567" s="78"/>
    </row>
    <row r="568" spans="5:28" ht="14.25" customHeight="1" x14ac:dyDescent="0.2">
      <c r="E568" s="74">
        <v>45817.284722222219</v>
      </c>
      <c r="F568" s="107" t="s">
        <v>239</v>
      </c>
      <c r="G568" s="142">
        <v>51889.947493110194</v>
      </c>
      <c r="H568" s="142">
        <v>159194.34617930613</v>
      </c>
      <c r="I568" s="142">
        <v>18.868422023431954</v>
      </c>
      <c r="J568" s="142">
        <v>51889.584791712696</v>
      </c>
      <c r="K568" s="142">
        <v>159193.07944225875</v>
      </c>
      <c r="L568" s="142">
        <v>18.863894115171242</v>
      </c>
      <c r="M568" s="145">
        <v>4.5279082607123655E-3</v>
      </c>
      <c r="N568" s="145">
        <v>1.3176477347543472</v>
      </c>
      <c r="O568" s="145">
        <v>6.8252316876282748E-4</v>
      </c>
      <c r="P568" s="145"/>
      <c r="Q5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-0.35168646843075635</v>
      </c>
      <c r="R5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-1.2555626163202049E-3</v>
      </c>
      <c r="S5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0.27604970231820403</v>
      </c>
      <c r="T56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5.8787537291493663E-6</v>
      </c>
      <c r="V5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-6.0417283067604188E-6</v>
      </c>
      <c r="W5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5.7752213322714852E-6</v>
      </c>
      <c r="X56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68" s="162" t="str">
        <f>ReportSummary___Track[[#This Row],[Track ID]]&amp;"-"&amp;ReportSummary___Track[[#This Row],[Epoch]]</f>
        <v>250-RL-OP-0025-45817.2847222222</v>
      </c>
      <c r="Z568" s="126">
        <f>SUBTOTAL(103,ReportSummary___Track[[#This Row],[Track ID]])</f>
        <v>1</v>
      </c>
      <c r="AA568" s="114">
        <f>_xlfn.NUMBERVALUE(RIGHT(ReportSummary___Track[[#This Row],[Track ID]],4))</f>
        <v>25</v>
      </c>
      <c r="AB568" s="78"/>
    </row>
    <row r="569" spans="5:28" ht="14.25" customHeight="1" x14ac:dyDescent="0.2">
      <c r="E569" s="74">
        <v>45817.284722222219</v>
      </c>
      <c r="F569" s="107" t="s">
        <v>240</v>
      </c>
      <c r="G569" s="142">
        <v>51890.908780188132</v>
      </c>
      <c r="H569" s="142">
        <v>159194.07063077975</v>
      </c>
      <c r="I569" s="142">
        <v>18.868017795764882</v>
      </c>
      <c r="J569" s="142">
        <v>51890.545559022146</v>
      </c>
      <c r="K569" s="142">
        <v>159192.80208789968</v>
      </c>
      <c r="L569" s="142">
        <v>18.863035858087837</v>
      </c>
      <c r="M569" s="145">
        <v>4.9819376770443569E-3</v>
      </c>
      <c r="N569" s="145">
        <v>1.3195285043206695</v>
      </c>
      <c r="O569" s="145">
        <v>1.2782856037816259E-3</v>
      </c>
      <c r="P569" s="145"/>
      <c r="Q5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-1.4830222163197959E-2</v>
      </c>
      <c r="R5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-5.6228538714009346E-5</v>
      </c>
      <c r="S5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0.95899548397682111</v>
      </c>
      <c r="T56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-6.1300718456891445E-7</v>
      </c>
      <c r="V5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-4.4366731843936691E-8</v>
      </c>
      <c r="W5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-7.730528999161379E-7</v>
      </c>
      <c r="X56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69" s="162" t="str">
        <f>ReportSummary___Track[[#This Row],[Track ID]]&amp;"-"&amp;ReportSummary___Track[[#This Row],[Epoch]]</f>
        <v>250-RL-OP-0026-45817.2847222222</v>
      </c>
      <c r="Z569" s="126">
        <f>SUBTOTAL(103,ReportSummary___Track[[#This Row],[Track ID]])</f>
        <v>1</v>
      </c>
      <c r="AA569" s="114">
        <f>_xlfn.NUMBERVALUE(RIGHT(ReportSummary___Track[[#This Row],[Track ID]],4))</f>
        <v>26</v>
      </c>
      <c r="AB569" s="78"/>
    </row>
    <row r="570" spans="5:28" ht="14.25" customHeight="1" x14ac:dyDescent="0.2">
      <c r="E570" s="74">
        <v>45817.284722222219</v>
      </c>
      <c r="F570" s="107" t="s">
        <v>241</v>
      </c>
      <c r="G570" s="142">
        <v>51891.870085166687</v>
      </c>
      <c r="H570" s="142">
        <v>159193.79434240577</v>
      </c>
      <c r="I570" s="142">
        <v>18.865661447731828</v>
      </c>
      <c r="J570" s="142">
        <v>51891.504353461787</v>
      </c>
      <c r="K570" s="142">
        <v>159192.52590810764</v>
      </c>
      <c r="L570" s="142">
        <v>18.861283132921656</v>
      </c>
      <c r="M570" s="145">
        <v>4.3783148101717018E-3</v>
      </c>
      <c r="N570" s="145">
        <v>1.3201153049264747</v>
      </c>
      <c r="O570" s="145">
        <v>3.0443596579132759E-4</v>
      </c>
      <c r="P570" s="145">
        <v>3.9119669953180392E-4</v>
      </c>
      <c r="Q5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-0.32463151136141732</v>
      </c>
      <c r="R5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-8.5622790527040138E-2</v>
      </c>
      <c r="S5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0.36391120333689742</v>
      </c>
      <c r="T5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-4.2984876007068351E-2</v>
      </c>
      <c r="U5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5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5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-1.237051463576222E-5</v>
      </c>
      <c r="X5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-4.7019074855825238E-8</v>
      </c>
      <c r="Y570" s="162" t="str">
        <f>ReportSummary___Track[[#This Row],[Track ID]]&amp;"-"&amp;ReportSummary___Track[[#This Row],[Epoch]]</f>
        <v>250-RL-OP-0027-45817.2847222222</v>
      </c>
      <c r="Z570" s="126">
        <f>SUBTOTAL(103,ReportSummary___Track[[#This Row],[Track ID]])</f>
        <v>1</v>
      </c>
      <c r="AA570" s="114">
        <f>_xlfn.NUMBERVALUE(RIGHT(ReportSummary___Track[[#This Row],[Track ID]],4))</f>
        <v>27</v>
      </c>
      <c r="AB570" s="78"/>
    </row>
    <row r="571" spans="5:28" ht="14.25" customHeight="1" x14ac:dyDescent="0.2">
      <c r="E571" s="74">
        <v>45817.284722222219</v>
      </c>
      <c r="F571" s="107" t="s">
        <v>242</v>
      </c>
      <c r="G571" s="142">
        <v>51892.831165658921</v>
      </c>
      <c r="H571" s="142">
        <v>159193.5180847251</v>
      </c>
      <c r="I571" s="142">
        <v>18.863215774997911</v>
      </c>
      <c r="J571" s="142">
        <v>51892.465288045249</v>
      </c>
      <c r="K571" s="142">
        <v>159192.24913834574</v>
      </c>
      <c r="L571" s="142">
        <v>18.859487246856443</v>
      </c>
      <c r="M571" s="145">
        <v>3.7285281414689564E-3</v>
      </c>
      <c r="N571" s="145">
        <v>1.3206457677258727</v>
      </c>
      <c r="O571" s="145">
        <v>-7.9938011924340913E-4</v>
      </c>
      <c r="P571" s="145">
        <v>-1.1685695048058165E-4</v>
      </c>
      <c r="Q5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-0.66420417328316717</v>
      </c>
      <c r="R5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-0.17501342233838812</v>
      </c>
      <c r="S5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-0.31251770485241082</v>
      </c>
      <c r="T5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-3.6468002534206789E-2</v>
      </c>
      <c r="U5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5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5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-5.8787537255966527E-6</v>
      </c>
      <c r="X5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-1.035323933251675E-7</v>
      </c>
      <c r="Y571" s="162" t="str">
        <f>ReportSummary___Track[[#This Row],[Track ID]]&amp;"-"&amp;ReportSummary___Track[[#This Row],[Epoch]]</f>
        <v>250-RL-OP-0028-45817.2847222222</v>
      </c>
      <c r="Z571" s="126">
        <f>SUBTOTAL(103,ReportSummary___Track[[#This Row],[Track ID]])</f>
        <v>1</v>
      </c>
      <c r="AA571" s="114">
        <f>_xlfn.NUMBERVALUE(RIGHT(ReportSummary___Track[[#This Row],[Track ID]],4))</f>
        <v>28</v>
      </c>
      <c r="AB571" s="78"/>
    </row>
    <row r="572" spans="5:28" ht="14.25" customHeight="1" x14ac:dyDescent="0.2">
      <c r="E572" s="74">
        <v>45817.284722222219</v>
      </c>
      <c r="F572" s="107" t="s">
        <v>243</v>
      </c>
      <c r="G572" s="142">
        <v>51893.791838945894</v>
      </c>
      <c r="H572" s="142">
        <v>159193.24190592306</v>
      </c>
      <c r="I572" s="142">
        <v>18.860908806466888</v>
      </c>
      <c r="J572" s="142">
        <v>51893.426692719338</v>
      </c>
      <c r="K572" s="142">
        <v>159191.97223227765</v>
      </c>
      <c r="L572" s="142">
        <v>18.857700906113323</v>
      </c>
      <c r="M572" s="145">
        <v>3.2079003535656625E-3</v>
      </c>
      <c r="N572" s="145">
        <v>1.3211408794063266</v>
      </c>
      <c r="O572" s="145">
        <v>-1.7740373234786944E-3</v>
      </c>
      <c r="P572" s="145">
        <v>-4.9575171969706844E-4</v>
      </c>
      <c r="Q5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-0.99818978642574052</v>
      </c>
      <c r="R5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-0.2577302914359425</v>
      </c>
      <c r="S5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-0.98335956426254256</v>
      </c>
      <c r="T5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-2.4364080285721457E-2</v>
      </c>
      <c r="U5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-1.5797364763869837E-5</v>
      </c>
      <c r="V5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1.6381996200243165E-5</v>
      </c>
      <c r="W5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-1.5184357579300922E-5</v>
      </c>
      <c r="X5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-1.595741047921706E-5</v>
      </c>
      <c r="Y572" s="162" t="str">
        <f>ReportSummary___Track[[#This Row],[Track ID]]&amp;"-"&amp;ReportSummary___Track[[#This Row],[Epoch]]</f>
        <v>250-RL-OP-0029-45817.2847222222</v>
      </c>
      <c r="Z572" s="126">
        <f>SUBTOTAL(103,ReportSummary___Track[[#This Row],[Track ID]])</f>
        <v>1</v>
      </c>
      <c r="AA572" s="114">
        <f>_xlfn.NUMBERVALUE(RIGHT(ReportSummary___Track[[#This Row],[Track ID]],4))</f>
        <v>29</v>
      </c>
      <c r="AB572" s="78"/>
    </row>
    <row r="573" spans="5:28" ht="14.25" customHeight="1" x14ac:dyDescent="0.2">
      <c r="E573" s="74">
        <v>45817.284722222219</v>
      </c>
      <c r="F573" s="107" t="s">
        <v>269</v>
      </c>
      <c r="G573" s="142">
        <v>51894.752729759806</v>
      </c>
      <c r="H573" s="142">
        <v>159192.96497846718</v>
      </c>
      <c r="I573" s="142">
        <v>18.861075912100414</v>
      </c>
      <c r="J573" s="142">
        <v>51894.38758316014</v>
      </c>
      <c r="K573" s="142">
        <v>159191.6953035295</v>
      </c>
      <c r="L573" s="142">
        <v>18.857871870891774</v>
      </c>
      <c r="M573" s="145">
        <v>3.2040412086402625E-3</v>
      </c>
      <c r="N573" s="145">
        <v>1.3211422150903742</v>
      </c>
      <c r="O573" s="145">
        <v>-1.1742736015314392E-3</v>
      </c>
      <c r="P573" s="145">
        <v>-8.6983763574011164E-4</v>
      </c>
      <c r="Q5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-0.6562984823013096</v>
      </c>
      <c r="R5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0.15710127738288726</v>
      </c>
      <c r="S5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-0.33166697093989228</v>
      </c>
      <c r="T5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3.2244232397005135E-2</v>
      </c>
      <c r="U5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-7.8640913692140657E-6</v>
      </c>
      <c r="V5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2.4279015472439269E-4</v>
      </c>
      <c r="W5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-7.8640913727667794E-6</v>
      </c>
      <c r="X5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-2.0234606008528999E-5</v>
      </c>
      <c r="Y573" s="162" t="str">
        <f>ReportSummary___Track[[#This Row],[Track ID]]&amp;"-"&amp;ReportSummary___Track[[#This Row],[Epoch]]</f>
        <v>250-RL-OP-0030-45817.2847222222</v>
      </c>
      <c r="Z573" s="126">
        <f>SUBTOTAL(103,ReportSummary___Track[[#This Row],[Track ID]])</f>
        <v>1</v>
      </c>
      <c r="AA573" s="114">
        <f>_xlfn.NUMBERVALUE(RIGHT(ReportSummary___Track[[#This Row],[Track ID]],4))</f>
        <v>30</v>
      </c>
      <c r="AB573" s="78"/>
    </row>
    <row r="574" spans="5:28" ht="14.25" customHeight="1" x14ac:dyDescent="0.2">
      <c r="E574" s="74">
        <v>45817.284722222219</v>
      </c>
      <c r="F574" s="107" t="s">
        <v>270</v>
      </c>
      <c r="G574" s="142">
        <v>51895.713620573719</v>
      </c>
      <c r="H574" s="142">
        <v>159192.68805101133</v>
      </c>
      <c r="I574" s="142">
        <v>18.861243017733944</v>
      </c>
      <c r="J574" s="142">
        <v>51895.348473600949</v>
      </c>
      <c r="K574" s="142">
        <v>159191.41837478138</v>
      </c>
      <c r="L574" s="142">
        <v>18.858042835670226</v>
      </c>
      <c r="M574" s="145">
        <v>3.2001820637184153E-3</v>
      </c>
      <c r="N574" s="145">
        <v>1.3211435507837024</v>
      </c>
      <c r="O574" s="145">
        <v>-5.283460777505411E-4</v>
      </c>
      <c r="P574" s="145">
        <v>-1.3277261969939502E-3</v>
      </c>
      <c r="Q5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-0.31440717817332597</v>
      </c>
      <c r="R5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0.57184299044976683</v>
      </c>
      <c r="S5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0.34979699510984119</v>
      </c>
      <c r="T5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3.7279290257430375E-2</v>
      </c>
      <c r="U5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6.9182028994418943E-8</v>
      </c>
      <c r="V5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4.6919825273339377E-4</v>
      </c>
      <c r="W5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6.9182025441705264E-8</v>
      </c>
      <c r="X5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-5.8095717001549474E-6</v>
      </c>
      <c r="Y574" s="162" t="str">
        <f>ReportSummary___Track[[#This Row],[Track ID]]&amp;"-"&amp;ReportSummary___Track[[#This Row],[Epoch]]</f>
        <v>250-RL-OP-0031-45817.2847222222</v>
      </c>
      <c r="Z574" s="126">
        <f>SUBTOTAL(103,ReportSummary___Track[[#This Row],[Track ID]])</f>
        <v>1</v>
      </c>
      <c r="AA574" s="114">
        <f>_xlfn.NUMBERVALUE(RIGHT(ReportSummary___Track[[#This Row],[Track ID]],4))</f>
        <v>31</v>
      </c>
      <c r="AB574" s="78"/>
    </row>
    <row r="575" spans="5:28" ht="14.25" customHeight="1" x14ac:dyDescent="0.2">
      <c r="E575" s="74">
        <v>45817.284722222219</v>
      </c>
      <c r="F575" s="107" t="s">
        <v>271</v>
      </c>
      <c r="G575" s="142">
        <v>51896.675400289481</v>
      </c>
      <c r="H575" s="142">
        <v>159192.41088835374</v>
      </c>
      <c r="I575" s="142">
        <v>18.861498357934735</v>
      </c>
      <c r="J575" s="142">
        <v>51896.309521418087</v>
      </c>
      <c r="K575" s="142">
        <v>159191.14170884955</v>
      </c>
      <c r="L575" s="142">
        <v>18.858247340168667</v>
      </c>
      <c r="M575" s="145">
        <v>3.2510177660682871E-3</v>
      </c>
      <c r="N575" s="145">
        <v>1.3208688547716598</v>
      </c>
      <c r="O575" s="145">
        <v>4.3117412502624575E-5</v>
      </c>
      <c r="P575" s="145">
        <v>-1.7309199109760698E-3</v>
      </c>
      <c r="Q5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5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0.96083811086278281</v>
      </c>
      <c r="S5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0.99818978642574052</v>
      </c>
      <c r="T5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1.4830222163197959E-2</v>
      </c>
      <c r="U5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-5.8026000004929301E-8</v>
      </c>
      <c r="V5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6.7625940852567012E-4</v>
      </c>
      <c r="W5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1.5739338763864907E-5</v>
      </c>
      <c r="X5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5.5498118456398515E-7</v>
      </c>
      <c r="Y575" s="162" t="str">
        <f>ReportSummary___Track[[#This Row],[Track ID]]&amp;"-"&amp;ReportSummary___Track[[#This Row],[Epoch]]</f>
        <v>250-RL-OP-0032-45817.2847222222</v>
      </c>
      <c r="Z575" s="126">
        <f>SUBTOTAL(103,ReportSummary___Track[[#This Row],[Track ID]])</f>
        <v>1</v>
      </c>
      <c r="AA575" s="114">
        <f>_xlfn.NUMBERVALUE(RIGHT(ReportSummary___Track[[#This Row],[Track ID]],4))</f>
        <v>32</v>
      </c>
      <c r="AB575" s="78"/>
    </row>
    <row r="576" spans="5:28" ht="14.25" customHeight="1" x14ac:dyDescent="0.2">
      <c r="E576" s="74">
        <v>45817.284722222219</v>
      </c>
      <c r="F576" s="107" t="s">
        <v>272</v>
      </c>
      <c r="G576" s="142">
        <v>51897.636380606236</v>
      </c>
      <c r="H576" s="142">
        <v>159192.13427621915</v>
      </c>
      <c r="I576" s="142">
        <v>18.863097673946697</v>
      </c>
      <c r="J576" s="142">
        <v>51897.271420156809</v>
      </c>
      <c r="K576" s="142">
        <v>159190.86830352191</v>
      </c>
      <c r="L576" s="142">
        <v>18.858833233345244</v>
      </c>
      <c r="M576" s="145">
        <v>4.2644406014531455E-3</v>
      </c>
      <c r="N576" s="145">
        <v>1.317536028062456</v>
      </c>
      <c r="O576" s="145">
        <v>1.060399392812883E-3</v>
      </c>
      <c r="P576" s="145">
        <v>-1.1387420871855625E-4</v>
      </c>
      <c r="Q5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5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0.96083469282604028</v>
      </c>
      <c r="S5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0.6562984823013096</v>
      </c>
      <c r="T5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0.32463151136141732</v>
      </c>
      <c r="U5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-9.4060393607264814E-7</v>
      </c>
      <c r="V5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5.3240203912929829E-4</v>
      </c>
      <c r="W5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6.9234874331414176E-6</v>
      </c>
      <c r="X5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-9.4060393962536182E-7</v>
      </c>
      <c r="Y576" s="162" t="str">
        <f>ReportSummary___Track[[#This Row],[Track ID]]&amp;"-"&amp;ReportSummary___Track[[#This Row],[Epoch]]</f>
        <v>250-RL-OP-0033-45817.2847222222</v>
      </c>
      <c r="Z576" s="126">
        <f>SUBTOTAL(103,ReportSummary___Track[[#This Row],[Track ID]])</f>
        <v>1</v>
      </c>
      <c r="AA576" s="114">
        <f>_xlfn.NUMBERVALUE(RIGHT(ReportSummary___Track[[#This Row],[Track ID]],4))</f>
        <v>33</v>
      </c>
      <c r="AB576" s="78"/>
    </row>
    <row r="577" spans="5:28" ht="14.25" customHeight="1" x14ac:dyDescent="0.2">
      <c r="E577" s="74">
        <v>45817.284722222219</v>
      </c>
      <c r="F577" s="107" t="s">
        <v>273</v>
      </c>
      <c r="G577" s="142">
        <v>51898.597360922984</v>
      </c>
      <c r="H577" s="142">
        <v>159191.85766408456</v>
      </c>
      <c r="I577" s="142">
        <v>18.864696989958659</v>
      </c>
      <c r="J577" s="142">
        <v>51898.233318895531</v>
      </c>
      <c r="K577" s="142">
        <v>159190.59489819428</v>
      </c>
      <c r="L577" s="142">
        <v>18.859419126521821</v>
      </c>
      <c r="M577" s="145">
        <v>5.277863436838004E-3</v>
      </c>
      <c r="N577" s="145">
        <v>1.3142039975762139</v>
      </c>
      <c r="O577" s="145">
        <v>2.0776813731195887E-3</v>
      </c>
      <c r="P577" s="145">
        <v>1.5493352953690476E-3</v>
      </c>
      <c r="Q5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5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0.96083067286856227</v>
      </c>
      <c r="S5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0.31440717817332597</v>
      </c>
      <c r="T5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0.66420417328316717</v>
      </c>
      <c r="U5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-1.8231818756930807E-6</v>
      </c>
      <c r="V5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3.8854362112394902E-4</v>
      </c>
      <c r="W5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-1.8923639046874996E-6</v>
      </c>
      <c r="X5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-1.8231818792457943E-6</v>
      </c>
      <c r="Y577" s="162" t="str">
        <f>ReportSummary___Track[[#This Row],[Track ID]]&amp;"-"&amp;ReportSummary___Track[[#This Row],[Epoch]]</f>
        <v>250-RL-OP-0034-45817.2847222222</v>
      </c>
      <c r="Z577" s="126">
        <f>SUBTOTAL(103,ReportSummary___Track[[#This Row],[Track ID]])</f>
        <v>1</v>
      </c>
      <c r="AA577" s="114">
        <f>_xlfn.NUMBERVALUE(RIGHT(ReportSummary___Track[[#This Row],[Track ID]],4))</f>
        <v>34</v>
      </c>
      <c r="AB577" s="78"/>
    </row>
    <row r="578" spans="5:28" ht="14.25" customHeight="1" x14ac:dyDescent="0.2">
      <c r="E578" s="74">
        <v>45817.284722222219</v>
      </c>
      <c r="F578" s="107" t="s">
        <v>274</v>
      </c>
      <c r="G578" s="142">
        <v>51899.558748431518</v>
      </c>
      <c r="H578" s="142">
        <v>159191.58237758733</v>
      </c>
      <c r="I578" s="142">
        <v>18.866</v>
      </c>
      <c r="J578" s="142">
        <v>51899.203488344778</v>
      </c>
      <c r="K578" s="142">
        <v>159190.31967680616</v>
      </c>
      <c r="L578" s="142">
        <v>18.859777416319687</v>
      </c>
      <c r="M578" s="145">
        <v>6.2225836803122547E-3</v>
      </c>
      <c r="N578" s="145">
        <v>1.3117399561425083</v>
      </c>
      <c r="O578" s="145">
        <v>2.9715659142439677E-3</v>
      </c>
      <c r="P578" s="145">
        <v>3.0146833267465922E-3</v>
      </c>
      <c r="Q5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5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0.90395994462411089</v>
      </c>
      <c r="S5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2.1697356800132184E-5</v>
      </c>
      <c r="T5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0.99821148378254065</v>
      </c>
      <c r="U5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5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2.5387824185840735E-4</v>
      </c>
      <c r="W5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3.8670917135164018E-7</v>
      </c>
      <c r="X5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1.6126047935216548E-5</v>
      </c>
      <c r="Y578" s="162" t="str">
        <f>ReportSummary___Track[[#This Row],[Track ID]]&amp;"-"&amp;ReportSummary___Track[[#This Row],[Epoch]]</f>
        <v>250-RL-OP-0035-45817.2847222222</v>
      </c>
      <c r="Z578" s="126">
        <f>SUBTOTAL(103,ReportSummary___Track[[#This Row],[Track ID]])</f>
        <v>1</v>
      </c>
      <c r="AA578" s="114">
        <f>_xlfn.NUMBERVALUE(RIGHT(ReportSummary___Track[[#This Row],[Track ID]],4))</f>
        <v>35</v>
      </c>
      <c r="AB578" s="78"/>
    </row>
    <row r="579" spans="5:28" ht="14.25" customHeight="1" x14ac:dyDescent="0.2">
      <c r="E579" s="74">
        <v>45817.284722222219</v>
      </c>
      <c r="F579" s="107" t="s">
        <v>275</v>
      </c>
      <c r="G579" s="142">
        <v>51900.521772886575</v>
      </c>
      <c r="H579" s="142">
        <v>159191.31296359556</v>
      </c>
      <c r="I579" s="142">
        <v>18.866</v>
      </c>
      <c r="J579" s="142">
        <v>51900.166132696293</v>
      </c>
      <c r="K579" s="142">
        <v>159190.04890859168</v>
      </c>
      <c r="L579" s="142">
        <v>18.859124333313233</v>
      </c>
      <c r="M579" s="145">
        <v>6.8756666867670901E-3</v>
      </c>
      <c r="N579" s="145">
        <v>1.3131497525281857</v>
      </c>
      <c r="O579" s="145">
        <v>2.6112260853139446E-3</v>
      </c>
      <c r="P579" s="145">
        <v>3.6716254781268276E-3</v>
      </c>
      <c r="Q5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5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0.59570911046091801</v>
      </c>
      <c r="S5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1.3729329140232949E-4</v>
      </c>
      <c r="T5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0.65643577559271193</v>
      </c>
      <c r="U5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5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1.6431828446239471E-4</v>
      </c>
      <c r="W5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7.2724287569769785E-6</v>
      </c>
      <c r="X5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1.4195916190118396E-5</v>
      </c>
      <c r="Y579" s="162" t="str">
        <f>ReportSummary___Track[[#This Row],[Track ID]]&amp;"-"&amp;ReportSummary___Track[[#This Row],[Epoch]]</f>
        <v>250-RL-OP-0036-45817.2847222222</v>
      </c>
      <c r="Z579" s="126">
        <f>SUBTOTAL(103,ReportSummary___Track[[#This Row],[Track ID]])</f>
        <v>1</v>
      </c>
      <c r="AA579" s="114">
        <f>_xlfn.NUMBERVALUE(RIGHT(ReportSummary___Track[[#This Row],[Track ID]],4))</f>
        <v>36</v>
      </c>
      <c r="AB579" s="78"/>
    </row>
    <row r="580" spans="5:28" ht="14.25" customHeight="1" x14ac:dyDescent="0.2">
      <c r="E580" s="74">
        <v>45817.284722222219</v>
      </c>
      <c r="F580" s="107" t="s">
        <v>276</v>
      </c>
      <c r="G580" s="142">
        <v>51901.484797341633</v>
      </c>
      <c r="H580" s="142">
        <v>159191.04354960378</v>
      </c>
      <c r="I580" s="142">
        <v>18.866</v>
      </c>
      <c r="J580" s="142">
        <v>51901.128777047808</v>
      </c>
      <c r="K580" s="142">
        <v>159189.7781403772</v>
      </c>
      <c r="L580" s="142">
        <v>18.858471250306778</v>
      </c>
      <c r="M580" s="145">
        <v>7.5287496932219256E-3</v>
      </c>
      <c r="N580" s="145">
        <v>1.314559866426573</v>
      </c>
      <c r="O580" s="145">
        <v>2.2508862563839216E-3</v>
      </c>
      <c r="P580" s="145">
        <v>4.3285676295035103E-3</v>
      </c>
      <c r="Q5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2.5288922955724047E-4</v>
      </c>
      <c r="R5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0.28745983361555538</v>
      </c>
      <c r="S5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2.5288922955724047E-4</v>
      </c>
      <c r="T5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0.31466006740288321</v>
      </c>
      <c r="U5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1.2334966477567377E-5</v>
      </c>
      <c r="V5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7.4764643687386112E-5</v>
      </c>
      <c r="W5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1.4158148353260458E-5</v>
      </c>
      <c r="X5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1.2265784448572958E-5</v>
      </c>
      <c r="Y580" s="162" t="str">
        <f>ReportSummary___Track[[#This Row],[Track ID]]&amp;"-"&amp;ReportSummary___Track[[#This Row],[Epoch]]</f>
        <v>250-RL-OP-0037-45817.2847222222</v>
      </c>
      <c r="Z580" s="126">
        <f>SUBTOTAL(103,ReportSummary___Track[[#This Row],[Track ID]])</f>
        <v>1</v>
      </c>
      <c r="AA580" s="114">
        <f>_xlfn.NUMBERVALUE(RIGHT(ReportSummary___Track[[#This Row],[Track ID]],4))</f>
        <v>37</v>
      </c>
      <c r="AB580" s="78"/>
    </row>
    <row r="581" spans="5:28" ht="14.25" customHeight="1" x14ac:dyDescent="0.2">
      <c r="E581" s="74">
        <v>45817.284722222219</v>
      </c>
      <c r="F581" s="107" t="s">
        <v>277</v>
      </c>
      <c r="G581" s="142">
        <v>51902.447765839897</v>
      </c>
      <c r="H581" s="142">
        <v>159190.77523041447</v>
      </c>
      <c r="I581" s="142">
        <v>18.866065372992377</v>
      </c>
      <c r="J581" s="142">
        <v>51902.099861120325</v>
      </c>
      <c r="K581" s="142">
        <v>159189.50600598883</v>
      </c>
      <c r="L581" s="142">
        <v>18.857900000000001</v>
      </c>
      <c r="M581" s="145">
        <v>8.1653729923765184E-3</v>
      </c>
      <c r="N581" s="145">
        <v>1.3160680110991334</v>
      </c>
      <c r="O581" s="145">
        <v>1.9427893120642636E-3</v>
      </c>
      <c r="P581" s="145">
        <v>4.9143552263082313E-3</v>
      </c>
      <c r="Q5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5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4.2579699246036995E-2</v>
      </c>
      <c r="S5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-5.945166836696103E-2</v>
      </c>
      <c r="T5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-5.9429971010160898E-2</v>
      </c>
      <c r="U5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5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-1.4748878580439495E-5</v>
      </c>
      <c r="W5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-5.9769592258618331E-5</v>
      </c>
      <c r="X5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-5.9382883087266691E-5</v>
      </c>
      <c r="Y581" s="162" t="str">
        <f>ReportSummary___Track[[#This Row],[Track ID]]&amp;"-"&amp;ReportSummary___Track[[#This Row],[Epoch]]</f>
        <v>250-RL-OP-0038-45817.2847222222</v>
      </c>
      <c r="Z581" s="126">
        <f>SUBTOTAL(103,ReportSummary___Track[[#This Row],[Track ID]])</f>
        <v>1</v>
      </c>
      <c r="AA581" s="114">
        <f>_xlfn.NUMBERVALUE(RIGHT(ReportSummary___Track[[#This Row],[Track ID]],4))</f>
        <v>38</v>
      </c>
      <c r="AB581" s="78"/>
    </row>
    <row r="582" spans="5:28" ht="14.25" customHeight="1" x14ac:dyDescent="0.2">
      <c r="E582" s="74">
        <v>45817.284722222219</v>
      </c>
      <c r="F582" s="107" t="s">
        <v>278</v>
      </c>
      <c r="G582" s="142">
        <v>51903.412339888513</v>
      </c>
      <c r="H582" s="142">
        <v>159190.51141841503</v>
      </c>
      <c r="I582" s="142">
        <v>18.866430993755124</v>
      </c>
      <c r="J582" s="142">
        <v>51903.064443484443</v>
      </c>
      <c r="K582" s="142">
        <v>159189.24222414181</v>
      </c>
      <c r="L582" s="142">
        <v>18.857900000000001</v>
      </c>
      <c r="M582" s="145">
        <v>8.5309937551230064E-3</v>
      </c>
      <c r="N582" s="145">
        <v>1.3160390529893988</v>
      </c>
      <c r="O582" s="145">
        <v>1.6553270683559163E-3</v>
      </c>
      <c r="P582" s="145">
        <v>4.2665531536698609E-3</v>
      </c>
      <c r="Q5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-0.39181235921148527</v>
      </c>
      <c r="R5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0.36135032472706108</v>
      </c>
      <c r="S5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-0.3919496525028876</v>
      </c>
      <c r="T5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-0.39181235921148527</v>
      </c>
      <c r="U5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-3.9188447219729028E-4</v>
      </c>
      <c r="V5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-1.6606619077652596E-5</v>
      </c>
      <c r="W5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-3.9821629701819461E-4</v>
      </c>
      <c r="X5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-3.9094386826121763E-4</v>
      </c>
      <c r="Y582" s="162" t="str">
        <f>ReportSummary___Track[[#This Row],[Track ID]]&amp;"-"&amp;ReportSummary___Track[[#This Row],[Epoch]]</f>
        <v>250-RL-OP-0039-45817.2847222222</v>
      </c>
      <c r="Z582" s="126">
        <f>SUBTOTAL(103,ReportSummary___Track[[#This Row],[Track ID]])</f>
        <v>1</v>
      </c>
      <c r="AA582" s="114">
        <f>_xlfn.NUMBERVALUE(RIGHT(ReportSummary___Track[[#This Row],[Track ID]],4))</f>
        <v>39</v>
      </c>
      <c r="AB582" s="78"/>
    </row>
    <row r="583" spans="5:28" ht="14.25" customHeight="1" x14ac:dyDescent="0.2">
      <c r="E583" s="74">
        <v>45817.284722222219</v>
      </c>
      <c r="F583" s="107" t="s">
        <v>279</v>
      </c>
      <c r="G583" s="142">
        <v>51904.376913937136</v>
      </c>
      <c r="H583" s="142">
        <v>159190.24760641559</v>
      </c>
      <c r="I583" s="142">
        <v>18.866796614517867</v>
      </c>
      <c r="J583" s="142">
        <v>51904.029025848562</v>
      </c>
      <c r="K583" s="142">
        <v>159188.97844229479</v>
      </c>
      <c r="L583" s="142">
        <v>18.857900000000001</v>
      </c>
      <c r="M583" s="145">
        <v>8.8966145178659417E-3</v>
      </c>
      <c r="N583" s="145">
        <v>1.3160101965664308</v>
      </c>
      <c r="O583" s="145">
        <v>1.3678648246440162E-3</v>
      </c>
      <c r="P583" s="145">
        <v>3.6187510810279377E-3</v>
      </c>
      <c r="Q5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-0.72419474741280965</v>
      </c>
      <c r="R5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0.67984977678969827</v>
      </c>
      <c r="S5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-0.72444763664236689</v>
      </c>
      <c r="T5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-0.72419474741280965</v>
      </c>
      <c r="U5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-7.2432803531086165E-4</v>
      </c>
      <c r="V5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-1.8733176067042834E-5</v>
      </c>
      <c r="W5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-7.3666300178842903E-4</v>
      </c>
      <c r="X5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-7.2250485343516857E-4</v>
      </c>
      <c r="Y583" s="162" t="str">
        <f>ReportSummary___Track[[#This Row],[Track ID]]&amp;"-"&amp;ReportSummary___Track[[#This Row],[Epoch]]</f>
        <v>250-RL-OP-0040-45817.2847222222</v>
      </c>
      <c r="Z583" s="126">
        <f>SUBTOTAL(103,ReportSummary___Track[[#This Row],[Track ID]])</f>
        <v>1</v>
      </c>
      <c r="AA583" s="114">
        <f>_xlfn.NUMBERVALUE(RIGHT(ReportSummary___Track[[#This Row],[Track ID]],4))</f>
        <v>40</v>
      </c>
      <c r="AB583" s="78"/>
    </row>
    <row r="584" spans="5:28" ht="14.25" customHeight="1" x14ac:dyDescent="0.2">
      <c r="E584" s="74">
        <v>45817.284722222219</v>
      </c>
      <c r="F584" s="107" t="s">
        <v>280</v>
      </c>
      <c r="G584" s="142">
        <v>51905.341841450259</v>
      </c>
      <c r="H584" s="142">
        <v>159189.98517913549</v>
      </c>
      <c r="I584" s="142">
        <v>18.867392406740741</v>
      </c>
      <c r="J584" s="142">
        <v>51905.003864714286</v>
      </c>
      <c r="K584" s="142">
        <v>159188.71300365729</v>
      </c>
      <c r="L584" s="142">
        <v>18.858054723306822</v>
      </c>
      <c r="M584" s="145">
        <v>9.337683433919608E-3</v>
      </c>
      <c r="N584" s="145">
        <v>1.3163380696895652</v>
      </c>
      <c r="O584" s="145">
        <v>1.1723104415430896E-3</v>
      </c>
      <c r="P584" s="145">
        <v>3.1150997536073533E-3</v>
      </c>
      <c r="Q5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-0.95003714654495752</v>
      </c>
      <c r="R5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0.8982963878176875</v>
      </c>
      <c r="S5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-0.89060717553479662</v>
      </c>
      <c r="T5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-0.95005884390175765</v>
      </c>
      <c r="U5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-9.5008935085161283E-4</v>
      </c>
      <c r="V5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-7.0824913995792826E-6</v>
      </c>
      <c r="W5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-8.9064844176434121E-4</v>
      </c>
      <c r="X5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-9.5041803402295955E-4</v>
      </c>
      <c r="Y584" s="162" t="str">
        <f>ReportSummary___Track[[#This Row],[Track ID]]&amp;"-"&amp;ReportSummary___Track[[#This Row],[Epoch]]</f>
        <v>250-RL-OP-0041-45817.2847222222</v>
      </c>
      <c r="Z584" s="126">
        <f>SUBTOTAL(103,ReportSummary___Track[[#This Row],[Track ID]])</f>
        <v>1</v>
      </c>
      <c r="AA584" s="114">
        <f>_xlfn.NUMBERVALUE(RIGHT(ReportSummary___Track[[#This Row],[Track ID]],4))</f>
        <v>41</v>
      </c>
      <c r="AB584" s="78"/>
    </row>
    <row r="585" spans="5:28" ht="14.25" customHeight="1" x14ac:dyDescent="0.2">
      <c r="E585" s="74">
        <v>45817.284722222219</v>
      </c>
      <c r="F585" s="107" t="s">
        <v>281</v>
      </c>
      <c r="G585" s="142">
        <v>51906.308594977017</v>
      </c>
      <c r="H585" s="142">
        <v>159189.72947487878</v>
      </c>
      <c r="I585" s="142">
        <v>18.869110425193988</v>
      </c>
      <c r="J585" s="142">
        <v>51905.970517335067</v>
      </c>
      <c r="K585" s="142">
        <v>159188.45691486076</v>
      </c>
      <c r="L585" s="142">
        <v>18.859167840622082</v>
      </c>
      <c r="M585" s="145">
        <v>9.9425845719061101E-3</v>
      </c>
      <c r="N585" s="145">
        <v>1.3167400451330433</v>
      </c>
      <c r="O585" s="145">
        <v>1.4115908167831037E-3</v>
      </c>
      <c r="P585" s="145">
        <v>3.06691788513902E-3</v>
      </c>
      <c r="Q5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-0.59059215766410489</v>
      </c>
      <c r="R5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0.46163720787495421</v>
      </c>
      <c r="S5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-0.19877979845261962</v>
      </c>
      <c r="T5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-0.59072945095550722</v>
      </c>
      <c r="U5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-5.910199324752341E-4</v>
      </c>
      <c r="V5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-4.5957069909619008E-6</v>
      </c>
      <c r="W5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-1.9913546027794382E-4</v>
      </c>
      <c r="X5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-5.9735175729613843E-4</v>
      </c>
      <c r="Y585" s="162" t="str">
        <f>ReportSummary___Track[[#This Row],[Track ID]]&amp;"-"&amp;ReportSummary___Track[[#This Row],[Epoch]]</f>
        <v>250-RL-OP-0042-45817.2847222222</v>
      </c>
      <c r="Z585" s="126">
        <f>SUBTOTAL(103,ReportSummary___Track[[#This Row],[Track ID]])</f>
        <v>1</v>
      </c>
      <c r="AA585" s="114">
        <f>_xlfn.NUMBERVALUE(RIGHT(ReportSummary___Track[[#This Row],[Track ID]],4))</f>
        <v>42</v>
      </c>
      <c r="AB585" s="78"/>
    </row>
    <row r="586" spans="5:28" ht="14.25" customHeight="1" x14ac:dyDescent="0.2">
      <c r="E586" s="74">
        <v>45817.284722222219</v>
      </c>
      <c r="F586" s="107" t="s">
        <v>282</v>
      </c>
      <c r="G586" s="142">
        <v>51907.275348503776</v>
      </c>
      <c r="H586" s="142">
        <v>159189.47377062205</v>
      </c>
      <c r="I586" s="142">
        <v>18.87082844364723</v>
      </c>
      <c r="J586" s="142">
        <v>51906.937169955847</v>
      </c>
      <c r="K586" s="142">
        <v>159188.20082606422</v>
      </c>
      <c r="L586" s="142">
        <v>18.860280957937338</v>
      </c>
      <c r="M586" s="145">
        <v>1.0547485709892612E-2</v>
      </c>
      <c r="N586" s="145">
        <v>1.3171422956698196</v>
      </c>
      <c r="O586" s="145">
        <v>1.6508711920266705E-3</v>
      </c>
      <c r="P586" s="145">
        <v>3.0187360166706867E-3</v>
      </c>
      <c r="Q5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-0.23114716878325225</v>
      </c>
      <c r="R5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2.5209844194185038E-2</v>
      </c>
      <c r="S5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0.49304757862955739</v>
      </c>
      <c r="T5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-0.2314000580128095</v>
      </c>
      <c r="U5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-2.3195051410240808E-4</v>
      </c>
      <c r="V5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-1.8785391786568795E-6</v>
      </c>
      <c r="W5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4.9237752120845357E-4</v>
      </c>
      <c r="X5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-2.4428548057997546E-4</v>
      </c>
      <c r="Y586" s="162" t="str">
        <f>ReportSummary___Track[[#This Row],[Track ID]]&amp;"-"&amp;ReportSummary___Track[[#This Row],[Epoch]]</f>
        <v>250-RL-OP-0043-45817.2847222222</v>
      </c>
      <c r="Z586" s="126">
        <f>SUBTOTAL(103,ReportSummary___Track[[#This Row],[Track ID]])</f>
        <v>1</v>
      </c>
      <c r="AA586" s="114">
        <f>_xlfn.NUMBERVALUE(RIGHT(ReportSummary___Track[[#This Row],[Track ID]],4))</f>
        <v>43</v>
      </c>
      <c r="AB586" s="78"/>
    </row>
    <row r="587" spans="5:28" ht="14.25" customHeight="1" x14ac:dyDescent="0.2">
      <c r="E587" s="74">
        <v>45817.284722222219</v>
      </c>
      <c r="F587" s="107" t="s">
        <v>283</v>
      </c>
      <c r="G587" s="142">
        <v>51908.242837030943</v>
      </c>
      <c r="H587" s="142">
        <v>159189.22162199658</v>
      </c>
      <c r="I587" s="142">
        <v>18.872961738006055</v>
      </c>
      <c r="J587" s="142">
        <v>51907.905517584324</v>
      </c>
      <c r="K587" s="142">
        <v>159187.94820456346</v>
      </c>
      <c r="L587" s="142">
        <v>18.861831288624529</v>
      </c>
      <c r="M587" s="145">
        <v>1.1130449381525409E-2</v>
      </c>
      <c r="N587" s="145">
        <v>1.3173838677187426</v>
      </c>
      <c r="O587" s="145">
        <v>1.7927659476058011E-3</v>
      </c>
      <c r="P587" s="145">
        <v>2.9650763891488907E-3</v>
      </c>
      <c r="Q5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0.10204654517664835</v>
      </c>
      <c r="R5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-0.24017407867948926</v>
      </c>
      <c r="S5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1.0520836917216059</v>
      </c>
      <c r="T5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0.16147651618680925</v>
      </c>
      <c r="U5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1.0224704320549449E-4</v>
      </c>
      <c r="V5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-1.0801628225154403E-4</v>
      </c>
      <c r="W5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1.0523363940571073E-3</v>
      </c>
      <c r="X5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1.6168795229276611E-4</v>
      </c>
      <c r="Y587" s="162" t="str">
        <f>ReportSummary___Track[[#This Row],[Track ID]]&amp;"-"&amp;ReportSummary___Track[[#This Row],[Epoch]]</f>
        <v>250-RL-OP-0044-45817.2847222222</v>
      </c>
      <c r="Z587" s="126">
        <f>SUBTOTAL(103,ReportSummary___Track[[#This Row],[Track ID]])</f>
        <v>1</v>
      </c>
      <c r="AA587" s="114">
        <f>_xlfn.NUMBERVALUE(RIGHT(ReportSummary___Track[[#This Row],[Track ID]],4))</f>
        <v>44</v>
      </c>
      <c r="AB587" s="78"/>
    </row>
    <row r="588" spans="5:28" ht="14.25" customHeight="1" x14ac:dyDescent="0.2">
      <c r="E588" s="74">
        <v>45817.284722222219</v>
      </c>
      <c r="F588" s="107" t="s">
        <v>284</v>
      </c>
      <c r="G588" s="142">
        <v>51909.212440777213</v>
      </c>
      <c r="H588" s="142">
        <v>159188.97696014243</v>
      </c>
      <c r="I588" s="142">
        <v>18.875987022705825</v>
      </c>
      <c r="J588" s="142">
        <v>51908.874845612299</v>
      </c>
      <c r="K588" s="142">
        <v>159187.70244515949</v>
      </c>
      <c r="L588" s="142">
        <v>18.864174266709455</v>
      </c>
      <c r="M588" s="145">
        <v>1.1812755996370328E-2</v>
      </c>
      <c r="N588" s="145">
        <v>1.3185213226650916</v>
      </c>
      <c r="O588" s="145">
        <v>1.8701714244642176E-3</v>
      </c>
      <c r="P588" s="145">
        <v>3.2817622412473213E-3</v>
      </c>
      <c r="Q5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0.42306974755135229</v>
      </c>
      <c r="R5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-0.15331645091287704</v>
      </c>
      <c r="S5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1.0136619052154572</v>
      </c>
      <c r="T5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0.81488210676283757</v>
      </c>
      <c r="U5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4.2390094086286467E-4</v>
      </c>
      <c r="V5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-4.1201320575123823E-4</v>
      </c>
      <c r="W5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1.0149208733380988E-3</v>
      </c>
      <c r="X5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8.1578541306015495E-4</v>
      </c>
      <c r="Y588" s="162" t="str">
        <f>ReportSummary___Track[[#This Row],[Track ID]]&amp;"-"&amp;ReportSummary___Track[[#This Row],[Epoch]]</f>
        <v>250-RL-OP-0045-45817.2847222222</v>
      </c>
      <c r="Z588" s="126">
        <f>SUBTOTAL(103,ReportSummary___Track[[#This Row],[Track ID]])</f>
        <v>1</v>
      </c>
      <c r="AA588" s="114">
        <f>_xlfn.NUMBERVALUE(RIGHT(ReportSummary___Track[[#This Row],[Track ID]],4))</f>
        <v>45</v>
      </c>
      <c r="AB588" s="78"/>
    </row>
    <row r="589" spans="5:28" ht="14.25" customHeight="1" x14ac:dyDescent="0.2">
      <c r="E589" s="74">
        <v>45817.284722222219</v>
      </c>
      <c r="F589" s="107" t="s">
        <v>285</v>
      </c>
      <c r="G589" s="142">
        <v>51910.182044523492</v>
      </c>
      <c r="H589" s="142">
        <v>159188.73229828832</v>
      </c>
      <c r="I589" s="142">
        <v>18.879012307405592</v>
      </c>
      <c r="J589" s="142">
        <v>51909.844173640267</v>
      </c>
      <c r="K589" s="142">
        <v>159187.45668575552</v>
      </c>
      <c r="L589" s="142">
        <v>18.86651724479438</v>
      </c>
      <c r="M589" s="145">
        <v>1.2495062611211694E-2</v>
      </c>
      <c r="N589" s="145">
        <v>1.3196591204400263</v>
      </c>
      <c r="O589" s="145">
        <v>1.9475769013190813E-3</v>
      </c>
      <c r="P589" s="145">
        <v>3.5984480933457519E-3</v>
      </c>
      <c r="Q5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0.74409294992605624</v>
      </c>
      <c r="R5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-6.6210259461740861E-2</v>
      </c>
      <c r="S5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0.97524011870930849</v>
      </c>
      <c r="T5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1.4682876973388659</v>
      </c>
      <c r="U5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7.4555483851668214E-4</v>
      </c>
      <c r="V5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-7.1575942143886628E-4</v>
      </c>
      <c r="W5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9.7750535261909022E-4</v>
      </c>
      <c r="X5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1.4698828738275438E-3</v>
      </c>
      <c r="Y589" s="162" t="str">
        <f>ReportSummary___Track[[#This Row],[Track ID]]&amp;"-"&amp;ReportSummary___Track[[#This Row],[Epoch]]</f>
        <v>250-RL-OP-0046-45817.2847222222</v>
      </c>
      <c r="Z589" s="126">
        <f>SUBTOTAL(103,ReportSummary___Track[[#This Row],[Track ID]])</f>
        <v>1</v>
      </c>
      <c r="AA589" s="114">
        <f>_xlfn.NUMBERVALUE(RIGHT(ReportSummary___Track[[#This Row],[Track ID]],4))</f>
        <v>46</v>
      </c>
      <c r="AB589" s="78"/>
    </row>
    <row r="590" spans="5:28" ht="14.25" customHeight="1" x14ac:dyDescent="0.2">
      <c r="E590" s="74">
        <v>45817.284722222219</v>
      </c>
      <c r="F590" s="107" t="s">
        <v>286</v>
      </c>
      <c r="G590" s="142">
        <v>51911.152137387231</v>
      </c>
      <c r="H590" s="142">
        <v>159188.48942629149</v>
      </c>
      <c r="I590" s="142">
        <v>18.882328834015588</v>
      </c>
      <c r="J590" s="142">
        <v>51910.83519231317</v>
      </c>
      <c r="K590" s="142">
        <v>159187.20751754259</v>
      </c>
      <c r="L590" s="142">
        <v>18.869215036543238</v>
      </c>
      <c r="M590" s="145">
        <v>1.3113797472350086E-2</v>
      </c>
      <c r="N590" s="145">
        <v>1.3205741903326342</v>
      </c>
      <c r="O590" s="145">
        <v>1.983348090824677E-3</v>
      </c>
      <c r="P590" s="145">
        <v>3.7761140384304781E-3</v>
      </c>
      <c r="Q5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0.92696552116677822</v>
      </c>
      <c r="R5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-2.5905538437953624E-2</v>
      </c>
      <c r="S5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0.82491897599012987</v>
      </c>
      <c r="T5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1.8770026677117357</v>
      </c>
      <c r="U5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8.5011389875333521E-4</v>
      </c>
      <c r="V5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-9.6257804909982703E-4</v>
      </c>
      <c r="W5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7.4786685554784071E-4</v>
      </c>
      <c r="X5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1.800203249604948E-3</v>
      </c>
      <c r="Y590" s="162" t="str">
        <f>ReportSummary___Track[[#This Row],[Track ID]]&amp;"-"&amp;ReportSummary___Track[[#This Row],[Epoch]]</f>
        <v>250-RL-OP-0047-45817.2847222222</v>
      </c>
      <c r="Z590" s="126">
        <f>SUBTOTAL(103,ReportSummary___Track[[#This Row],[Track ID]])</f>
        <v>1</v>
      </c>
      <c r="AA590" s="114">
        <f>_xlfn.NUMBERVALUE(RIGHT(ReportSummary___Track[[#This Row],[Track ID]],4))</f>
        <v>47</v>
      </c>
      <c r="AB590" s="78"/>
    </row>
    <row r="591" spans="5:28" ht="14.25" customHeight="1" x14ac:dyDescent="0.2">
      <c r="E591" s="74">
        <v>45817.284722222219</v>
      </c>
      <c r="F591" s="107" t="s">
        <v>287</v>
      </c>
      <c r="G591" s="142">
        <v>51912.123851747914</v>
      </c>
      <c r="H591" s="142">
        <v>159188.25330812964</v>
      </c>
      <c r="I591" s="142">
        <v>18.886735067486118</v>
      </c>
      <c r="J591" s="142">
        <v>51911.806755818332</v>
      </c>
      <c r="K591" s="142">
        <v>159186.97076785209</v>
      </c>
      <c r="L591" s="142">
        <v>18.872948598353751</v>
      </c>
      <c r="M591" s="145">
        <v>1.3786469132366364E-2</v>
      </c>
      <c r="N591" s="145">
        <v>1.3212302822838018</v>
      </c>
      <c r="O591" s="145">
        <v>1.9737131359960358E-3</v>
      </c>
      <c r="P591" s="145">
        <v>3.8438845604602534E-3</v>
      </c>
      <c r="Q5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0.58050214910565501</v>
      </c>
      <c r="R5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-0.19387009634597163</v>
      </c>
      <c r="S5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0.15743240155430271</v>
      </c>
      <c r="T5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1.1710943067697599</v>
      </c>
      <c r="U5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1.5149364168820512E-4</v>
      </c>
      <c r="V5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-9.6915535517072549E-4</v>
      </c>
      <c r="W5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-2.7240729917465956E-4</v>
      </c>
      <c r="X5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7.4251357416343922E-4</v>
      </c>
      <c r="Y591" s="162" t="str">
        <f>ReportSummary___Track[[#This Row],[Track ID]]&amp;"-"&amp;ReportSummary___Track[[#This Row],[Epoch]]</f>
        <v>250-RL-OP-0048-45817.2847222222</v>
      </c>
      <c r="Z591" s="126">
        <f>SUBTOTAL(103,ReportSummary___Track[[#This Row],[Track ID]])</f>
        <v>1</v>
      </c>
      <c r="AA591" s="114">
        <f>_xlfn.NUMBERVALUE(RIGHT(ReportSummary___Track[[#This Row],[Track ID]],4))</f>
        <v>48</v>
      </c>
      <c r="AB591" s="78"/>
    </row>
    <row r="592" spans="5:28" ht="14.25" customHeight="1" x14ac:dyDescent="0.2">
      <c r="E592" s="74">
        <v>45817.284722222219</v>
      </c>
      <c r="F592" s="107" t="s">
        <v>288</v>
      </c>
      <c r="G592" s="142">
        <v>51913.09556610859</v>
      </c>
      <c r="H592" s="142">
        <v>159188.0171899678</v>
      </c>
      <c r="I592" s="142">
        <v>18.891141300956644</v>
      </c>
      <c r="J592" s="142">
        <v>51912.778319323494</v>
      </c>
      <c r="K592" s="142">
        <v>159186.73401816157</v>
      </c>
      <c r="L592" s="142">
        <v>18.876682160164268</v>
      </c>
      <c r="M592" s="145">
        <v>1.4459140792375536E-2</v>
      </c>
      <c r="N592" s="145">
        <v>1.3218867098548233</v>
      </c>
      <c r="O592" s="145">
        <v>1.9640781811638419E-3</v>
      </c>
      <c r="P592" s="145">
        <v>3.9116550824829233E-3</v>
      </c>
      <c r="Q5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0.23403877704097908</v>
      </c>
      <c r="R5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-0.3622724967116131</v>
      </c>
      <c r="S5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-0.51005417288507715</v>
      </c>
      <c r="T5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0.46518594582423134</v>
      </c>
      <c r="U5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-5.4712661538758312E-4</v>
      </c>
      <c r="V5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-9.7680528871690875E-4</v>
      </c>
      <c r="W5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-1.2926814539042653E-3</v>
      </c>
      <c r="X5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-3.1517610128517504E-4</v>
      </c>
      <c r="Y592" s="162" t="str">
        <f>ReportSummary___Track[[#This Row],[Track ID]]&amp;"-"&amp;ReportSummary___Track[[#This Row],[Epoch]]</f>
        <v>250-RL-OP-0049-45817.2847222222</v>
      </c>
      <c r="Z592" s="126">
        <f>SUBTOTAL(103,ReportSummary___Track[[#This Row],[Track ID]])</f>
        <v>1</v>
      </c>
      <c r="AA592" s="114">
        <f>_xlfn.NUMBERVALUE(RIGHT(ReportSummary___Track[[#This Row],[Track ID]],4))</f>
        <v>49</v>
      </c>
      <c r="AB592" s="78"/>
    </row>
    <row r="593" spans="5:28" ht="14.25" customHeight="1" x14ac:dyDescent="0.2">
      <c r="E593" s="74">
        <v>45813.284722222219</v>
      </c>
      <c r="F593" s="107" t="s">
        <v>235</v>
      </c>
      <c r="G593" s="142">
        <v>51886.101888003854</v>
      </c>
      <c r="H593" s="142">
        <v>159195.44568170901</v>
      </c>
      <c r="I593" s="142">
        <v>18.870774640796562</v>
      </c>
      <c r="J593" s="142">
        <v>51885.742976150454</v>
      </c>
      <c r="K593" s="142">
        <v>159194.186695724</v>
      </c>
      <c r="L593" s="142">
        <v>18.866787569705</v>
      </c>
      <c r="M593" s="145">
        <v>3.9870710915614893E-3</v>
      </c>
      <c r="N593" s="145">
        <v>1.3091521400143848</v>
      </c>
      <c r="O593" s="145"/>
      <c r="P593" s="145"/>
      <c r="Q5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-0.28169365443275751</v>
      </c>
      <c r="R5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-0.96603637302483669</v>
      </c>
      <c r="S59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9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5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-2.7450910110071725E-4</v>
      </c>
      <c r="W59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9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93" s="162" t="str">
        <f>ReportSummary___Track[[#This Row],[Track ID]]&amp;"-"&amp;ReportSummary___Track[[#This Row],[Epoch]]</f>
        <v>250-RL-OP-0021-45813.2847222222</v>
      </c>
      <c r="Z593" s="126">
        <f>SUBTOTAL(103,ReportSummary___Track[[#This Row],[Track ID]])</f>
        <v>1</v>
      </c>
      <c r="AA593" s="114">
        <f>_xlfn.NUMBERVALUE(RIGHT(ReportSummary___Track[[#This Row],[Track ID]],4))</f>
        <v>21</v>
      </c>
      <c r="AB593" s="78"/>
    </row>
    <row r="594" spans="5:28" ht="14.25" customHeight="1" x14ac:dyDescent="0.2">
      <c r="E594" s="74">
        <v>45813.284722222219</v>
      </c>
      <c r="F594" s="107" t="s">
        <v>236</v>
      </c>
      <c r="G594" s="142">
        <v>51887.0635346048</v>
      </c>
      <c r="H594" s="142">
        <v>159195.17139037082</v>
      </c>
      <c r="I594" s="142">
        <v>18.870497718698449</v>
      </c>
      <c r="J594" s="142">
        <v>51886.704005177446</v>
      </c>
      <c r="K594" s="142">
        <v>159193.91024827689</v>
      </c>
      <c r="L594" s="142">
        <v>18.866652437138896</v>
      </c>
      <c r="M594" s="145">
        <v>3.8452815595526602E-3</v>
      </c>
      <c r="N594" s="145">
        <v>1.311394515919533</v>
      </c>
      <c r="O594" s="145"/>
      <c r="P594" s="145"/>
      <c r="Q5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-0.62783970314583826</v>
      </c>
      <c r="R5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-0.63429717555307796</v>
      </c>
      <c r="S59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9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5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-2.7451064216243992E-4</v>
      </c>
      <c r="W59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9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94" s="162" t="str">
        <f>ReportSummary___Track[[#This Row],[Track ID]]&amp;"-"&amp;ReportSummary___Track[[#This Row],[Epoch]]</f>
        <v>250-RL-OP-0022-45813.2847222222</v>
      </c>
      <c r="Z594" s="126">
        <f>SUBTOTAL(103,ReportSummary___Track[[#This Row],[Track ID]])</f>
        <v>1</v>
      </c>
      <c r="AA594" s="114">
        <f>_xlfn.NUMBERVALUE(RIGHT(ReportSummary___Track[[#This Row],[Track ID]],4))</f>
        <v>22</v>
      </c>
      <c r="AB594" s="78"/>
    </row>
    <row r="595" spans="5:28" ht="14.25" customHeight="1" x14ac:dyDescent="0.2">
      <c r="E595" s="74">
        <v>45813.284722222219</v>
      </c>
      <c r="F595" s="107" t="s">
        <v>237</v>
      </c>
      <c r="G595" s="142">
        <v>51888.025181205747</v>
      </c>
      <c r="H595" s="142">
        <v>159194.89709903265</v>
      </c>
      <c r="I595" s="142">
        <v>18.870220796600339</v>
      </c>
      <c r="J595" s="142">
        <v>51887.665034204445</v>
      </c>
      <c r="K595" s="142">
        <v>159193.63380082979</v>
      </c>
      <c r="L595" s="142">
        <v>18.866517304572792</v>
      </c>
      <c r="M595" s="145">
        <v>3.7034920275473837E-3</v>
      </c>
      <c r="N595" s="145">
        <v>1.3136369086420634</v>
      </c>
      <c r="O595" s="145"/>
      <c r="P595" s="145"/>
      <c r="Q5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-0.97398575185536629</v>
      </c>
      <c r="R5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-0.30257096832420061</v>
      </c>
      <c r="S59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59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5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-2.7451217444474096E-4</v>
      </c>
      <c r="W59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59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95" s="162" t="str">
        <f>ReportSummary___Track[[#This Row],[Track ID]]&amp;"-"&amp;ReportSummary___Track[[#This Row],[Epoch]]</f>
        <v>250-RL-OP-0023-45813.2847222222</v>
      </c>
      <c r="Z595" s="126">
        <f>SUBTOTAL(103,ReportSummary___Track[[#This Row],[Track ID]])</f>
        <v>1</v>
      </c>
      <c r="AA595" s="114">
        <f>_xlfn.NUMBERVALUE(RIGHT(ReportSummary___Track[[#This Row],[Track ID]],4))</f>
        <v>23</v>
      </c>
      <c r="AB595" s="78"/>
    </row>
    <row r="596" spans="5:28" ht="14.25" customHeight="1" x14ac:dyDescent="0.2">
      <c r="E596" s="74">
        <v>45813.284722222219</v>
      </c>
      <c r="F596" s="107" t="s">
        <v>238</v>
      </c>
      <c r="G596" s="142">
        <v>51888.98628832103</v>
      </c>
      <c r="H596" s="142">
        <v>159194.62201573106</v>
      </c>
      <c r="I596" s="142">
        <v>18.869514730242752</v>
      </c>
      <c r="J596" s="142">
        <v>51888.625080792306</v>
      </c>
      <c r="K596" s="142">
        <v>159193.35699315078</v>
      </c>
      <c r="L596" s="142">
        <v>18.865452876475164</v>
      </c>
      <c r="M596" s="145">
        <v>4.0618537675882749E-3</v>
      </c>
      <c r="N596" s="145">
        <v>1.3155871335941924</v>
      </c>
      <c r="O596" s="145">
        <v>7.4782676026785566E-5</v>
      </c>
      <c r="P596" s="145"/>
      <c r="Q5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-0.70056779149041404</v>
      </c>
      <c r="R5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-0.18229573762340578</v>
      </c>
      <c r="S5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-0.41887413705765653</v>
      </c>
      <c r="T59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3.4543784721563497E-7</v>
      </c>
      <c r="V5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-1.9202717415800485E-4</v>
      </c>
      <c r="W5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3.4543784721563497E-7</v>
      </c>
      <c r="X59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96" s="162" t="str">
        <f>ReportSummary___Track[[#This Row],[Track ID]]&amp;"-"&amp;ReportSummary___Track[[#This Row],[Epoch]]</f>
        <v>250-RL-OP-0024-45813.2847222222</v>
      </c>
      <c r="Z596" s="126">
        <f>SUBTOTAL(103,ReportSummary___Track[[#This Row],[Track ID]])</f>
        <v>1</v>
      </c>
      <c r="AA596" s="114">
        <f>_xlfn.NUMBERVALUE(RIGHT(ReportSummary___Track[[#This Row],[Track ID]],4))</f>
        <v>24</v>
      </c>
      <c r="AB596" s="78"/>
    </row>
    <row r="597" spans="5:28" ht="14.25" customHeight="1" x14ac:dyDescent="0.2">
      <c r="E597" s="74">
        <v>45813.284722222219</v>
      </c>
      <c r="F597" s="107" t="s">
        <v>239</v>
      </c>
      <c r="G597" s="142">
        <v>51889.947664398285</v>
      </c>
      <c r="H597" s="142">
        <v>159194.34677858101</v>
      </c>
      <c r="I597" s="142">
        <v>18.868773577574299</v>
      </c>
      <c r="J597" s="142">
        <v>51889.585912834904</v>
      </c>
      <c r="K597" s="142">
        <v>159193.07986440646</v>
      </c>
      <c r="L597" s="142">
        <v>18.864250806075855</v>
      </c>
      <c r="M597" s="145">
        <v>4.5227714984434897E-3</v>
      </c>
      <c r="N597" s="145">
        <v>1.3175568962015589</v>
      </c>
      <c r="O597" s="145">
        <v>6.7748993889082954E-4</v>
      </c>
      <c r="P597" s="145"/>
      <c r="Q5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-0.35682323069963218</v>
      </c>
      <c r="R5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-9.2094115404561805E-2</v>
      </c>
      <c r="S5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0.27101647244620608</v>
      </c>
      <c r="T59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7.4199146027353891E-7</v>
      </c>
      <c r="V5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-9.6880281095002019E-5</v>
      </c>
      <c r="W5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7.4199146027353891E-7</v>
      </c>
      <c r="X59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97" s="162" t="str">
        <f>ReportSummary___Track[[#This Row],[Track ID]]&amp;"-"&amp;ReportSummary___Track[[#This Row],[Epoch]]</f>
        <v>250-RL-OP-0025-45813.2847222222</v>
      </c>
      <c r="Z597" s="126">
        <f>SUBTOTAL(103,ReportSummary___Track[[#This Row],[Track ID]])</f>
        <v>1</v>
      </c>
      <c r="AA597" s="114">
        <f>_xlfn.NUMBERVALUE(RIGHT(ReportSummary___Track[[#This Row],[Track ID]],4))</f>
        <v>25</v>
      </c>
      <c r="AB597" s="78"/>
    </row>
    <row r="598" spans="5:28" ht="14.25" customHeight="1" x14ac:dyDescent="0.2">
      <c r="E598" s="74">
        <v>45813.284722222219</v>
      </c>
      <c r="F598" s="107" t="s">
        <v>240</v>
      </c>
      <c r="G598" s="142">
        <v>51890.909040475541</v>
      </c>
      <c r="H598" s="142">
        <v>159194.07154143095</v>
      </c>
      <c r="I598" s="142">
        <v>18.868032424905849</v>
      </c>
      <c r="J598" s="142">
        <v>51890.546744877509</v>
      </c>
      <c r="K598" s="142">
        <v>159192.80273566212</v>
      </c>
      <c r="L598" s="142">
        <v>18.86304873567655</v>
      </c>
      <c r="M598" s="145">
        <v>4.9836892292987045E-3</v>
      </c>
      <c r="N598" s="145">
        <v>1.3195268153933113</v>
      </c>
      <c r="O598" s="145">
        <v>1.2801972017513208E-3</v>
      </c>
      <c r="P598" s="145"/>
      <c r="Q5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-1.3078669908850316E-2</v>
      </c>
      <c r="R5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-1.7451558969039382E-3</v>
      </c>
      <c r="S5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0.96090708194651597</v>
      </c>
      <c r="T59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5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1.1385450697787292E-6</v>
      </c>
      <c r="V5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-1.7332940900338656E-6</v>
      </c>
      <c r="W5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1.1385450697787292E-6</v>
      </c>
      <c r="X59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598" s="162" t="str">
        <f>ReportSummary___Track[[#This Row],[Track ID]]&amp;"-"&amp;ReportSummary___Track[[#This Row],[Epoch]]</f>
        <v>250-RL-OP-0026-45813.2847222222</v>
      </c>
      <c r="Z598" s="126">
        <f>SUBTOTAL(103,ReportSummary___Track[[#This Row],[Track ID]])</f>
        <v>1</v>
      </c>
      <c r="AA598" s="114">
        <f>_xlfn.NUMBERVALUE(RIGHT(ReportSummary___Track[[#This Row],[Track ID]],4))</f>
        <v>26</v>
      </c>
      <c r="AB598" s="78"/>
    </row>
    <row r="599" spans="5:28" ht="14.25" customHeight="1" x14ac:dyDescent="0.2">
      <c r="E599" s="74">
        <v>45813.284722222219</v>
      </c>
      <c r="F599" s="107" t="s">
        <v>241</v>
      </c>
      <c r="G599" s="142">
        <v>51891.869997674046</v>
      </c>
      <c r="H599" s="142">
        <v>159193.79503821288</v>
      </c>
      <c r="I599" s="142">
        <v>18.865661670375356</v>
      </c>
      <c r="J599" s="142">
        <v>51891.504267267614</v>
      </c>
      <c r="K599" s="142">
        <v>159192.52660902659</v>
      </c>
      <c r="L599" s="142">
        <v>18.861283294009535</v>
      </c>
      <c r="M599" s="145">
        <v>4.3783763658211683E-3</v>
      </c>
      <c r="N599" s="145">
        <v>1.3201100336646869</v>
      </c>
      <c r="O599" s="145">
        <v>3.1652259823289342E-4</v>
      </c>
      <c r="P599" s="145">
        <v>3.9130527425967898E-4</v>
      </c>
      <c r="Q5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5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5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0.37599783577846324</v>
      </c>
      <c r="T5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-4.2876301279193285E-2</v>
      </c>
      <c r="U5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5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5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-2.8388219419639427E-7</v>
      </c>
      <c r="X5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6.1555653019240708E-8</v>
      </c>
      <c r="Y599" s="162" t="str">
        <f>ReportSummary___Track[[#This Row],[Track ID]]&amp;"-"&amp;ReportSummary___Track[[#This Row],[Epoch]]</f>
        <v>250-RL-OP-0027-45813.2847222222</v>
      </c>
      <c r="Z599" s="126">
        <f>SUBTOTAL(103,ReportSummary___Track[[#This Row],[Track ID]])</f>
        <v>1</v>
      </c>
      <c r="AA599" s="114">
        <f>_xlfn.NUMBERVALUE(RIGHT(ReportSummary___Track[[#This Row],[Track ID]],4))</f>
        <v>27</v>
      </c>
      <c r="AB599" s="78"/>
    </row>
    <row r="600" spans="5:28" ht="14.25" customHeight="1" x14ac:dyDescent="0.2">
      <c r="E600" s="74">
        <v>45813.284722222219</v>
      </c>
      <c r="F600" s="107" t="s">
        <v>242</v>
      </c>
      <c r="G600" s="142">
        <v>51892.83098666594</v>
      </c>
      <c r="H600" s="142">
        <v>159193.51846240537</v>
      </c>
      <c r="I600" s="142">
        <v>18.863216230483452</v>
      </c>
      <c r="J600" s="142">
        <v>51892.465111689802</v>
      </c>
      <c r="K600" s="142">
        <v>159192.24952641845</v>
      </c>
      <c r="L600" s="142">
        <v>18.859487576446288</v>
      </c>
      <c r="M600" s="145">
        <v>3.7286540371646026E-3</v>
      </c>
      <c r="N600" s="145">
        <v>1.3206350517469128</v>
      </c>
      <c r="O600" s="145">
        <v>-7.9411746127888705E-4</v>
      </c>
      <c r="P600" s="145">
        <v>-1.1662752238805751E-4</v>
      </c>
      <c r="Q6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6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6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-0.30725504688788874</v>
      </c>
      <c r="T6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-3.6238574441682658E-2</v>
      </c>
      <c r="U6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6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6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-6.1609576107457542E-7</v>
      </c>
      <c r="X6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1.2589569919896348E-7</v>
      </c>
      <c r="Y600" s="162" t="str">
        <f>ReportSummary___Track[[#This Row],[Track ID]]&amp;"-"&amp;ReportSummary___Track[[#This Row],[Epoch]]</f>
        <v>250-RL-OP-0028-45813.2847222222</v>
      </c>
      <c r="Z600" s="126">
        <f>SUBTOTAL(103,ReportSummary___Track[[#This Row],[Track ID]])</f>
        <v>1</v>
      </c>
      <c r="AA600" s="114">
        <f>_xlfn.NUMBERVALUE(RIGHT(ReportSummary___Track[[#This Row],[Track ID]],4))</f>
        <v>28</v>
      </c>
      <c r="AB600" s="78"/>
    </row>
    <row r="601" spans="5:28" ht="14.25" customHeight="1" x14ac:dyDescent="0.2">
      <c r="E601" s="74">
        <v>45813.284722222219</v>
      </c>
      <c r="F601" s="107" t="s">
        <v>243</v>
      </c>
      <c r="G601" s="142">
        <v>51893.79183894024</v>
      </c>
      <c r="H601" s="142">
        <v>159193.24190592469</v>
      </c>
      <c r="I601" s="142">
        <v>18.86092641939771</v>
      </c>
      <c r="J601" s="142">
        <v>51893.426692719338</v>
      </c>
      <c r="K601" s="142">
        <v>159191.97223227765</v>
      </c>
      <c r="L601" s="142">
        <v>18.857700906113323</v>
      </c>
      <c r="M601" s="145">
        <v>3.2255132843879153E-3</v>
      </c>
      <c r="N601" s="145">
        <v>1.3211409222939872</v>
      </c>
      <c r="O601" s="145">
        <v>-1.7581759449107892E-3</v>
      </c>
      <c r="P601" s="145">
        <v>-4.7797874315946842E-4</v>
      </c>
      <c r="Q6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-0.98057685560348773</v>
      </c>
      <c r="R6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-0.25768740377540844</v>
      </c>
      <c r="S6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-0.96749818569463741</v>
      </c>
      <c r="T6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-6.5911037481214407E-3</v>
      </c>
      <c r="U6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1.8155660583829558E-6</v>
      </c>
      <c r="V6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1.6424883860777229E-5</v>
      </c>
      <c r="W6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6.7702098860422666E-7</v>
      </c>
      <c r="X6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1.8155660583829558E-6</v>
      </c>
      <c r="Y601" s="162" t="str">
        <f>ReportSummary___Track[[#This Row],[Track ID]]&amp;"-"&amp;ReportSummary___Track[[#This Row],[Epoch]]</f>
        <v>250-RL-OP-0029-45813.2847222222</v>
      </c>
      <c r="Z601" s="126">
        <f>SUBTOTAL(103,ReportSummary___Track[[#This Row],[Track ID]])</f>
        <v>1</v>
      </c>
      <c r="AA601" s="114">
        <f>_xlfn.NUMBERVALUE(RIGHT(ReportSummary___Track[[#This Row],[Track ID]],4))</f>
        <v>29</v>
      </c>
      <c r="AB601" s="78"/>
    </row>
    <row r="602" spans="5:28" ht="14.25" customHeight="1" x14ac:dyDescent="0.2">
      <c r="E602" s="74">
        <v>45813.284722222219</v>
      </c>
      <c r="F602" s="107" t="s">
        <v>269</v>
      </c>
      <c r="G602" s="142">
        <v>51894.752729646825</v>
      </c>
      <c r="H602" s="142">
        <v>159192.96497849975</v>
      </c>
      <c r="I602" s="142">
        <v>18.861427736242298</v>
      </c>
      <c r="J602" s="142">
        <v>51894.38758316014</v>
      </c>
      <c r="K602" s="142">
        <v>159191.6953035295</v>
      </c>
      <c r="L602" s="142">
        <v>18.857871870891774</v>
      </c>
      <c r="M602" s="145">
        <v>3.5558653505241011E-3</v>
      </c>
      <c r="N602" s="145">
        <v>1.3211431152537607</v>
      </c>
      <c r="O602" s="145">
        <v>-8.2251101529706716E-4</v>
      </c>
      <c r="P602" s="145">
        <v>-5.0598841706417375E-4</v>
      </c>
      <c r="Q6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-0.30447434041747101</v>
      </c>
      <c r="R6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0.15800144076938416</v>
      </c>
      <c r="S6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2.0095615294479785E-2</v>
      </c>
      <c r="T6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0.39609345107294303</v>
      </c>
      <c r="U6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3.4396005051462453E-4</v>
      </c>
      <c r="V6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2.4369031811088959E-4</v>
      </c>
      <c r="W6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3.4389849486160529E-4</v>
      </c>
      <c r="X6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3.4361461266740889E-4</v>
      </c>
      <c r="Y602" s="162" t="str">
        <f>ReportSummary___Track[[#This Row],[Track ID]]&amp;"-"&amp;ReportSummary___Track[[#This Row],[Epoch]]</f>
        <v>250-RL-OP-0030-45813.2847222222</v>
      </c>
      <c r="Z602" s="126">
        <f>SUBTOTAL(103,ReportSummary___Track[[#This Row],[Track ID]])</f>
        <v>1</v>
      </c>
      <c r="AA602" s="114">
        <f>_xlfn.NUMBERVALUE(RIGHT(ReportSummary___Track[[#This Row],[Track ID]],4))</f>
        <v>30</v>
      </c>
      <c r="AB602" s="78"/>
    </row>
    <row r="603" spans="5:28" ht="14.25" customHeight="1" x14ac:dyDescent="0.2">
      <c r="E603" s="74">
        <v>45813.284722222219</v>
      </c>
      <c r="F603" s="107" t="s">
        <v>270</v>
      </c>
      <c r="G603" s="142">
        <v>51895.713620353403</v>
      </c>
      <c r="H603" s="142">
        <v>159192.6880510748</v>
      </c>
      <c r="I603" s="142">
        <v>18.861929053086882</v>
      </c>
      <c r="J603" s="142">
        <v>51895.348473600949</v>
      </c>
      <c r="K603" s="142">
        <v>159191.41837478138</v>
      </c>
      <c r="L603" s="142">
        <v>18.858042835670226</v>
      </c>
      <c r="M603" s="145">
        <v>3.8862174166567343E-3</v>
      </c>
      <c r="N603" s="145">
        <v>1.3211453907837332</v>
      </c>
      <c r="O603" s="145">
        <v>1.5756337949213162E-4</v>
      </c>
      <c r="P603" s="145">
        <v>-6.3655408178675543E-4</v>
      </c>
      <c r="Q6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0.37162817476499299</v>
      </c>
      <c r="R6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0.57368299048055071</v>
      </c>
      <c r="S6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1.0357064523525139</v>
      </c>
      <c r="T6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0.72845140546462517</v>
      </c>
      <c r="U6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6.8610453496731338E-4</v>
      </c>
      <c r="V6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4.7103825276417766E-4</v>
      </c>
      <c r="W6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6.8597863926811442E-4</v>
      </c>
      <c r="X6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6.8536254350703985E-4</v>
      </c>
      <c r="Y603" s="162" t="str">
        <f>ReportSummary___Track[[#This Row],[Track ID]]&amp;"-"&amp;ReportSummary___Track[[#This Row],[Epoch]]</f>
        <v>250-RL-OP-0031-45813.2847222222</v>
      </c>
      <c r="Z603" s="126">
        <f>SUBTOTAL(103,ReportSummary___Track[[#This Row],[Track ID]])</f>
        <v>1</v>
      </c>
      <c r="AA603" s="114">
        <f>_xlfn.NUMBERVALUE(RIGHT(ReportSummary___Track[[#This Row],[Track ID]],4))</f>
        <v>31</v>
      </c>
      <c r="AB603" s="78"/>
    </row>
    <row r="604" spans="5:28" ht="14.25" customHeight="1" x14ac:dyDescent="0.2">
      <c r="E604" s="74">
        <v>45813.284722222219</v>
      </c>
      <c r="F604" s="107" t="s">
        <v>271</v>
      </c>
      <c r="G604" s="142">
        <v>51896.675400318774</v>
      </c>
      <c r="H604" s="142">
        <v>159192.4108883453</v>
      </c>
      <c r="I604" s="142">
        <v>18.862476975813159</v>
      </c>
      <c r="J604" s="142">
        <v>51896.309521418087</v>
      </c>
      <c r="K604" s="142">
        <v>159191.14170884955</v>
      </c>
      <c r="L604" s="142">
        <v>18.858247340168667</v>
      </c>
      <c r="M604" s="145">
        <v>4.2296356444921912E-3</v>
      </c>
      <c r="N604" s="145">
        <v>1.32087162594187</v>
      </c>
      <c r="O604" s="145">
        <v>1.0041223601042759E-3</v>
      </c>
      <c r="P604" s="145">
        <v>-7.540535848065133E-4</v>
      </c>
      <c r="Q6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0.97861787842390413</v>
      </c>
      <c r="R6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0.96360928107297461</v>
      </c>
      <c r="S6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1.9591947340273919</v>
      </c>
      <c r="T6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0.99169654833275445</v>
      </c>
      <c r="U6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9.785598524238992E-4</v>
      </c>
      <c r="V6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6.7903057873586192E-4</v>
      </c>
      <c r="W6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9.7674428636551625E-4</v>
      </c>
      <c r="X6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9.7742130735412047E-4</v>
      </c>
      <c r="Y604" s="162" t="str">
        <f>ReportSummary___Track[[#This Row],[Track ID]]&amp;"-"&amp;ReportSummary___Track[[#This Row],[Epoch]]</f>
        <v>250-RL-OP-0032-45813.2847222222</v>
      </c>
      <c r="Z604" s="126">
        <f>SUBTOTAL(103,ReportSummary___Track[[#This Row],[Track ID]])</f>
        <v>1</v>
      </c>
      <c r="AA604" s="114">
        <f>_xlfn.NUMBERVALUE(RIGHT(ReportSummary___Track[[#This Row],[Track ID]],4))</f>
        <v>32</v>
      </c>
      <c r="AB604" s="78"/>
    </row>
    <row r="605" spans="5:28" ht="14.25" customHeight="1" x14ac:dyDescent="0.2">
      <c r="E605" s="74">
        <v>45813.284722222219</v>
      </c>
      <c r="F605" s="107" t="s">
        <v>272</v>
      </c>
      <c r="G605" s="142">
        <v>51897.636381111792</v>
      </c>
      <c r="H605" s="142">
        <v>159192.13427607363</v>
      </c>
      <c r="I605" s="142">
        <v>18.863728615051535</v>
      </c>
      <c r="J605" s="142">
        <v>51897.271420156809</v>
      </c>
      <c r="K605" s="142">
        <v>159190.86830352191</v>
      </c>
      <c r="L605" s="142">
        <v>18.858833233345244</v>
      </c>
      <c r="M605" s="145">
        <v>4.8953817062908911E-3</v>
      </c>
      <c r="N605" s="145">
        <v>1.3175382215025695</v>
      </c>
      <c r="O605" s="145">
        <v>1.33951635576679E-3</v>
      </c>
      <c r="P605" s="145">
        <v>5.170053404697228E-4</v>
      </c>
      <c r="Q6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0.63094110483774557</v>
      </c>
      <c r="R6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0.96302813293958067</v>
      </c>
      <c r="S6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0.93541544525521658</v>
      </c>
      <c r="T6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0.95551106054969637</v>
      </c>
      <c r="U6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6.3000050090167292E-4</v>
      </c>
      <c r="V6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5.3459547924283868E-4</v>
      </c>
      <c r="W6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2.8604045038704839E-4</v>
      </c>
      <c r="X6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6.2993894524865368E-4</v>
      </c>
      <c r="Y605" s="162" t="str">
        <f>ReportSummary___Track[[#This Row],[Track ID]]&amp;"-"&amp;ReportSummary___Track[[#This Row],[Epoch]]</f>
        <v>250-RL-OP-0033-45813.2847222222</v>
      </c>
      <c r="Z605" s="126">
        <f>SUBTOTAL(103,ReportSummary___Track[[#This Row],[Track ID]])</f>
        <v>1</v>
      </c>
      <c r="AA605" s="114">
        <f>_xlfn.NUMBERVALUE(RIGHT(ReportSummary___Track[[#This Row],[Track ID]],4))</f>
        <v>33</v>
      </c>
      <c r="AB605" s="78"/>
    </row>
    <row r="606" spans="5:28" ht="14.25" customHeight="1" x14ac:dyDescent="0.2">
      <c r="E606" s="74">
        <v>45813.284722222219</v>
      </c>
      <c r="F606" s="107" t="s">
        <v>273</v>
      </c>
      <c r="G606" s="142">
        <v>51898.597361904809</v>
      </c>
      <c r="H606" s="142">
        <v>159191.85766380193</v>
      </c>
      <c r="I606" s="142">
        <v>18.864980254289915</v>
      </c>
      <c r="J606" s="142">
        <v>51898.233318895531</v>
      </c>
      <c r="K606" s="142">
        <v>159190.59489819428</v>
      </c>
      <c r="L606" s="142">
        <v>18.859419126521821</v>
      </c>
      <c r="M606" s="145">
        <v>5.5611277680931437E-3</v>
      </c>
      <c r="N606" s="145">
        <v>1.3142051661033916</v>
      </c>
      <c r="O606" s="145">
        <v>1.6749103514364094E-3</v>
      </c>
      <c r="P606" s="145">
        <v>1.832473730928541E-3</v>
      </c>
      <c r="Q6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0.28326433125513972</v>
      </c>
      <c r="R6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0.9619992000462485</v>
      </c>
      <c r="S6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-8.8363843509853268E-2</v>
      </c>
      <c r="T6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0.94734260884266064</v>
      </c>
      <c r="U6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2.8144114937944664E-4</v>
      </c>
      <c r="V6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3.8971214830163525E-4</v>
      </c>
      <c r="W6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-4.0466338558786674E-4</v>
      </c>
      <c r="X6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2.8131525368024768E-4</v>
      </c>
      <c r="Y606" s="162" t="str">
        <f>ReportSummary___Track[[#This Row],[Track ID]]&amp;"-"&amp;ReportSummary___Track[[#This Row],[Epoch]]</f>
        <v>250-RL-OP-0034-45813.2847222222</v>
      </c>
      <c r="Z606" s="126">
        <f>SUBTOTAL(103,ReportSummary___Track[[#This Row],[Track ID]])</f>
        <v>1</v>
      </c>
      <c r="AA606" s="114">
        <f>_xlfn.NUMBERVALUE(RIGHT(ReportSummary___Track[[#This Row],[Track ID]],4))</f>
        <v>34</v>
      </c>
      <c r="AB606" s="78"/>
    </row>
    <row r="607" spans="5:28" ht="14.25" customHeight="1" x14ac:dyDescent="0.2">
      <c r="E607" s="74">
        <v>45813.284722222219</v>
      </c>
      <c r="F607" s="107" t="s">
        <v>274</v>
      </c>
      <c r="G607" s="142">
        <v>51899.558748431518</v>
      </c>
      <c r="H607" s="142">
        <v>159191.58237758733</v>
      </c>
      <c r="I607" s="142">
        <v>18.866</v>
      </c>
      <c r="J607" s="142">
        <v>51899.203488344778</v>
      </c>
      <c r="K607" s="142">
        <v>159190.31967680616</v>
      </c>
      <c r="L607" s="142">
        <v>18.859777416319687</v>
      </c>
      <c r="M607" s="145">
        <v>6.2225836803122547E-3</v>
      </c>
      <c r="N607" s="145">
        <v>1.3117399561425083</v>
      </c>
      <c r="O607" s="145">
        <v>1.9929480358200635E-3</v>
      </c>
      <c r="P607" s="145">
        <v>2.9970703959243394E-3</v>
      </c>
      <c r="Q6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6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0.90395994462411089</v>
      </c>
      <c r="S6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-0.978596181067104</v>
      </c>
      <c r="T6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0.98059855296028786</v>
      </c>
      <c r="U6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6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2.5387824185840735E-4</v>
      </c>
      <c r="W6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-9.7823116925255249E-4</v>
      </c>
      <c r="X6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-1.4868828870362449E-6</v>
      </c>
      <c r="Y607" s="162" t="str">
        <f>ReportSummary___Track[[#This Row],[Track ID]]&amp;"-"&amp;ReportSummary___Track[[#This Row],[Epoch]]</f>
        <v>250-RL-OP-0035-45813.2847222222</v>
      </c>
      <c r="Z607" s="126">
        <f>SUBTOTAL(103,ReportSummary___Track[[#This Row],[Track ID]])</f>
        <v>1</v>
      </c>
      <c r="AA607" s="114">
        <f>_xlfn.NUMBERVALUE(RIGHT(ReportSummary___Track[[#This Row],[Track ID]],4))</f>
        <v>35</v>
      </c>
      <c r="AB607" s="78"/>
    </row>
    <row r="608" spans="5:28" ht="14.25" customHeight="1" x14ac:dyDescent="0.2">
      <c r="E608" s="74">
        <v>45813.284722222219</v>
      </c>
      <c r="F608" s="107" t="s">
        <v>275</v>
      </c>
      <c r="G608" s="142">
        <v>51900.521772886575</v>
      </c>
      <c r="H608" s="142">
        <v>159191.31296359556</v>
      </c>
      <c r="I608" s="142">
        <v>18.866</v>
      </c>
      <c r="J608" s="142">
        <v>51900.166132696293</v>
      </c>
      <c r="K608" s="142">
        <v>159190.04890859168</v>
      </c>
      <c r="L608" s="142">
        <v>18.859124333313233</v>
      </c>
      <c r="M608" s="145">
        <v>6.8756666867670901E-3</v>
      </c>
      <c r="N608" s="145">
        <v>1.3131497525281857</v>
      </c>
      <c r="O608" s="145">
        <v>1.9802849804761991E-3</v>
      </c>
      <c r="P608" s="145">
        <v>3.319801336242989E-3</v>
      </c>
      <c r="Q6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6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0.59570911046091801</v>
      </c>
      <c r="S6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-0.63080381154634324</v>
      </c>
      <c r="T6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0.30461163370887334</v>
      </c>
      <c r="U6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6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1.6431828446239471E-4</v>
      </c>
      <c r="W6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-6.2366867608076859E-4</v>
      </c>
      <c r="X6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-3.376282256937202E-4</v>
      </c>
      <c r="Y608" s="162" t="str">
        <f>ReportSummary___Track[[#This Row],[Track ID]]&amp;"-"&amp;ReportSummary___Track[[#This Row],[Epoch]]</f>
        <v>250-RL-OP-0036-45813.2847222222</v>
      </c>
      <c r="Z608" s="126">
        <f>SUBTOTAL(103,ReportSummary___Track[[#This Row],[Track ID]])</f>
        <v>1</v>
      </c>
      <c r="AA608" s="114">
        <f>_xlfn.NUMBERVALUE(RIGHT(ReportSummary___Track[[#This Row],[Track ID]],4))</f>
        <v>36</v>
      </c>
      <c r="AB608" s="78"/>
    </row>
    <row r="609" spans="5:28" ht="14.25" customHeight="1" x14ac:dyDescent="0.2">
      <c r="E609" s="74">
        <v>45813.284722222219</v>
      </c>
      <c r="F609" s="107" t="s">
        <v>276</v>
      </c>
      <c r="G609" s="142">
        <v>51901.484797341633</v>
      </c>
      <c r="H609" s="142">
        <v>159191.04354960378</v>
      </c>
      <c r="I609" s="142">
        <v>18.866</v>
      </c>
      <c r="J609" s="142">
        <v>51901.128777047808</v>
      </c>
      <c r="K609" s="142">
        <v>159189.7781403772</v>
      </c>
      <c r="L609" s="142">
        <v>18.858471250306778</v>
      </c>
      <c r="M609" s="145">
        <v>7.5287496932219256E-3</v>
      </c>
      <c r="N609" s="145">
        <v>1.314559866426573</v>
      </c>
      <c r="O609" s="145">
        <v>1.9676219251287819E-3</v>
      </c>
      <c r="P609" s="145">
        <v>3.6425322765651913E-3</v>
      </c>
      <c r="Q6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2.5288922955724047E-4</v>
      </c>
      <c r="R6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0.28745983361555538</v>
      </c>
      <c r="S6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-0.28301144202558248</v>
      </c>
      <c r="T6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-0.37137528553543575</v>
      </c>
      <c r="U6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1.2334966477567377E-5</v>
      </c>
      <c r="V6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7.4764643687386112E-5</v>
      </c>
      <c r="W6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-2.6910618290187927E-4</v>
      </c>
      <c r="X6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-6.7376956848974601E-4</v>
      </c>
      <c r="Y609" s="162" t="str">
        <f>ReportSummary___Track[[#This Row],[Track ID]]&amp;"-"&amp;ReportSummary___Track[[#This Row],[Epoch]]</f>
        <v>250-RL-OP-0037-45813.2847222222</v>
      </c>
      <c r="Z609" s="126">
        <f>SUBTOTAL(103,ReportSummary___Track[[#This Row],[Track ID]])</f>
        <v>1</v>
      </c>
      <c r="AA609" s="114">
        <f>_xlfn.NUMBERVALUE(RIGHT(ReportSummary___Track[[#This Row],[Track ID]],4))</f>
        <v>37</v>
      </c>
      <c r="AB609" s="78"/>
    </row>
    <row r="610" spans="5:28" ht="14.25" customHeight="1" x14ac:dyDescent="0.2">
      <c r="E610" s="74">
        <v>45813.284722222219</v>
      </c>
      <c r="F610" s="107" t="s">
        <v>277</v>
      </c>
      <c r="G610" s="142">
        <v>51902.447765809411</v>
      </c>
      <c r="H610" s="142">
        <v>159190.77523042282</v>
      </c>
      <c r="I610" s="142">
        <v>18.866124802963387</v>
      </c>
      <c r="J610" s="142">
        <v>51902.099861120325</v>
      </c>
      <c r="K610" s="142">
        <v>159189.50600598883</v>
      </c>
      <c r="L610" s="142">
        <v>18.857900000000001</v>
      </c>
      <c r="M610" s="145">
        <v>8.2248029633866793E-3</v>
      </c>
      <c r="N610" s="145">
        <v>1.316068381162862</v>
      </c>
      <c r="O610" s="145">
        <v>2.0022192830744245E-3</v>
      </c>
      <c r="P610" s="145">
        <v>3.9951673188944881E-3</v>
      </c>
      <c r="Q6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6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4.2949762974586747E-2</v>
      </c>
      <c r="S6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-2.1697356800132184E-5</v>
      </c>
      <c r="T6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-0.97861787842390413</v>
      </c>
      <c r="U6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6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-1.4378814851889743E-5</v>
      </c>
      <c r="W6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-3.3962124845743347E-7</v>
      </c>
      <c r="X6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-9.7857079050100992E-4</v>
      </c>
      <c r="Y610" s="162" t="str">
        <f>ReportSummary___Track[[#This Row],[Track ID]]&amp;"-"&amp;ReportSummary___Track[[#This Row],[Epoch]]</f>
        <v>250-RL-OP-0038-45813.2847222222</v>
      </c>
      <c r="Z610" s="126">
        <f>SUBTOTAL(103,ReportSummary___Track[[#This Row],[Track ID]])</f>
        <v>1</v>
      </c>
      <c r="AA610" s="114">
        <f>_xlfn.NUMBERVALUE(RIGHT(ReportSummary___Track[[#This Row],[Track ID]],4))</f>
        <v>38</v>
      </c>
      <c r="AB610" s="78"/>
    </row>
    <row r="611" spans="5:28" ht="14.25" customHeight="1" x14ac:dyDescent="0.2">
      <c r="E611" s="74">
        <v>45813.284722222219</v>
      </c>
      <c r="F611" s="107" t="s">
        <v>278</v>
      </c>
      <c r="G611" s="142">
        <v>51903.412339687529</v>
      </c>
      <c r="H611" s="142">
        <v>159190.51141847001</v>
      </c>
      <c r="I611" s="142">
        <v>18.866822806114335</v>
      </c>
      <c r="J611" s="142">
        <v>51903.064443484443</v>
      </c>
      <c r="K611" s="142">
        <v>159189.24222414181</v>
      </c>
      <c r="L611" s="142">
        <v>18.857900000000001</v>
      </c>
      <c r="M611" s="145">
        <v>8.9228061143344917E-3</v>
      </c>
      <c r="N611" s="145">
        <v>1.3160416510574602</v>
      </c>
      <c r="O611" s="145">
        <v>2.0471394275674015E-3</v>
      </c>
      <c r="P611" s="145">
        <v>4.0274244080436006E-3</v>
      </c>
      <c r="Q6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6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0.36394839278841573</v>
      </c>
      <c r="S6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-1.3729329140232949E-4</v>
      </c>
      <c r="T6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-0.63094110483774557</v>
      </c>
      <c r="U6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6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-1.4008551016297943E-5</v>
      </c>
      <c r="W6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-6.4039378067093367E-6</v>
      </c>
      <c r="X6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-6.3007261388747793E-4</v>
      </c>
      <c r="Y611" s="162" t="str">
        <f>ReportSummary___Track[[#This Row],[Track ID]]&amp;"-"&amp;ReportSummary___Track[[#This Row],[Epoch]]</f>
        <v>250-RL-OP-0039-45813.2847222222</v>
      </c>
      <c r="Z611" s="126">
        <f>SUBTOTAL(103,ReportSummary___Track[[#This Row],[Track ID]])</f>
        <v>1</v>
      </c>
      <c r="AA611" s="114">
        <f>_xlfn.NUMBERVALUE(RIGHT(ReportSummary___Track[[#This Row],[Track ID]],4))</f>
        <v>39</v>
      </c>
      <c r="AB611" s="78"/>
    </row>
    <row r="612" spans="5:28" ht="14.25" customHeight="1" x14ac:dyDescent="0.2">
      <c r="E612" s="74">
        <v>45813.284722222219</v>
      </c>
      <c r="F612" s="107" t="s">
        <v>279</v>
      </c>
      <c r="G612" s="142">
        <v>51904.376913565648</v>
      </c>
      <c r="H612" s="142">
        <v>159190.24760651719</v>
      </c>
      <c r="I612" s="142">
        <v>18.867520809265283</v>
      </c>
      <c r="J612" s="142">
        <v>51904.029025848562</v>
      </c>
      <c r="K612" s="142">
        <v>159188.97844229479</v>
      </c>
      <c r="L612" s="142">
        <v>18.857900000000001</v>
      </c>
      <c r="M612" s="145">
        <v>9.6208092652823041E-3</v>
      </c>
      <c r="N612" s="145">
        <v>1.3160152913674652</v>
      </c>
      <c r="O612" s="145">
        <v>2.0920595720603785E-3</v>
      </c>
      <c r="P612" s="145">
        <v>4.0596814971891604E-3</v>
      </c>
      <c r="Q6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6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0.68494457782408702</v>
      </c>
      <c r="S6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-2.5288922600452679E-4</v>
      </c>
      <c r="T6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-0.28326433125158701</v>
      </c>
      <c r="U6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-1.3328789449928991E-7</v>
      </c>
      <c r="V6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-1.3638375032654082E-5</v>
      </c>
      <c r="W6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-1.2468254372066667E-5</v>
      </c>
      <c r="X6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-2.8157443727394593E-4</v>
      </c>
      <c r="Y612" s="162" t="str">
        <f>ReportSummary___Track[[#This Row],[Track ID]]&amp;"-"&amp;ReportSummary___Track[[#This Row],[Epoch]]</f>
        <v>250-RL-OP-0040-45813.2847222222</v>
      </c>
      <c r="Z612" s="126">
        <f>SUBTOTAL(103,ReportSummary___Track[[#This Row],[Track ID]])</f>
        <v>1</v>
      </c>
      <c r="AA612" s="114">
        <f>_xlfn.NUMBERVALUE(RIGHT(ReportSummary___Track[[#This Row],[Track ID]],4))</f>
        <v>40</v>
      </c>
      <c r="AB612" s="78"/>
    </row>
    <row r="613" spans="5:28" ht="14.25" customHeight="1" x14ac:dyDescent="0.2">
      <c r="E613" s="74">
        <v>45813.284722222219</v>
      </c>
      <c r="F613" s="107" t="s">
        <v>280</v>
      </c>
      <c r="G613" s="142">
        <v>51905.341841450259</v>
      </c>
      <c r="H613" s="142">
        <v>159189.98517913549</v>
      </c>
      <c r="I613" s="142">
        <v>18.868392406740742</v>
      </c>
      <c r="J613" s="142">
        <v>51905.003864651924</v>
      </c>
      <c r="K613" s="142">
        <v>159188.71300367382</v>
      </c>
      <c r="L613" s="142">
        <v>18.858104633955975</v>
      </c>
      <c r="M613" s="145">
        <v>1.0287772784767668E-2</v>
      </c>
      <c r="N613" s="145">
        <v>1.3163451522090919</v>
      </c>
      <c r="O613" s="145">
        <v>2.0629698213809888E-3</v>
      </c>
      <c r="P613" s="145">
        <v>4.0651891044554134E-3</v>
      </c>
      <c r="Q6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5.2204303102598715E-5</v>
      </c>
      <c r="R6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0.90537890734432303</v>
      </c>
      <c r="S6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5.2204303102598715E-5</v>
      </c>
      <c r="T6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3.0506946302466531E-5</v>
      </c>
      <c r="U6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6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2.8127056239668491E-11</v>
      </c>
      <c r="W6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1.0938073558008909E-8</v>
      </c>
      <c r="X6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-3.2868317489942456E-7</v>
      </c>
      <c r="Y613" s="162" t="str">
        <f>ReportSummary___Track[[#This Row],[Track ID]]&amp;"-"&amp;ReportSummary___Track[[#This Row],[Epoch]]</f>
        <v>250-RL-OP-0041-45813.2847222222</v>
      </c>
      <c r="Z613" s="126">
        <f>SUBTOTAL(103,ReportSummary___Track[[#This Row],[Track ID]])</f>
        <v>1</v>
      </c>
      <c r="AA613" s="114">
        <f>_xlfn.NUMBERVALUE(RIGHT(ReportSummary___Track[[#This Row],[Track ID]],4))</f>
        <v>41</v>
      </c>
      <c r="AB613" s="78"/>
    </row>
    <row r="614" spans="5:28" ht="14.25" customHeight="1" x14ac:dyDescent="0.2">
      <c r="E614" s="74">
        <v>45813.284722222219</v>
      </c>
      <c r="F614" s="107" t="s">
        <v>281</v>
      </c>
      <c r="G614" s="142">
        <v>51906.308594977017</v>
      </c>
      <c r="H614" s="142">
        <v>159189.72947487878</v>
      </c>
      <c r="I614" s="142">
        <v>18.870110425193985</v>
      </c>
      <c r="J614" s="142">
        <v>51905.970516824025</v>
      </c>
      <c r="K614" s="142">
        <v>159188.45691499615</v>
      </c>
      <c r="L614" s="142">
        <v>18.859576820689611</v>
      </c>
      <c r="M614" s="145">
        <v>1.0533604504374239E-2</v>
      </c>
      <c r="N614" s="145">
        <v>1.3167446408662935</v>
      </c>
      <c r="O614" s="145">
        <v>1.6107983900397471E-3</v>
      </c>
      <c r="P614" s="145">
        <v>3.6579378176071486E-3</v>
      </c>
      <c r="Q6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4.2777480402378387E-4</v>
      </c>
      <c r="R6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0.46623294112513314</v>
      </c>
      <c r="S6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4.2777480402378387E-4</v>
      </c>
      <c r="T6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2.9048151262145439E-4</v>
      </c>
      <c r="U6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-7.1054273576010019E-15</v>
      </c>
      <c r="V6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2.6259217023039128E-11</v>
      </c>
      <c r="W6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7.2112978699578889E-8</v>
      </c>
      <c r="X6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-6.3318248280097578E-6</v>
      </c>
      <c r="Y614" s="162" t="str">
        <f>ReportSummary___Track[[#This Row],[Track ID]]&amp;"-"&amp;ReportSummary___Track[[#This Row],[Epoch]]</f>
        <v>250-RL-OP-0042-45813.2847222222</v>
      </c>
      <c r="Z614" s="126">
        <f>SUBTOTAL(103,ReportSummary___Track[[#This Row],[Track ID]])</f>
        <v>1</v>
      </c>
      <c r="AA614" s="114">
        <f>_xlfn.NUMBERVALUE(RIGHT(ReportSummary___Track[[#This Row],[Track ID]],4))</f>
        <v>42</v>
      </c>
      <c r="AB614" s="78"/>
    </row>
    <row r="615" spans="5:28" ht="14.25" customHeight="1" x14ac:dyDescent="0.2">
      <c r="E615" s="74">
        <v>45813.284722222219</v>
      </c>
      <c r="F615" s="107" t="s">
        <v>282</v>
      </c>
      <c r="G615" s="142">
        <v>51907.275348503776</v>
      </c>
      <c r="H615" s="142">
        <v>159189.47377062205</v>
      </c>
      <c r="I615" s="142">
        <v>18.871828443647232</v>
      </c>
      <c r="J615" s="142">
        <v>51906.937168996134</v>
      </c>
      <c r="K615" s="142">
        <v>159188.20082631847</v>
      </c>
      <c r="L615" s="142">
        <v>18.861049007423247</v>
      </c>
      <c r="M615" s="145">
        <v>1.0779436223984362E-2</v>
      </c>
      <c r="N615" s="145">
        <v>1.3171441742071301</v>
      </c>
      <c r="O615" s="145">
        <v>1.1586269587020581E-3</v>
      </c>
      <c r="P615" s="145">
        <v>3.2506865307624366E-3</v>
      </c>
      <c r="Q6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8.0334530849768271E-4</v>
      </c>
      <c r="R6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2.7088381504780656E-2</v>
      </c>
      <c r="S6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8.0334530494496903E-4</v>
      </c>
      <c r="T6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5.5045607894044224E-4</v>
      </c>
      <c r="U6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-1.0658141036401503E-14</v>
      </c>
      <c r="V6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-1.8680612612342884E-12</v>
      </c>
      <c r="W6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1.3328788384114887E-7</v>
      </c>
      <c r="X6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-1.2334966488225518E-5</v>
      </c>
      <c r="Y615" s="162" t="str">
        <f>ReportSummary___Track[[#This Row],[Track ID]]&amp;"-"&amp;ReportSummary___Track[[#This Row],[Epoch]]</f>
        <v>250-RL-OP-0043-45813.2847222222</v>
      </c>
      <c r="Z615" s="126">
        <f>SUBTOTAL(103,ReportSummary___Track[[#This Row],[Track ID]])</f>
        <v>1</v>
      </c>
      <c r="AA615" s="114">
        <f>_xlfn.NUMBERVALUE(RIGHT(ReportSummary___Track[[#This Row],[Track ID]],4))</f>
        <v>43</v>
      </c>
      <c r="AB615" s="78"/>
    </row>
    <row r="616" spans="5:28" ht="14.25" customHeight="1" x14ac:dyDescent="0.2">
      <c r="E616" s="74">
        <v>45813.284722222219</v>
      </c>
      <c r="F616" s="107" t="s">
        <v>283</v>
      </c>
      <c r="G616" s="142">
        <v>51908.242837315098</v>
      </c>
      <c r="H616" s="142">
        <v>159189.22162192487</v>
      </c>
      <c r="I616" s="142">
        <v>18.873859426244497</v>
      </c>
      <c r="J616" s="142">
        <v>51907.905517584324</v>
      </c>
      <c r="K616" s="142">
        <v>159187.94820456346</v>
      </c>
      <c r="L616" s="142">
        <v>18.86283128862453</v>
      </c>
      <c r="M616" s="145">
        <v>1.1028137619966571E-2</v>
      </c>
      <c r="N616" s="145">
        <v>1.3173830107093312</v>
      </c>
      <c r="O616" s="145">
        <v>7.4036483519890339E-4</v>
      </c>
      <c r="P616" s="145">
        <v>2.8033346565798922E-3</v>
      </c>
      <c r="Q6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-2.6521638218923727E-4</v>
      </c>
      <c r="R6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-0.2410310880909261</v>
      </c>
      <c r="S6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-3.1742068529183598E-4</v>
      </c>
      <c r="T6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-2.6521638218923727E-4</v>
      </c>
      <c r="U6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-6.4718353343096169E-8</v>
      </c>
      <c r="V6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-1.0887329166298088E-4</v>
      </c>
      <c r="W6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-6.471834979038249E-8</v>
      </c>
      <c r="X6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-5.3780276232373581E-8</v>
      </c>
      <c r="Y616" s="162" t="str">
        <f>ReportSummary___Track[[#This Row],[Track ID]]&amp;"-"&amp;ReportSummary___Track[[#This Row],[Epoch]]</f>
        <v>250-RL-OP-0044-45813.2847222222</v>
      </c>
      <c r="Z616" s="126">
        <f>SUBTOTAL(103,ReportSummary___Track[[#This Row],[Track ID]])</f>
        <v>1</v>
      </c>
      <c r="AA616" s="114">
        <f>_xlfn.NUMBERVALUE(RIGHT(ReportSummary___Track[[#This Row],[Track ID]],4))</f>
        <v>44</v>
      </c>
      <c r="AB616" s="78"/>
    </row>
    <row r="617" spans="5:28" ht="14.25" customHeight="1" x14ac:dyDescent="0.2">
      <c r="E617" s="74">
        <v>45813.284722222219</v>
      </c>
      <c r="F617" s="107" t="s">
        <v>284</v>
      </c>
      <c r="G617" s="142">
        <v>51909.212441955213</v>
      </c>
      <c r="H617" s="142">
        <v>159188.9769598452</v>
      </c>
      <c r="I617" s="142">
        <v>18.87656287463863</v>
      </c>
      <c r="J617" s="142">
        <v>51908.874845612299</v>
      </c>
      <c r="K617" s="142">
        <v>159187.70244515949</v>
      </c>
      <c r="L617" s="142">
        <v>18.865174266709456</v>
      </c>
      <c r="M617" s="145">
        <v>1.1388607929173844E-2</v>
      </c>
      <c r="N617" s="145">
        <v>1.3185176051979746</v>
      </c>
      <c r="O617" s="145">
        <v>8.5500342479960523E-4</v>
      </c>
      <c r="P617" s="145">
        <v>2.4658018148393523E-3</v>
      </c>
      <c r="Q6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-1.078319645131387E-3</v>
      </c>
      <c r="R6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-0.15703391802990296</v>
      </c>
      <c r="S6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-1.5060944491551709E-3</v>
      </c>
      <c r="T6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-1.078319645131387E-3</v>
      </c>
      <c r="U6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-2.4712633361900771E-7</v>
      </c>
      <c r="V6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-4.1573067286826415E-4</v>
      </c>
      <c r="W6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-2.4712632651358035E-7</v>
      </c>
      <c r="X6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-1.7501334781400146E-7</v>
      </c>
      <c r="Y617" s="162" t="str">
        <f>ReportSummary___Track[[#This Row],[Track ID]]&amp;"-"&amp;ReportSummary___Track[[#This Row],[Epoch]]</f>
        <v>250-RL-OP-0045-45813.2847222222</v>
      </c>
      <c r="Z617" s="126">
        <f>SUBTOTAL(103,ReportSummary___Track[[#This Row],[Track ID]])</f>
        <v>1</v>
      </c>
      <c r="AA617" s="114">
        <f>_xlfn.NUMBERVALUE(RIGHT(ReportSummary___Track[[#This Row],[Track ID]],4))</f>
        <v>45</v>
      </c>
      <c r="AB617" s="78"/>
    </row>
    <row r="618" spans="5:28" ht="14.25" customHeight="1" x14ac:dyDescent="0.2">
      <c r="E618" s="74">
        <v>45813.284722222219</v>
      </c>
      <c r="F618" s="107" t="s">
        <v>285</v>
      </c>
      <c r="G618" s="142">
        <v>51910.182046595335</v>
      </c>
      <c r="H618" s="142">
        <v>159188.73229776553</v>
      </c>
      <c r="I618" s="142">
        <v>18.879266323032763</v>
      </c>
      <c r="J618" s="142">
        <v>51909.844173640267</v>
      </c>
      <c r="K618" s="142">
        <v>159187.45668575552</v>
      </c>
      <c r="L618" s="142">
        <v>18.867517244794382</v>
      </c>
      <c r="M618" s="145">
        <v>1.1749078238381117E-2</v>
      </c>
      <c r="N618" s="145">
        <v>1.3196522931006303</v>
      </c>
      <c r="O618" s="145">
        <v>9.6964201439675435E-4</v>
      </c>
      <c r="P618" s="145">
        <v>2.1282689730988125E-3</v>
      </c>
      <c r="Q6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-1.8914229045208231E-3</v>
      </c>
      <c r="R6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-7.3037598857794706E-2</v>
      </c>
      <c r="S6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-2.6947682130185058E-3</v>
      </c>
      <c r="T6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-1.8914229080735367E-3</v>
      </c>
      <c r="U6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-4.2953431389491925E-7</v>
      </c>
      <c r="V6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-7.2258676083492013E-4</v>
      </c>
      <c r="W6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-4.2953430323677821E-7</v>
      </c>
      <c r="X6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-2.9624641939562935E-7</v>
      </c>
      <c r="Y618" s="162" t="str">
        <f>ReportSummary___Track[[#This Row],[Track ID]]&amp;"-"&amp;ReportSummary___Track[[#This Row],[Epoch]]</f>
        <v>250-RL-OP-0046-45813.2847222222</v>
      </c>
      <c r="Z618" s="126">
        <f>SUBTOTAL(103,ReportSummary___Track[[#This Row],[Track ID]])</f>
        <v>1</v>
      </c>
      <c r="AA618" s="114">
        <f>_xlfn.NUMBERVALUE(RIGHT(ReportSummary___Track[[#This Row],[Track ID]],4))</f>
        <v>46</v>
      </c>
      <c r="AB618" s="78"/>
    </row>
    <row r="619" spans="5:28" ht="14.25" customHeight="1" x14ac:dyDescent="0.2">
      <c r="E619" s="74">
        <v>45813.284722222219</v>
      </c>
      <c r="F619" s="107" t="s">
        <v>286</v>
      </c>
      <c r="G619" s="142">
        <v>51911.152141496423</v>
      </c>
      <c r="H619" s="142">
        <v>159188.48944319948</v>
      </c>
      <c r="I619" s="142">
        <v>18.882328518492972</v>
      </c>
      <c r="J619" s="142">
        <v>51910.835188304052</v>
      </c>
      <c r="K619" s="142">
        <v>159187.20749995176</v>
      </c>
      <c r="L619" s="142">
        <v>18.870139116386202</v>
      </c>
      <c r="M619" s="145">
        <v>1.2189402106770331E-2</v>
      </c>
      <c r="N619" s="145">
        <v>1.3206007716305765</v>
      </c>
      <c r="O619" s="145">
        <v>1.1612644868037592E-3</v>
      </c>
      <c r="P619" s="145">
        <v>1.9016293220026625E-3</v>
      </c>
      <c r="Q6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2.5701555870227821E-3</v>
      </c>
      <c r="R6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6.7575950435383447E-4</v>
      </c>
      <c r="S6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2.8353719692120194E-3</v>
      </c>
      <c r="T6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2.5179512839201834E-3</v>
      </c>
      <c r="U6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-7.4281466826420228E-5</v>
      </c>
      <c r="V6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-9.3599675115751957E-4</v>
      </c>
      <c r="W6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-7.4216748473077132E-5</v>
      </c>
      <c r="X6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-7.4281466822867515E-5</v>
      </c>
      <c r="Y619" s="162" t="str">
        <f>ReportSummary___Track[[#This Row],[Track ID]]&amp;"-"&amp;ReportSummary___Track[[#This Row],[Epoch]]</f>
        <v>250-RL-OP-0047-45813.2847222222</v>
      </c>
      <c r="Z619" s="126">
        <f>SUBTOTAL(103,ReportSummary___Track[[#This Row],[Track ID]])</f>
        <v>1</v>
      </c>
      <c r="AA619" s="114">
        <f>_xlfn.NUMBERVALUE(RIGHT(ReportSummary___Track[[#This Row],[Track ID]],4))</f>
        <v>47</v>
      </c>
      <c r="AB619" s="78"/>
    </row>
    <row r="620" spans="5:28" ht="14.25" customHeight="1" x14ac:dyDescent="0.2">
      <c r="E620" s="74">
        <v>45813.284722222219</v>
      </c>
      <c r="F620" s="107" t="s">
        <v>287</v>
      </c>
      <c r="G620" s="142">
        <v>51912.123875350415</v>
      </c>
      <c r="H620" s="142">
        <v>159188.25340524639</v>
      </c>
      <c r="I620" s="142">
        <v>18.886733255176896</v>
      </c>
      <c r="J620" s="142">
        <v>51911.806733444027</v>
      </c>
      <c r="K620" s="142">
        <v>159186.97066968036</v>
      </c>
      <c r="L620" s="142">
        <v>18.873524899190596</v>
      </c>
      <c r="M620" s="145">
        <v>1.3208355986300546E-2</v>
      </c>
      <c r="N620" s="145">
        <v>1.3214249815272541</v>
      </c>
      <c r="O620" s="145">
        <v>1.8197480571267022E-3</v>
      </c>
      <c r="P620" s="145">
        <v>2.6747514819263074E-3</v>
      </c>
      <c r="Q6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2.3890030398376894E-3</v>
      </c>
      <c r="R6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8.2914710630710431E-4</v>
      </c>
      <c r="S6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3.4673226849690764E-3</v>
      </c>
      <c r="T6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1.9612282358139055E-3</v>
      </c>
      <c r="U6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-4.266195043776122E-4</v>
      </c>
      <c r="V6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-7.7445611171844675E-4</v>
      </c>
      <c r="W6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-4.2637237804399319E-4</v>
      </c>
      <c r="X6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-4.2661950437050677E-4</v>
      </c>
      <c r="Y620" s="162" t="str">
        <f>ReportSummary___Track[[#This Row],[Track ID]]&amp;"-"&amp;ReportSummary___Track[[#This Row],[Epoch]]</f>
        <v>250-RL-OP-0048-45813.2847222222</v>
      </c>
      <c r="Z620" s="126">
        <f>SUBTOTAL(103,ReportSummary___Track[[#This Row],[Track ID]])</f>
        <v>1</v>
      </c>
      <c r="AA620" s="114">
        <f>_xlfn.NUMBERVALUE(RIGHT(ReportSummary___Track[[#This Row],[Track ID]],4))</f>
        <v>48</v>
      </c>
      <c r="AB620" s="78"/>
    </row>
    <row r="621" spans="5:28" ht="14.25" customHeight="1" x14ac:dyDescent="0.2">
      <c r="E621" s="74">
        <v>45813.284722222219</v>
      </c>
      <c r="F621" s="107" t="s">
        <v>288</v>
      </c>
      <c r="G621" s="142">
        <v>51913.095609204407</v>
      </c>
      <c r="H621" s="142">
        <v>159188.0173672933</v>
      </c>
      <c r="I621" s="142">
        <v>18.89113799186082</v>
      </c>
      <c r="J621" s="142">
        <v>51912.77827858401</v>
      </c>
      <c r="K621" s="142">
        <v>159186.73383940893</v>
      </c>
      <c r="L621" s="142">
        <v>18.876910681994985</v>
      </c>
      <c r="M621" s="145">
        <v>1.4227309865834314E-2</v>
      </c>
      <c r="N621" s="145">
        <v>1.3222499646224344</v>
      </c>
      <c r="O621" s="145">
        <v>2.4782316274531979E-3</v>
      </c>
      <c r="P621" s="145">
        <v>3.4478736418499523E-3</v>
      </c>
      <c r="Q6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2.2078504997580239E-3</v>
      </c>
      <c r="R6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9.8227089950775337E-4</v>
      </c>
      <c r="S6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4.099273404278847E-3</v>
      </c>
      <c r="T6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1.4045051912603412E-3</v>
      </c>
      <c r="U6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-7.7895754192880418E-4</v>
      </c>
      <c r="V6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-6.1355052110578789E-4</v>
      </c>
      <c r="W6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-7.7852800761490926E-4</v>
      </c>
      <c r="X6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-7.7895754191814603E-4</v>
      </c>
      <c r="Y621" s="162" t="str">
        <f>ReportSummary___Track[[#This Row],[Track ID]]&amp;"-"&amp;ReportSummary___Track[[#This Row],[Epoch]]</f>
        <v>250-RL-OP-0049-45813.2847222222</v>
      </c>
      <c r="Z621" s="126">
        <f>SUBTOTAL(103,ReportSummary___Track[[#This Row],[Track ID]])</f>
        <v>1</v>
      </c>
      <c r="AA621" s="114">
        <f>_xlfn.NUMBERVALUE(RIGHT(ReportSummary___Track[[#This Row],[Track ID]],4))</f>
        <v>49</v>
      </c>
      <c r="AB621" s="78"/>
    </row>
    <row r="622" spans="5:28" ht="14.25" customHeight="1" x14ac:dyDescent="0.2">
      <c r="E622" s="74">
        <v>45811.284722222219</v>
      </c>
      <c r="F622" s="107" t="s">
        <v>235</v>
      </c>
      <c r="G622" s="142">
        <v>51886.101888003854</v>
      </c>
      <c r="H622" s="142">
        <v>159195.44568170901</v>
      </c>
      <c r="I622" s="142">
        <v>18.870774640796562</v>
      </c>
      <c r="J622" s="142">
        <v>51885.743029345111</v>
      </c>
      <c r="K622" s="142">
        <v>159194.186880728</v>
      </c>
      <c r="L622" s="142">
        <v>18.866787522685922</v>
      </c>
      <c r="M622" s="145">
        <v>3.9871181106398978E-3</v>
      </c>
      <c r="N622" s="145">
        <v>1.3089596418017535</v>
      </c>
      <c r="O622" s="145"/>
      <c r="P622" s="145"/>
      <c r="Q6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-0.28164663535434897</v>
      </c>
      <c r="R6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-1.1585345856561791</v>
      </c>
      <c r="S62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2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4.7019078408538917E-8</v>
      </c>
      <c r="V6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-4.6700731373205961E-4</v>
      </c>
      <c r="W62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2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22" s="162" t="str">
        <f>ReportSummary___Track[[#This Row],[Track ID]]&amp;"-"&amp;ReportSummary___Track[[#This Row],[Epoch]]</f>
        <v>250-RL-OP-0021-45811.2847222222</v>
      </c>
      <c r="Z622" s="126">
        <f>SUBTOTAL(103,ReportSummary___Track[[#This Row],[Track ID]])</f>
        <v>1</v>
      </c>
      <c r="AA622" s="114">
        <f>_xlfn.NUMBERVALUE(RIGHT(ReportSummary___Track[[#This Row],[Track ID]],4))</f>
        <v>21</v>
      </c>
      <c r="AB622" s="78"/>
    </row>
    <row r="623" spans="5:28" ht="14.25" customHeight="1" x14ac:dyDescent="0.2">
      <c r="E623" s="74">
        <v>45811.284722222219</v>
      </c>
      <c r="F623" s="107" t="s">
        <v>236</v>
      </c>
      <c r="G623" s="142">
        <v>51887.0635346048</v>
      </c>
      <c r="H623" s="142">
        <v>159195.17139037082</v>
      </c>
      <c r="I623" s="142">
        <v>18.870497718698449</v>
      </c>
      <c r="J623" s="142">
        <v>51886.704122307987</v>
      </c>
      <c r="K623" s="142">
        <v>159193.91065564146</v>
      </c>
      <c r="L623" s="142">
        <v>18.866652333606499</v>
      </c>
      <c r="M623" s="145">
        <v>3.845385091949538E-3</v>
      </c>
      <c r="N623" s="145">
        <v>1.3109706495122111</v>
      </c>
      <c r="O623" s="145"/>
      <c r="P623" s="145"/>
      <c r="Q6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-0.62773617074896038</v>
      </c>
      <c r="R6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-1.0581635828750269</v>
      </c>
      <c r="S62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2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1.0353239687788118E-7</v>
      </c>
      <c r="V6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-6.9837704948438883E-4</v>
      </c>
      <c r="W62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2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23" s="162" t="str">
        <f>ReportSummary___Track[[#This Row],[Track ID]]&amp;"-"&amp;ReportSummary___Track[[#This Row],[Epoch]]</f>
        <v>250-RL-OP-0022-45811.2847222222</v>
      </c>
      <c r="Z623" s="126">
        <f>SUBTOTAL(103,ReportSummary___Track[[#This Row],[Track ID]])</f>
        <v>1</v>
      </c>
      <c r="AA623" s="114">
        <f>_xlfn.NUMBERVALUE(RIGHT(ReportSummary___Track[[#This Row],[Track ID]],4))</f>
        <v>22</v>
      </c>
      <c r="AB623" s="78"/>
    </row>
    <row r="624" spans="5:28" ht="14.25" customHeight="1" x14ac:dyDescent="0.2">
      <c r="E624" s="74">
        <v>45811.284722222219</v>
      </c>
      <c r="F624" s="107" t="s">
        <v>237</v>
      </c>
      <c r="G624" s="142">
        <v>51888.025181205747</v>
      </c>
      <c r="H624" s="142">
        <v>159194.89709903265</v>
      </c>
      <c r="I624" s="142">
        <v>18.870220796600339</v>
      </c>
      <c r="J624" s="142">
        <v>51887.665215270863</v>
      </c>
      <c r="K624" s="142">
        <v>159193.63443055493</v>
      </c>
      <c r="L624" s="142">
        <v>18.866517144527077</v>
      </c>
      <c r="M624" s="145">
        <v>3.7036520732627309E-3</v>
      </c>
      <c r="N624" s="145">
        <v>1.3129816738799744</v>
      </c>
      <c r="O624" s="145"/>
      <c r="P624" s="145"/>
      <c r="Q6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-0.97382570614001907</v>
      </c>
      <c r="R6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-0.95780573041315265</v>
      </c>
      <c r="S62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2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1.6004571534722345E-7</v>
      </c>
      <c r="V6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-9.29746936533693E-4</v>
      </c>
      <c r="W62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2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24" s="162" t="str">
        <f>ReportSummary___Track[[#This Row],[Track ID]]&amp;"-"&amp;ReportSummary___Track[[#This Row],[Epoch]]</f>
        <v>250-RL-OP-0023-45811.2847222222</v>
      </c>
      <c r="Z624" s="126">
        <f>SUBTOTAL(103,ReportSummary___Track[[#This Row],[Track ID]])</f>
        <v>1</v>
      </c>
      <c r="AA624" s="114">
        <f>_xlfn.NUMBERVALUE(RIGHT(ReportSummary___Track[[#This Row],[Track ID]],4))</f>
        <v>23</v>
      </c>
      <c r="AB624" s="78"/>
    </row>
    <row r="625" spans="5:28" ht="14.25" customHeight="1" x14ac:dyDescent="0.2">
      <c r="E625" s="74">
        <v>45811.284722222219</v>
      </c>
      <c r="F625" s="107" t="s">
        <v>238</v>
      </c>
      <c r="G625" s="142">
        <v>51888.98628832103</v>
      </c>
      <c r="H625" s="142">
        <v>159194.62201573106</v>
      </c>
      <c r="I625" s="142">
        <v>18.869514730242752</v>
      </c>
      <c r="J625" s="142">
        <v>51888.624024107339</v>
      </c>
      <c r="K625" s="142">
        <v>159193.3577967032</v>
      </c>
      <c r="L625" s="142">
        <v>18.86545332152658</v>
      </c>
      <c r="M625" s="145">
        <v>4.0614087161721102E-3</v>
      </c>
      <c r="N625" s="145">
        <v>1.3151051691618987</v>
      </c>
      <c r="O625" s="145">
        <v>7.4290605532212339E-5</v>
      </c>
      <c r="P625" s="145"/>
      <c r="Q6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6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6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-0.41936620755222975</v>
      </c>
      <c r="T62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6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6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-1.4663264735759185E-7</v>
      </c>
      <c r="X62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25" s="162" t="str">
        <f>ReportSummary___Track[[#This Row],[Track ID]]&amp;"-"&amp;ReportSummary___Track[[#This Row],[Epoch]]</f>
        <v>250-RL-OP-0024-45811.2847222222</v>
      </c>
      <c r="Z625" s="126">
        <f>SUBTOTAL(103,ReportSummary___Track[[#This Row],[Track ID]])</f>
        <v>1</v>
      </c>
      <c r="AA625" s="114">
        <f>_xlfn.NUMBERVALUE(RIGHT(ReportSummary___Track[[#This Row],[Track ID]],4))</f>
        <v>24</v>
      </c>
      <c r="AB625" s="78"/>
    </row>
    <row r="626" spans="5:28" ht="14.25" customHeight="1" x14ac:dyDescent="0.2">
      <c r="E626" s="74">
        <v>45811.284722222219</v>
      </c>
      <c r="F626" s="107" t="s">
        <v>239</v>
      </c>
      <c r="G626" s="142">
        <v>51889.947664398285</v>
      </c>
      <c r="H626" s="142">
        <v>159194.34677858101</v>
      </c>
      <c r="I626" s="142">
        <v>18.868773577574299</v>
      </c>
      <c r="J626" s="142">
        <v>51889.58479107709</v>
      </c>
      <c r="K626" s="142">
        <v>159193.08044244221</v>
      </c>
      <c r="L626" s="142">
        <v>18.864251762034648</v>
      </c>
      <c r="M626" s="145">
        <v>4.5218155396504756E-3</v>
      </c>
      <c r="N626" s="145">
        <v>1.3173096486680025</v>
      </c>
      <c r="O626" s="145">
        <v>6.7643044770093752E-4</v>
      </c>
      <c r="P626" s="145"/>
      <c r="Q6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6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6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0.26995698125631407</v>
      </c>
      <c r="T62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6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6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-3.1749972961847561E-7</v>
      </c>
      <c r="X62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26" s="162" t="str">
        <f>ReportSummary___Track[[#This Row],[Track ID]]&amp;"-"&amp;ReportSummary___Track[[#This Row],[Epoch]]</f>
        <v>250-RL-OP-0025-45811.2847222222</v>
      </c>
      <c r="Z626" s="126">
        <f>SUBTOTAL(103,ReportSummary___Track[[#This Row],[Track ID]])</f>
        <v>1</v>
      </c>
      <c r="AA626" s="114">
        <f>_xlfn.NUMBERVALUE(RIGHT(ReportSummary___Track[[#This Row],[Track ID]],4))</f>
        <v>25</v>
      </c>
      <c r="AB626" s="78"/>
    </row>
    <row r="627" spans="5:28" ht="14.25" customHeight="1" x14ac:dyDescent="0.2">
      <c r="E627" s="74">
        <v>45811.284722222219</v>
      </c>
      <c r="F627" s="107" t="s">
        <v>240</v>
      </c>
      <c r="G627" s="142">
        <v>51890.909040475541</v>
      </c>
      <c r="H627" s="142">
        <v>159194.07154143095</v>
      </c>
      <c r="I627" s="142">
        <v>18.868032424905849</v>
      </c>
      <c r="J627" s="142">
        <v>51890.545558046833</v>
      </c>
      <c r="K627" s="142">
        <v>159192.80308818122</v>
      </c>
      <c r="L627" s="142">
        <v>18.86305020254272</v>
      </c>
      <c r="M627" s="145">
        <v>4.9822223631288409E-3</v>
      </c>
      <c r="N627" s="145">
        <v>1.3195142838510057</v>
      </c>
      <c r="O627" s="145">
        <v>1.27857028986611E-3</v>
      </c>
      <c r="P627" s="145"/>
      <c r="Q6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6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6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0.95928017006130517</v>
      </c>
      <c r="T62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6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6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-4.8836681543207305E-7</v>
      </c>
      <c r="X62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27" s="162" t="str">
        <f>ReportSummary___Track[[#This Row],[Track ID]]&amp;"-"&amp;ReportSummary___Track[[#This Row],[Epoch]]</f>
        <v>250-RL-OP-0026-45811.2847222222</v>
      </c>
      <c r="Z627" s="126">
        <f>SUBTOTAL(103,ReportSummary___Track[[#This Row],[Track ID]])</f>
        <v>1</v>
      </c>
      <c r="AA627" s="114">
        <f>_xlfn.NUMBERVALUE(RIGHT(ReportSummary___Track[[#This Row],[Track ID]],4))</f>
        <v>26</v>
      </c>
      <c r="AB627" s="78"/>
    </row>
    <row r="628" spans="5:28" ht="14.25" customHeight="1" x14ac:dyDescent="0.2">
      <c r="E628" s="74">
        <v>45811.284722222219</v>
      </c>
      <c r="F628" s="107" t="s">
        <v>241</v>
      </c>
      <c r="G628" s="142">
        <v>51891.869997674046</v>
      </c>
      <c r="H628" s="142">
        <v>159193.79503821288</v>
      </c>
      <c r="I628" s="142">
        <v>18.865661670375356</v>
      </c>
      <c r="J628" s="142">
        <v>51891.504267267614</v>
      </c>
      <c r="K628" s="142">
        <v>159192.52660902659</v>
      </c>
      <c r="L628" s="142">
        <v>18.861283294009535</v>
      </c>
      <c r="M628" s="145">
        <v>4.3783763658211683E-3</v>
      </c>
      <c r="N628" s="145">
        <v>1.3201100336646869</v>
      </c>
      <c r="O628" s="145">
        <v>3.169676496490581E-4</v>
      </c>
      <c r="P628" s="145">
        <v>3.9125825518127044E-4</v>
      </c>
      <c r="Q6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6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6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0.37644288719462793</v>
      </c>
      <c r="T6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-4.2923320357601824E-2</v>
      </c>
      <c r="U6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6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6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1.6116922196829364E-7</v>
      </c>
      <c r="X6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1.4536574610701791E-8</v>
      </c>
      <c r="Y628" s="162" t="str">
        <f>ReportSummary___Track[[#This Row],[Track ID]]&amp;"-"&amp;ReportSummary___Track[[#This Row],[Epoch]]</f>
        <v>250-RL-OP-0027-45811.2847222222</v>
      </c>
      <c r="Z628" s="126">
        <f>SUBTOTAL(103,ReportSummary___Track[[#This Row],[Track ID]])</f>
        <v>1</v>
      </c>
      <c r="AA628" s="114">
        <f>_xlfn.NUMBERVALUE(RIGHT(ReportSummary___Track[[#This Row],[Track ID]],4))</f>
        <v>27</v>
      </c>
      <c r="AB628" s="78"/>
    </row>
    <row r="629" spans="5:28" ht="14.25" customHeight="1" x14ac:dyDescent="0.2">
      <c r="E629" s="74">
        <v>45811.284722222219</v>
      </c>
      <c r="F629" s="107" t="s">
        <v>242</v>
      </c>
      <c r="G629" s="142">
        <v>51892.83098666594</v>
      </c>
      <c r="H629" s="142">
        <v>159193.51846240537</v>
      </c>
      <c r="I629" s="142">
        <v>18.863216230483452</v>
      </c>
      <c r="J629" s="142">
        <v>51892.465111689802</v>
      </c>
      <c r="K629" s="142">
        <v>159192.24952641845</v>
      </c>
      <c r="L629" s="142">
        <v>18.859487576446288</v>
      </c>
      <c r="M629" s="145">
        <v>3.7286540371646026E-3</v>
      </c>
      <c r="N629" s="145">
        <v>1.3206350517469128</v>
      </c>
      <c r="O629" s="145">
        <v>-7.9316150248587292E-4</v>
      </c>
      <c r="P629" s="145">
        <v>-1.167310547849354E-4</v>
      </c>
      <c r="Q6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6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6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-0.30629908809487461</v>
      </c>
      <c r="T6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-3.6342106838560539E-2</v>
      </c>
      <c r="U6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6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6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3.3986303193955791E-7</v>
      </c>
      <c r="X6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2.2363302321082301E-8</v>
      </c>
      <c r="Y629" s="162" t="str">
        <f>ReportSummary___Track[[#This Row],[Track ID]]&amp;"-"&amp;ReportSummary___Track[[#This Row],[Epoch]]</f>
        <v>250-RL-OP-0028-45811.2847222222</v>
      </c>
      <c r="Z629" s="126">
        <f>SUBTOTAL(103,ReportSummary___Track[[#This Row],[Track ID]])</f>
        <v>1</v>
      </c>
      <c r="AA629" s="114">
        <f>_xlfn.NUMBERVALUE(RIGHT(ReportSummary___Track[[#This Row],[Track ID]],4))</f>
        <v>28</v>
      </c>
      <c r="AB629" s="78"/>
    </row>
    <row r="630" spans="5:28" ht="14.25" customHeight="1" x14ac:dyDescent="0.2">
      <c r="E630" s="74">
        <v>45811.284722222219</v>
      </c>
      <c r="F630" s="107" t="s">
        <v>243</v>
      </c>
      <c r="G630" s="142">
        <v>51893.79183894024</v>
      </c>
      <c r="H630" s="142">
        <v>159193.24190592469</v>
      </c>
      <c r="I630" s="142">
        <v>18.86092641939771</v>
      </c>
      <c r="J630" s="142">
        <v>51893.426692580288</v>
      </c>
      <c r="K630" s="142">
        <v>159191.97223179525</v>
      </c>
      <c r="L630" s="142">
        <v>18.857700906411129</v>
      </c>
      <c r="M630" s="145">
        <v>3.2255129865816912E-3</v>
      </c>
      <c r="N630" s="145">
        <v>1.3211414243285451</v>
      </c>
      <c r="O630" s="145">
        <v>-1.7567093765471498E-3</v>
      </c>
      <c r="P630" s="145">
        <v>-4.7813908668103977E-4</v>
      </c>
      <c r="Q6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-0.98057715340971185</v>
      </c>
      <c r="R6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-0.25718536921748303</v>
      </c>
      <c r="S6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-0.96603161733099796</v>
      </c>
      <c r="T6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-6.7514472696927896E-3</v>
      </c>
      <c r="U6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1.8152682521588304E-6</v>
      </c>
      <c r="V6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1.6926918418702641E-5</v>
      </c>
      <c r="W6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2.14358935224368E-6</v>
      </c>
      <c r="X6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1.6552225368116069E-6</v>
      </c>
      <c r="Y630" s="162" t="str">
        <f>ReportSummary___Track[[#This Row],[Track ID]]&amp;"-"&amp;ReportSummary___Track[[#This Row],[Epoch]]</f>
        <v>250-RL-OP-0029-45811.2847222222</v>
      </c>
      <c r="Z630" s="126">
        <f>SUBTOTAL(103,ReportSummary___Track[[#This Row],[Track ID]])</f>
        <v>1</v>
      </c>
      <c r="AA630" s="114">
        <f>_xlfn.NUMBERVALUE(RIGHT(ReportSummary___Track[[#This Row],[Track ID]],4))</f>
        <v>29</v>
      </c>
      <c r="AB630" s="78"/>
    </row>
    <row r="631" spans="5:28" ht="14.25" customHeight="1" x14ac:dyDescent="0.2">
      <c r="E631" s="74">
        <v>45811.284722222219</v>
      </c>
      <c r="F631" s="107" t="s">
        <v>269</v>
      </c>
      <c r="G631" s="142">
        <v>51894.752729646825</v>
      </c>
      <c r="H631" s="142">
        <v>159192.96497849975</v>
      </c>
      <c r="I631" s="142">
        <v>18.861427736242298</v>
      </c>
      <c r="J631" s="142">
        <v>51894.387556785739</v>
      </c>
      <c r="K631" s="142">
        <v>159191.69521203163</v>
      </c>
      <c r="L631" s="142">
        <v>18.85787192737892</v>
      </c>
      <c r="M631" s="145">
        <v>3.5558088633784735E-3</v>
      </c>
      <c r="N631" s="145">
        <v>1.3212383380024699</v>
      </c>
      <c r="O631" s="145">
        <v>-8.2256750244269483E-4</v>
      </c>
      <c r="P631" s="145">
        <v>-5.0559985279363673E-4</v>
      </c>
      <c r="Q6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-0.30453082756309868</v>
      </c>
      <c r="R6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0.25322418947859582</v>
      </c>
      <c r="S6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2.0039128148852114E-2</v>
      </c>
      <c r="T6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0.39648201534348004</v>
      </c>
      <c r="U6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3.4390356336899686E-4</v>
      </c>
      <c r="V6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3.3891306682010125E-4</v>
      </c>
      <c r="W6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3.4384200771597762E-4</v>
      </c>
      <c r="X6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3.4400317693794591E-4</v>
      </c>
      <c r="Y631" s="162" t="str">
        <f>ReportSummary___Track[[#This Row],[Track ID]]&amp;"-"&amp;ReportSummary___Track[[#This Row],[Epoch]]</f>
        <v>250-RL-OP-0030-45811.2847222222</v>
      </c>
      <c r="Z631" s="126">
        <f>SUBTOTAL(103,ReportSummary___Track[[#This Row],[Track ID]])</f>
        <v>1</v>
      </c>
      <c r="AA631" s="114">
        <f>_xlfn.NUMBERVALUE(RIGHT(ReportSummary___Track[[#This Row],[Track ID]],4))</f>
        <v>30</v>
      </c>
      <c r="AB631" s="78"/>
    </row>
    <row r="632" spans="5:28" ht="14.25" customHeight="1" x14ac:dyDescent="0.2">
      <c r="E632" s="74">
        <v>45811.284722222219</v>
      </c>
      <c r="F632" s="107" t="s">
        <v>270</v>
      </c>
      <c r="G632" s="142">
        <v>51895.713620353403</v>
      </c>
      <c r="H632" s="142">
        <v>159192.6880510748</v>
      </c>
      <c r="I632" s="142">
        <v>18.861929053086882</v>
      </c>
      <c r="J632" s="142">
        <v>51895.348420991184</v>
      </c>
      <c r="K632" s="142">
        <v>159191.418192268</v>
      </c>
      <c r="L632" s="142">
        <v>18.858042948346714</v>
      </c>
      <c r="M632" s="145">
        <v>3.8861047401681503E-3</v>
      </c>
      <c r="N632" s="145">
        <v>1.3213353341171263</v>
      </c>
      <c r="O632" s="145">
        <v>1.5745070300354769E-4</v>
      </c>
      <c r="P632" s="145">
        <v>-6.3571079948232523E-4</v>
      </c>
      <c r="Q6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0.37151549827640906</v>
      </c>
      <c r="R6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0.76362632387372287</v>
      </c>
      <c r="S6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1.03559377586393</v>
      </c>
      <c r="T6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0.72929468776905537</v>
      </c>
      <c r="U6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6.8599185847872945E-4</v>
      </c>
      <c r="V6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6.6098158615734981E-4</v>
      </c>
      <c r="W6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6.8586596277953049E-4</v>
      </c>
      <c r="X6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6.8620582581147005E-4</v>
      </c>
      <c r="Y632" s="162" t="str">
        <f>ReportSummary___Track[[#This Row],[Track ID]]&amp;"-"&amp;ReportSummary___Track[[#This Row],[Epoch]]</f>
        <v>250-RL-OP-0031-45811.2847222222</v>
      </c>
      <c r="Z632" s="126">
        <f>SUBTOTAL(103,ReportSummary___Track[[#This Row],[Track ID]])</f>
        <v>1</v>
      </c>
      <c r="AA632" s="114">
        <f>_xlfn.NUMBERVALUE(RIGHT(ReportSummary___Track[[#This Row],[Track ID]],4))</f>
        <v>31</v>
      </c>
      <c r="AB632" s="78"/>
    </row>
    <row r="633" spans="5:28" ht="14.25" customHeight="1" x14ac:dyDescent="0.2">
      <c r="E633" s="74">
        <v>45811.284722222219</v>
      </c>
      <c r="F633" s="107" t="s">
        <v>271</v>
      </c>
      <c r="G633" s="142">
        <v>51896.675398681873</v>
      </c>
      <c r="H633" s="142">
        <v>159192.41088265969</v>
      </c>
      <c r="I633" s="142">
        <v>18.862477001539897</v>
      </c>
      <c r="J633" s="142">
        <v>51896.308528737987</v>
      </c>
      <c r="K633" s="142">
        <v>159191.14173461875</v>
      </c>
      <c r="L633" s="142">
        <v>18.85824734462722</v>
      </c>
      <c r="M633" s="145">
        <v>4.2296569126776262E-3</v>
      </c>
      <c r="N633" s="145">
        <v>1.3211162687475024</v>
      </c>
      <c r="O633" s="145">
        <v>1.0041439260959351E-3</v>
      </c>
      <c r="P633" s="145">
        <v>-7.525654504512147E-4</v>
      </c>
      <c r="Q6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0.97863914660933915</v>
      </c>
      <c r="R6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1.2082520867053859</v>
      </c>
      <c r="S6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1.959216300019051</v>
      </c>
      <c r="T6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0.99318468268805304</v>
      </c>
      <c r="U6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9.7858112060933422E-4</v>
      </c>
      <c r="V6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9.2367338436827318E-4</v>
      </c>
      <c r="W6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9.7676585235717539E-4</v>
      </c>
      <c r="X6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9.7890944170941907E-4</v>
      </c>
      <c r="Y633" s="162" t="str">
        <f>ReportSummary___Track[[#This Row],[Track ID]]&amp;"-"&amp;ReportSummary___Track[[#This Row],[Epoch]]</f>
        <v>250-RL-OP-0032-45811.2847222222</v>
      </c>
      <c r="Z633" s="126">
        <f>SUBTOTAL(103,ReportSummary___Track[[#This Row],[Track ID]])</f>
        <v>1</v>
      </c>
      <c r="AA633" s="114">
        <f>_xlfn.NUMBERVALUE(RIGHT(ReportSummary___Track[[#This Row],[Track ID]],4))</f>
        <v>32</v>
      </c>
      <c r="AB633" s="78"/>
    </row>
    <row r="634" spans="5:28" ht="14.25" customHeight="1" x14ac:dyDescent="0.2">
      <c r="E634" s="74">
        <v>45811.284722222219</v>
      </c>
      <c r="F634" s="107" t="s">
        <v>272</v>
      </c>
      <c r="G634" s="142">
        <v>51897.636352858688</v>
      </c>
      <c r="H634" s="142">
        <v>159192.13417793906</v>
      </c>
      <c r="I634" s="142">
        <v>18.863729059099267</v>
      </c>
      <c r="J634" s="142">
        <v>51897.270518069447</v>
      </c>
      <c r="K634" s="142">
        <v>159190.86864821697</v>
      </c>
      <c r="L634" s="142">
        <v>18.858833292983896</v>
      </c>
      <c r="M634" s="145">
        <v>4.8957661153714582E-3</v>
      </c>
      <c r="N634" s="145">
        <v>1.317355130191864</v>
      </c>
      <c r="O634" s="145">
        <v>1.3399572519929848E-3</v>
      </c>
      <c r="P634" s="145">
        <v>5.1738974955028993E-4</v>
      </c>
      <c r="Q6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0.63132551391831271</v>
      </c>
      <c r="R6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0.77993682223409522</v>
      </c>
      <c r="S6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0.93585634148141139</v>
      </c>
      <c r="T6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0.95589546963026351</v>
      </c>
      <c r="U6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6.3038490998224006E-4</v>
      </c>
      <c r="V6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3.5150416853735322E-4</v>
      </c>
      <c r="W6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2.864813466132432E-4</v>
      </c>
      <c r="X6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6.3032335432922082E-4</v>
      </c>
      <c r="Y634" s="162" t="str">
        <f>ReportSummary___Track[[#This Row],[Track ID]]&amp;"-"&amp;ReportSummary___Track[[#This Row],[Epoch]]</f>
        <v>250-RL-OP-0033-45811.2847222222</v>
      </c>
      <c r="Z634" s="126">
        <f>SUBTOTAL(103,ReportSummary___Track[[#This Row],[Track ID]])</f>
        <v>1</v>
      </c>
      <c r="AA634" s="114">
        <f>_xlfn.NUMBERVALUE(RIGHT(ReportSummary___Track[[#This Row],[Track ID]],4))</f>
        <v>33</v>
      </c>
      <c r="AB634" s="78"/>
    </row>
    <row r="635" spans="5:28" ht="14.25" customHeight="1" x14ac:dyDescent="0.2">
      <c r="E635" s="74">
        <v>45811.284722222219</v>
      </c>
      <c r="F635" s="107" t="s">
        <v>273</v>
      </c>
      <c r="G635" s="142">
        <v>51898.597307035503</v>
      </c>
      <c r="H635" s="142">
        <v>159191.85747321844</v>
      </c>
      <c r="I635" s="142">
        <v>18.864981116658633</v>
      </c>
      <c r="J635" s="142">
        <v>51898.232507400899</v>
      </c>
      <c r="K635" s="142">
        <v>159190.59556181522</v>
      </c>
      <c r="L635" s="142">
        <v>18.859419241340568</v>
      </c>
      <c r="M635" s="145">
        <v>5.5618753180652902E-3</v>
      </c>
      <c r="N635" s="145">
        <v>1.3135943427953649</v>
      </c>
      <c r="O635" s="145">
        <v>1.6757705778971399E-3</v>
      </c>
      <c r="P635" s="145">
        <v>1.8332212809006876E-3</v>
      </c>
      <c r="Q6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0.28401188122728627</v>
      </c>
      <c r="R6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0.3511758920196062</v>
      </c>
      <c r="S6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-8.7503617049122795E-2</v>
      </c>
      <c r="T6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0.94809015881480718</v>
      </c>
      <c r="U6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2.8218869935159319E-4</v>
      </c>
      <c r="V6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-2.2111115972500706E-4</v>
      </c>
      <c r="W6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-4.0380315912713627E-4</v>
      </c>
      <c r="X6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2.8206280365239422E-4</v>
      </c>
      <c r="Y635" s="162" t="str">
        <f>ReportSummary___Track[[#This Row],[Track ID]]&amp;"-"&amp;ReportSummary___Track[[#This Row],[Epoch]]</f>
        <v>250-RL-OP-0034-45811.2847222222</v>
      </c>
      <c r="Z635" s="126">
        <f>SUBTOTAL(103,ReportSummary___Track[[#This Row],[Track ID]])</f>
        <v>1</v>
      </c>
      <c r="AA635" s="114">
        <f>_xlfn.NUMBERVALUE(RIGHT(ReportSummary___Track[[#This Row],[Track ID]],4))</f>
        <v>34</v>
      </c>
      <c r="AB635" s="78"/>
    </row>
    <row r="636" spans="5:28" ht="14.25" customHeight="1" x14ac:dyDescent="0.2">
      <c r="E636" s="74">
        <v>45811.284722222219</v>
      </c>
      <c r="F636" s="107" t="s">
        <v>274</v>
      </c>
      <c r="G636" s="142">
        <v>51899.557748431522</v>
      </c>
      <c r="H636" s="142">
        <v>159191.58237758733</v>
      </c>
      <c r="I636" s="142">
        <v>18.866</v>
      </c>
      <c r="J636" s="142">
        <v>51899.202476862527</v>
      </c>
      <c r="K636" s="142">
        <v>159190.32063600162</v>
      </c>
      <c r="L636" s="142">
        <v>18.859777465674785</v>
      </c>
      <c r="M636" s="145">
        <v>6.2225343252144683E-3</v>
      </c>
      <c r="N636" s="145">
        <v>1.310819757547883</v>
      </c>
      <c r="O636" s="145">
        <v>1.992877412536842E-3</v>
      </c>
      <c r="P636" s="145">
        <v>2.9970213386327771E-3</v>
      </c>
      <c r="Q6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-2.7657740986342105E-5</v>
      </c>
      <c r="R6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-1.6238650001110244E-2</v>
      </c>
      <c r="S6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-0.97866680435032549</v>
      </c>
      <c r="T6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0.98054949566872551</v>
      </c>
      <c r="U6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2.7932807356023659E-7</v>
      </c>
      <c r="V6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-6.6632035276681378E-4</v>
      </c>
      <c r="W6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-9.7830179253577398E-4</v>
      </c>
      <c r="X6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-1.5359401785985938E-6</v>
      </c>
      <c r="Y636" s="162" t="str">
        <f>ReportSummary___Track[[#This Row],[Track ID]]&amp;"-"&amp;ReportSummary___Track[[#This Row],[Epoch]]</f>
        <v>250-RL-OP-0035-45811.2847222222</v>
      </c>
      <c r="Z636" s="126">
        <f>SUBTOTAL(103,ReportSummary___Track[[#This Row],[Track ID]])</f>
        <v>1</v>
      </c>
      <c r="AA636" s="114">
        <f>_xlfn.NUMBERVALUE(RIGHT(ReportSummary___Track[[#This Row],[Track ID]],4))</f>
        <v>35</v>
      </c>
      <c r="AB636" s="78"/>
    </row>
    <row r="637" spans="5:28" ht="14.25" customHeight="1" x14ac:dyDescent="0.2">
      <c r="E637" s="74">
        <v>45811.284722222219</v>
      </c>
      <c r="F637" s="107" t="s">
        <v>275</v>
      </c>
      <c r="G637" s="142">
        <v>51900.520772886579</v>
      </c>
      <c r="H637" s="142">
        <v>159191.31296359556</v>
      </c>
      <c r="I637" s="142">
        <v>18.866</v>
      </c>
      <c r="J637" s="142">
        <v>51900.165060040614</v>
      </c>
      <c r="K637" s="142">
        <v>159190.04965039479</v>
      </c>
      <c r="L637" s="142">
        <v>18.859124645615051</v>
      </c>
      <c r="M637" s="145">
        <v>6.8753543849489063E-3</v>
      </c>
      <c r="N637" s="145">
        <v>1.3124553868609785</v>
      </c>
      <c r="O637" s="145">
        <v>1.979588269577448E-3</v>
      </c>
      <c r="P637" s="145">
        <v>3.3195455215704328E-3</v>
      </c>
      <c r="Q6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-1.7500852678153933E-4</v>
      </c>
      <c r="R6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-9.8656556746234969E-2</v>
      </c>
      <c r="S6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-0.63150052244509425</v>
      </c>
      <c r="T6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0.30435581903631714</v>
      </c>
      <c r="U6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6.0195230027204616E-6</v>
      </c>
      <c r="V6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-5.3004738274475827E-4</v>
      </c>
      <c r="W6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-6.243653869795196E-4</v>
      </c>
      <c r="X6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-3.3788404036627639E-4</v>
      </c>
      <c r="Y637" s="162" t="str">
        <f>ReportSummary___Track[[#This Row],[Track ID]]&amp;"-"&amp;ReportSummary___Track[[#This Row],[Epoch]]</f>
        <v>250-RL-OP-0036-45811.2847222222</v>
      </c>
      <c r="Z637" s="126">
        <f>SUBTOTAL(103,ReportSummary___Track[[#This Row],[Track ID]])</f>
        <v>1</v>
      </c>
      <c r="AA637" s="114">
        <f>_xlfn.NUMBERVALUE(RIGHT(ReportSummary___Track[[#This Row],[Track ID]],4))</f>
        <v>36</v>
      </c>
      <c r="AB637" s="78"/>
    </row>
    <row r="638" spans="5:28" ht="14.25" customHeight="1" x14ac:dyDescent="0.2">
      <c r="E638" s="74">
        <v>45811.284722222219</v>
      </c>
      <c r="F638" s="107" t="s">
        <v>276</v>
      </c>
      <c r="G638" s="142">
        <v>51901.483797341636</v>
      </c>
      <c r="H638" s="142">
        <v>159191.04354960378</v>
      </c>
      <c r="I638" s="142">
        <v>18.866</v>
      </c>
      <c r="J638" s="142">
        <v>51901.127643218693</v>
      </c>
      <c r="K638" s="142">
        <v>159189.778664788</v>
      </c>
      <c r="L638" s="142">
        <v>18.858471825555313</v>
      </c>
      <c r="M638" s="145">
        <v>7.528174444686897E-3</v>
      </c>
      <c r="N638" s="145">
        <v>1.3140913324046393</v>
      </c>
      <c r="O638" s="145">
        <v>1.9662991266216068E-3</v>
      </c>
      <c r="P638" s="145">
        <v>3.6420697045187467E-3</v>
      </c>
      <c r="Q6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-3.223593054713092E-4</v>
      </c>
      <c r="R6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-0.18107418831814215</v>
      </c>
      <c r="S6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-0.28433424053275758</v>
      </c>
      <c r="T6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-0.37183785758188037</v>
      </c>
      <c r="U6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1.1759717942538828E-5</v>
      </c>
      <c r="V6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-3.9376937824631142E-4</v>
      </c>
      <c r="W6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-2.7042898140905436E-4</v>
      </c>
      <c r="X6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-6.7423214053619063E-4</v>
      </c>
      <c r="Y638" s="162" t="str">
        <f>ReportSummary___Track[[#This Row],[Track ID]]&amp;"-"&amp;ReportSummary___Track[[#This Row],[Epoch]]</f>
        <v>250-RL-OP-0037-45811.2847222222</v>
      </c>
      <c r="Z638" s="126">
        <f>SUBTOTAL(103,ReportSummary___Track[[#This Row],[Track ID]])</f>
        <v>1</v>
      </c>
      <c r="AA638" s="114">
        <f>_xlfn.NUMBERVALUE(RIGHT(ReportSummary___Track[[#This Row],[Track ID]],4))</f>
        <v>37</v>
      </c>
      <c r="AB638" s="78"/>
    </row>
    <row r="639" spans="5:28" ht="14.25" customHeight="1" x14ac:dyDescent="0.2">
      <c r="E639" s="74">
        <v>45811.284722222219</v>
      </c>
      <c r="F639" s="107" t="s">
        <v>277</v>
      </c>
      <c r="G639" s="142">
        <v>51902.446769974056</v>
      </c>
      <c r="H639" s="142">
        <v>159190.77524553274</v>
      </c>
      <c r="I639" s="142">
        <v>18.866065352039769</v>
      </c>
      <c r="J639" s="142">
        <v>51902.099861120325</v>
      </c>
      <c r="K639" s="142">
        <v>159189.50600598883</v>
      </c>
      <c r="L639" s="142">
        <v>18.857900000000001</v>
      </c>
      <c r="M639" s="145">
        <v>8.1653520397679813E-3</v>
      </c>
      <c r="N639" s="145">
        <v>1.3158196858198274</v>
      </c>
      <c r="O639" s="145">
        <v>1.942817714553513E-3</v>
      </c>
      <c r="P639" s="145">
        <v>3.9356951270903551E-3</v>
      </c>
      <c r="Q6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6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-0.20574558005992394</v>
      </c>
      <c r="S6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-5.9423265877711628E-2</v>
      </c>
      <c r="T6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-1.0380900702280371</v>
      </c>
      <c r="U6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6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-2.6307415788640043E-4</v>
      </c>
      <c r="W6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-5.974118976936893E-5</v>
      </c>
      <c r="X6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-1.0380429823051429E-3</v>
      </c>
      <c r="Y639" s="162" t="str">
        <f>ReportSummary___Track[[#This Row],[Track ID]]&amp;"-"&amp;ReportSummary___Track[[#This Row],[Epoch]]</f>
        <v>250-RL-OP-0038-45811.2847222222</v>
      </c>
      <c r="Z639" s="126">
        <f>SUBTOTAL(103,ReportSummary___Track[[#This Row],[Track ID]])</f>
        <v>1</v>
      </c>
      <c r="AA639" s="114">
        <f>_xlfn.NUMBERVALUE(RIGHT(ReportSummary___Track[[#This Row],[Track ID]],4))</f>
        <v>38</v>
      </c>
      <c r="AB639" s="78"/>
    </row>
    <row r="640" spans="5:28" ht="14.25" customHeight="1" x14ac:dyDescent="0.2">
      <c r="E640" s="74">
        <v>45811.284722222219</v>
      </c>
      <c r="F640" s="107" t="s">
        <v>278</v>
      </c>
      <c r="G640" s="142">
        <v>51903.411367144348</v>
      </c>
      <c r="H640" s="142">
        <v>159190.51151808733</v>
      </c>
      <c r="I640" s="142">
        <v>18.866430855617907</v>
      </c>
      <c r="J640" s="142">
        <v>51903.064443484443</v>
      </c>
      <c r="K640" s="142">
        <v>159189.24222414181</v>
      </c>
      <c r="L640" s="142">
        <v>18.857900000000001</v>
      </c>
      <c r="M640" s="145">
        <v>8.5308556179057859E-3</v>
      </c>
      <c r="N640" s="145">
        <v>1.3158783839784487</v>
      </c>
      <c r="O640" s="145">
        <v>1.6555012329568797E-3</v>
      </c>
      <c r="P640" s="145">
        <v>3.6350895025343277E-3</v>
      </c>
      <c r="Q6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-0.39195049642870572</v>
      </c>
      <c r="R6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0.20068131377692922</v>
      </c>
      <c r="S6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-0.39177548790192418</v>
      </c>
      <c r="T6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-1.0232760103470184</v>
      </c>
      <c r="U6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-3.9202260941451073E-4</v>
      </c>
      <c r="V6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-1.7727563002778446E-4</v>
      </c>
      <c r="W6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-3.9804213241723119E-4</v>
      </c>
      <c r="X6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-1.0224075193967508E-3</v>
      </c>
      <c r="Y640" s="162" t="str">
        <f>ReportSummary___Track[[#This Row],[Track ID]]&amp;"-"&amp;ReportSummary___Track[[#This Row],[Epoch]]</f>
        <v>250-RL-OP-0039-45811.2847222222</v>
      </c>
      <c r="Z640" s="126">
        <f>SUBTOTAL(103,ReportSummary___Track[[#This Row],[Track ID]])</f>
        <v>1</v>
      </c>
      <c r="AA640" s="114">
        <f>_xlfn.NUMBERVALUE(RIGHT(ReportSummary___Track[[#This Row],[Track ID]],4))</f>
        <v>39</v>
      </c>
      <c r="AB640" s="78"/>
    </row>
    <row r="641" spans="5:28" ht="14.25" customHeight="1" x14ac:dyDescent="0.2">
      <c r="E641" s="74">
        <v>45811.284722222219</v>
      </c>
      <c r="F641" s="107" t="s">
        <v>279</v>
      </c>
      <c r="G641" s="142">
        <v>51904.37596431464</v>
      </c>
      <c r="H641" s="142">
        <v>159190.24779064191</v>
      </c>
      <c r="I641" s="142">
        <v>18.866796359196041</v>
      </c>
      <c r="J641" s="142">
        <v>51904.029025848562</v>
      </c>
      <c r="K641" s="142">
        <v>159188.97844229479</v>
      </c>
      <c r="L641" s="142">
        <v>18.857900000000001</v>
      </c>
      <c r="M641" s="145">
        <v>8.8963591960400379E-3</v>
      </c>
      <c r="N641" s="145">
        <v>1.3159371834535736</v>
      </c>
      <c r="O641" s="145">
        <v>1.3681847513531409E-3</v>
      </c>
      <c r="P641" s="145">
        <v>3.3344838779747477E-3</v>
      </c>
      <c r="Q6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-0.72445006923871347</v>
      </c>
      <c r="R6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0.60683666393246405</v>
      </c>
      <c r="S6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-0.72412770993324216</v>
      </c>
      <c r="T6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-1.0084619504659997</v>
      </c>
      <c r="U6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-7.2458335713676547E-4</v>
      </c>
      <c r="V6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-9.1746288924277053E-5</v>
      </c>
      <c r="W6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-7.363430750793043E-4</v>
      </c>
      <c r="X6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-1.0067720564883587E-3</v>
      </c>
      <c r="Y641" s="162" t="str">
        <f>ReportSummary___Track[[#This Row],[Track ID]]&amp;"-"&amp;ReportSummary___Track[[#This Row],[Epoch]]</f>
        <v>250-RL-OP-0040-45811.2847222222</v>
      </c>
      <c r="Z641" s="126">
        <f>SUBTOTAL(103,ReportSummary___Track[[#This Row],[Track ID]])</f>
        <v>1</v>
      </c>
      <c r="AA641" s="114">
        <f>_xlfn.NUMBERVALUE(RIGHT(ReportSummary___Track[[#This Row],[Track ID]],4))</f>
        <v>40</v>
      </c>
      <c r="AB641" s="78"/>
    </row>
    <row r="642" spans="5:28" ht="14.25" customHeight="1" x14ac:dyDescent="0.2">
      <c r="E642" s="74">
        <v>45811.284722222219</v>
      </c>
      <c r="F642" s="107" t="s">
        <v>280</v>
      </c>
      <c r="G642" s="142">
        <v>51905.341841341033</v>
      </c>
      <c r="H642" s="142">
        <v>159189.98517916439</v>
      </c>
      <c r="I642" s="142">
        <v>18.86745208135207</v>
      </c>
      <c r="J642" s="142">
        <v>51905.003861439305</v>
      </c>
      <c r="K642" s="142">
        <v>159188.7129912978</v>
      </c>
      <c r="L642" s="142">
        <v>18.858054777028663</v>
      </c>
      <c r="M642" s="145">
        <v>9.3973043234072406E-3</v>
      </c>
      <c r="N642" s="145">
        <v>1.3163512795606076</v>
      </c>
      <c r="O642" s="145">
        <v>1.2319522836392593E-3</v>
      </c>
      <c r="P642" s="145">
        <v>3.1747699981927724E-3</v>
      </c>
      <c r="Q6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-0.89041625705732486</v>
      </c>
      <c r="R6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0.91150625886005088</v>
      </c>
      <c r="S6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-0.83096533343862689</v>
      </c>
      <c r="T6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-0.89038859931633851</v>
      </c>
      <c r="U6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-8.9046846136398017E-4</v>
      </c>
      <c r="V6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6.1273796427840921E-6</v>
      </c>
      <c r="W6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-8.3100659966817148E-4</v>
      </c>
      <c r="X6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-8.907477894375404E-4</v>
      </c>
      <c r="Y642" s="162" t="str">
        <f>ReportSummary___Track[[#This Row],[Track ID]]&amp;"-"&amp;ReportSummary___Track[[#This Row],[Epoch]]</f>
        <v>250-RL-OP-0041-45811.2847222222</v>
      </c>
      <c r="Z642" s="126">
        <f>SUBTOTAL(103,ReportSummary___Track[[#This Row],[Track ID]])</f>
        <v>1</v>
      </c>
      <c r="AA642" s="114">
        <f>_xlfn.NUMBERVALUE(RIGHT(ReportSummary___Track[[#This Row],[Track ID]],4))</f>
        <v>41</v>
      </c>
      <c r="AB642" s="78"/>
    </row>
    <row r="643" spans="5:28" ht="14.25" customHeight="1" x14ac:dyDescent="0.2">
      <c r="E643" s="74">
        <v>45811.284722222219</v>
      </c>
      <c r="F643" s="107" t="s">
        <v>281</v>
      </c>
      <c r="G643" s="142">
        <v>51906.30859422603</v>
      </c>
      <c r="H643" s="142">
        <v>159189.72947507742</v>
      </c>
      <c r="I643" s="142">
        <v>18.86952071444296</v>
      </c>
      <c r="J643" s="142">
        <v>51905.970490499021</v>
      </c>
      <c r="K643" s="142">
        <v>159188.45681358408</v>
      </c>
      <c r="L643" s="142">
        <v>18.859168280831987</v>
      </c>
      <c r="M643" s="145">
        <v>1.0352433610972156E-2</v>
      </c>
      <c r="N643" s="145">
        <v>1.3168479713751458</v>
      </c>
      <c r="O643" s="145">
        <v>1.82157799306637E-3</v>
      </c>
      <c r="P643" s="145">
        <v>3.4770792260232497E-3</v>
      </c>
      <c r="Q6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-0.18074311859805903</v>
      </c>
      <c r="R6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0.56956344997738384</v>
      </c>
      <c r="S6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0.21120737783064669</v>
      </c>
      <c r="T6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-0.18056811007127749</v>
      </c>
      <c r="U6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-1.8117089340918824E-4</v>
      </c>
      <c r="V6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1.0333053511146773E-4</v>
      </c>
      <c r="W6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2.1085171600532249E-4</v>
      </c>
      <c r="X6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-1.871904164119087E-4</v>
      </c>
      <c r="Y643" s="162" t="str">
        <f>ReportSummary___Track[[#This Row],[Track ID]]&amp;"-"&amp;ReportSummary___Track[[#This Row],[Epoch]]</f>
        <v>250-RL-OP-0042-45811.2847222222</v>
      </c>
      <c r="Z643" s="126">
        <f>SUBTOTAL(103,ReportSummary___Track[[#This Row],[Track ID]])</f>
        <v>1</v>
      </c>
      <c r="AA643" s="114">
        <f>_xlfn.NUMBERVALUE(RIGHT(ReportSummary___Track[[#This Row],[Track ID]],4))</f>
        <v>42</v>
      </c>
      <c r="AB643" s="78"/>
    </row>
    <row r="644" spans="5:28" ht="14.25" customHeight="1" x14ac:dyDescent="0.2">
      <c r="E644" s="74">
        <v>45811.284722222219</v>
      </c>
      <c r="F644" s="107" t="s">
        <v>282</v>
      </c>
      <c r="G644" s="142">
        <v>51907.275347111034</v>
      </c>
      <c r="H644" s="142">
        <v>159189.47377099041</v>
      </c>
      <c r="I644" s="142">
        <v>18.871589347533849</v>
      </c>
      <c r="J644" s="142">
        <v>51906.937119558745</v>
      </c>
      <c r="K644" s="142">
        <v>159188.20063587037</v>
      </c>
      <c r="L644" s="142">
        <v>18.860281784635312</v>
      </c>
      <c r="M644" s="145">
        <v>1.1307562898537071E-2</v>
      </c>
      <c r="N644" s="145">
        <v>1.3173453503195793</v>
      </c>
      <c r="O644" s="145">
        <v>2.4112037024970334E-3</v>
      </c>
      <c r="P644" s="145">
        <v>3.7793884538501743E-3</v>
      </c>
      <c r="Q6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0.5289300198612068</v>
      </c>
      <c r="R6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0.22826449395396686</v>
      </c>
      <c r="S6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1.2533800890999203</v>
      </c>
      <c r="T6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0.52925237916667811</v>
      </c>
      <c r="U6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5.2812667454205098E-4</v>
      </c>
      <c r="V6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2.0117611058112495E-4</v>
      </c>
      <c r="W6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1.2527100316788164E-3</v>
      </c>
      <c r="X6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5.1636695659951215E-4</v>
      </c>
      <c r="Y644" s="162" t="str">
        <f>ReportSummary___Track[[#This Row],[Track ID]]&amp;"-"&amp;ReportSummary___Track[[#This Row],[Epoch]]</f>
        <v>250-RL-OP-0043-45811.2847222222</v>
      </c>
      <c r="Z644" s="126">
        <f>SUBTOTAL(103,ReportSummary___Track[[#This Row],[Track ID]])</f>
        <v>1</v>
      </c>
      <c r="AA644" s="114">
        <f>_xlfn.NUMBERVALUE(RIGHT(ReportSummary___Track[[#This Row],[Track ID]],4))</f>
        <v>43</v>
      </c>
      <c r="AB644" s="78"/>
    </row>
    <row r="645" spans="5:28" ht="14.25" customHeight="1" x14ac:dyDescent="0.2">
      <c r="E645" s="74">
        <v>45811.284722222219</v>
      </c>
      <c r="F645" s="107" t="s">
        <v>283</v>
      </c>
      <c r="G645" s="142">
        <v>51908.24283118709</v>
      </c>
      <c r="H645" s="142">
        <v>159189.22159764636</v>
      </c>
      <c r="I645" s="142">
        <v>18.873859694515247</v>
      </c>
      <c r="J645" s="142">
        <v>51907.904524094469</v>
      </c>
      <c r="K645" s="142">
        <v>159187.94823138544</v>
      </c>
      <c r="L645" s="142">
        <v>18.861943334659106</v>
      </c>
      <c r="M645" s="145">
        <v>1.1916359856140701E-2</v>
      </c>
      <c r="N645" s="145">
        <v>1.3175945214710385</v>
      </c>
      <c r="O645" s="145">
        <v>2.5190555327334607E-3</v>
      </c>
      <c r="P645" s="145">
        <v>3.7510078163727201E-3</v>
      </c>
      <c r="Q6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0.88795701979194064</v>
      </c>
      <c r="R6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-2.9520326383591922E-2</v>
      </c>
      <c r="S6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1.7783732768492655</v>
      </c>
      <c r="T6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0.94740794341063861</v>
      </c>
      <c r="U6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8.8815751782078678E-4</v>
      </c>
      <c r="V6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1.0263747004435331E-4</v>
      </c>
      <c r="W6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1.7786259791847669E-3</v>
      </c>
      <c r="X6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9.4761937951659547E-4</v>
      </c>
      <c r="Y645" s="162" t="str">
        <f>ReportSummary___Track[[#This Row],[Track ID]]&amp;"-"&amp;ReportSummary___Track[[#This Row],[Epoch]]</f>
        <v>250-RL-OP-0044-45811.2847222222</v>
      </c>
      <c r="Z645" s="126">
        <f>SUBTOTAL(103,ReportSummary___Track[[#This Row],[Track ID]])</f>
        <v>1</v>
      </c>
      <c r="AA645" s="114">
        <f>_xlfn.NUMBERVALUE(RIGHT(ReportSummary___Track[[#This Row],[Track ID]],4))</f>
        <v>44</v>
      </c>
      <c r="AB645" s="78"/>
    </row>
    <row r="646" spans="5:28" ht="14.25" customHeight="1" x14ac:dyDescent="0.2">
      <c r="E646" s="74">
        <v>45811.284722222219</v>
      </c>
      <c r="F646" s="107" t="s">
        <v>284</v>
      </c>
      <c r="G646" s="142">
        <v>51909.212416550698</v>
      </c>
      <c r="H646" s="142">
        <v>159188.97685919519</v>
      </c>
      <c r="I646" s="142">
        <v>18.876563986793464</v>
      </c>
      <c r="J646" s="142">
        <v>51908.873870471209</v>
      </c>
      <c r="K646" s="142">
        <v>159187.70254757887</v>
      </c>
      <c r="L646" s="142">
        <v>18.864602113292445</v>
      </c>
      <c r="M646" s="145">
        <v>1.1961873501018516E-2</v>
      </c>
      <c r="N646" s="145">
        <v>1.3185699184490385</v>
      </c>
      <c r="O646" s="145">
        <v>1.6094398900463602E-3</v>
      </c>
      <c r="P646" s="145">
        <v>3.4310178831127303E-3</v>
      </c>
      <c r="Q6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0.57218725219954081</v>
      </c>
      <c r="R6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-0.10472066696598503</v>
      </c>
      <c r="S6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0.75293037079759983</v>
      </c>
      <c r="T6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0.96413774862824653</v>
      </c>
      <c r="U6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5.7301844551105319E-4</v>
      </c>
      <c r="V6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-3.6341742180434622E-4</v>
      </c>
      <c r="W6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7.5418933892024143E-4</v>
      </c>
      <c r="X6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9.6504105492556391E-4</v>
      </c>
      <c r="Y646" s="162" t="str">
        <f>ReportSummary___Track[[#This Row],[Track ID]]&amp;"-"&amp;ReportSummary___Track[[#This Row],[Epoch]]</f>
        <v>250-RL-OP-0045-45811.2847222222</v>
      </c>
      <c r="Z646" s="126">
        <f>SUBTOTAL(103,ReportSummary___Track[[#This Row],[Track ID]])</f>
        <v>1</v>
      </c>
      <c r="AA646" s="114">
        <f>_xlfn.NUMBERVALUE(RIGHT(ReportSummary___Track[[#This Row],[Track ID]],4))</f>
        <v>45</v>
      </c>
      <c r="AB646" s="78"/>
    </row>
    <row r="647" spans="5:28" ht="14.25" customHeight="1" x14ac:dyDescent="0.2">
      <c r="E647" s="74">
        <v>45811.284722222219</v>
      </c>
      <c r="F647" s="107" t="s">
        <v>285</v>
      </c>
      <c r="G647" s="142">
        <v>51910.182001914305</v>
      </c>
      <c r="H647" s="142">
        <v>159188.73212074401</v>
      </c>
      <c r="I647" s="142">
        <v>18.879268279071681</v>
      </c>
      <c r="J647" s="142">
        <v>51909.843216847941</v>
      </c>
      <c r="K647" s="142">
        <v>159187.4568637723</v>
      </c>
      <c r="L647" s="142">
        <v>18.867260891925785</v>
      </c>
      <c r="M647" s="145">
        <v>1.2007387145896331E-2</v>
      </c>
      <c r="N647" s="145">
        <v>1.3195453165533624</v>
      </c>
      <c r="O647" s="145">
        <v>6.9982424735925974E-4</v>
      </c>
      <c r="P647" s="145">
        <v>3.1110279498562932E-3</v>
      </c>
      <c r="Q6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0.25641748461069369</v>
      </c>
      <c r="R6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-0.18001414612567324</v>
      </c>
      <c r="S6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-0.27251253525051311</v>
      </c>
      <c r="T6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0.98086755384940716</v>
      </c>
      <c r="U6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2.5787937320131959E-4</v>
      </c>
      <c r="V6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-8.2956330810279866E-4</v>
      </c>
      <c r="W6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-2.7024730134073138E-4</v>
      </c>
      <c r="X6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9.8246273033808507E-4</v>
      </c>
      <c r="Y647" s="162" t="str">
        <f>ReportSummary___Track[[#This Row],[Track ID]]&amp;"-"&amp;ReportSummary___Track[[#This Row],[Epoch]]</f>
        <v>250-RL-OP-0046-45811.2847222222</v>
      </c>
      <c r="Z647" s="126">
        <f>SUBTOTAL(103,ReportSummary___Track[[#This Row],[Track ID]])</f>
        <v>1</v>
      </c>
      <c r="AA647" s="114">
        <f>_xlfn.NUMBERVALUE(RIGHT(ReportSummary___Track[[#This Row],[Track ID]],4))</f>
        <v>46</v>
      </c>
      <c r="AB647" s="78"/>
    </row>
    <row r="648" spans="5:28" ht="14.25" customHeight="1" x14ac:dyDescent="0.2">
      <c r="E648" s="74">
        <v>45811.284722222219</v>
      </c>
      <c r="F648" s="107" t="s">
        <v>286</v>
      </c>
      <c r="G648" s="142">
        <v>51911.151141496419</v>
      </c>
      <c r="H648" s="142">
        <v>159188.48944319948</v>
      </c>
      <c r="I648" s="142">
        <v>18.882328518492972</v>
      </c>
      <c r="J648" s="142">
        <v>51910.835170760911</v>
      </c>
      <c r="K648" s="142">
        <v>159187.20742803696</v>
      </c>
      <c r="L648" s="142">
        <v>18.870139055249297</v>
      </c>
      <c r="M648" s="145">
        <v>1.2189463243675647E-2</v>
      </c>
      <c r="N648" s="145">
        <v>1.3204351425356384</v>
      </c>
      <c r="O648" s="145">
        <v>2.7310338753494534E-4</v>
      </c>
      <c r="P648" s="145">
        <v>2.7921589202684061E-3</v>
      </c>
      <c r="Q6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2.6312924923388437E-3</v>
      </c>
      <c r="R6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-0.16495333543375956</v>
      </c>
      <c r="S6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-0.88532572729960179</v>
      </c>
      <c r="T6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0.8930475495496637</v>
      </c>
      <c r="U6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-7.4220329921104167E-5</v>
      </c>
      <c r="V6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-1.101625846095633E-3</v>
      </c>
      <c r="W6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-9.6237784774189095E-4</v>
      </c>
      <c r="X6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8.16248131442876E-4</v>
      </c>
      <c r="Y648" s="162" t="str">
        <f>ReportSummary___Track[[#This Row],[Track ID]]&amp;"-"&amp;ReportSummary___Track[[#This Row],[Epoch]]</f>
        <v>250-RL-OP-0047-45811.2847222222</v>
      </c>
      <c r="Z648" s="126">
        <f>SUBTOTAL(103,ReportSummary___Track[[#This Row],[Track ID]])</f>
        <v>1</v>
      </c>
      <c r="AA648" s="114">
        <f>_xlfn.NUMBERVALUE(RIGHT(ReportSummary___Track[[#This Row],[Track ID]],4))</f>
        <v>47</v>
      </c>
      <c r="AB648" s="78"/>
    </row>
    <row r="649" spans="5:28" ht="14.25" customHeight="1" x14ac:dyDescent="0.2">
      <c r="E649" s="74">
        <v>45811.284722222219</v>
      </c>
      <c r="F649" s="107" t="s">
        <v>287</v>
      </c>
      <c r="G649" s="142">
        <v>51912.122875350411</v>
      </c>
      <c r="H649" s="142">
        <v>159188.25340524639</v>
      </c>
      <c r="I649" s="142">
        <v>18.886733255176882</v>
      </c>
      <c r="J649" s="142">
        <v>51911.806635538363</v>
      </c>
      <c r="K649" s="142">
        <v>159186.97026833432</v>
      </c>
      <c r="L649" s="142">
        <v>18.873524557994575</v>
      </c>
      <c r="M649" s="145">
        <v>1.3208697182307105E-2</v>
      </c>
      <c r="N649" s="145">
        <v>1.321598435046758</v>
      </c>
      <c r="O649" s="145">
        <v>1.2468236812885891E-3</v>
      </c>
      <c r="P649" s="145">
        <v>2.8562635713349493E-3</v>
      </c>
      <c r="Q6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2.7301990463968195E-3</v>
      </c>
      <c r="R6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0.17428266661023706</v>
      </c>
      <c r="S6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-0.56945705315314399</v>
      </c>
      <c r="T6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0.18347331764445585</v>
      </c>
      <c r="U6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-4.2627830837105307E-4</v>
      </c>
      <c r="V6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-6.010025922145168E-4</v>
      </c>
      <c r="W6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-9.9929675388210626E-4</v>
      </c>
      <c r="X6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-2.4510741496186483E-4</v>
      </c>
      <c r="Y649" s="162" t="str">
        <f>ReportSummary___Track[[#This Row],[Track ID]]&amp;"-"&amp;ReportSummary___Track[[#This Row],[Epoch]]</f>
        <v>250-RL-OP-0048-45811.2847222222</v>
      </c>
      <c r="Z649" s="126">
        <f>SUBTOTAL(103,ReportSummary___Track[[#This Row],[Track ID]])</f>
        <v>1</v>
      </c>
      <c r="AA649" s="114">
        <f>_xlfn.NUMBERVALUE(RIGHT(ReportSummary___Track[[#This Row],[Track ID]],4))</f>
        <v>48</v>
      </c>
      <c r="AB649" s="78"/>
    </row>
    <row r="650" spans="5:28" ht="14.25" customHeight="1" x14ac:dyDescent="0.2">
      <c r="E650" s="74">
        <v>45811.284722222219</v>
      </c>
      <c r="F650" s="107" t="s">
        <v>288</v>
      </c>
      <c r="G650" s="142">
        <v>51913.094609204403</v>
      </c>
      <c r="H650" s="142">
        <v>159188.0173672933</v>
      </c>
      <c r="I650" s="142">
        <v>18.891137991860795</v>
      </c>
      <c r="J650" s="142">
        <v>51912.778100315809</v>
      </c>
      <c r="K650" s="142">
        <v>159186.73310863168</v>
      </c>
      <c r="L650" s="142">
        <v>18.876910060739853</v>
      </c>
      <c r="M650" s="145">
        <v>1.4227931120942117E-2</v>
      </c>
      <c r="N650" s="145">
        <v>1.322762495885669</v>
      </c>
      <c r="O650" s="145">
        <v>2.2205439750457856E-3</v>
      </c>
      <c r="P650" s="145">
        <v>2.9203682224050453E-3</v>
      </c>
      <c r="Q6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2.8291056075602228E-3</v>
      </c>
      <c r="R6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0.51351353413409129</v>
      </c>
      <c r="S6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-0.25358837900313347</v>
      </c>
      <c r="T6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-0.52610091425364658</v>
      </c>
      <c r="U6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-7.7833628682100198E-4</v>
      </c>
      <c r="V6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-1.0101925787120436E-4</v>
      </c>
      <c r="W6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-1.0362156600223216E-3</v>
      </c>
      <c r="X6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-1.306462961363053E-3</v>
      </c>
      <c r="Y650" s="162" t="str">
        <f>ReportSummary___Track[[#This Row],[Track ID]]&amp;"-"&amp;ReportSummary___Track[[#This Row],[Epoch]]</f>
        <v>250-RL-OP-0049-45811.2847222222</v>
      </c>
      <c r="Z650" s="126">
        <f>SUBTOTAL(103,ReportSummary___Track[[#This Row],[Track ID]])</f>
        <v>1</v>
      </c>
      <c r="AA650" s="114">
        <f>_xlfn.NUMBERVALUE(RIGHT(ReportSummary___Track[[#This Row],[Track ID]],4))</f>
        <v>49</v>
      </c>
      <c r="AB650" s="78"/>
    </row>
    <row r="651" spans="5:28" ht="14.25" customHeight="1" x14ac:dyDescent="0.2">
      <c r="E651" s="74">
        <v>45810.270833333336</v>
      </c>
      <c r="F651" s="107" t="s">
        <v>235</v>
      </c>
      <c r="G651" s="142">
        <v>51886.101813691566</v>
      </c>
      <c r="H651" s="142">
        <v>159195.44642123292</v>
      </c>
      <c r="I651" s="142">
        <v>18.870056334450997</v>
      </c>
      <c r="J651" s="142">
        <v>51885.743029335979</v>
      </c>
      <c r="K651" s="142">
        <v>159194.18688073062</v>
      </c>
      <c r="L651" s="142">
        <v>18.866068715969192</v>
      </c>
      <c r="M651" s="145">
        <v>3.9876184818048444E-3</v>
      </c>
      <c r="N651" s="145">
        <v>1.3096504846158707</v>
      </c>
      <c r="O651" s="145"/>
      <c r="P651" s="145"/>
      <c r="Q6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-0.28114626418940247</v>
      </c>
      <c r="R6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-0.46769177153893615</v>
      </c>
      <c r="S65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5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5.4739024335503927E-7</v>
      </c>
      <c r="V6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2.2383550038518329E-4</v>
      </c>
      <c r="W65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5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51" s="162" t="str">
        <f>ReportSummary___Track[[#This Row],[Track ID]]&amp;"-"&amp;ReportSummary___Track[[#This Row],[Epoch]]</f>
        <v>250-RL-OP-0021-45810.2708333333</v>
      </c>
      <c r="Z651" s="126">
        <f>SUBTOTAL(103,ReportSummary___Track[[#This Row],[Track ID]])</f>
        <v>1</v>
      </c>
      <c r="AA651" s="114">
        <f>_xlfn.NUMBERVALUE(RIGHT(ReportSummary___Track[[#This Row],[Track ID]],4))</f>
        <v>21</v>
      </c>
      <c r="AB651" s="78"/>
    </row>
    <row r="652" spans="5:28" ht="14.25" customHeight="1" x14ac:dyDescent="0.2">
      <c r="E652" s="74">
        <v>45810.270833333336</v>
      </c>
      <c r="F652" s="107" t="s">
        <v>236</v>
      </c>
      <c r="G652" s="142">
        <v>51887.063368977339</v>
      </c>
      <c r="H652" s="142">
        <v>159195.17180982089</v>
      </c>
      <c r="I652" s="142">
        <v>18.870125558401593</v>
      </c>
      <c r="J652" s="142">
        <v>51886.704122287876</v>
      </c>
      <c r="K652" s="142">
        <v>159193.91065564725</v>
      </c>
      <c r="L652" s="142">
        <v>18.866271499586006</v>
      </c>
      <c r="M652" s="145">
        <v>3.8540588155875355E-3</v>
      </c>
      <c r="N652" s="145">
        <v>1.3113286725112148</v>
      </c>
      <c r="O652" s="145"/>
      <c r="P652" s="145"/>
      <c r="Q6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-0.61906244711096292</v>
      </c>
      <c r="R6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-0.70014058387135591</v>
      </c>
      <c r="S65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5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8.7772560348753359E-6</v>
      </c>
      <c r="V6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-3.4035405048071787E-4</v>
      </c>
      <c r="W65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5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52" s="162" t="str">
        <f>ReportSummary___Track[[#This Row],[Track ID]]&amp;"-"&amp;ReportSummary___Track[[#This Row],[Epoch]]</f>
        <v>250-RL-OP-0022-45810.2708333333</v>
      </c>
      <c r="Z652" s="126">
        <f>SUBTOTAL(103,ReportSummary___Track[[#This Row],[Track ID]])</f>
        <v>1</v>
      </c>
      <c r="AA652" s="114">
        <f>_xlfn.NUMBERVALUE(RIGHT(ReportSummary___Track[[#This Row],[Track ID]],4))</f>
        <v>22</v>
      </c>
      <c r="AB652" s="78"/>
    </row>
    <row r="653" spans="5:28" ht="14.25" customHeight="1" x14ac:dyDescent="0.2">
      <c r="E653" s="74">
        <v>45810.270833333336</v>
      </c>
      <c r="F653" s="107" t="s">
        <v>237</v>
      </c>
      <c r="G653" s="142">
        <v>51888.024924263111</v>
      </c>
      <c r="H653" s="142">
        <v>159194.89719840887</v>
      </c>
      <c r="I653" s="142">
        <v>18.870194782352193</v>
      </c>
      <c r="J653" s="142">
        <v>51887.665215239773</v>
      </c>
      <c r="K653" s="142">
        <v>159193.63443056386</v>
      </c>
      <c r="L653" s="142">
        <v>18.866474283202823</v>
      </c>
      <c r="M653" s="145">
        <v>3.7204991493702266E-3</v>
      </c>
      <c r="N653" s="145">
        <v>1.3130068750661352</v>
      </c>
      <c r="O653" s="145"/>
      <c r="P653" s="145"/>
      <c r="Q6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-0.95697863003252337</v>
      </c>
      <c r="R6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-0.93260454425236894</v>
      </c>
      <c r="S65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5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1.7007121822842919E-5</v>
      </c>
      <c r="V6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-9.045457503729093E-4</v>
      </c>
      <c r="W65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5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53" s="162" t="str">
        <f>ReportSummary___Track[[#This Row],[Track ID]]&amp;"-"&amp;ReportSummary___Track[[#This Row],[Epoch]]</f>
        <v>250-RL-OP-0023-45810.2708333333</v>
      </c>
      <c r="Z653" s="126">
        <f>SUBTOTAL(103,ReportSummary___Track[[#This Row],[Track ID]])</f>
        <v>1</v>
      </c>
      <c r="AA653" s="114">
        <f>_xlfn.NUMBERVALUE(RIGHT(ReportSummary___Track[[#This Row],[Track ID]],4))</f>
        <v>23</v>
      </c>
      <c r="AB653" s="78"/>
    </row>
    <row r="654" spans="5:28" ht="14.25" customHeight="1" x14ac:dyDescent="0.2">
      <c r="E654" s="74">
        <v>45810.270833333336</v>
      </c>
      <c r="F654" s="107" t="s">
        <v>238</v>
      </c>
      <c r="G654" s="142">
        <v>51888.98628832103</v>
      </c>
      <c r="H654" s="142">
        <v>159194.62201573106</v>
      </c>
      <c r="I654" s="142">
        <v>18.869514730242752</v>
      </c>
      <c r="J654" s="142">
        <v>51888.624024107339</v>
      </c>
      <c r="K654" s="142">
        <v>159193.3577967032</v>
      </c>
      <c r="L654" s="142">
        <v>18.86545332152658</v>
      </c>
      <c r="M654" s="145">
        <v>4.0614087161721102E-3</v>
      </c>
      <c r="N654" s="145">
        <v>1.3151051691618987</v>
      </c>
      <c r="O654" s="145">
        <v>7.3790234367265839E-5</v>
      </c>
      <c r="P654" s="145"/>
      <c r="Q6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6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6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-0.41986657871717625</v>
      </c>
      <c r="T65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6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6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-6.4700381230409221E-7</v>
      </c>
      <c r="X65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54" s="162" t="str">
        <f>ReportSummary___Track[[#This Row],[Track ID]]&amp;"-"&amp;ReportSummary___Track[[#This Row],[Epoch]]</f>
        <v>250-RL-OP-0024-45810.2708333333</v>
      </c>
      <c r="Z654" s="126">
        <f>SUBTOTAL(103,ReportSummary___Track[[#This Row],[Track ID]])</f>
        <v>1</v>
      </c>
      <c r="AA654" s="114">
        <f>_xlfn.NUMBERVALUE(RIGHT(ReportSummary___Track[[#This Row],[Track ID]],4))</f>
        <v>24</v>
      </c>
      <c r="AB654" s="78"/>
    </row>
    <row r="655" spans="5:28" ht="14.25" customHeight="1" x14ac:dyDescent="0.2">
      <c r="E655" s="74">
        <v>45810.270833333336</v>
      </c>
      <c r="F655" s="107" t="s">
        <v>239</v>
      </c>
      <c r="G655" s="142">
        <v>51889.947664398285</v>
      </c>
      <c r="H655" s="142">
        <v>159194.34677858101</v>
      </c>
      <c r="I655" s="142">
        <v>18.868773577574299</v>
      </c>
      <c r="J655" s="142">
        <v>51889.58479107709</v>
      </c>
      <c r="K655" s="142">
        <v>159193.08044244221</v>
      </c>
      <c r="L655" s="142">
        <v>18.864251762034648</v>
      </c>
      <c r="M655" s="145">
        <v>4.5218155396504756E-3</v>
      </c>
      <c r="N655" s="145">
        <v>1.3173096486680025</v>
      </c>
      <c r="O655" s="145">
        <v>6.6775672406294007E-4</v>
      </c>
      <c r="P655" s="145"/>
      <c r="Q6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6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6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0.26128325761831661</v>
      </c>
      <c r="T65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6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6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-8.9912233676159303E-6</v>
      </c>
      <c r="X65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55" s="162" t="str">
        <f>ReportSummary___Track[[#This Row],[Track ID]]&amp;"-"&amp;ReportSummary___Track[[#This Row],[Epoch]]</f>
        <v>250-RL-OP-0025-45810.2708333333</v>
      </c>
      <c r="Z655" s="126">
        <f>SUBTOTAL(103,ReportSummary___Track[[#This Row],[Track ID]])</f>
        <v>1</v>
      </c>
      <c r="AA655" s="114">
        <f>_xlfn.NUMBERVALUE(RIGHT(ReportSummary___Track[[#This Row],[Track ID]],4))</f>
        <v>25</v>
      </c>
      <c r="AB655" s="78"/>
    </row>
    <row r="656" spans="5:28" ht="14.25" customHeight="1" x14ac:dyDescent="0.2">
      <c r="E656" s="74">
        <v>45810.270833333336</v>
      </c>
      <c r="F656" s="107" t="s">
        <v>240</v>
      </c>
      <c r="G656" s="142">
        <v>51890.909040475541</v>
      </c>
      <c r="H656" s="142">
        <v>159194.07154143095</v>
      </c>
      <c r="I656" s="142">
        <v>18.868032424905849</v>
      </c>
      <c r="J656" s="142">
        <v>51890.545558046833</v>
      </c>
      <c r="K656" s="142">
        <v>159192.80308818122</v>
      </c>
      <c r="L656" s="142">
        <v>18.86305020254272</v>
      </c>
      <c r="M656" s="145">
        <v>4.9822223631288409E-3</v>
      </c>
      <c r="N656" s="145">
        <v>1.3195142838510057</v>
      </c>
      <c r="O656" s="145">
        <v>1.2617232137586143E-3</v>
      </c>
      <c r="P656" s="145"/>
      <c r="Q6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6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6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0.94243309395380948</v>
      </c>
      <c r="T65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6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6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-1.7335442922927768E-5</v>
      </c>
      <c r="X65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56" s="162" t="str">
        <f>ReportSummary___Track[[#This Row],[Track ID]]&amp;"-"&amp;ReportSummary___Track[[#This Row],[Epoch]]</f>
        <v>250-RL-OP-0026-45810.2708333333</v>
      </c>
      <c r="Z656" s="126">
        <f>SUBTOTAL(103,ReportSummary___Track[[#This Row],[Track ID]])</f>
        <v>1</v>
      </c>
      <c r="AA656" s="114">
        <f>_xlfn.NUMBERVALUE(RIGHT(ReportSummary___Track[[#This Row],[Track ID]],4))</f>
        <v>26</v>
      </c>
      <c r="AB656" s="78"/>
    </row>
    <row r="657" spans="5:28" ht="14.25" customHeight="1" x14ac:dyDescent="0.2">
      <c r="E657" s="74">
        <v>45810.270833333336</v>
      </c>
      <c r="F657" s="107" t="s">
        <v>241</v>
      </c>
      <c r="G657" s="142">
        <v>51891.870085166687</v>
      </c>
      <c r="H657" s="142">
        <v>159193.79534240576</v>
      </c>
      <c r="I657" s="142">
        <v>18.865661447731828</v>
      </c>
      <c r="J657" s="142">
        <v>51891.504353461787</v>
      </c>
      <c r="K657" s="142">
        <v>159192.52690810763</v>
      </c>
      <c r="L657" s="142">
        <v>18.861283132921656</v>
      </c>
      <c r="M657" s="145">
        <v>4.3783148101717018E-3</v>
      </c>
      <c r="N657" s="145">
        <v>1.3201153049264747</v>
      </c>
      <c r="O657" s="145">
        <v>3.1690609399959158E-4</v>
      </c>
      <c r="P657" s="145">
        <v>3.9069632836685741E-4</v>
      </c>
      <c r="Q6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-0.32463151136141732</v>
      </c>
      <c r="R6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-8.5622790527040138E-2</v>
      </c>
      <c r="S6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0.3763813315451614</v>
      </c>
      <c r="T6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-4.3485247172014851E-2</v>
      </c>
      <c r="U6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6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6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9.9613572501766612E-8</v>
      </c>
      <c r="X6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-5.473902398023256E-7</v>
      </c>
      <c r="Y657" s="162" t="str">
        <f>ReportSummary___Track[[#This Row],[Track ID]]&amp;"-"&amp;ReportSummary___Track[[#This Row],[Epoch]]</f>
        <v>250-RL-OP-0027-45810.2708333333</v>
      </c>
      <c r="Z657" s="126">
        <f>SUBTOTAL(103,ReportSummary___Track[[#This Row],[Track ID]])</f>
        <v>1</v>
      </c>
      <c r="AA657" s="114">
        <f>_xlfn.NUMBERVALUE(RIGHT(ReportSummary___Track[[#This Row],[Track ID]],4))</f>
        <v>27</v>
      </c>
      <c r="AB657" s="78"/>
    </row>
    <row r="658" spans="5:28" ht="14.25" customHeight="1" x14ac:dyDescent="0.2">
      <c r="E658" s="74">
        <v>45810.270833333336</v>
      </c>
      <c r="F658" s="107" t="s">
        <v>242</v>
      </c>
      <c r="G658" s="142">
        <v>51892.831165658921</v>
      </c>
      <c r="H658" s="142">
        <v>159193.51908472509</v>
      </c>
      <c r="I658" s="142">
        <v>18.863215774997911</v>
      </c>
      <c r="J658" s="142">
        <v>51892.465288045249</v>
      </c>
      <c r="K658" s="142">
        <v>159192.25013834573</v>
      </c>
      <c r="L658" s="142">
        <v>18.859487246856443</v>
      </c>
      <c r="M658" s="145">
        <v>3.7285281414689564E-3</v>
      </c>
      <c r="N658" s="145">
        <v>1.3206457677258727</v>
      </c>
      <c r="O658" s="145">
        <v>-7.9328739818151917E-4</v>
      </c>
      <c r="P658" s="145">
        <v>-1.255306741185791E-4</v>
      </c>
      <c r="Q6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-0.66420417328316717</v>
      </c>
      <c r="R6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-0.17501342233838812</v>
      </c>
      <c r="S6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-0.30642498379052086</v>
      </c>
      <c r="T6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-4.5141726172204244E-2</v>
      </c>
      <c r="U6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6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6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2.1396733629330811E-7</v>
      </c>
      <c r="X6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-8.7772560313226222E-6</v>
      </c>
      <c r="Y658" s="162" t="str">
        <f>ReportSummary___Track[[#This Row],[Track ID]]&amp;"-"&amp;ReportSummary___Track[[#This Row],[Epoch]]</f>
        <v>250-RL-OP-0028-45810.2708333333</v>
      </c>
      <c r="Z658" s="126">
        <f>SUBTOTAL(103,ReportSummary___Track[[#This Row],[Track ID]])</f>
        <v>1</v>
      </c>
      <c r="AA658" s="114">
        <f>_xlfn.NUMBERVALUE(RIGHT(ReportSummary___Track[[#This Row],[Track ID]],4))</f>
        <v>28</v>
      </c>
      <c r="AB658" s="78"/>
    </row>
    <row r="659" spans="5:28" ht="14.25" customHeight="1" x14ac:dyDescent="0.2">
      <c r="E659" s="74">
        <v>45810.270833333336</v>
      </c>
      <c r="F659" s="107" t="s">
        <v>243</v>
      </c>
      <c r="G659" s="142">
        <v>51893.791834251315</v>
      </c>
      <c r="H659" s="142">
        <v>159193.24288966472</v>
      </c>
      <c r="I659" s="142">
        <v>18.860926416951401</v>
      </c>
      <c r="J659" s="142">
        <v>51893.426692580288</v>
      </c>
      <c r="K659" s="142">
        <v>159191.97323179524</v>
      </c>
      <c r="L659" s="142">
        <v>18.857700906411129</v>
      </c>
      <c r="M659" s="145">
        <v>3.2255105402718698E-3</v>
      </c>
      <c r="N659" s="145">
        <v>1.3211245018377866</v>
      </c>
      <c r="O659" s="145">
        <v>-1.7567118228569711E-3</v>
      </c>
      <c r="P659" s="145">
        <v>-4.9498860909835685E-4</v>
      </c>
      <c r="Q6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-0.98057959971953323</v>
      </c>
      <c r="R6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-0.27410785997594722</v>
      </c>
      <c r="S6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-0.96603406364081934</v>
      </c>
      <c r="T6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-2.3600969687009865E-2</v>
      </c>
      <c r="U6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1.8128219423374503E-6</v>
      </c>
      <c r="V6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4.4276602384485386E-9</v>
      </c>
      <c r="W6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2.1411430424222999E-6</v>
      </c>
      <c r="X6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-1.5194299880505469E-5</v>
      </c>
      <c r="Y659" s="162" t="str">
        <f>ReportSummary___Track[[#This Row],[Track ID]]&amp;"-"&amp;ReportSummary___Track[[#This Row],[Epoch]]</f>
        <v>250-RL-OP-0029-45810.2708333333</v>
      </c>
      <c r="Z659" s="126">
        <f>SUBTOTAL(103,ReportSummary___Track[[#This Row],[Track ID]])</f>
        <v>1</v>
      </c>
      <c r="AA659" s="114">
        <f>_xlfn.NUMBERVALUE(RIGHT(ReportSummary___Track[[#This Row],[Track ID]],4))</f>
        <v>29</v>
      </c>
      <c r="AB659" s="78"/>
    </row>
    <row r="660" spans="5:28" ht="14.25" customHeight="1" x14ac:dyDescent="0.2">
      <c r="E660" s="74">
        <v>45810.270833333336</v>
      </c>
      <c r="F660" s="107" t="s">
        <v>269</v>
      </c>
      <c r="G660" s="142">
        <v>51894.75263598399</v>
      </c>
      <c r="H660" s="142">
        <v>159192.96565370166</v>
      </c>
      <c r="I660" s="142">
        <v>18.861427687376434</v>
      </c>
      <c r="J660" s="142">
        <v>51894.387556785739</v>
      </c>
      <c r="K660" s="142">
        <v>159191.69621203162</v>
      </c>
      <c r="L660" s="142">
        <v>18.85787192737892</v>
      </c>
      <c r="M660" s="145">
        <v>3.5557599975142296E-3</v>
      </c>
      <c r="N660" s="145">
        <v>1.3209003058739066</v>
      </c>
      <c r="O660" s="145">
        <v>-8.2255481265747221E-4</v>
      </c>
      <c r="P660" s="145">
        <v>-5.0564871865788064E-4</v>
      </c>
      <c r="Q6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-0.30457969342734259</v>
      </c>
      <c r="R6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-8.4807939084718953E-2</v>
      </c>
      <c r="S6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2.0051817934074734E-2</v>
      </c>
      <c r="T6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0.39643314947923614</v>
      </c>
      <c r="U6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3.4385469750475295E-4</v>
      </c>
      <c r="V6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8.8093825678647875E-7</v>
      </c>
      <c r="W6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3.4385469750120023E-4</v>
      </c>
      <c r="X6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3.43954311073702E-4</v>
      </c>
      <c r="Y660" s="162" t="str">
        <f>ReportSummary___Track[[#This Row],[Track ID]]&amp;"-"&amp;ReportSummary___Track[[#This Row],[Epoch]]</f>
        <v>250-RL-OP-0030-45810.2708333333</v>
      </c>
      <c r="Z660" s="126">
        <f>SUBTOTAL(103,ReportSummary___Track[[#This Row],[Track ID]])</f>
        <v>1</v>
      </c>
      <c r="AA660" s="114">
        <f>_xlfn.NUMBERVALUE(RIGHT(ReportSummary___Track[[#This Row],[Track ID]],4))</f>
        <v>30</v>
      </c>
      <c r="AB660" s="78"/>
    </row>
    <row r="661" spans="5:28" ht="14.25" customHeight="1" x14ac:dyDescent="0.2">
      <c r="E661" s="74">
        <v>45810.270833333336</v>
      </c>
      <c r="F661" s="107" t="s">
        <v>270</v>
      </c>
      <c r="G661" s="142">
        <v>51895.713437716666</v>
      </c>
      <c r="H661" s="142">
        <v>159192.68841773859</v>
      </c>
      <c r="I661" s="142">
        <v>18.861928957801467</v>
      </c>
      <c r="J661" s="142">
        <v>51895.348420991184</v>
      </c>
      <c r="K661" s="142">
        <v>159191.41919226799</v>
      </c>
      <c r="L661" s="142">
        <v>18.858042948346714</v>
      </c>
      <c r="M661" s="145">
        <v>3.8860094547530366E-3</v>
      </c>
      <c r="N661" s="145">
        <v>1.3206761927831616</v>
      </c>
      <c r="O661" s="145">
        <v>1.5748131328408022E-4</v>
      </c>
      <c r="P661" s="145">
        <v>-6.3580608489743895E-4</v>
      </c>
      <c r="Q6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0.37142021286129534</v>
      </c>
      <c r="R6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0.1044849899090039</v>
      </c>
      <c r="S6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1.0356243861444625</v>
      </c>
      <c r="T6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0.72919940235394165</v>
      </c>
      <c r="U6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6.8589657306361573E-4</v>
      </c>
      <c r="V6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1.8402521926308424E-6</v>
      </c>
      <c r="W6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6.8589657306006302E-4</v>
      </c>
      <c r="X6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6.8611054039635633E-4</v>
      </c>
      <c r="Y661" s="162" t="str">
        <f>ReportSummary___Track[[#This Row],[Track ID]]&amp;"-"&amp;ReportSummary___Track[[#This Row],[Epoch]]</f>
        <v>250-RL-OP-0031-45810.2708333333</v>
      </c>
      <c r="Z661" s="126">
        <f>SUBTOTAL(103,ReportSummary___Track[[#This Row],[Track ID]])</f>
        <v>1</v>
      </c>
      <c r="AA661" s="114">
        <f>_xlfn.NUMBERVALUE(RIGHT(ReportSummary___Track[[#This Row],[Track ID]],4))</f>
        <v>31</v>
      </c>
      <c r="AB661" s="78"/>
    </row>
    <row r="662" spans="5:28" ht="14.25" customHeight="1" x14ac:dyDescent="0.2">
      <c r="E662" s="74">
        <v>45810.270833333336</v>
      </c>
      <c r="F662" s="107" t="s">
        <v>271</v>
      </c>
      <c r="G662" s="142">
        <v>51896.67540436655</v>
      </c>
      <c r="H662" s="142">
        <v>159192.41090241418</v>
      </c>
      <c r="I662" s="142">
        <v>18.862477008946644</v>
      </c>
      <c r="J662" s="142">
        <v>51896.308523498657</v>
      </c>
      <c r="K662" s="142">
        <v>159191.14271617067</v>
      </c>
      <c r="L662" s="142">
        <v>18.858247324479837</v>
      </c>
      <c r="M662" s="145">
        <v>4.2296844668072708E-3</v>
      </c>
      <c r="N662" s="145">
        <v>1.3201953680010274</v>
      </c>
      <c r="O662" s="145">
        <v>1.0041739265354011E-3</v>
      </c>
      <c r="P662" s="145">
        <v>-7.5253789632157009E-4</v>
      </c>
      <c r="Q6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0.97866670073898376</v>
      </c>
      <c r="R6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0.28735134023039066</v>
      </c>
      <c r="S6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1.959246300458517</v>
      </c>
      <c r="T6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0.99321223681769766</v>
      </c>
      <c r="U6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9.7860867473897883E-4</v>
      </c>
      <c r="V6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2.7726378932779738E-6</v>
      </c>
      <c r="W6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9.7679585279664138E-4</v>
      </c>
      <c r="X6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9.7893699583906368E-4</v>
      </c>
      <c r="Y662" s="162" t="str">
        <f>ReportSummary___Track[[#This Row],[Track ID]]&amp;"-"&amp;ReportSummary___Track[[#This Row],[Epoch]]</f>
        <v>250-RL-OP-0032-45810.2708333333</v>
      </c>
      <c r="Z662" s="126">
        <f>SUBTOTAL(103,ReportSummary___Track[[#This Row],[Track ID]])</f>
        <v>1</v>
      </c>
      <c r="AA662" s="114">
        <f>_xlfn.NUMBERVALUE(RIGHT(ReportSummary___Track[[#This Row],[Track ID]],4))</f>
        <v>32</v>
      </c>
      <c r="AB662" s="78"/>
    </row>
    <row r="663" spans="5:28" ht="14.25" customHeight="1" x14ac:dyDescent="0.2">
      <c r="E663" s="74">
        <v>45810.270833333336</v>
      </c>
      <c r="F663" s="107" t="s">
        <v>272</v>
      </c>
      <c r="G663" s="142">
        <v>51897.636450977137</v>
      </c>
      <c r="H663" s="142">
        <v>159192.13451890467</v>
      </c>
      <c r="I663" s="142">
        <v>18.863729186940898</v>
      </c>
      <c r="J663" s="142">
        <v>51897.270447986921</v>
      </c>
      <c r="K663" s="142">
        <v>159190.86940145129</v>
      </c>
      <c r="L663" s="142">
        <v>18.858833023487737</v>
      </c>
      <c r="M663" s="145">
        <v>4.8961634531607956E-3</v>
      </c>
      <c r="N663" s="145">
        <v>1.3170058208360922</v>
      </c>
      <c r="O663" s="145">
        <v>1.340403455646566E-3</v>
      </c>
      <c r="P663" s="145">
        <v>5.1784864298909383E-4</v>
      </c>
      <c r="Q6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0.63172285170765008</v>
      </c>
      <c r="R6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0.43062746646227446</v>
      </c>
      <c r="S6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0.93630254513499267</v>
      </c>
      <c r="T6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0.9563543630690674</v>
      </c>
      <c r="U6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6.3078224777157743E-4</v>
      </c>
      <c r="V6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2.1948127655324612E-6</v>
      </c>
      <c r="W6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2.8692755026682448E-4</v>
      </c>
      <c r="X6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6.3078224776802472E-4</v>
      </c>
      <c r="Y663" s="162" t="str">
        <f>ReportSummary___Track[[#This Row],[Track ID]]&amp;"-"&amp;ReportSummary___Track[[#This Row],[Epoch]]</f>
        <v>250-RL-OP-0033-45810.2708333333</v>
      </c>
      <c r="Z663" s="126">
        <f>SUBTOTAL(103,ReportSummary___Track[[#This Row],[Track ID]])</f>
        <v>1</v>
      </c>
      <c r="AA663" s="114">
        <f>_xlfn.NUMBERVALUE(RIGHT(ReportSummary___Track[[#This Row],[Track ID]],4))</f>
        <v>33</v>
      </c>
      <c r="AB663" s="78"/>
    </row>
    <row r="664" spans="5:28" ht="14.25" customHeight="1" x14ac:dyDescent="0.2">
      <c r="E664" s="74">
        <v>45810.270833333336</v>
      </c>
      <c r="F664" s="107" t="s">
        <v>273</v>
      </c>
      <c r="G664" s="142">
        <v>51898.597497587733</v>
      </c>
      <c r="H664" s="142">
        <v>159191.85813539516</v>
      </c>
      <c r="I664" s="142">
        <v>18.864981364935151</v>
      </c>
      <c r="J664" s="142">
        <v>51898.232372475184</v>
      </c>
      <c r="K664" s="142">
        <v>159190.59608673191</v>
      </c>
      <c r="L664" s="142">
        <v>18.859418722495636</v>
      </c>
      <c r="M664" s="145">
        <v>5.5626424395143204E-3</v>
      </c>
      <c r="N664" s="145">
        <v>1.3138166231323463</v>
      </c>
      <c r="O664" s="145">
        <v>1.6766329847612838E-3</v>
      </c>
      <c r="P664" s="145">
        <v>1.834114298045364E-3</v>
      </c>
      <c r="Q6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0.2847790026763164</v>
      </c>
      <c r="R6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0.57345622900095705</v>
      </c>
      <c r="S6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-8.6641210184978945E-2</v>
      </c>
      <c r="T6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0.94898317595948356</v>
      </c>
      <c r="U6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2.8295582080062331E-4</v>
      </c>
      <c r="V6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1.1691772563438008E-6</v>
      </c>
      <c r="W6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-4.0294075226299242E-4</v>
      </c>
      <c r="X6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2.829558207970706E-4</v>
      </c>
      <c r="Y664" s="162" t="str">
        <f>ReportSummary___Track[[#This Row],[Track ID]]&amp;"-"&amp;ReportSummary___Track[[#This Row],[Epoch]]</f>
        <v>250-RL-OP-0034-45810.2708333333</v>
      </c>
      <c r="Z664" s="126">
        <f>SUBTOTAL(103,ReportSummary___Track[[#This Row],[Track ID]])</f>
        <v>1</v>
      </c>
      <c r="AA664" s="114">
        <f>_xlfn.NUMBERVALUE(RIGHT(ReportSummary___Track[[#This Row],[Track ID]],4))</f>
        <v>34</v>
      </c>
      <c r="AB664" s="78"/>
    </row>
    <row r="665" spans="5:28" ht="14.25" customHeight="1" x14ac:dyDescent="0.2">
      <c r="E665" s="74">
        <v>45810.270833333336</v>
      </c>
      <c r="F665" s="107" t="s">
        <v>274</v>
      </c>
      <c r="G665" s="142">
        <v>51899.557752903464</v>
      </c>
      <c r="H665" s="142">
        <v>159191.5833935751</v>
      </c>
      <c r="I665" s="142">
        <v>18.866</v>
      </c>
      <c r="J665" s="142">
        <v>51899.203472361332</v>
      </c>
      <c r="K665" s="142">
        <v>159190.32062001547</v>
      </c>
      <c r="L665" s="142">
        <v>18.859777427163273</v>
      </c>
      <c r="M665" s="145">
        <v>6.2225728367266697E-3</v>
      </c>
      <c r="N665" s="145">
        <v>1.3115450757988991</v>
      </c>
      <c r="O665" s="145">
        <v>1.9928883699193989E-3</v>
      </c>
      <c r="P665" s="145">
        <v>2.9970622964547999E-3</v>
      </c>
      <c r="Q6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6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0.70907960101496137</v>
      </c>
      <c r="S6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-0.97865584696776864</v>
      </c>
      <c r="T6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0.98059045349074836</v>
      </c>
      <c r="U6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6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5.899789824925783E-5</v>
      </c>
      <c r="W6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-9.7829083515321713E-4</v>
      </c>
      <c r="X6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-1.494982356575747E-6</v>
      </c>
      <c r="Y665" s="162" t="str">
        <f>ReportSummary___Track[[#This Row],[Track ID]]&amp;"-"&amp;ReportSummary___Track[[#This Row],[Epoch]]</f>
        <v>250-RL-OP-0035-45810.2708333333</v>
      </c>
      <c r="Z665" s="126">
        <f>SUBTOTAL(103,ReportSummary___Track[[#This Row],[Track ID]])</f>
        <v>1</v>
      </c>
      <c r="AA665" s="114">
        <f>_xlfn.NUMBERVALUE(RIGHT(ReportSummary___Track[[#This Row],[Track ID]],4))</f>
        <v>35</v>
      </c>
      <c r="AB665" s="78"/>
    </row>
    <row r="666" spans="5:28" ht="14.25" customHeight="1" x14ac:dyDescent="0.2">
      <c r="E666" s="74">
        <v>45810.270833333336</v>
      </c>
      <c r="F666" s="107" t="s">
        <v>275</v>
      </c>
      <c r="G666" s="142">
        <v>51900.520801492021</v>
      </c>
      <c r="H666" s="142">
        <v>159191.31406586381</v>
      </c>
      <c r="I666" s="142">
        <v>18.866</v>
      </c>
      <c r="J666" s="142">
        <v>51900.166031558641</v>
      </c>
      <c r="K666" s="142">
        <v>159190.04954924015</v>
      </c>
      <c r="L666" s="142">
        <v>18.859124401927648</v>
      </c>
      <c r="M666" s="145">
        <v>6.8755980723516075E-3</v>
      </c>
      <c r="N666" s="145">
        <v>1.3133587746672584</v>
      </c>
      <c r="O666" s="145">
        <v>1.9794346191908119E-3</v>
      </c>
      <c r="P666" s="145">
        <v>3.3198380748373779E-3</v>
      </c>
      <c r="Q6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6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0.80473124953361896</v>
      </c>
      <c r="S6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-0.63165417283173042</v>
      </c>
      <c r="T6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0.30464837230326225</v>
      </c>
      <c r="U6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6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3.7334042353509567E-4</v>
      </c>
      <c r="W6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-6.2451903736615577E-4</v>
      </c>
      <c r="X6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-3.3759148709933129E-4</v>
      </c>
      <c r="Y666" s="162" t="str">
        <f>ReportSummary___Track[[#This Row],[Track ID]]&amp;"-"&amp;ReportSummary___Track[[#This Row],[Epoch]]</f>
        <v>250-RL-OP-0036-45810.2708333333</v>
      </c>
      <c r="Z666" s="126">
        <f>SUBTOTAL(103,ReportSummary___Track[[#This Row],[Track ID]])</f>
        <v>1</v>
      </c>
      <c r="AA666" s="114">
        <f>_xlfn.NUMBERVALUE(RIGHT(ReportSummary___Track[[#This Row],[Track ID]],4))</f>
        <v>36</v>
      </c>
      <c r="AB666" s="78"/>
    </row>
    <row r="667" spans="5:28" ht="14.25" customHeight="1" x14ac:dyDescent="0.2">
      <c r="E667" s="74">
        <v>45810.270833333336</v>
      </c>
      <c r="F667" s="107" t="s">
        <v>276</v>
      </c>
      <c r="G667" s="142">
        <v>51901.483850080585</v>
      </c>
      <c r="H667" s="142">
        <v>159191.04473815253</v>
      </c>
      <c r="I667" s="142">
        <v>18.866</v>
      </c>
      <c r="J667" s="142">
        <v>51901.128590755958</v>
      </c>
      <c r="K667" s="142">
        <v>159189.77847846484</v>
      </c>
      <c r="L667" s="142">
        <v>18.858471376692027</v>
      </c>
      <c r="M667" s="145">
        <v>7.5286233079729925E-3</v>
      </c>
      <c r="N667" s="145">
        <v>1.3151727888663709</v>
      </c>
      <c r="O667" s="145">
        <v>1.9659808684586721E-3</v>
      </c>
      <c r="P667" s="145">
        <v>3.6426138532199559E-3</v>
      </c>
      <c r="Q6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1.2650398062419299E-4</v>
      </c>
      <c r="R6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0.90038227341349142</v>
      </c>
      <c r="S6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-0.2846524986956922</v>
      </c>
      <c r="T6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-0.37129370888067115</v>
      </c>
      <c r="U6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1.220858122863433E-5</v>
      </c>
      <c r="V6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6.8768708348532215E-4</v>
      </c>
      <c r="W6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-2.7074723957198898E-4</v>
      </c>
      <c r="X6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-6.736879918349814E-4</v>
      </c>
      <c r="Y667" s="162" t="str">
        <f>ReportSummary___Track[[#This Row],[Track ID]]&amp;"-"&amp;ReportSummary___Track[[#This Row],[Epoch]]</f>
        <v>250-RL-OP-0037-45810.2708333333</v>
      </c>
      <c r="Z667" s="126">
        <f>SUBTOTAL(103,ReportSummary___Track[[#This Row],[Track ID]])</f>
        <v>1</v>
      </c>
      <c r="AA667" s="114">
        <f>_xlfn.NUMBERVALUE(RIGHT(ReportSummary___Track[[#This Row],[Track ID]],4))</f>
        <v>37</v>
      </c>
      <c r="AB667" s="78"/>
    </row>
    <row r="668" spans="5:28" ht="14.25" customHeight="1" x14ac:dyDescent="0.2">
      <c r="E668" s="74">
        <v>45810.270833333336</v>
      </c>
      <c r="F668" s="107" t="s">
        <v>277</v>
      </c>
      <c r="G668" s="142">
        <v>51902.447765839897</v>
      </c>
      <c r="H668" s="142">
        <v>159190.77623041449</v>
      </c>
      <c r="I668" s="142">
        <v>18.866065372992377</v>
      </c>
      <c r="J668" s="142">
        <v>51902.099872443272</v>
      </c>
      <c r="K668" s="142">
        <v>159189.50604742009</v>
      </c>
      <c r="L668" s="142">
        <v>18.857900000000001</v>
      </c>
      <c r="M668" s="145">
        <v>8.1653729923765184E-3</v>
      </c>
      <c r="N668" s="145">
        <v>1.3169894942593887</v>
      </c>
      <c r="O668" s="145">
        <v>1.9428001556498486E-3</v>
      </c>
      <c r="P668" s="145">
        <v>3.9356885255692475E-3</v>
      </c>
      <c r="Q6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6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0.96406285950134674</v>
      </c>
      <c r="S6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-5.9440824781376023E-2</v>
      </c>
      <c r="T6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-1.0380966717491447</v>
      </c>
      <c r="U6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6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9.0673428167487025E-4</v>
      </c>
      <c r="W6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-5.9758748673033324E-5</v>
      </c>
      <c r="X6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-1.0380495838262505E-3</v>
      </c>
      <c r="Y668" s="162" t="str">
        <f>ReportSummary___Track[[#This Row],[Track ID]]&amp;"-"&amp;ReportSummary___Track[[#This Row],[Epoch]]</f>
        <v>250-RL-OP-0038-45810.2708333333</v>
      </c>
      <c r="Z668" s="126">
        <f>SUBTOTAL(103,ReportSummary___Track[[#This Row],[Track ID]])</f>
        <v>1</v>
      </c>
      <c r="AA668" s="114">
        <f>_xlfn.NUMBERVALUE(RIGHT(ReportSummary___Track[[#This Row],[Track ID]],4))</f>
        <v>38</v>
      </c>
      <c r="AB668" s="78"/>
    </row>
    <row r="669" spans="5:28" ht="14.25" customHeight="1" x14ac:dyDescent="0.2">
      <c r="E669" s="74">
        <v>45810.270833333336</v>
      </c>
      <c r="F669" s="107" t="s">
        <v>278</v>
      </c>
      <c r="G669" s="142">
        <v>51903.412339888513</v>
      </c>
      <c r="H669" s="142">
        <v>159190.51241841505</v>
      </c>
      <c r="I669" s="142">
        <v>18.86643099375512</v>
      </c>
      <c r="J669" s="142">
        <v>51903.064539433311</v>
      </c>
      <c r="K669" s="142">
        <v>159189.24257522359</v>
      </c>
      <c r="L669" s="142">
        <v>18.857900000000001</v>
      </c>
      <c r="M669" s="145">
        <v>8.5309937551194537E-3</v>
      </c>
      <c r="N669" s="145">
        <v>1.3166395351020761</v>
      </c>
      <c r="O669" s="145">
        <v>1.6553956827678462E-3</v>
      </c>
      <c r="P669" s="145">
        <v>3.6348303019586581E-3</v>
      </c>
      <c r="Q6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-0.39181235921503799</v>
      </c>
      <c r="R6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0.96183243740433078</v>
      </c>
      <c r="S6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-0.39188103809095765</v>
      </c>
      <c r="T6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-1.0235352109226881</v>
      </c>
      <c r="U6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-3.9188447220084299E-4</v>
      </c>
      <c r="V6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5.838754935996171E-4</v>
      </c>
      <c r="W6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-3.9814768260626465E-4</v>
      </c>
      <c r="X6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-1.0226667199724204E-3</v>
      </c>
      <c r="Y669" s="162" t="str">
        <f>ReportSummary___Track[[#This Row],[Track ID]]&amp;"-"&amp;ReportSummary___Track[[#This Row],[Epoch]]</f>
        <v>250-RL-OP-0039-45810.2708333333</v>
      </c>
      <c r="Z669" s="126">
        <f>SUBTOTAL(103,ReportSummary___Track[[#This Row],[Track ID]])</f>
        <v>1</v>
      </c>
      <c r="AA669" s="114">
        <f>_xlfn.NUMBERVALUE(RIGHT(ReportSummary___Track[[#This Row],[Track ID]],4))</f>
        <v>39</v>
      </c>
      <c r="AB669" s="78"/>
    </row>
    <row r="670" spans="5:28" ht="14.25" customHeight="1" x14ac:dyDescent="0.2">
      <c r="E670" s="74">
        <v>45810.270833333336</v>
      </c>
      <c r="F670" s="107" t="s">
        <v>279</v>
      </c>
      <c r="G670" s="142">
        <v>51904.376913937129</v>
      </c>
      <c r="H670" s="142">
        <v>159190.24860641561</v>
      </c>
      <c r="I670" s="142">
        <v>18.866796614517863</v>
      </c>
      <c r="J670" s="142">
        <v>51904.029206423351</v>
      </c>
      <c r="K670" s="142">
        <v>159188.97910302709</v>
      </c>
      <c r="L670" s="142">
        <v>18.857900000000001</v>
      </c>
      <c r="M670" s="145">
        <v>8.896614517862389E-3</v>
      </c>
      <c r="N670" s="145">
        <v>1.3162896787422567</v>
      </c>
      <c r="O670" s="145">
        <v>1.3679912098893965E-3</v>
      </c>
      <c r="P670" s="145">
        <v>3.3339720783480686E-3</v>
      </c>
      <c r="Q6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-0.72419474741636236</v>
      </c>
      <c r="R6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0.95933195261554971</v>
      </c>
      <c r="S6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-0.72432125139698655</v>
      </c>
      <c r="T6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-1.0089737500926788</v>
      </c>
      <c r="U6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-7.2432803531441436E-4</v>
      </c>
      <c r="V6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2.6074899975880861E-4</v>
      </c>
      <c r="W6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-7.3653661654304869E-4</v>
      </c>
      <c r="X6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-1.0072838561150377E-3</v>
      </c>
      <c r="Y670" s="162" t="str">
        <f>ReportSummary___Track[[#This Row],[Track ID]]&amp;"-"&amp;ReportSummary___Track[[#This Row],[Epoch]]</f>
        <v>250-RL-OP-0040-45810.2708333333</v>
      </c>
      <c r="Z670" s="126">
        <f>SUBTOTAL(103,ReportSummary___Track[[#This Row],[Track ID]])</f>
        <v>1</v>
      </c>
      <c r="AA670" s="114">
        <f>_xlfn.NUMBERVALUE(RIGHT(ReportSummary___Track[[#This Row],[Track ID]],4))</f>
        <v>40</v>
      </c>
      <c r="AB670" s="78"/>
    </row>
    <row r="671" spans="5:28" ht="14.25" customHeight="1" x14ac:dyDescent="0.2">
      <c r="E671" s="74">
        <v>45810.270833333336</v>
      </c>
      <c r="F671" s="107" t="s">
        <v>280</v>
      </c>
      <c r="G671" s="142">
        <v>51905.341841341033</v>
      </c>
      <c r="H671" s="142">
        <v>159189.98617916438</v>
      </c>
      <c r="I671" s="142">
        <v>18.86745208135207</v>
      </c>
      <c r="J671" s="142">
        <v>51905.003849068715</v>
      </c>
      <c r="K671" s="142">
        <v>159188.71394465279</v>
      </c>
      <c r="L671" s="142">
        <v>18.858054762778423</v>
      </c>
      <c r="M671" s="145">
        <v>9.3973185736473397E-3</v>
      </c>
      <c r="N671" s="145">
        <v>1.3163995359410019</v>
      </c>
      <c r="O671" s="145">
        <v>1.2319455812708213E-3</v>
      </c>
      <c r="P671" s="145">
        <v>3.17474573692067E-3</v>
      </c>
      <c r="Q6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-0.89040200681722581</v>
      </c>
      <c r="R6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0.95976263925434679</v>
      </c>
      <c r="S6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-0.83097203580706491</v>
      </c>
      <c r="T6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-0.89041286058844094</v>
      </c>
      <c r="U6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-8.9045421112388112E-4</v>
      </c>
      <c r="V6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5.4383760037080009E-5</v>
      </c>
      <c r="W6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-8.310133020366095E-4</v>
      </c>
      <c r="X6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-8.9077205070964283E-4</v>
      </c>
      <c r="Y671" s="162" t="str">
        <f>ReportSummary___Track[[#This Row],[Track ID]]&amp;"-"&amp;ReportSummary___Track[[#This Row],[Epoch]]</f>
        <v>250-RL-OP-0041-45810.2708333333</v>
      </c>
      <c r="Z671" s="126">
        <f>SUBTOTAL(103,ReportSummary___Track[[#This Row],[Track ID]])</f>
        <v>1</v>
      </c>
      <c r="AA671" s="114">
        <f>_xlfn.NUMBERVALUE(RIGHT(ReportSummary___Track[[#This Row],[Track ID]],4))</f>
        <v>41</v>
      </c>
      <c r="AB671" s="78"/>
    </row>
    <row r="672" spans="5:28" ht="14.25" customHeight="1" x14ac:dyDescent="0.2">
      <c r="E672" s="74">
        <v>45810.270833333336</v>
      </c>
      <c r="F672" s="107" t="s">
        <v>281</v>
      </c>
      <c r="G672" s="142">
        <v>51906.308594226037</v>
      </c>
      <c r="H672" s="142">
        <v>159189.73047507741</v>
      </c>
      <c r="I672" s="142">
        <v>18.869520714442967</v>
      </c>
      <c r="J672" s="142">
        <v>51905.970389131391</v>
      </c>
      <c r="K672" s="142">
        <v>159188.45743136352</v>
      </c>
      <c r="L672" s="142">
        <v>18.859168164062019</v>
      </c>
      <c r="M672" s="145">
        <v>1.0352550380947179E-2</v>
      </c>
      <c r="N672" s="145">
        <v>1.3172433939091222</v>
      </c>
      <c r="O672" s="145">
        <v>1.8215566258277249E-3</v>
      </c>
      <c r="P672" s="145">
        <v>3.4769523085955711E-3</v>
      </c>
      <c r="Q6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-0.18062634862303639</v>
      </c>
      <c r="R6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0.9649859839537811</v>
      </c>
      <c r="S6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0.21118601059200159</v>
      </c>
      <c r="T6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-0.18069502749895605</v>
      </c>
      <c r="U6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-1.810541234341656E-4</v>
      </c>
      <c r="V6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4.9875306908786499E-4</v>
      </c>
      <c r="W6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2.1083034876667739E-4</v>
      </c>
      <c r="X6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-1.8731733383958726E-4</v>
      </c>
      <c r="Y672" s="162" t="str">
        <f>ReportSummary___Track[[#This Row],[Track ID]]&amp;"-"&amp;ReportSummary___Track[[#This Row],[Epoch]]</f>
        <v>250-RL-OP-0042-45810.2708333333</v>
      </c>
      <c r="Z672" s="126">
        <f>SUBTOTAL(103,ReportSummary___Track[[#This Row],[Track ID]])</f>
        <v>1</v>
      </c>
      <c r="AA672" s="114">
        <f>_xlfn.NUMBERVALUE(RIGHT(ReportSummary___Track[[#This Row],[Track ID]],4))</f>
        <v>42</v>
      </c>
      <c r="AB672" s="78"/>
    </row>
    <row r="673" spans="5:28" ht="14.25" customHeight="1" x14ac:dyDescent="0.2">
      <c r="E673" s="74">
        <v>45810.270833333336</v>
      </c>
      <c r="F673" s="107" t="s">
        <v>282</v>
      </c>
      <c r="G673" s="142">
        <v>51907.275347111034</v>
      </c>
      <c r="H673" s="142">
        <v>159189.47477099043</v>
      </c>
      <c r="I673" s="142">
        <v>18.87158934753386</v>
      </c>
      <c r="J673" s="142">
        <v>51906.936929194067</v>
      </c>
      <c r="K673" s="142">
        <v>159188.20091807423</v>
      </c>
      <c r="L673" s="142">
        <v>18.86028156534562</v>
      </c>
      <c r="M673" s="145">
        <v>1.1307782188239912E-2</v>
      </c>
      <c r="N673" s="145">
        <v>1.3180879350699544</v>
      </c>
      <c r="O673" s="145">
        <v>2.4111676703775231E-3</v>
      </c>
      <c r="P673" s="145">
        <v>3.7791588802669196E-3</v>
      </c>
      <c r="Q6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0.5291493095640476</v>
      </c>
      <c r="R6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0.97084924432899733</v>
      </c>
      <c r="S6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1.25334405698041</v>
      </c>
      <c r="T6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0.52902280558342341</v>
      </c>
      <c r="U6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5.2834596424489177E-4</v>
      </c>
      <c r="V6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9.4376086095615541E-4</v>
      </c>
      <c r="W6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1.2526739995593061E-3</v>
      </c>
      <c r="X6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5.1613738301625744E-4</v>
      </c>
      <c r="Y673" s="162" t="str">
        <f>ReportSummary___Track[[#This Row],[Track ID]]&amp;"-"&amp;ReportSummary___Track[[#This Row],[Epoch]]</f>
        <v>250-RL-OP-0043-45810.2708333333</v>
      </c>
      <c r="Z673" s="126">
        <f>SUBTOTAL(103,ReportSummary___Track[[#This Row],[Track ID]])</f>
        <v>1</v>
      </c>
      <c r="AA673" s="114">
        <f>_xlfn.NUMBERVALUE(RIGHT(ReportSummary___Track[[#This Row],[Track ID]],4))</f>
        <v>43</v>
      </c>
      <c r="AB673" s="78"/>
    </row>
    <row r="674" spans="5:28" ht="14.25" customHeight="1" x14ac:dyDescent="0.2">
      <c r="E674" s="74">
        <v>45810.270833333336</v>
      </c>
      <c r="F674" s="107" t="s">
        <v>283</v>
      </c>
      <c r="G674" s="142">
        <v>51908.242806888149</v>
      </c>
      <c r="H674" s="142">
        <v>159189.22250144329</v>
      </c>
      <c r="I674" s="142">
        <v>18.873859626742529</v>
      </c>
      <c r="J674" s="142">
        <v>51907.904524094469</v>
      </c>
      <c r="K674" s="142">
        <v>159187.94823138544</v>
      </c>
      <c r="L674" s="142">
        <v>18.861943334659106</v>
      </c>
      <c r="M674" s="145">
        <v>1.1916292083423485E-2</v>
      </c>
      <c r="N674" s="145">
        <v>1.318461765413558</v>
      </c>
      <c r="O674" s="145">
        <v>2.5189735097761456E-3</v>
      </c>
      <c r="P674" s="145">
        <v>3.750919091046967E-3</v>
      </c>
      <c r="Q6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0.88788924707472461</v>
      </c>
      <c r="R6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0.83772361613587698</v>
      </c>
      <c r="S6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1.7782912538919504</v>
      </c>
      <c r="T6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0.94731921808488551</v>
      </c>
      <c r="U6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8.8808974510357075E-4</v>
      </c>
      <c r="V6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9.6988141256382221E-4</v>
      </c>
      <c r="W6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1.7785439562274519E-3</v>
      </c>
      <c r="X6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9.4753065419084237E-4</v>
      </c>
      <c r="Y674" s="162" t="str">
        <f>ReportSummary___Track[[#This Row],[Track ID]]&amp;"-"&amp;ReportSummary___Track[[#This Row],[Epoch]]</f>
        <v>250-RL-OP-0044-45810.2708333333</v>
      </c>
      <c r="Z674" s="126">
        <f>SUBTOTAL(103,ReportSummary___Track[[#This Row],[Track ID]])</f>
        <v>1</v>
      </c>
      <c r="AA674" s="114">
        <f>_xlfn.NUMBERVALUE(RIGHT(ReportSummary___Track[[#This Row],[Track ID]],4))</f>
        <v>44</v>
      </c>
      <c r="AB674" s="78"/>
    </row>
    <row r="675" spans="5:28" ht="14.25" customHeight="1" x14ac:dyDescent="0.2">
      <c r="E675" s="74">
        <v>45810.270833333336</v>
      </c>
      <c r="F675" s="107" t="s">
        <v>284</v>
      </c>
      <c r="G675" s="142">
        <v>51909.212315815959</v>
      </c>
      <c r="H675" s="142">
        <v>159188.97746037151</v>
      </c>
      <c r="I675" s="142">
        <v>18.876563705831948</v>
      </c>
      <c r="J675" s="142">
        <v>51908.873870471209</v>
      </c>
      <c r="K675" s="142">
        <v>159187.70254757887</v>
      </c>
      <c r="L675" s="142">
        <v>18.864602113292445</v>
      </c>
      <c r="M675" s="145">
        <v>1.196159253950313E-2</v>
      </c>
      <c r="N675" s="145">
        <v>1.3191250736405535</v>
      </c>
      <c r="O675" s="145">
        <v>1.6090421585559511E-3</v>
      </c>
      <c r="P675" s="145">
        <v>3.430598784383676E-3</v>
      </c>
      <c r="Q6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0.57190629068415433</v>
      </c>
      <c r="R6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0.4504345245490704</v>
      </c>
      <c r="S6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0.75253263930719072</v>
      </c>
      <c r="T6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0.96371864989919231</v>
      </c>
      <c r="U6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5.7273748399566671E-4</v>
      </c>
      <c r="V6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1.9173776971070922E-4</v>
      </c>
      <c r="W6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7.5379160742983231E-4</v>
      </c>
      <c r="X6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9.646219561965097E-4</v>
      </c>
      <c r="Y675" s="162" t="str">
        <f>ReportSummary___Track[[#This Row],[Track ID]]&amp;"-"&amp;ReportSummary___Track[[#This Row],[Epoch]]</f>
        <v>250-RL-OP-0045-45810.2708333333</v>
      </c>
      <c r="Z675" s="126">
        <f>SUBTOTAL(103,ReportSummary___Track[[#This Row],[Track ID]])</f>
        <v>1</v>
      </c>
      <c r="AA675" s="114">
        <f>_xlfn.NUMBERVALUE(RIGHT(ReportSummary___Track[[#This Row],[Track ID]],4))</f>
        <v>45</v>
      </c>
      <c r="AB675" s="78"/>
    </row>
    <row r="676" spans="5:28" ht="14.25" customHeight="1" x14ac:dyDescent="0.2">
      <c r="E676" s="74">
        <v>45810.270833333336</v>
      </c>
      <c r="F676" s="107" t="s">
        <v>285</v>
      </c>
      <c r="G676" s="142">
        <v>51910.18182474377</v>
      </c>
      <c r="H676" s="142">
        <v>159188.73241929975</v>
      </c>
      <c r="I676" s="142">
        <v>18.879267784921367</v>
      </c>
      <c r="J676" s="142">
        <v>51909.843216847941</v>
      </c>
      <c r="K676" s="142">
        <v>159187.4568637723</v>
      </c>
      <c r="L676" s="142">
        <v>18.867260891925785</v>
      </c>
      <c r="M676" s="145">
        <v>1.2006892995582774E-2</v>
      </c>
      <c r="N676" s="145">
        <v>1.319788383113784</v>
      </c>
      <c r="O676" s="145">
        <v>6.9911080734286202E-4</v>
      </c>
      <c r="P676" s="145">
        <v>3.1102784777203851E-3</v>
      </c>
      <c r="Q6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0.25592333429713676</v>
      </c>
      <c r="R6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6.3052414295938775E-2</v>
      </c>
      <c r="S6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-0.27322597526691084</v>
      </c>
      <c r="T6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0.98011808171349912</v>
      </c>
      <c r="U6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2.5738522288776267E-4</v>
      </c>
      <c r="V6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-5.8649674768118665E-4</v>
      </c>
      <c r="W6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-2.7096074135712911E-4</v>
      </c>
      <c r="X6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9.8171325820217703E-4</v>
      </c>
      <c r="Y676" s="162" t="str">
        <f>ReportSummary___Track[[#This Row],[Track ID]]&amp;"-"&amp;ReportSummary___Track[[#This Row],[Epoch]]</f>
        <v>250-RL-OP-0046-45810.2708333333</v>
      </c>
      <c r="Z676" s="126">
        <f>SUBTOTAL(103,ReportSummary___Track[[#This Row],[Track ID]])</f>
        <v>1</v>
      </c>
      <c r="AA676" s="114">
        <f>_xlfn.NUMBERVALUE(RIGHT(ReportSummary___Track[[#This Row],[Track ID]],4))</f>
        <v>46</v>
      </c>
      <c r="AB676" s="78"/>
    </row>
    <row r="677" spans="5:28" ht="14.25" customHeight="1" x14ac:dyDescent="0.2">
      <c r="E677" s="74">
        <v>45810.270833333336</v>
      </c>
      <c r="F677" s="107" t="s">
        <v>286</v>
      </c>
      <c r="G677" s="142">
        <v>51911.151141496419</v>
      </c>
      <c r="H677" s="142">
        <v>159188.48944319948</v>
      </c>
      <c r="I677" s="142">
        <v>18.882328518492972</v>
      </c>
      <c r="J677" s="142">
        <v>51910.835170760911</v>
      </c>
      <c r="K677" s="142">
        <v>159187.20742803696</v>
      </c>
      <c r="L677" s="142">
        <v>18.870139055249297</v>
      </c>
      <c r="M677" s="145">
        <v>1.2189463243675647E-2</v>
      </c>
      <c r="N677" s="145">
        <v>1.3204351425356384</v>
      </c>
      <c r="O677" s="145">
        <v>2.7317116025216137E-4</v>
      </c>
      <c r="P677" s="145">
        <v>2.792144670028307E-3</v>
      </c>
      <c r="Q6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2.6312924923388437E-3</v>
      </c>
      <c r="R6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-0.16495333543375956</v>
      </c>
      <c r="S6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-0.88525795458238576</v>
      </c>
      <c r="T6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0.89303329930956465</v>
      </c>
      <c r="U6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-7.4220329921104167E-5</v>
      </c>
      <c r="V6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-1.101625846095633E-3</v>
      </c>
      <c r="W6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-9.6231007502467492E-4</v>
      </c>
      <c r="X6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8.1623388120277696E-4</v>
      </c>
      <c r="Y677" s="162" t="str">
        <f>ReportSummary___Track[[#This Row],[Track ID]]&amp;"-"&amp;ReportSummary___Track[[#This Row],[Epoch]]</f>
        <v>250-RL-OP-0047-45810.2708333333</v>
      </c>
      <c r="Z677" s="126">
        <f>SUBTOTAL(103,ReportSummary___Track[[#This Row],[Track ID]])</f>
        <v>1</v>
      </c>
      <c r="AA677" s="114">
        <f>_xlfn.NUMBERVALUE(RIGHT(ReportSummary___Track[[#This Row],[Track ID]],4))</f>
        <v>47</v>
      </c>
      <c r="AB677" s="78"/>
    </row>
    <row r="678" spans="5:28" ht="14.25" customHeight="1" x14ac:dyDescent="0.2">
      <c r="E678" s="74">
        <v>45810.270833333336</v>
      </c>
      <c r="F678" s="107" t="s">
        <v>287</v>
      </c>
      <c r="G678" s="142">
        <v>51912.122875350411</v>
      </c>
      <c r="H678" s="142">
        <v>159188.25340524639</v>
      </c>
      <c r="I678" s="142">
        <v>18.886733255176882</v>
      </c>
      <c r="J678" s="142">
        <v>51911.806635538363</v>
      </c>
      <c r="K678" s="142">
        <v>159186.97026833432</v>
      </c>
      <c r="L678" s="142">
        <v>18.873524557994575</v>
      </c>
      <c r="M678" s="145">
        <v>1.3208697182307105E-2</v>
      </c>
      <c r="N678" s="145">
        <v>1.321598435046758</v>
      </c>
      <c r="O678" s="145">
        <v>1.2471046428039756E-3</v>
      </c>
      <c r="P678" s="145">
        <v>2.8561468013599267E-3</v>
      </c>
      <c r="Q6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2.7301990463968195E-3</v>
      </c>
      <c r="R6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0.17428266661023706</v>
      </c>
      <c r="S6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-0.56917609163775751</v>
      </c>
      <c r="T6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0.18335654766943321</v>
      </c>
      <c r="U6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-4.2627830837105307E-4</v>
      </c>
      <c r="V6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-6.010025922145168E-4</v>
      </c>
      <c r="W6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-9.9901579236671978E-4</v>
      </c>
      <c r="X6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-2.4522418493688747E-4</v>
      </c>
      <c r="Y678" s="162" t="str">
        <f>ReportSummary___Track[[#This Row],[Track ID]]&amp;"-"&amp;ReportSummary___Track[[#This Row],[Epoch]]</f>
        <v>250-RL-OP-0048-45810.2708333333</v>
      </c>
      <c r="Z678" s="126">
        <f>SUBTOTAL(103,ReportSummary___Track[[#This Row],[Track ID]])</f>
        <v>1</v>
      </c>
      <c r="AA678" s="114">
        <f>_xlfn.NUMBERVALUE(RIGHT(ReportSummary___Track[[#This Row],[Track ID]],4))</f>
        <v>48</v>
      </c>
      <c r="AB678" s="78"/>
    </row>
    <row r="679" spans="5:28" ht="14.25" customHeight="1" x14ac:dyDescent="0.2">
      <c r="E679" s="74">
        <v>45810.270833333336</v>
      </c>
      <c r="F679" s="107" t="s">
        <v>288</v>
      </c>
      <c r="G679" s="142">
        <v>51913.094609204403</v>
      </c>
      <c r="H679" s="142">
        <v>159188.0173672933</v>
      </c>
      <c r="I679" s="142">
        <v>18.891137991860795</v>
      </c>
      <c r="J679" s="142">
        <v>51912.778100315809</v>
      </c>
      <c r="K679" s="142">
        <v>159186.73310863168</v>
      </c>
      <c r="L679" s="142">
        <v>18.876910060739853</v>
      </c>
      <c r="M679" s="145">
        <v>1.4227931120942117E-2</v>
      </c>
      <c r="N679" s="145">
        <v>1.322762495885669</v>
      </c>
      <c r="O679" s="145">
        <v>2.2210381253593425E-3</v>
      </c>
      <c r="P679" s="145">
        <v>2.9201489327022045E-3</v>
      </c>
      <c r="Q6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2.8291056075602228E-3</v>
      </c>
      <c r="R6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0.51351353413409129</v>
      </c>
      <c r="S6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-0.25309422868957654</v>
      </c>
      <c r="T6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-0.52632020395648738</v>
      </c>
      <c r="U6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-7.7833628682100198E-4</v>
      </c>
      <c r="V6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-1.0101925787120436E-4</v>
      </c>
      <c r="W6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-1.0357215097087646E-3</v>
      </c>
      <c r="X6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-1.3066822510658938E-3</v>
      </c>
      <c r="Y679" s="162" t="str">
        <f>ReportSummary___Track[[#This Row],[Track ID]]&amp;"-"&amp;ReportSummary___Track[[#This Row],[Epoch]]</f>
        <v>250-RL-OP-0049-45810.2708333333</v>
      </c>
      <c r="Z679" s="126">
        <f>SUBTOTAL(103,ReportSummary___Track[[#This Row],[Track ID]])</f>
        <v>1</v>
      </c>
      <c r="AA679" s="114">
        <f>_xlfn.NUMBERVALUE(RIGHT(ReportSummary___Track[[#This Row],[Track ID]],4))</f>
        <v>49</v>
      </c>
      <c r="AB679" s="78"/>
    </row>
    <row r="680" spans="5:28" ht="14.25" customHeight="1" x14ac:dyDescent="0.2">
      <c r="E680" s="74">
        <v>45807.263888888891</v>
      </c>
      <c r="F680" s="107" t="s">
        <v>235</v>
      </c>
      <c r="G680" s="142">
        <v>51886.101813691566</v>
      </c>
      <c r="H680" s="142">
        <v>159195.44642123292</v>
      </c>
      <c r="I680" s="142">
        <v>18.870056334450997</v>
      </c>
      <c r="J680" s="142">
        <v>51885.743029335979</v>
      </c>
      <c r="K680" s="142">
        <v>159194.18688073062</v>
      </c>
      <c r="L680" s="142">
        <v>18.866068715969192</v>
      </c>
      <c r="M680" s="145">
        <v>3.9876184818048444E-3</v>
      </c>
      <c r="N680" s="145">
        <v>1.3096504846158707</v>
      </c>
      <c r="O680" s="145"/>
      <c r="P680" s="145"/>
      <c r="Q6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-0.28114626418940247</v>
      </c>
      <c r="R6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-0.46769177153893615</v>
      </c>
      <c r="S68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8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5.4739024335503927E-7</v>
      </c>
      <c r="V6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2.2383550038518329E-4</v>
      </c>
      <c r="W68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8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80" s="162" t="str">
        <f>ReportSummary___Track[[#This Row],[Track ID]]&amp;"-"&amp;ReportSummary___Track[[#This Row],[Epoch]]</f>
        <v>250-RL-OP-0021-45807.2638888889</v>
      </c>
      <c r="Z680" s="126">
        <f>SUBTOTAL(103,ReportSummary___Track[[#This Row],[Track ID]])</f>
        <v>1</v>
      </c>
      <c r="AA680" s="114">
        <f>_xlfn.NUMBERVALUE(RIGHT(ReportSummary___Track[[#This Row],[Track ID]],4))</f>
        <v>21</v>
      </c>
      <c r="AB680" s="78"/>
    </row>
    <row r="681" spans="5:28" ht="14.25" customHeight="1" x14ac:dyDescent="0.2">
      <c r="E681" s="74">
        <v>45807.263888888891</v>
      </c>
      <c r="F681" s="107" t="s">
        <v>236</v>
      </c>
      <c r="G681" s="142">
        <v>51887.063368977339</v>
      </c>
      <c r="H681" s="142">
        <v>159195.17180982089</v>
      </c>
      <c r="I681" s="142">
        <v>18.870125558401593</v>
      </c>
      <c r="J681" s="142">
        <v>51886.704122287876</v>
      </c>
      <c r="K681" s="142">
        <v>159193.91065564725</v>
      </c>
      <c r="L681" s="142">
        <v>18.866271499586006</v>
      </c>
      <c r="M681" s="145">
        <v>3.8540588155875355E-3</v>
      </c>
      <c r="N681" s="145">
        <v>1.3113286725112148</v>
      </c>
      <c r="O681" s="145"/>
      <c r="P681" s="145"/>
      <c r="Q6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-0.61906244711096292</v>
      </c>
      <c r="R6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-0.70014058387135591</v>
      </c>
      <c r="S68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8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8.7772560348753359E-6</v>
      </c>
      <c r="V6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-3.4035405048071787E-4</v>
      </c>
      <c r="W68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8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81" s="162" t="str">
        <f>ReportSummary___Track[[#This Row],[Track ID]]&amp;"-"&amp;ReportSummary___Track[[#This Row],[Epoch]]</f>
        <v>250-RL-OP-0022-45807.2638888889</v>
      </c>
      <c r="Z681" s="126">
        <f>SUBTOTAL(103,ReportSummary___Track[[#This Row],[Track ID]])</f>
        <v>1</v>
      </c>
      <c r="AA681" s="114">
        <f>_xlfn.NUMBERVALUE(RIGHT(ReportSummary___Track[[#This Row],[Track ID]],4))</f>
        <v>22</v>
      </c>
      <c r="AB681" s="78"/>
    </row>
    <row r="682" spans="5:28" ht="14.25" customHeight="1" x14ac:dyDescent="0.2">
      <c r="E682" s="74">
        <v>45807.263888888891</v>
      </c>
      <c r="F682" s="107" t="s">
        <v>237</v>
      </c>
      <c r="G682" s="142">
        <v>51888.024924263111</v>
      </c>
      <c r="H682" s="142">
        <v>159194.89719840887</v>
      </c>
      <c r="I682" s="142">
        <v>18.870194782352193</v>
      </c>
      <c r="J682" s="142">
        <v>51887.665215239773</v>
      </c>
      <c r="K682" s="142">
        <v>159193.63443056386</v>
      </c>
      <c r="L682" s="142">
        <v>18.866474283202823</v>
      </c>
      <c r="M682" s="145">
        <v>3.7204991493702266E-3</v>
      </c>
      <c r="N682" s="145">
        <v>1.3130068750661352</v>
      </c>
      <c r="O682" s="145"/>
      <c r="P682" s="145"/>
      <c r="Q6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-0.95697863003252337</v>
      </c>
      <c r="R6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-0.93260454425236894</v>
      </c>
      <c r="S68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68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1.7007121822842919E-5</v>
      </c>
      <c r="V6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-9.045457503729093E-4</v>
      </c>
      <c r="W68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68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82" s="162" t="str">
        <f>ReportSummary___Track[[#This Row],[Track ID]]&amp;"-"&amp;ReportSummary___Track[[#This Row],[Epoch]]</f>
        <v>250-RL-OP-0023-45807.2638888889</v>
      </c>
      <c r="Z682" s="126">
        <f>SUBTOTAL(103,ReportSummary___Track[[#This Row],[Track ID]])</f>
        <v>1</v>
      </c>
      <c r="AA682" s="114">
        <f>_xlfn.NUMBERVALUE(RIGHT(ReportSummary___Track[[#This Row],[Track ID]],4))</f>
        <v>23</v>
      </c>
      <c r="AB682" s="78"/>
    </row>
    <row r="683" spans="5:28" ht="14.25" customHeight="1" x14ac:dyDescent="0.2">
      <c r="E683" s="74">
        <v>45807.263888888891</v>
      </c>
      <c r="F683" s="107" t="s">
        <v>238</v>
      </c>
      <c r="G683" s="142">
        <v>51888.98628832103</v>
      </c>
      <c r="H683" s="142">
        <v>159194.62201573106</v>
      </c>
      <c r="I683" s="142">
        <v>18.869514730242752</v>
      </c>
      <c r="J683" s="142">
        <v>51888.624024107339</v>
      </c>
      <c r="K683" s="142">
        <v>159193.3577967032</v>
      </c>
      <c r="L683" s="142">
        <v>18.86545332152658</v>
      </c>
      <c r="M683" s="145">
        <v>4.0614087161721102E-3</v>
      </c>
      <c r="N683" s="145">
        <v>1.3151051691618987</v>
      </c>
      <c r="O683" s="145">
        <v>7.3790234367265839E-5</v>
      </c>
      <c r="P683" s="145"/>
      <c r="Q6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6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6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-0.41986657871717625</v>
      </c>
      <c r="T68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6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6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-6.4700381230409221E-7</v>
      </c>
      <c r="X68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83" s="162" t="str">
        <f>ReportSummary___Track[[#This Row],[Track ID]]&amp;"-"&amp;ReportSummary___Track[[#This Row],[Epoch]]</f>
        <v>250-RL-OP-0024-45807.2638888889</v>
      </c>
      <c r="Z683" s="126">
        <f>SUBTOTAL(103,ReportSummary___Track[[#This Row],[Track ID]])</f>
        <v>1</v>
      </c>
      <c r="AA683" s="114">
        <f>_xlfn.NUMBERVALUE(RIGHT(ReportSummary___Track[[#This Row],[Track ID]],4))</f>
        <v>24</v>
      </c>
      <c r="AB683" s="78"/>
    </row>
    <row r="684" spans="5:28" ht="14.25" customHeight="1" x14ac:dyDescent="0.2">
      <c r="E684" s="74">
        <v>45807.263888888891</v>
      </c>
      <c r="F684" s="107" t="s">
        <v>239</v>
      </c>
      <c r="G684" s="142">
        <v>51889.947664398285</v>
      </c>
      <c r="H684" s="142">
        <v>159194.34677858101</v>
      </c>
      <c r="I684" s="142">
        <v>18.868773577574299</v>
      </c>
      <c r="J684" s="142">
        <v>51889.58479107709</v>
      </c>
      <c r="K684" s="142">
        <v>159193.08044244221</v>
      </c>
      <c r="L684" s="142">
        <v>18.864251762034648</v>
      </c>
      <c r="M684" s="145">
        <v>4.5218155396504756E-3</v>
      </c>
      <c r="N684" s="145">
        <v>1.3173096486680025</v>
      </c>
      <c r="O684" s="145">
        <v>6.6775672406294007E-4</v>
      </c>
      <c r="P684" s="145"/>
      <c r="Q6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6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6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0.26128325761831661</v>
      </c>
      <c r="T68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6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6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-8.9912233676159303E-6</v>
      </c>
      <c r="X68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84" s="162" t="str">
        <f>ReportSummary___Track[[#This Row],[Track ID]]&amp;"-"&amp;ReportSummary___Track[[#This Row],[Epoch]]</f>
        <v>250-RL-OP-0025-45807.2638888889</v>
      </c>
      <c r="Z684" s="126">
        <f>SUBTOTAL(103,ReportSummary___Track[[#This Row],[Track ID]])</f>
        <v>1</v>
      </c>
      <c r="AA684" s="114">
        <f>_xlfn.NUMBERVALUE(RIGHT(ReportSummary___Track[[#This Row],[Track ID]],4))</f>
        <v>25</v>
      </c>
      <c r="AB684" s="78"/>
    </row>
    <row r="685" spans="5:28" ht="14.25" customHeight="1" x14ac:dyDescent="0.2">
      <c r="E685" s="74">
        <v>45807.263888888891</v>
      </c>
      <c r="F685" s="107" t="s">
        <v>240</v>
      </c>
      <c r="G685" s="142">
        <v>51890.909040475541</v>
      </c>
      <c r="H685" s="142">
        <v>159194.07154143095</v>
      </c>
      <c r="I685" s="142">
        <v>18.868032424905849</v>
      </c>
      <c r="J685" s="142">
        <v>51890.545558046833</v>
      </c>
      <c r="K685" s="142">
        <v>159192.80308818122</v>
      </c>
      <c r="L685" s="142">
        <v>18.86305020254272</v>
      </c>
      <c r="M685" s="145">
        <v>4.9822223631288409E-3</v>
      </c>
      <c r="N685" s="145">
        <v>1.3195142838510057</v>
      </c>
      <c r="O685" s="145">
        <v>1.2617232137586143E-3</v>
      </c>
      <c r="P685" s="145"/>
      <c r="Q6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6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6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0.94243309395380948</v>
      </c>
      <c r="T68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6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6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6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-1.7335442922927768E-5</v>
      </c>
      <c r="X68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685" s="162" t="str">
        <f>ReportSummary___Track[[#This Row],[Track ID]]&amp;"-"&amp;ReportSummary___Track[[#This Row],[Epoch]]</f>
        <v>250-RL-OP-0026-45807.2638888889</v>
      </c>
      <c r="Z685" s="126">
        <f>SUBTOTAL(103,ReportSummary___Track[[#This Row],[Track ID]])</f>
        <v>1</v>
      </c>
      <c r="AA685" s="114">
        <f>_xlfn.NUMBERVALUE(RIGHT(ReportSummary___Track[[#This Row],[Track ID]],4))</f>
        <v>26</v>
      </c>
      <c r="AB685" s="78"/>
    </row>
    <row r="686" spans="5:28" ht="14.25" customHeight="1" x14ac:dyDescent="0.2">
      <c r="E686" s="74">
        <v>45807.263888888891</v>
      </c>
      <c r="F686" s="107" t="s">
        <v>241</v>
      </c>
      <c r="G686" s="142">
        <v>51891.869997674046</v>
      </c>
      <c r="H686" s="142">
        <v>159193.79503821288</v>
      </c>
      <c r="I686" s="142">
        <v>18.865661670375356</v>
      </c>
      <c r="J686" s="142">
        <v>51891.504353461787</v>
      </c>
      <c r="K686" s="142">
        <v>159192.52690810763</v>
      </c>
      <c r="L686" s="142">
        <v>18.861283132921656</v>
      </c>
      <c r="M686" s="145">
        <v>4.3785374537002042E-3</v>
      </c>
      <c r="N686" s="145">
        <v>1.3197987821604347</v>
      </c>
      <c r="O686" s="145">
        <v>3.1712873752809401E-4</v>
      </c>
      <c r="P686" s="145">
        <v>3.9091897189535985E-4</v>
      </c>
      <c r="Q6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6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-0.4021455565670351</v>
      </c>
      <c r="S6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0.37660397507366383</v>
      </c>
      <c r="T6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-4.3262603643512421E-2</v>
      </c>
      <c r="U6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6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-3.1652276603999496E-4</v>
      </c>
      <c r="W6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3.2225710100419747E-7</v>
      </c>
      <c r="X6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-3.2474671129989474E-7</v>
      </c>
      <c r="Y686" s="162" t="str">
        <f>ReportSummary___Track[[#This Row],[Track ID]]&amp;"-"&amp;ReportSummary___Track[[#This Row],[Epoch]]</f>
        <v>250-RL-OP-0027-45807.2638888889</v>
      </c>
      <c r="Z686" s="126">
        <f>SUBTOTAL(103,ReportSummary___Track[[#This Row],[Track ID]])</f>
        <v>1</v>
      </c>
      <c r="AA686" s="114">
        <f>_xlfn.NUMBERVALUE(RIGHT(ReportSummary___Track[[#This Row],[Track ID]],4))</f>
        <v>27</v>
      </c>
      <c r="AB686" s="78"/>
    </row>
    <row r="687" spans="5:28" ht="14.25" customHeight="1" x14ac:dyDescent="0.2">
      <c r="E687" s="74">
        <v>45807.263888888891</v>
      </c>
      <c r="F687" s="107" t="s">
        <v>242</v>
      </c>
      <c r="G687" s="142">
        <v>51892.83098666594</v>
      </c>
      <c r="H687" s="142">
        <v>159193.51846240537</v>
      </c>
      <c r="I687" s="142">
        <v>18.863216230483452</v>
      </c>
      <c r="J687" s="142">
        <v>51892.465288045249</v>
      </c>
      <c r="K687" s="142">
        <v>159192.25013834573</v>
      </c>
      <c r="L687" s="142">
        <v>18.859487246856443</v>
      </c>
      <c r="M687" s="145">
        <v>3.7289836270097965E-3</v>
      </c>
      <c r="N687" s="145">
        <v>1.3199982222530113</v>
      </c>
      <c r="O687" s="145">
        <v>-7.9283191264067909E-4</v>
      </c>
      <c r="P687" s="145">
        <v>-1.2507518857773903E-4</v>
      </c>
      <c r="Q6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6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-0.82255889519977643</v>
      </c>
      <c r="S6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-0.30596949824968078</v>
      </c>
      <c r="T6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-4.4686240631364171E-2</v>
      </c>
      <c r="U6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6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-6.475454728613883E-4</v>
      </c>
      <c r="W6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6.6945287713338075E-7</v>
      </c>
      <c r="X6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-8.3217704904825496E-6</v>
      </c>
      <c r="Y687" s="162" t="str">
        <f>ReportSummary___Track[[#This Row],[Track ID]]&amp;"-"&amp;ReportSummary___Track[[#This Row],[Epoch]]</f>
        <v>250-RL-OP-0028-45807.2638888889</v>
      </c>
      <c r="Z687" s="126">
        <f>SUBTOTAL(103,ReportSummary___Track[[#This Row],[Track ID]])</f>
        <v>1</v>
      </c>
      <c r="AA687" s="114">
        <f>_xlfn.NUMBERVALUE(RIGHT(ReportSummary___Track[[#This Row],[Track ID]],4))</f>
        <v>28</v>
      </c>
      <c r="AB687" s="78"/>
    </row>
    <row r="688" spans="5:28" ht="14.25" customHeight="1" x14ac:dyDescent="0.2">
      <c r="E688" s="74">
        <v>45807.263888888891</v>
      </c>
      <c r="F688" s="107" t="s">
        <v>243</v>
      </c>
      <c r="G688" s="142">
        <v>51893.79183894024</v>
      </c>
      <c r="H688" s="142">
        <v>159193.24190592469</v>
      </c>
      <c r="I688" s="142">
        <v>18.86092641939771</v>
      </c>
      <c r="J688" s="142">
        <v>51893.426692097528</v>
      </c>
      <c r="K688" s="142">
        <v>159191.97323012177</v>
      </c>
      <c r="L688" s="142">
        <v>18.857700906325203</v>
      </c>
      <c r="M688" s="145">
        <v>3.2255130725076242E-3</v>
      </c>
      <c r="N688" s="145">
        <v>1.3201821516675407</v>
      </c>
      <c r="O688" s="145">
        <v>-1.7567092906212167E-3</v>
      </c>
      <c r="P688" s="145">
        <v>-4.9498607686260243E-4</v>
      </c>
      <c r="Q6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-0.98057706748377882</v>
      </c>
      <c r="R6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-1.2164580302218564</v>
      </c>
      <c r="S6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-0.96603153140506492</v>
      </c>
      <c r="T6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-2.359843745125545E-2</v>
      </c>
      <c r="U6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1.8153541780918658E-6</v>
      </c>
      <c r="V6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-9.4234574258567072E-4</v>
      </c>
      <c r="W6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2.1436752781767154E-6</v>
      </c>
      <c r="X6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-1.5191767644751053E-5</v>
      </c>
      <c r="Y688" s="162" t="str">
        <f>ReportSummary___Track[[#This Row],[Track ID]]&amp;"-"&amp;ReportSummary___Track[[#This Row],[Epoch]]</f>
        <v>250-RL-OP-0029-45807.2638888889</v>
      </c>
      <c r="Z688" s="126">
        <f>SUBTOTAL(103,ReportSummary___Track[[#This Row],[Track ID]])</f>
        <v>1</v>
      </c>
      <c r="AA688" s="114">
        <f>_xlfn.NUMBERVALUE(RIGHT(ReportSummary___Track[[#This Row],[Track ID]],4))</f>
        <v>29</v>
      </c>
      <c r="AB688" s="78"/>
    </row>
    <row r="689" spans="5:28" ht="14.25" customHeight="1" x14ac:dyDescent="0.2">
      <c r="E689" s="74">
        <v>45807.263888888891</v>
      </c>
      <c r="F689" s="107" t="s">
        <v>269</v>
      </c>
      <c r="G689" s="142">
        <v>51894.752729646825</v>
      </c>
      <c r="H689" s="142">
        <v>159192.96497849975</v>
      </c>
      <c r="I689" s="142">
        <v>18.861427736242298</v>
      </c>
      <c r="J689" s="142">
        <v>51894.387465215557</v>
      </c>
      <c r="K689" s="142">
        <v>159191.69589460938</v>
      </c>
      <c r="L689" s="142">
        <v>18.857871911080654</v>
      </c>
      <c r="M689" s="145">
        <v>3.5558251616443215E-3</v>
      </c>
      <c r="N689" s="145">
        <v>1.320607689447205</v>
      </c>
      <c r="O689" s="145">
        <v>-8.227122920558827E-4</v>
      </c>
      <c r="P689" s="145">
        <v>-5.0558355452778869E-4</v>
      </c>
      <c r="Q6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-0.30451452929725065</v>
      </c>
      <c r="R6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-0.37742436578636074</v>
      </c>
      <c r="S6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1.9894338535664247E-2</v>
      </c>
      <c r="T6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0.39649831360932808</v>
      </c>
      <c r="U6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3.4391986163484489E-4</v>
      </c>
      <c r="V6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-2.9173548844485531E-4</v>
      </c>
      <c r="W6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3.4369721810278975E-4</v>
      </c>
      <c r="X6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3.4401947520379395E-4</v>
      </c>
      <c r="Y689" s="162" t="str">
        <f>ReportSummary___Track[[#This Row],[Track ID]]&amp;"-"&amp;ReportSummary___Track[[#This Row],[Epoch]]</f>
        <v>250-RL-OP-0030-45807.2638888889</v>
      </c>
      <c r="Z689" s="126">
        <f>SUBTOTAL(103,ReportSummary___Track[[#This Row],[Track ID]])</f>
        <v>1</v>
      </c>
      <c r="AA689" s="114">
        <f>_xlfn.NUMBERVALUE(RIGHT(ReportSummary___Track[[#This Row],[Track ID]],4))</f>
        <v>30</v>
      </c>
      <c r="AB689" s="78"/>
    </row>
    <row r="690" spans="5:28" ht="14.25" customHeight="1" x14ac:dyDescent="0.2">
      <c r="E690" s="74">
        <v>45807.263888888891</v>
      </c>
      <c r="F690" s="107" t="s">
        <v>270</v>
      </c>
      <c r="G690" s="142">
        <v>51895.713620353403</v>
      </c>
      <c r="H690" s="142">
        <v>159192.6880510748</v>
      </c>
      <c r="I690" s="142">
        <v>18.861929053086882</v>
      </c>
      <c r="J690" s="142">
        <v>51895.348238333587</v>
      </c>
      <c r="K690" s="142">
        <v>159191.41855909702</v>
      </c>
      <c r="L690" s="142">
        <v>18.858042915836105</v>
      </c>
      <c r="M690" s="145">
        <v>3.8861372507774661E-3</v>
      </c>
      <c r="N690" s="145">
        <v>1.321033309243353</v>
      </c>
      <c r="O690" s="145">
        <v>1.5715362376766961E-4</v>
      </c>
      <c r="P690" s="145">
        <v>-6.3567828887300948E-4</v>
      </c>
      <c r="Q6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0.37154800888572481</v>
      </c>
      <c r="R6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0.46160145010043507</v>
      </c>
      <c r="S6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1.0352966966280519</v>
      </c>
      <c r="T6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0.72932719837837112</v>
      </c>
      <c r="U6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6.860243690880452E-4</v>
      </c>
      <c r="V6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3.5895671238406202E-4</v>
      </c>
      <c r="W6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6.8556888354365242E-4</v>
      </c>
      <c r="X6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6.862383364207858E-4</v>
      </c>
      <c r="Y690" s="162" t="str">
        <f>ReportSummary___Track[[#This Row],[Track ID]]&amp;"-"&amp;ReportSummary___Track[[#This Row],[Epoch]]</f>
        <v>250-RL-OP-0031-45807.2638888889</v>
      </c>
      <c r="Z690" s="126">
        <f>SUBTOTAL(103,ReportSummary___Track[[#This Row],[Track ID]])</f>
        <v>1</v>
      </c>
      <c r="AA690" s="114">
        <f>_xlfn.NUMBERVALUE(RIGHT(ReportSummary___Track[[#This Row],[Track ID]],4))</f>
        <v>31</v>
      </c>
      <c r="AB690" s="78"/>
    </row>
    <row r="691" spans="5:28" ht="14.25" customHeight="1" x14ac:dyDescent="0.2">
      <c r="E691" s="74">
        <v>45807.263888888891</v>
      </c>
      <c r="F691" s="107" t="s">
        <v>271</v>
      </c>
      <c r="G691" s="142">
        <v>51896.675398681873</v>
      </c>
      <c r="H691" s="142">
        <v>159192.41088265969</v>
      </c>
      <c r="I691" s="142">
        <v>18.862477001539897</v>
      </c>
      <c r="J691" s="142">
        <v>51896.308528737987</v>
      </c>
      <c r="K691" s="142">
        <v>159191.14173461875</v>
      </c>
      <c r="L691" s="142">
        <v>18.85824734462722</v>
      </c>
      <c r="M691" s="145">
        <v>4.2296569126776262E-3</v>
      </c>
      <c r="N691" s="145">
        <v>1.3211162687475024</v>
      </c>
      <c r="O691" s="145">
        <v>1.004143840170002E-3</v>
      </c>
      <c r="P691" s="145">
        <v>-7.525654504512147E-4</v>
      </c>
      <c r="Q6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0.97863914660933915</v>
      </c>
      <c r="R6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1.2082520867053859</v>
      </c>
      <c r="S6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1.959216214093118</v>
      </c>
      <c r="T6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0.99318468268805304</v>
      </c>
      <c r="U6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9.7858112060933422E-4</v>
      </c>
      <c r="V6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9.2367338436827318E-4</v>
      </c>
      <c r="W6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9.7676576643124235E-4</v>
      </c>
      <c r="X6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9.7890944170941907E-4</v>
      </c>
      <c r="Y691" s="162" t="str">
        <f>ReportSummary___Track[[#This Row],[Track ID]]&amp;"-"&amp;ReportSummary___Track[[#This Row],[Epoch]]</f>
        <v>250-RL-OP-0032-45807.2638888889</v>
      </c>
      <c r="Z691" s="126">
        <f>SUBTOTAL(103,ReportSummary___Track[[#This Row],[Track ID]])</f>
        <v>1</v>
      </c>
      <c r="AA691" s="114">
        <f>_xlfn.NUMBERVALUE(RIGHT(ReportSummary___Track[[#This Row],[Track ID]],4))</f>
        <v>32</v>
      </c>
      <c r="AB691" s="78"/>
    </row>
    <row r="692" spans="5:28" ht="14.25" customHeight="1" x14ac:dyDescent="0.2">
      <c r="E692" s="74">
        <v>45807.263888888891</v>
      </c>
      <c r="F692" s="107" t="s">
        <v>272</v>
      </c>
      <c r="G692" s="142">
        <v>51897.636352858688</v>
      </c>
      <c r="H692" s="142">
        <v>159192.13417793906</v>
      </c>
      <c r="I692" s="142">
        <v>18.863729059099267</v>
      </c>
      <c r="J692" s="142">
        <v>51897.270518069447</v>
      </c>
      <c r="K692" s="142">
        <v>159190.86864821697</v>
      </c>
      <c r="L692" s="142">
        <v>18.858833292983896</v>
      </c>
      <c r="M692" s="145">
        <v>4.8957661153714582E-3</v>
      </c>
      <c r="N692" s="145">
        <v>1.317355130191864</v>
      </c>
      <c r="O692" s="145">
        <v>1.3399409537271367E-3</v>
      </c>
      <c r="P692" s="145">
        <v>5.1722866167125403E-4</v>
      </c>
      <c r="Q6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0.63132551391831271</v>
      </c>
      <c r="R6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0.77993682223409522</v>
      </c>
      <c r="S6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0.93584004321556336</v>
      </c>
      <c r="T6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0.9557343817512276</v>
      </c>
      <c r="U6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6.3038490998224006E-4</v>
      </c>
      <c r="V6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3.5150416853735322E-4</v>
      </c>
      <c r="W6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2.8646504834739517E-4</v>
      </c>
      <c r="X6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6.3016226645018492E-4</v>
      </c>
      <c r="Y692" s="162" t="str">
        <f>ReportSummary___Track[[#This Row],[Track ID]]&amp;"-"&amp;ReportSummary___Track[[#This Row],[Epoch]]</f>
        <v>250-RL-OP-0033-45807.2638888889</v>
      </c>
      <c r="Z692" s="126">
        <f>SUBTOTAL(103,ReportSummary___Track[[#This Row],[Track ID]])</f>
        <v>1</v>
      </c>
      <c r="AA692" s="114">
        <f>_xlfn.NUMBERVALUE(RIGHT(ReportSummary___Track[[#This Row],[Track ID]],4))</f>
        <v>33</v>
      </c>
      <c r="AB692" s="78"/>
    </row>
    <row r="693" spans="5:28" ht="14.25" customHeight="1" x14ac:dyDescent="0.2">
      <c r="E693" s="74">
        <v>45807.263888888891</v>
      </c>
      <c r="F693" s="107" t="s">
        <v>273</v>
      </c>
      <c r="G693" s="142">
        <v>51898.597307035503</v>
      </c>
      <c r="H693" s="142">
        <v>159191.85747321844</v>
      </c>
      <c r="I693" s="142">
        <v>18.864981116658633</v>
      </c>
      <c r="J693" s="142">
        <v>51898.232507400899</v>
      </c>
      <c r="K693" s="142">
        <v>159190.59556181522</v>
      </c>
      <c r="L693" s="142">
        <v>18.859419241340568</v>
      </c>
      <c r="M693" s="145">
        <v>5.5618753180652902E-3</v>
      </c>
      <c r="N693" s="145">
        <v>1.3135943427953649</v>
      </c>
      <c r="O693" s="145">
        <v>1.6757380672878242E-3</v>
      </c>
      <c r="P693" s="145">
        <v>1.8328916910554938E-3</v>
      </c>
      <c r="Q6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0.28401188122728627</v>
      </c>
      <c r="R6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0.3511758920196062</v>
      </c>
      <c r="S6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-8.7536127658438545E-2</v>
      </c>
      <c r="T6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0.94776056896961336</v>
      </c>
      <c r="U6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2.8218869935159319E-4</v>
      </c>
      <c r="V6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-2.2111115972500706E-4</v>
      </c>
      <c r="W6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-4.0383566973645202E-4</v>
      </c>
      <c r="X6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2.817332138072004E-4</v>
      </c>
      <c r="Y693" s="162" t="str">
        <f>ReportSummary___Track[[#This Row],[Track ID]]&amp;"-"&amp;ReportSummary___Track[[#This Row],[Epoch]]</f>
        <v>250-RL-OP-0034-45807.2638888889</v>
      </c>
      <c r="Z693" s="126">
        <f>SUBTOTAL(103,ReportSummary___Track[[#This Row],[Track ID]])</f>
        <v>1</v>
      </c>
      <c r="AA693" s="114">
        <f>_xlfn.NUMBERVALUE(RIGHT(ReportSummary___Track[[#This Row],[Track ID]],4))</f>
        <v>34</v>
      </c>
      <c r="AB693" s="78"/>
    </row>
    <row r="694" spans="5:28" ht="14.25" customHeight="1" x14ac:dyDescent="0.2">
      <c r="E694" s="74">
        <v>45807.263888888891</v>
      </c>
      <c r="F694" s="107" t="s">
        <v>274</v>
      </c>
      <c r="G694" s="142">
        <v>51899.557748431522</v>
      </c>
      <c r="H694" s="142">
        <v>159191.58237758733</v>
      </c>
      <c r="I694" s="142">
        <v>18.866</v>
      </c>
      <c r="J694" s="142">
        <v>51899.202476862527</v>
      </c>
      <c r="K694" s="142">
        <v>159190.32063600162</v>
      </c>
      <c r="L694" s="142">
        <v>18.859777465674785</v>
      </c>
      <c r="M694" s="145">
        <v>6.2225343252144683E-3</v>
      </c>
      <c r="N694" s="145">
        <v>1.310819757547883</v>
      </c>
      <c r="O694" s="145">
        <v>1.992877412536842E-3</v>
      </c>
      <c r="P694" s="145">
        <v>2.9970212527068441E-3</v>
      </c>
      <c r="Q6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-2.7657740986342105E-5</v>
      </c>
      <c r="R6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-1.6238650001110244E-2</v>
      </c>
      <c r="S6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-0.97866680435032549</v>
      </c>
      <c r="T6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0.98054940974279248</v>
      </c>
      <c r="U6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2.7932807356023659E-7</v>
      </c>
      <c r="V6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-6.6632035276681378E-4</v>
      </c>
      <c r="W6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-9.7830179253577398E-4</v>
      </c>
      <c r="X6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-1.5360261045316292E-6</v>
      </c>
      <c r="Y694" s="162" t="str">
        <f>ReportSummary___Track[[#This Row],[Track ID]]&amp;"-"&amp;ReportSummary___Track[[#This Row],[Epoch]]</f>
        <v>250-RL-OP-0035-45807.2638888889</v>
      </c>
      <c r="Z694" s="126">
        <f>SUBTOTAL(103,ReportSummary___Track[[#This Row],[Track ID]])</f>
        <v>1</v>
      </c>
      <c r="AA694" s="114">
        <f>_xlfn.NUMBERVALUE(RIGHT(ReportSummary___Track[[#This Row],[Track ID]],4))</f>
        <v>35</v>
      </c>
      <c r="AB694" s="78"/>
    </row>
    <row r="695" spans="5:28" ht="14.25" customHeight="1" x14ac:dyDescent="0.2">
      <c r="E695" s="74">
        <v>45807.263888888891</v>
      </c>
      <c r="F695" s="107" t="s">
        <v>275</v>
      </c>
      <c r="G695" s="142">
        <v>51900.520772886579</v>
      </c>
      <c r="H695" s="142">
        <v>159191.31296359556</v>
      </c>
      <c r="I695" s="142">
        <v>18.866</v>
      </c>
      <c r="J695" s="142">
        <v>51900.165060040614</v>
      </c>
      <c r="K695" s="142">
        <v>159190.04965039479</v>
      </c>
      <c r="L695" s="142">
        <v>18.859124645615051</v>
      </c>
      <c r="M695" s="145">
        <v>6.8753543849489063E-3</v>
      </c>
      <c r="N695" s="145">
        <v>1.3124553868609785</v>
      </c>
      <c r="O695" s="145">
        <v>1.979588269577448E-3</v>
      </c>
      <c r="P695" s="145">
        <v>3.3195292233045848E-3</v>
      </c>
      <c r="Q6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-1.7500852678153933E-4</v>
      </c>
      <c r="R6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-9.8656556746234969E-2</v>
      </c>
      <c r="S6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-0.63150052244509425</v>
      </c>
      <c r="T6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0.30433952077046911</v>
      </c>
      <c r="U6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6.0195230027204616E-6</v>
      </c>
      <c r="V6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-5.3004738274475827E-4</v>
      </c>
      <c r="W6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-6.243653869795196E-4</v>
      </c>
      <c r="X6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-3.3790033863212443E-4</v>
      </c>
      <c r="Y695" s="162" t="str">
        <f>ReportSummary___Track[[#This Row],[Track ID]]&amp;"-"&amp;ReportSummary___Track[[#This Row],[Epoch]]</f>
        <v>250-RL-OP-0036-45807.2638888889</v>
      </c>
      <c r="Z695" s="126">
        <f>SUBTOTAL(103,ReportSummary___Track[[#This Row],[Track ID]])</f>
        <v>1</v>
      </c>
      <c r="AA695" s="114">
        <f>_xlfn.NUMBERVALUE(RIGHT(ReportSummary___Track[[#This Row],[Track ID]],4))</f>
        <v>36</v>
      </c>
      <c r="AB695" s="78"/>
    </row>
    <row r="696" spans="5:28" ht="14.25" customHeight="1" x14ac:dyDescent="0.2">
      <c r="E696" s="74">
        <v>45807.263888888891</v>
      </c>
      <c r="F696" s="107" t="s">
        <v>276</v>
      </c>
      <c r="G696" s="142">
        <v>51901.483797341636</v>
      </c>
      <c r="H696" s="142">
        <v>159191.04354960378</v>
      </c>
      <c r="I696" s="142">
        <v>18.866</v>
      </c>
      <c r="J696" s="142">
        <v>51901.127643218693</v>
      </c>
      <c r="K696" s="142">
        <v>159189.778664788</v>
      </c>
      <c r="L696" s="142">
        <v>18.858471825555313</v>
      </c>
      <c r="M696" s="145">
        <v>7.528174444686897E-3</v>
      </c>
      <c r="N696" s="145">
        <v>1.3140913324046393</v>
      </c>
      <c r="O696" s="145">
        <v>1.9662991266216068E-3</v>
      </c>
      <c r="P696" s="145">
        <v>3.6420371939094309E-3</v>
      </c>
      <c r="Q6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-3.223593054713092E-4</v>
      </c>
      <c r="R6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-0.18107418831814215</v>
      </c>
      <c r="S6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-0.28433424053275758</v>
      </c>
      <c r="T6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-0.37187036819119612</v>
      </c>
      <c r="U6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1.1759717942538828E-5</v>
      </c>
      <c r="V6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-3.9376937824631142E-4</v>
      </c>
      <c r="W6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-2.7042898140905436E-4</v>
      </c>
      <c r="X6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-6.7426465114550638E-4</v>
      </c>
      <c r="Y696" s="162" t="str">
        <f>ReportSummary___Track[[#This Row],[Track ID]]&amp;"-"&amp;ReportSummary___Track[[#This Row],[Epoch]]</f>
        <v>250-RL-OP-0037-45807.2638888889</v>
      </c>
      <c r="Z696" s="126">
        <f>SUBTOTAL(103,ReportSummary___Track[[#This Row],[Track ID]])</f>
        <v>1</v>
      </c>
      <c r="AA696" s="114">
        <f>_xlfn.NUMBERVALUE(RIGHT(ReportSummary___Track[[#This Row],[Track ID]],4))</f>
        <v>37</v>
      </c>
      <c r="AB696" s="78"/>
    </row>
    <row r="697" spans="5:28" ht="14.25" customHeight="1" x14ac:dyDescent="0.2">
      <c r="E697" s="74">
        <v>45807.263888888891</v>
      </c>
      <c r="F697" s="107" t="s">
        <v>277</v>
      </c>
      <c r="G697" s="142">
        <v>51902.446769974056</v>
      </c>
      <c r="H697" s="142">
        <v>159190.77524553274</v>
      </c>
      <c r="I697" s="142">
        <v>18.866065352039769</v>
      </c>
      <c r="J697" s="142">
        <v>51902.099861120325</v>
      </c>
      <c r="K697" s="142">
        <v>159189.50600598883</v>
      </c>
      <c r="L697" s="142">
        <v>18.857900000000001</v>
      </c>
      <c r="M697" s="145">
        <v>8.1653520397679813E-3</v>
      </c>
      <c r="N697" s="145">
        <v>1.3158196858198274</v>
      </c>
      <c r="O697" s="145">
        <v>1.942817714553513E-3</v>
      </c>
      <c r="P697" s="145">
        <v>3.9356951270903551E-3</v>
      </c>
      <c r="Q6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6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-0.20574558005992394</v>
      </c>
      <c r="S6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-5.9423265877711628E-2</v>
      </c>
      <c r="T6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-1.0380900702280371</v>
      </c>
      <c r="U6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6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-2.6307415788640043E-4</v>
      </c>
      <c r="W6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-5.974118976936893E-5</v>
      </c>
      <c r="X6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-1.0380429823051429E-3</v>
      </c>
      <c r="Y697" s="162" t="str">
        <f>ReportSummary___Track[[#This Row],[Track ID]]&amp;"-"&amp;ReportSummary___Track[[#This Row],[Epoch]]</f>
        <v>250-RL-OP-0038-45807.2638888889</v>
      </c>
      <c r="Z697" s="126">
        <f>SUBTOTAL(103,ReportSummary___Track[[#This Row],[Track ID]])</f>
        <v>1</v>
      </c>
      <c r="AA697" s="114">
        <f>_xlfn.NUMBERVALUE(RIGHT(ReportSummary___Track[[#This Row],[Track ID]],4))</f>
        <v>38</v>
      </c>
      <c r="AB697" s="78"/>
    </row>
    <row r="698" spans="5:28" ht="14.25" customHeight="1" x14ac:dyDescent="0.2">
      <c r="E698" s="74">
        <v>45807.263888888891</v>
      </c>
      <c r="F698" s="107" t="s">
        <v>278</v>
      </c>
      <c r="G698" s="142">
        <v>51903.411367144348</v>
      </c>
      <c r="H698" s="142">
        <v>159190.51151808733</v>
      </c>
      <c r="I698" s="142">
        <v>18.866430855617907</v>
      </c>
      <c r="J698" s="142">
        <v>51903.064443484443</v>
      </c>
      <c r="K698" s="142">
        <v>159189.24222414181</v>
      </c>
      <c r="L698" s="142">
        <v>18.857900000000001</v>
      </c>
      <c r="M698" s="145">
        <v>8.5308556179057859E-3</v>
      </c>
      <c r="N698" s="145">
        <v>1.3158783839784487</v>
      </c>
      <c r="O698" s="145">
        <v>1.6555012329568797E-3</v>
      </c>
      <c r="P698" s="145">
        <v>3.6350895025343277E-3</v>
      </c>
      <c r="Q6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-0.39195049642870572</v>
      </c>
      <c r="R6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0.20068131377692922</v>
      </c>
      <c r="S6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-0.39177548790192418</v>
      </c>
      <c r="T6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-1.0232760103470184</v>
      </c>
      <c r="U6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-3.9202260941451073E-4</v>
      </c>
      <c r="V6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-1.7727563002778446E-4</v>
      </c>
      <c r="W6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-3.9804213241723119E-4</v>
      </c>
      <c r="X6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-1.0224075193967508E-3</v>
      </c>
      <c r="Y698" s="162" t="str">
        <f>ReportSummary___Track[[#This Row],[Track ID]]&amp;"-"&amp;ReportSummary___Track[[#This Row],[Epoch]]</f>
        <v>250-RL-OP-0039-45807.2638888889</v>
      </c>
      <c r="Z698" s="126">
        <f>SUBTOTAL(103,ReportSummary___Track[[#This Row],[Track ID]])</f>
        <v>1</v>
      </c>
      <c r="AA698" s="114">
        <f>_xlfn.NUMBERVALUE(RIGHT(ReportSummary___Track[[#This Row],[Track ID]],4))</f>
        <v>39</v>
      </c>
      <c r="AB698" s="78"/>
    </row>
    <row r="699" spans="5:28" ht="14.25" customHeight="1" x14ac:dyDescent="0.2">
      <c r="E699" s="74">
        <v>45807.263888888891</v>
      </c>
      <c r="F699" s="107" t="s">
        <v>279</v>
      </c>
      <c r="G699" s="142">
        <v>51904.37596431464</v>
      </c>
      <c r="H699" s="142">
        <v>159190.24779064191</v>
      </c>
      <c r="I699" s="142">
        <v>18.866796359196041</v>
      </c>
      <c r="J699" s="142">
        <v>51904.029025848562</v>
      </c>
      <c r="K699" s="142">
        <v>159188.97844229479</v>
      </c>
      <c r="L699" s="142">
        <v>18.857900000000001</v>
      </c>
      <c r="M699" s="145">
        <v>8.8963591960400379E-3</v>
      </c>
      <c r="N699" s="145">
        <v>1.3159371834535736</v>
      </c>
      <c r="O699" s="145">
        <v>1.3681847513531409E-3</v>
      </c>
      <c r="P699" s="145">
        <v>3.3344838779747477E-3</v>
      </c>
      <c r="Q6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-0.72445006923871347</v>
      </c>
      <c r="R6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0.60683666393246405</v>
      </c>
      <c r="S6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-0.72412770993324216</v>
      </c>
      <c r="T6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-1.0084619504659997</v>
      </c>
      <c r="U6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-7.2458335713676547E-4</v>
      </c>
      <c r="V6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-9.1746288924277053E-5</v>
      </c>
      <c r="W6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-7.363430750793043E-4</v>
      </c>
      <c r="X6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-1.0067720564883587E-3</v>
      </c>
      <c r="Y699" s="162" t="str">
        <f>ReportSummary___Track[[#This Row],[Track ID]]&amp;"-"&amp;ReportSummary___Track[[#This Row],[Epoch]]</f>
        <v>250-RL-OP-0040-45807.2638888889</v>
      </c>
      <c r="Z699" s="126">
        <f>SUBTOTAL(103,ReportSummary___Track[[#This Row],[Track ID]])</f>
        <v>1</v>
      </c>
      <c r="AA699" s="114">
        <f>_xlfn.NUMBERVALUE(RIGHT(ReportSummary___Track[[#This Row],[Track ID]],4))</f>
        <v>40</v>
      </c>
      <c r="AB699" s="78"/>
    </row>
    <row r="700" spans="5:28" ht="14.25" customHeight="1" x14ac:dyDescent="0.2">
      <c r="E700" s="74">
        <v>45807.263888888891</v>
      </c>
      <c r="F700" s="107" t="s">
        <v>280</v>
      </c>
      <c r="G700" s="142">
        <v>51905.341841341033</v>
      </c>
      <c r="H700" s="142">
        <v>159189.98517916439</v>
      </c>
      <c r="I700" s="142">
        <v>18.86745208135207</v>
      </c>
      <c r="J700" s="142">
        <v>51905.003861376892</v>
      </c>
      <c r="K700" s="142">
        <v>159188.71299131436</v>
      </c>
      <c r="L700" s="142">
        <v>18.858104705007346</v>
      </c>
      <c r="M700" s="145">
        <v>9.3473763447242675E-3</v>
      </c>
      <c r="N700" s="145">
        <v>1.3163509240968239</v>
      </c>
      <c r="O700" s="145">
        <v>1.1820243049562862E-3</v>
      </c>
      <c r="P700" s="145">
        <v>3.1248420195097992E-3</v>
      </c>
      <c r="Q7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-0.94034423574029802</v>
      </c>
      <c r="R7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0.91115079507630981</v>
      </c>
      <c r="S7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-0.88089331212160005</v>
      </c>
      <c r="T7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-0.94031657799931168</v>
      </c>
      <c r="U7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-9.4039644004695333E-4</v>
      </c>
      <c r="V7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5.7719158590430197E-6</v>
      </c>
      <c r="W7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-8.8093457835114464E-4</v>
      </c>
      <c r="X7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-9.4067576812051357E-4</v>
      </c>
      <c r="Y700" s="162" t="str">
        <f>ReportSummary___Track[[#This Row],[Track ID]]&amp;"-"&amp;ReportSummary___Track[[#This Row],[Epoch]]</f>
        <v>250-RL-OP-0041-45807.2638888889</v>
      </c>
      <c r="Z700" s="126">
        <f>SUBTOTAL(103,ReportSummary___Track[[#This Row],[Track ID]])</f>
        <v>1</v>
      </c>
      <c r="AA700" s="114">
        <f>_xlfn.NUMBERVALUE(RIGHT(ReportSummary___Track[[#This Row],[Track ID]],4))</f>
        <v>41</v>
      </c>
      <c r="AB700" s="78"/>
    </row>
    <row r="701" spans="5:28" ht="14.25" customHeight="1" x14ac:dyDescent="0.2">
      <c r="E701" s="74">
        <v>45807.263888888891</v>
      </c>
      <c r="F701" s="107" t="s">
        <v>281</v>
      </c>
      <c r="G701" s="142">
        <v>51906.30859422603</v>
      </c>
      <c r="H701" s="142">
        <v>159189.72947507742</v>
      </c>
      <c r="I701" s="142">
        <v>18.86952071444296</v>
      </c>
      <c r="J701" s="142">
        <v>51905.970489987638</v>
      </c>
      <c r="K701" s="142">
        <v>159188.45681371962</v>
      </c>
      <c r="L701" s="142">
        <v>18.859577402901905</v>
      </c>
      <c r="M701" s="145">
        <v>9.9433115410541006E-3</v>
      </c>
      <c r="N701" s="145">
        <v>1.3168448189118005</v>
      </c>
      <c r="O701" s="145">
        <v>1.4124559231483147E-3</v>
      </c>
      <c r="P701" s="145">
        <v>3.0679571561051944E-3</v>
      </c>
      <c r="Q7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-0.58986518851611436</v>
      </c>
      <c r="R7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0.56641098663212652</v>
      </c>
      <c r="S7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-0.19791469208740864</v>
      </c>
      <c r="T7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-0.58969017998933282</v>
      </c>
      <c r="U7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-5.9029296332724357E-4</v>
      </c>
      <c r="V7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1.0017807176621041E-4</v>
      </c>
      <c r="W7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-1.9827035391273284E-4</v>
      </c>
      <c r="X7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-5.9631248632996403E-4</v>
      </c>
      <c r="Y701" s="162" t="str">
        <f>ReportSummary___Track[[#This Row],[Track ID]]&amp;"-"&amp;ReportSummary___Track[[#This Row],[Epoch]]</f>
        <v>250-RL-OP-0042-45807.2638888889</v>
      </c>
      <c r="Z701" s="126">
        <f>SUBTOTAL(103,ReportSummary___Track[[#This Row],[Track ID]])</f>
        <v>1</v>
      </c>
      <c r="AA701" s="114">
        <f>_xlfn.NUMBERVALUE(RIGHT(ReportSummary___Track[[#This Row],[Track ID]],4))</f>
        <v>42</v>
      </c>
      <c r="AB701" s="78"/>
    </row>
    <row r="702" spans="5:28" ht="14.25" customHeight="1" x14ac:dyDescent="0.2">
      <c r="E702" s="74">
        <v>45807.263888888891</v>
      </c>
      <c r="F702" s="107" t="s">
        <v>282</v>
      </c>
      <c r="G702" s="142">
        <v>51907.275347111034</v>
      </c>
      <c r="H702" s="142">
        <v>159189.47377099041</v>
      </c>
      <c r="I702" s="142">
        <v>18.871589347533849</v>
      </c>
      <c r="J702" s="142">
        <v>51906.937118598384</v>
      </c>
      <c r="K702" s="142">
        <v>159188.20063612488</v>
      </c>
      <c r="L702" s="142">
        <v>18.861050100796465</v>
      </c>
      <c r="M702" s="145">
        <v>1.0539246737383934E-2</v>
      </c>
      <c r="N702" s="145">
        <v>1.3173389800407738</v>
      </c>
      <c r="O702" s="145">
        <v>1.6428875413438959E-3</v>
      </c>
      <c r="P702" s="145">
        <v>3.0110722926970368E-3</v>
      </c>
      <c r="Q7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-0.2393861412919307</v>
      </c>
      <c r="R7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0.22189421514839935</v>
      </c>
      <c r="S7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0.48506392794678277</v>
      </c>
      <c r="T7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-0.23906378198645939</v>
      </c>
      <c r="U7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-2.4018948661108652E-4</v>
      </c>
      <c r="V7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1.9480583177555744E-4</v>
      </c>
      <c r="W7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4.8439387052567895E-4</v>
      </c>
      <c r="X7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-2.5194920455362535E-4</v>
      </c>
      <c r="Y702" s="162" t="str">
        <f>ReportSummary___Track[[#This Row],[Track ID]]&amp;"-"&amp;ReportSummary___Track[[#This Row],[Epoch]]</f>
        <v>250-RL-OP-0043-45807.2638888889</v>
      </c>
      <c r="Z702" s="126">
        <f>SUBTOTAL(103,ReportSummary___Track[[#This Row],[Track ID]])</f>
        <v>1</v>
      </c>
      <c r="AA702" s="114">
        <f>_xlfn.NUMBERVALUE(RIGHT(ReportSummary___Track[[#This Row],[Track ID]],4))</f>
        <v>43</v>
      </c>
      <c r="AB702" s="78"/>
    </row>
    <row r="703" spans="5:28" ht="14.25" customHeight="1" x14ac:dyDescent="0.2">
      <c r="E703" s="74">
        <v>45807.263888888891</v>
      </c>
      <c r="F703" s="107" t="s">
        <v>283</v>
      </c>
      <c r="G703" s="142">
        <v>51908.24283118709</v>
      </c>
      <c r="H703" s="142">
        <v>159189.22159764636</v>
      </c>
      <c r="I703" s="142">
        <v>18.873859694515247</v>
      </c>
      <c r="J703" s="142">
        <v>51907.904497607546</v>
      </c>
      <c r="K703" s="142">
        <v>159187.94812580553</v>
      </c>
      <c r="L703" s="142">
        <v>18.86283096891291</v>
      </c>
      <c r="M703" s="145">
        <v>1.102872560233692E-2</v>
      </c>
      <c r="N703" s="145">
        <v>1.3176956299644773</v>
      </c>
      <c r="O703" s="145">
        <v>1.6813492576126521E-3</v>
      </c>
      <c r="P703" s="145">
        <v>2.8633735625689383E-3</v>
      </c>
      <c r="Q7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3.2276598815883517E-4</v>
      </c>
      <c r="R7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7.1588167055214313E-2</v>
      </c>
      <c r="S7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0.94066700172845685</v>
      </c>
      <c r="T7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5.9773689606856806E-2</v>
      </c>
      <c r="U7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5.2326401700497627E-7</v>
      </c>
      <c r="V7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2.0374596348315954E-4</v>
      </c>
      <c r="W7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9.4091970406395831E-4</v>
      </c>
      <c r="X7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5.9985125712813669E-5</v>
      </c>
      <c r="Y703" s="162" t="str">
        <f>ReportSummary___Track[[#This Row],[Track ID]]&amp;"-"&amp;ReportSummary___Track[[#This Row],[Epoch]]</f>
        <v>250-RL-OP-0044-45807.2638888889</v>
      </c>
      <c r="Z703" s="126">
        <f>SUBTOTAL(103,ReportSummary___Track[[#This Row],[Track ID]])</f>
        <v>1</v>
      </c>
      <c r="AA703" s="114">
        <f>_xlfn.NUMBERVALUE(RIGHT(ReportSummary___Track[[#This Row],[Track ID]],4))</f>
        <v>44</v>
      </c>
      <c r="AB703" s="78"/>
    </row>
    <row r="704" spans="5:28" ht="14.25" customHeight="1" x14ac:dyDescent="0.2">
      <c r="E704" s="74">
        <v>45807.263888888891</v>
      </c>
      <c r="F704" s="107" t="s">
        <v>284</v>
      </c>
      <c r="G704" s="142">
        <v>51909.212416550698</v>
      </c>
      <c r="H704" s="142">
        <v>159188.97685919519</v>
      </c>
      <c r="I704" s="142">
        <v>18.876563986793464</v>
      </c>
      <c r="J704" s="142">
        <v>51908.873769331156</v>
      </c>
      <c r="K704" s="142">
        <v>159187.70214442315</v>
      </c>
      <c r="L704" s="142">
        <v>18.865173045894053</v>
      </c>
      <c r="M704" s="145">
        <v>1.1390940899410396E-2</v>
      </c>
      <c r="N704" s="145">
        <v>1.3189804558392735</v>
      </c>
      <c r="O704" s="145">
        <v>1.4476293583562949E-3</v>
      </c>
      <c r="P704" s="145">
        <v>2.8600852815046096E-3</v>
      </c>
      <c r="Q7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1.2546505914201589E-3</v>
      </c>
      <c r="R7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0.30581672326901455</v>
      </c>
      <c r="S7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0.59111983910753452</v>
      </c>
      <c r="T7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0.39320514702012588</v>
      </c>
      <c r="U7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2.0858439029325382E-6</v>
      </c>
      <c r="V7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4.7119968430653358E-5</v>
      </c>
      <c r="W7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5.9237880723017611E-4</v>
      </c>
      <c r="X7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3.9410845331744326E-4</v>
      </c>
      <c r="Y704" s="162" t="str">
        <f>ReportSummary___Track[[#This Row],[Track ID]]&amp;"-"&amp;ReportSummary___Track[[#This Row],[Epoch]]</f>
        <v>250-RL-OP-0045-45807.2638888889</v>
      </c>
      <c r="Z704" s="126">
        <f>SUBTOTAL(103,ReportSummary___Track[[#This Row],[Track ID]])</f>
        <v>1</v>
      </c>
      <c r="AA704" s="114">
        <f>_xlfn.NUMBERVALUE(RIGHT(ReportSummary___Track[[#This Row],[Track ID]],4))</f>
        <v>45</v>
      </c>
      <c r="AB704" s="78"/>
    </row>
    <row r="705" spans="5:28" ht="14.25" customHeight="1" x14ac:dyDescent="0.2">
      <c r="E705" s="74">
        <v>45807.263888888891</v>
      </c>
      <c r="F705" s="107" t="s">
        <v>285</v>
      </c>
      <c r="G705" s="142">
        <v>51910.182001914305</v>
      </c>
      <c r="H705" s="142">
        <v>159188.73212074401</v>
      </c>
      <c r="I705" s="142">
        <v>18.879268279071681</v>
      </c>
      <c r="J705" s="142">
        <v>51909.843041054766</v>
      </c>
      <c r="K705" s="142">
        <v>159187.45616304077</v>
      </c>
      <c r="L705" s="142">
        <v>18.867515122875201</v>
      </c>
      <c r="M705" s="145">
        <v>1.1753156196480319E-2</v>
      </c>
      <c r="N705" s="145">
        <v>1.3202653753849534</v>
      </c>
      <c r="O705" s="145">
        <v>1.213909459096385E-3</v>
      </c>
      <c r="P705" s="145">
        <v>2.856797000440281E-3</v>
      </c>
      <c r="Q7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2.1865351946814826E-3</v>
      </c>
      <c r="R7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0.54004468546531292</v>
      </c>
      <c r="S7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0.24157267648661218</v>
      </c>
      <c r="T7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0.72663660443339495</v>
      </c>
      <c r="U7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3.6484237853073864E-6</v>
      </c>
      <c r="V7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-1.095044765118125E-4</v>
      </c>
      <c r="W7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2.4383791039639391E-4</v>
      </c>
      <c r="X7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7.2823178092207286E-4</v>
      </c>
      <c r="Y705" s="162" t="str">
        <f>ReportSummary___Track[[#This Row],[Track ID]]&amp;"-"&amp;ReportSummary___Track[[#This Row],[Epoch]]</f>
        <v>250-RL-OP-0046-45807.2638888889</v>
      </c>
      <c r="Z705" s="126">
        <f>SUBTOTAL(103,ReportSummary___Track[[#This Row],[Track ID]])</f>
        <v>1</v>
      </c>
      <c r="AA705" s="114">
        <f>_xlfn.NUMBERVALUE(RIGHT(ReportSummary___Track[[#This Row],[Track ID]],4))</f>
        <v>46</v>
      </c>
      <c r="AB705" s="78"/>
    </row>
    <row r="706" spans="5:28" ht="14.25" customHeight="1" x14ac:dyDescent="0.2">
      <c r="E706" s="74">
        <v>45807.263888888891</v>
      </c>
      <c r="F706" s="107" t="s">
        <v>286</v>
      </c>
      <c r="G706" s="142">
        <v>51911.151124583565</v>
      </c>
      <c r="H706" s="142">
        <v>159188.48937362182</v>
      </c>
      <c r="I706" s="142">
        <v>18.882328441829319</v>
      </c>
      <c r="J706" s="142">
        <v>51910.835188304052</v>
      </c>
      <c r="K706" s="142">
        <v>159187.20649995178</v>
      </c>
      <c r="L706" s="142">
        <v>18.870139116386198</v>
      </c>
      <c r="M706" s="145">
        <v>1.218932544312068E-2</v>
      </c>
      <c r="N706" s="145">
        <v>1.3212604458114392</v>
      </c>
      <c r="O706" s="145">
        <v>1.1605998407837603E-3</v>
      </c>
      <c r="P706" s="145">
        <v>2.8419490983964124E-3</v>
      </c>
      <c r="Q7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2.4934919373720277E-3</v>
      </c>
      <c r="R7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0.660349940367011</v>
      </c>
      <c r="S7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2.1707259492131925E-3</v>
      </c>
      <c r="T7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0.94283772767767005</v>
      </c>
      <c r="U7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-7.4358130476070983E-5</v>
      </c>
      <c r="V7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-2.763225702948624E-4</v>
      </c>
      <c r="W7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-7.4881394493075959E-5</v>
      </c>
      <c r="X7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8.6603830957088235E-4</v>
      </c>
      <c r="Y706" s="162" t="str">
        <f>ReportSummary___Track[[#This Row],[Track ID]]&amp;"-"&amp;ReportSummary___Track[[#This Row],[Epoch]]</f>
        <v>250-RL-OP-0047-45807.2638888889</v>
      </c>
      <c r="Z706" s="126">
        <f>SUBTOTAL(103,ReportSummary___Track[[#This Row],[Track ID]])</f>
        <v>1</v>
      </c>
      <c r="AA706" s="114">
        <f>_xlfn.NUMBERVALUE(RIGHT(ReportSummary___Track[[#This Row],[Track ID]],4))</f>
        <v>47</v>
      </c>
      <c r="AB706" s="78"/>
    </row>
    <row r="707" spans="5:28" ht="14.25" customHeight="1" x14ac:dyDescent="0.2">
      <c r="E707" s="74">
        <v>45807.263888888891</v>
      </c>
      <c r="F707" s="107" t="s">
        <v>287</v>
      </c>
      <c r="G707" s="142">
        <v>51912.122778205805</v>
      </c>
      <c r="H707" s="142">
        <v>159188.25300560394</v>
      </c>
      <c r="I707" s="142">
        <v>18.886732814833675</v>
      </c>
      <c r="J707" s="142">
        <v>51911.806733444027</v>
      </c>
      <c r="K707" s="142">
        <v>159186.96966968034</v>
      </c>
      <c r="L707" s="142">
        <v>18.873524899190585</v>
      </c>
      <c r="M707" s="145">
        <v>1.3207915643089763E-2</v>
      </c>
      <c r="N707" s="145">
        <v>1.3217449955545648</v>
      </c>
      <c r="O707" s="145">
        <v>1.8169747436793671E-3</v>
      </c>
      <c r="P707" s="145">
        <v>3.264604102035662E-3</v>
      </c>
      <c r="Q7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1.9486598290541224E-3</v>
      </c>
      <c r="R7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0.32084317441705146</v>
      </c>
      <c r="S7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6.9400923763396349E-4</v>
      </c>
      <c r="T7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0.59181384834516848</v>
      </c>
      <c r="U7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-4.2705984758839577E-4</v>
      </c>
      <c r="V7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-4.544420844077024E-4</v>
      </c>
      <c r="W7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-4.2914569149132831E-4</v>
      </c>
      <c r="X7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1.632331157388478E-4</v>
      </c>
      <c r="Y707" s="162" t="str">
        <f>ReportSummary___Track[[#This Row],[Track ID]]&amp;"-"&amp;ReportSummary___Track[[#This Row],[Epoch]]</f>
        <v>250-RL-OP-0048-45807.2638888889</v>
      </c>
      <c r="Z707" s="126">
        <f>SUBTOTAL(103,ReportSummary___Track[[#This Row],[Track ID]])</f>
        <v>1</v>
      </c>
      <c r="AA707" s="114">
        <f>_xlfn.NUMBERVALUE(RIGHT(ReportSummary___Track[[#This Row],[Track ID]],4))</f>
        <v>48</v>
      </c>
      <c r="AB707" s="78"/>
    </row>
    <row r="708" spans="5:28" ht="14.25" customHeight="1" x14ac:dyDescent="0.2">
      <c r="E708" s="74">
        <v>45807.263888888891</v>
      </c>
      <c r="F708" s="107" t="s">
        <v>288</v>
      </c>
      <c r="G708" s="142">
        <v>51913.094431828045</v>
      </c>
      <c r="H708" s="142">
        <v>159188.01663758603</v>
      </c>
      <c r="I708" s="142">
        <v>18.89113718783803</v>
      </c>
      <c r="J708" s="142">
        <v>51912.778278584003</v>
      </c>
      <c r="K708" s="142">
        <v>159186.73283940891</v>
      </c>
      <c r="L708" s="142">
        <v>18.876910681994968</v>
      </c>
      <c r="M708" s="145">
        <v>1.4226505843062398E-2</v>
      </c>
      <c r="N708" s="145">
        <v>1.3222303228832655</v>
      </c>
      <c r="O708" s="145">
        <v>2.4733496465820792E-3</v>
      </c>
      <c r="P708" s="145">
        <v>3.6872591056784643E-3</v>
      </c>
      <c r="Q7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1.4038277278416444E-3</v>
      </c>
      <c r="R7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-1.8659468269399682E-2</v>
      </c>
      <c r="S7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-7.8270746683983816E-4</v>
      </c>
      <c r="T7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0.24078996901977234</v>
      </c>
      <c r="U7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-7.7976156470072056E-4</v>
      </c>
      <c r="V7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-6.3319226027469533E-4</v>
      </c>
      <c r="W7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-7.8340998848602794E-4</v>
      </c>
      <c r="X7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-5.3957207808963403E-4</v>
      </c>
      <c r="Y708" s="162" t="str">
        <f>ReportSummary___Track[[#This Row],[Track ID]]&amp;"-"&amp;ReportSummary___Track[[#This Row],[Epoch]]</f>
        <v>250-RL-OP-0049-45807.2638888889</v>
      </c>
      <c r="Z708" s="126">
        <f>SUBTOTAL(103,ReportSummary___Track[[#This Row],[Track ID]])</f>
        <v>1</v>
      </c>
      <c r="AA708" s="114">
        <f>_xlfn.NUMBERVALUE(RIGHT(ReportSummary___Track[[#This Row],[Track ID]],4))</f>
        <v>49</v>
      </c>
      <c r="AB708" s="78"/>
    </row>
    <row r="709" spans="5:28" ht="14.25" customHeight="1" x14ac:dyDescent="0.2">
      <c r="E709" s="74">
        <v>45805.229166666664</v>
      </c>
      <c r="F709" s="107" t="s">
        <v>235</v>
      </c>
      <c r="G709" s="142">
        <v>51886.101888003854</v>
      </c>
      <c r="H709" s="142">
        <v>159195.44568170901</v>
      </c>
      <c r="I709" s="142">
        <v>18.86977464079656</v>
      </c>
      <c r="J709" s="142">
        <v>51885.743029345111</v>
      </c>
      <c r="K709" s="142">
        <v>159194.186880728</v>
      </c>
      <c r="L709" s="142">
        <v>18.86578752268592</v>
      </c>
      <c r="M709" s="145">
        <v>3.9871181106398978E-3</v>
      </c>
      <c r="N709" s="145">
        <v>1.3089596418017535</v>
      </c>
      <c r="O709" s="145"/>
      <c r="P709" s="145"/>
      <c r="Q7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-0.28164663535434897</v>
      </c>
      <c r="R7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-1.1585345856561791</v>
      </c>
      <c r="S70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0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4.7019078408538917E-8</v>
      </c>
      <c r="V7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-4.6700731373205961E-4</v>
      </c>
      <c r="W70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0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09" s="162" t="str">
        <f>ReportSummary___Track[[#This Row],[Track ID]]&amp;"-"&amp;ReportSummary___Track[[#This Row],[Epoch]]</f>
        <v>250-RL-OP-0021-45805.2291666667</v>
      </c>
      <c r="Z709" s="126">
        <f>SUBTOTAL(103,ReportSummary___Track[[#This Row],[Track ID]])</f>
        <v>1</v>
      </c>
      <c r="AA709" s="114">
        <f>_xlfn.NUMBERVALUE(RIGHT(ReportSummary___Track[[#This Row],[Track ID]],4))</f>
        <v>21</v>
      </c>
      <c r="AB709" s="78"/>
    </row>
    <row r="710" spans="5:28" ht="14.25" customHeight="1" x14ac:dyDescent="0.2">
      <c r="E710" s="74">
        <v>45805.229166666664</v>
      </c>
      <c r="F710" s="107" t="s">
        <v>236</v>
      </c>
      <c r="G710" s="142">
        <v>51887.0635346048</v>
      </c>
      <c r="H710" s="142">
        <v>159195.17139037082</v>
      </c>
      <c r="I710" s="142">
        <v>18.869497718698447</v>
      </c>
      <c r="J710" s="142">
        <v>51886.704122307987</v>
      </c>
      <c r="K710" s="142">
        <v>159193.91065564146</v>
      </c>
      <c r="L710" s="142">
        <v>18.865652333606498</v>
      </c>
      <c r="M710" s="145">
        <v>3.845385091949538E-3</v>
      </c>
      <c r="N710" s="145">
        <v>1.3109706495122111</v>
      </c>
      <c r="O710" s="145"/>
      <c r="P710" s="145"/>
      <c r="Q7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-0.62773617074896038</v>
      </c>
      <c r="R7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-1.0581635828750269</v>
      </c>
      <c r="S71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1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1.0353239687788118E-7</v>
      </c>
      <c r="V7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-6.9837704948438883E-4</v>
      </c>
      <c r="W71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1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10" s="162" t="str">
        <f>ReportSummary___Track[[#This Row],[Track ID]]&amp;"-"&amp;ReportSummary___Track[[#This Row],[Epoch]]</f>
        <v>250-RL-OP-0022-45805.2291666667</v>
      </c>
      <c r="Z710" s="126">
        <f>SUBTOTAL(103,ReportSummary___Track[[#This Row],[Track ID]])</f>
        <v>1</v>
      </c>
      <c r="AA710" s="114">
        <f>_xlfn.NUMBERVALUE(RIGHT(ReportSummary___Track[[#This Row],[Track ID]],4))</f>
        <v>22</v>
      </c>
      <c r="AB710" s="78"/>
    </row>
    <row r="711" spans="5:28" ht="14.25" customHeight="1" x14ac:dyDescent="0.2">
      <c r="E711" s="74">
        <v>45805.229166666664</v>
      </c>
      <c r="F711" s="107" t="s">
        <v>237</v>
      </c>
      <c r="G711" s="142">
        <v>51888.025181205747</v>
      </c>
      <c r="H711" s="142">
        <v>159194.89709903265</v>
      </c>
      <c r="I711" s="142">
        <v>18.869220796600338</v>
      </c>
      <c r="J711" s="142">
        <v>51887.665215270863</v>
      </c>
      <c r="K711" s="142">
        <v>159193.63443055493</v>
      </c>
      <c r="L711" s="142">
        <v>18.865517144527075</v>
      </c>
      <c r="M711" s="145">
        <v>3.7036520732627309E-3</v>
      </c>
      <c r="N711" s="145">
        <v>1.3129816738799744</v>
      </c>
      <c r="O711" s="145"/>
      <c r="P711" s="145"/>
      <c r="Q7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-0.97382570614001907</v>
      </c>
      <c r="R7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-0.95780573041315265</v>
      </c>
      <c r="S71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1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1.6004571534722345E-7</v>
      </c>
      <c r="V7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-9.29746936533693E-4</v>
      </c>
      <c r="W71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1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11" s="162" t="str">
        <f>ReportSummary___Track[[#This Row],[Track ID]]&amp;"-"&amp;ReportSummary___Track[[#This Row],[Epoch]]</f>
        <v>250-RL-OP-0023-45805.2291666667</v>
      </c>
      <c r="Z711" s="126">
        <f>SUBTOTAL(103,ReportSummary___Track[[#This Row],[Track ID]])</f>
        <v>1</v>
      </c>
      <c r="AA711" s="114">
        <f>_xlfn.NUMBERVALUE(RIGHT(ReportSummary___Track[[#This Row],[Track ID]],4))</f>
        <v>23</v>
      </c>
      <c r="AB711" s="78"/>
    </row>
    <row r="712" spans="5:28" ht="14.25" customHeight="1" x14ac:dyDescent="0.2">
      <c r="E712" s="74">
        <v>45805.229166666664</v>
      </c>
      <c r="F712" s="107" t="s">
        <v>238</v>
      </c>
      <c r="G712" s="142">
        <v>51888.986288492531</v>
      </c>
      <c r="H712" s="142">
        <v>159194.62201568196</v>
      </c>
      <c r="I712" s="142">
        <v>18.868826216423926</v>
      </c>
      <c r="J712" s="142">
        <v>51888.624024403252</v>
      </c>
      <c r="K712" s="142">
        <v>159193.35779661778</v>
      </c>
      <c r="L712" s="142">
        <v>18.864752372254646</v>
      </c>
      <c r="M712" s="145">
        <v>4.0738441692802496E-3</v>
      </c>
      <c r="N712" s="145">
        <v>1.3151052082700625</v>
      </c>
      <c r="O712" s="145">
        <v>8.6726058640351766E-5</v>
      </c>
      <c r="P712" s="145"/>
      <c r="Q7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-0.6885773897984393</v>
      </c>
      <c r="R7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-0.66422106175334505</v>
      </c>
      <c r="S7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-0.40693075444409033</v>
      </c>
      <c r="T71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1.2335839539190374E-5</v>
      </c>
      <c r="V7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-6.7395249828794412E-4</v>
      </c>
      <c r="W7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1.2288820460781835E-5</v>
      </c>
      <c r="X71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12" s="162" t="str">
        <f>ReportSummary___Track[[#This Row],[Track ID]]&amp;"-"&amp;ReportSummary___Track[[#This Row],[Epoch]]</f>
        <v>250-RL-OP-0024-45805.2291666667</v>
      </c>
      <c r="Z712" s="126">
        <f>SUBTOTAL(103,ReportSummary___Track[[#This Row],[Track ID]])</f>
        <v>1</v>
      </c>
      <c r="AA712" s="114">
        <f>_xlfn.NUMBERVALUE(RIGHT(ReportSummary___Track[[#This Row],[Track ID]],4))</f>
        <v>24</v>
      </c>
      <c r="AB712" s="78"/>
    </row>
    <row r="713" spans="5:28" ht="14.25" customHeight="1" x14ac:dyDescent="0.2">
      <c r="E713" s="74">
        <v>45805.229166666664</v>
      </c>
      <c r="F713" s="107" t="s">
        <v>239</v>
      </c>
      <c r="G713" s="142">
        <v>51889.947664755273</v>
      </c>
      <c r="H713" s="142">
        <v>159194.34677847879</v>
      </c>
      <c r="I713" s="142">
        <v>18.868421951254046</v>
      </c>
      <c r="J713" s="142">
        <v>51889.584791712696</v>
      </c>
      <c r="K713" s="142">
        <v>159193.08044225874</v>
      </c>
      <c r="L713" s="142">
        <v>18.863894115171242</v>
      </c>
      <c r="M713" s="145">
        <v>4.5278360828042707E-3</v>
      </c>
      <c r="N713" s="145">
        <v>1.3173096707118943</v>
      </c>
      <c r="O713" s="145">
        <v>6.8245099085473271E-4</v>
      </c>
      <c r="P713" s="145"/>
      <c r="Q7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-0.35175864633885112</v>
      </c>
      <c r="R7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-0.33931960506916603</v>
      </c>
      <c r="S7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0.27597752441010925</v>
      </c>
      <c r="T71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5.8065758210545937E-6</v>
      </c>
      <c r="V7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-3.4410577075960624E-4</v>
      </c>
      <c r="W7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5.7030434241767125E-6</v>
      </c>
      <c r="X71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13" s="162" t="str">
        <f>ReportSummary___Track[[#This Row],[Track ID]]&amp;"-"&amp;ReportSummary___Track[[#This Row],[Epoch]]</f>
        <v>250-RL-OP-0025-45805.2291666667</v>
      </c>
      <c r="Z713" s="126">
        <f>SUBTOTAL(103,ReportSummary___Track[[#This Row],[Track ID]])</f>
        <v>1</v>
      </c>
      <c r="AA713" s="114">
        <f>_xlfn.NUMBERVALUE(RIGHT(ReportSummary___Track[[#This Row],[Track ID]],4))</f>
        <v>25</v>
      </c>
      <c r="AB713" s="78"/>
    </row>
    <row r="714" spans="5:28" ht="14.25" customHeight="1" x14ac:dyDescent="0.2">
      <c r="E714" s="74">
        <v>45805.229166666664</v>
      </c>
      <c r="F714" s="107" t="s">
        <v>240</v>
      </c>
      <c r="G714" s="142">
        <v>51890.909041018014</v>
      </c>
      <c r="H714" s="142">
        <v>159194.07154127565</v>
      </c>
      <c r="I714" s="142">
        <v>18.868017686084166</v>
      </c>
      <c r="J714" s="142">
        <v>51890.545559022146</v>
      </c>
      <c r="K714" s="142">
        <v>159192.80308789967</v>
      </c>
      <c r="L714" s="142">
        <v>18.863035858087837</v>
      </c>
      <c r="M714" s="145">
        <v>4.9818279963282919E-3</v>
      </c>
      <c r="N714" s="145">
        <v>1.3195142844960253</v>
      </c>
      <c r="O714" s="145">
        <v>1.2781759230655609E-3</v>
      </c>
      <c r="P714" s="145"/>
      <c r="Q7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-1.4939902879262945E-2</v>
      </c>
      <c r="R7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-1.4276053182937787E-2</v>
      </c>
      <c r="S7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0.95888580326075612</v>
      </c>
      <c r="T71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-7.2268790063390043E-7</v>
      </c>
      <c r="V7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-1.4264191376067714E-5</v>
      </c>
      <c r="W7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-8.8273361598112388E-7</v>
      </c>
      <c r="X71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14" s="162" t="str">
        <f>ReportSummary___Track[[#This Row],[Track ID]]&amp;"-"&amp;ReportSummary___Track[[#This Row],[Epoch]]</f>
        <v>250-RL-OP-0026-45805.2291666667</v>
      </c>
      <c r="Z714" s="126">
        <f>SUBTOTAL(103,ReportSummary___Track[[#This Row],[Track ID]])</f>
        <v>1</v>
      </c>
      <c r="AA714" s="114">
        <f>_xlfn.NUMBERVALUE(RIGHT(ReportSummary___Track[[#This Row],[Track ID]],4))</f>
        <v>26</v>
      </c>
      <c r="AB714" s="78"/>
    </row>
    <row r="715" spans="5:28" ht="14.25" customHeight="1" x14ac:dyDescent="0.2">
      <c r="E715" s="74">
        <v>45805.229166666664</v>
      </c>
      <c r="F715" s="107" t="s">
        <v>241</v>
      </c>
      <c r="G715" s="142">
        <v>51891.869997674046</v>
      </c>
      <c r="H715" s="142">
        <v>159193.79503821288</v>
      </c>
      <c r="I715" s="142">
        <v>18.865661670375356</v>
      </c>
      <c r="J715" s="142">
        <v>51891.504267267614</v>
      </c>
      <c r="K715" s="142">
        <v>159192.52660902659</v>
      </c>
      <c r="L715" s="142">
        <v>18.861283294009535</v>
      </c>
      <c r="M715" s="145">
        <v>4.3783763658211683E-3</v>
      </c>
      <c r="N715" s="145">
        <v>1.3201100336646869</v>
      </c>
      <c r="O715" s="145">
        <v>3.0453219654091868E-4</v>
      </c>
      <c r="P715" s="145">
        <v>3.9125825518127044E-4</v>
      </c>
      <c r="Q7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7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7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0.3640074340864885</v>
      </c>
      <c r="T7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-4.2923320357601824E-2</v>
      </c>
      <c r="U7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7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7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-1.2274283886171133E-5</v>
      </c>
      <c r="X7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1.4536574610701791E-8</v>
      </c>
      <c r="Y715" s="162" t="str">
        <f>ReportSummary___Track[[#This Row],[Track ID]]&amp;"-"&amp;ReportSummary___Track[[#This Row],[Epoch]]</f>
        <v>250-RL-OP-0027-45805.2291666667</v>
      </c>
      <c r="Z715" s="126">
        <f>SUBTOTAL(103,ReportSummary___Track[[#This Row],[Track ID]])</f>
        <v>1</v>
      </c>
      <c r="AA715" s="114">
        <f>_xlfn.NUMBERVALUE(RIGHT(ReportSummary___Track[[#This Row],[Track ID]],4))</f>
        <v>27</v>
      </c>
      <c r="AB715" s="78"/>
    </row>
    <row r="716" spans="5:28" ht="14.25" customHeight="1" x14ac:dyDescent="0.2">
      <c r="E716" s="74">
        <v>45805.229166666664</v>
      </c>
      <c r="F716" s="107" t="s">
        <v>242</v>
      </c>
      <c r="G716" s="142">
        <v>51892.83098666594</v>
      </c>
      <c r="H716" s="142">
        <v>159193.51846240537</v>
      </c>
      <c r="I716" s="142">
        <v>18.863216230483452</v>
      </c>
      <c r="J716" s="142">
        <v>51892.465111689802</v>
      </c>
      <c r="K716" s="142">
        <v>159192.24952641845</v>
      </c>
      <c r="L716" s="142">
        <v>18.859487576446288</v>
      </c>
      <c r="M716" s="145">
        <v>3.7286540371646026E-3</v>
      </c>
      <c r="N716" s="145">
        <v>1.3206350517469128</v>
      </c>
      <c r="O716" s="145">
        <v>-7.991820456396681E-4</v>
      </c>
      <c r="P716" s="145">
        <v>-1.167310547849354E-4</v>
      </c>
      <c r="Q7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7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7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-0.31231963124866979</v>
      </c>
      <c r="T7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-3.6342106838560539E-2</v>
      </c>
      <c r="U7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7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7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-5.6806801218556302E-6</v>
      </c>
      <c r="X7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2.2363302321082301E-8</v>
      </c>
      <c r="Y716" s="162" t="str">
        <f>ReportSummary___Track[[#This Row],[Track ID]]&amp;"-"&amp;ReportSummary___Track[[#This Row],[Epoch]]</f>
        <v>250-RL-OP-0028-45805.2291666667</v>
      </c>
      <c r="Z716" s="126">
        <f>SUBTOTAL(103,ReportSummary___Track[[#This Row],[Track ID]])</f>
        <v>1</v>
      </c>
      <c r="AA716" s="114">
        <f>_xlfn.NUMBERVALUE(RIGHT(ReportSummary___Track[[#This Row],[Track ID]],4))</f>
        <v>28</v>
      </c>
      <c r="AB716" s="78"/>
    </row>
    <row r="717" spans="5:28" ht="14.25" customHeight="1" x14ac:dyDescent="0.2">
      <c r="E717" s="74">
        <v>45805.229166666664</v>
      </c>
      <c r="F717" s="107" t="s">
        <v>243</v>
      </c>
      <c r="G717" s="142">
        <v>51893.791838945894</v>
      </c>
      <c r="H717" s="142">
        <v>159193.24190592306</v>
      </c>
      <c r="I717" s="142">
        <v>18.860908806466888</v>
      </c>
      <c r="J717" s="142">
        <v>51893.426692580288</v>
      </c>
      <c r="K717" s="142">
        <v>159191.97223179525</v>
      </c>
      <c r="L717" s="142">
        <v>18.857700906411129</v>
      </c>
      <c r="M717" s="145">
        <v>3.2079000557594384E-3</v>
      </c>
      <c r="N717" s="145">
        <v>1.3211413814409048</v>
      </c>
      <c r="O717" s="145">
        <v>-1.7739279405688535E-3</v>
      </c>
      <c r="P717" s="145">
        <v>-4.9575201750329256E-4</v>
      </c>
      <c r="Q7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-0.99819008423196465</v>
      </c>
      <c r="R7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-0.25722825685781103</v>
      </c>
      <c r="S7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-0.9832501813527017</v>
      </c>
      <c r="T7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-2.4364378091945582E-2</v>
      </c>
      <c r="U7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-1.5797662570093962E-5</v>
      </c>
      <c r="V7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1.6884030778374637E-5</v>
      </c>
      <c r="W7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-1.5074974669460062E-5</v>
      </c>
      <c r="X7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-1.5957708285441186E-5</v>
      </c>
      <c r="Y717" s="162" t="str">
        <f>ReportSummary___Track[[#This Row],[Track ID]]&amp;"-"&amp;ReportSummary___Track[[#This Row],[Epoch]]</f>
        <v>250-RL-OP-0029-45805.2291666667</v>
      </c>
      <c r="Z717" s="126">
        <f>SUBTOTAL(103,ReportSummary___Track[[#This Row],[Track ID]])</f>
        <v>1</v>
      </c>
      <c r="AA717" s="114">
        <f>_xlfn.NUMBERVALUE(RIGHT(ReportSummary___Track[[#This Row],[Track ID]],4))</f>
        <v>29</v>
      </c>
      <c r="AB717" s="78"/>
    </row>
    <row r="718" spans="5:28" ht="14.25" customHeight="1" x14ac:dyDescent="0.2">
      <c r="E718" s="74">
        <v>45805.229166666664</v>
      </c>
      <c r="F718" s="107" t="s">
        <v>269</v>
      </c>
      <c r="G718" s="142">
        <v>51894.752729759806</v>
      </c>
      <c r="H718" s="142">
        <v>159192.96497846718</v>
      </c>
      <c r="I718" s="142">
        <v>18.861075912100414</v>
      </c>
      <c r="J718" s="142">
        <v>51894.387556785739</v>
      </c>
      <c r="K718" s="142">
        <v>159191.69521203163</v>
      </c>
      <c r="L718" s="142">
        <v>18.85787192737892</v>
      </c>
      <c r="M718" s="145">
        <v>3.2039847214946349E-3</v>
      </c>
      <c r="N718" s="145">
        <v>1.3212374379190002</v>
      </c>
      <c r="O718" s="145">
        <v>-1.1743916443265334E-3</v>
      </c>
      <c r="P718" s="145">
        <v>-8.6985944778561475E-4</v>
      </c>
      <c r="Q7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-0.65635496944693728</v>
      </c>
      <c r="R7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0.25232410600883881</v>
      </c>
      <c r="S7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-0.33178501373498648</v>
      </c>
      <c r="T7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3.2222420351502024E-2</v>
      </c>
      <c r="U7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-7.9205785148417363E-6</v>
      </c>
      <c r="V7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3.3801298335034424E-4</v>
      </c>
      <c r="W7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-7.982134167860977E-6</v>
      </c>
      <c r="X7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-2.025641805403211E-5</v>
      </c>
      <c r="Y718" s="162" t="str">
        <f>ReportSummary___Track[[#This Row],[Track ID]]&amp;"-"&amp;ReportSummary___Track[[#This Row],[Epoch]]</f>
        <v>250-RL-OP-0030-45805.2291666667</v>
      </c>
      <c r="Z718" s="126">
        <f>SUBTOTAL(103,ReportSummary___Track[[#This Row],[Track ID]])</f>
        <v>1</v>
      </c>
      <c r="AA718" s="114">
        <f>_xlfn.NUMBERVALUE(RIGHT(ReportSummary___Track[[#This Row],[Track ID]],4))</f>
        <v>30</v>
      </c>
      <c r="AB718" s="78"/>
    </row>
    <row r="719" spans="5:28" ht="14.25" customHeight="1" x14ac:dyDescent="0.2">
      <c r="E719" s="74">
        <v>45805.229166666664</v>
      </c>
      <c r="F719" s="107" t="s">
        <v>270</v>
      </c>
      <c r="G719" s="142">
        <v>51895.713620573719</v>
      </c>
      <c r="H719" s="142">
        <v>159192.68805101133</v>
      </c>
      <c r="I719" s="142">
        <v>18.861243017733944</v>
      </c>
      <c r="J719" s="142">
        <v>51895.348420991184</v>
      </c>
      <c r="K719" s="142">
        <v>159191.418192268</v>
      </c>
      <c r="L719" s="142">
        <v>18.858042948346714</v>
      </c>
      <c r="M719" s="145">
        <v>3.2000693872298314E-3</v>
      </c>
      <c r="N719" s="145">
        <v>1.3213334944401038</v>
      </c>
      <c r="O719" s="145">
        <v>-5.2858464993477128E-4</v>
      </c>
      <c r="P719" s="145">
        <v>-1.3277666955744394E-3</v>
      </c>
      <c r="Q7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-0.3145198546619099</v>
      </c>
      <c r="R7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0.76178664685122577</v>
      </c>
      <c r="S7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0.34955842292561101</v>
      </c>
      <c r="T7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3.7238791676941219E-2</v>
      </c>
      <c r="U7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-4.349445958951037E-8</v>
      </c>
      <c r="V7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6.5914190913485271E-4</v>
      </c>
      <c r="W7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-1.6939015878847385E-7</v>
      </c>
      <c r="X7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-5.8500702806441041E-6</v>
      </c>
      <c r="Y719" s="162" t="str">
        <f>ReportSummary___Track[[#This Row],[Track ID]]&amp;"-"&amp;ReportSummary___Track[[#This Row],[Epoch]]</f>
        <v>250-RL-OP-0031-45805.2291666667</v>
      </c>
      <c r="Z719" s="126">
        <f>SUBTOTAL(103,ReportSummary___Track[[#This Row],[Track ID]])</f>
        <v>1</v>
      </c>
      <c r="AA719" s="114">
        <f>_xlfn.NUMBERVALUE(RIGHT(ReportSummary___Track[[#This Row],[Track ID]],4))</f>
        <v>31</v>
      </c>
      <c r="AB719" s="78"/>
    </row>
    <row r="720" spans="5:28" ht="14.25" customHeight="1" x14ac:dyDescent="0.2">
      <c r="E720" s="74">
        <v>45805.229166666664</v>
      </c>
      <c r="F720" s="107" t="s">
        <v>271</v>
      </c>
      <c r="G720" s="142">
        <v>51896.675398652565</v>
      </c>
      <c r="H720" s="142">
        <v>159192.41088266813</v>
      </c>
      <c r="I720" s="142">
        <v>18.861498390807743</v>
      </c>
      <c r="J720" s="142">
        <v>51896.308528737987</v>
      </c>
      <c r="K720" s="142">
        <v>159191.14173461875</v>
      </c>
      <c r="L720" s="142">
        <v>18.85824734462722</v>
      </c>
      <c r="M720" s="145">
        <v>3.2510461805230761E-3</v>
      </c>
      <c r="N720" s="145">
        <v>1.3211134980660706</v>
      </c>
      <c r="O720" s="145">
        <v>4.3146124763637772E-5</v>
      </c>
      <c r="P720" s="145">
        <v>-1.7307818158052157E-3</v>
      </c>
      <c r="Q7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2.8414454789071897E-5</v>
      </c>
      <c r="R7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1.2054814052735452</v>
      </c>
      <c r="S7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0.99821849868675372</v>
      </c>
      <c r="T7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1.4968317334052017E-2</v>
      </c>
      <c r="U7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-2.9611545215857404E-8</v>
      </c>
      <c r="V7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9.209027029364325E-4</v>
      </c>
      <c r="W7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1.5768051024878105E-5</v>
      </c>
      <c r="X7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6.9307635541804302E-7</v>
      </c>
      <c r="Y720" s="162" t="str">
        <f>ReportSummary___Track[[#This Row],[Track ID]]&amp;"-"&amp;ReportSummary___Track[[#This Row],[Epoch]]</f>
        <v>250-RL-OP-0032-45805.2291666667</v>
      </c>
      <c r="Z720" s="126">
        <f>SUBTOTAL(103,ReportSummary___Track[[#This Row],[Track ID]])</f>
        <v>1</v>
      </c>
      <c r="AA720" s="114">
        <f>_xlfn.NUMBERVALUE(RIGHT(ReportSummary___Track[[#This Row],[Track ID]],4))</f>
        <v>32</v>
      </c>
      <c r="AB720" s="78"/>
    </row>
    <row r="721" spans="5:28" ht="14.25" customHeight="1" x14ac:dyDescent="0.2">
      <c r="E721" s="74">
        <v>45805.229166666664</v>
      </c>
      <c r="F721" s="107" t="s">
        <v>272</v>
      </c>
      <c r="G721" s="142">
        <v>51897.636352352805</v>
      </c>
      <c r="H721" s="142">
        <v>159192.13417808473</v>
      </c>
      <c r="I721" s="142">
        <v>18.863098241340175</v>
      </c>
      <c r="J721" s="142">
        <v>51897.270518069447</v>
      </c>
      <c r="K721" s="142">
        <v>159190.86864821697</v>
      </c>
      <c r="L721" s="142">
        <v>18.858833292983896</v>
      </c>
      <c r="M721" s="145">
        <v>4.2649483562797741E-3</v>
      </c>
      <c r="N721" s="145">
        <v>1.3173529363267182</v>
      </c>
      <c r="O721" s="145">
        <v>1.0609636347851392E-3</v>
      </c>
      <c r="P721" s="145">
        <v>-1.134280095413942E-4</v>
      </c>
      <c r="Q7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5.077548266285703E-4</v>
      </c>
      <c r="R7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0.77774295708832319</v>
      </c>
      <c r="S7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0.65686272427356585</v>
      </c>
      <c r="T7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0.32507771053857937</v>
      </c>
      <c r="U7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-4.3284910944407784E-7</v>
      </c>
      <c r="V7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3.493103033915812E-4</v>
      </c>
      <c r="W7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7.4877294053976584E-6</v>
      </c>
      <c r="X7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-4.9440476246331855E-7</v>
      </c>
      <c r="Y721" s="162" t="str">
        <f>ReportSummary___Track[[#This Row],[Track ID]]&amp;"-"&amp;ReportSummary___Track[[#This Row],[Epoch]]</f>
        <v>250-RL-OP-0033-45805.2291666667</v>
      </c>
      <c r="Z721" s="126">
        <f>SUBTOTAL(103,ReportSummary___Track[[#This Row],[Track ID]])</f>
        <v>1</v>
      </c>
      <c r="AA721" s="114">
        <f>_xlfn.NUMBERVALUE(RIGHT(ReportSummary___Track[[#This Row],[Track ID]],4))</f>
        <v>33</v>
      </c>
      <c r="AB721" s="78"/>
    </row>
    <row r="722" spans="5:28" ht="14.25" customHeight="1" x14ac:dyDescent="0.2">
      <c r="E722" s="74">
        <v>45805.229166666664</v>
      </c>
      <c r="F722" s="107" t="s">
        <v>273</v>
      </c>
      <c r="G722" s="142">
        <v>51898.597306053045</v>
      </c>
      <c r="H722" s="142">
        <v>159191.85747350132</v>
      </c>
      <c r="I722" s="142">
        <v>18.864698091872608</v>
      </c>
      <c r="J722" s="142">
        <v>51898.232507400899</v>
      </c>
      <c r="K722" s="142">
        <v>159190.59556181522</v>
      </c>
      <c r="L722" s="142">
        <v>18.859419241340568</v>
      </c>
      <c r="M722" s="145">
        <v>5.2788505320400247E-3</v>
      </c>
      <c r="N722" s="145">
        <v>1.3135931738527613</v>
      </c>
      <c r="O722" s="145">
        <v>2.0787811448101934E-3</v>
      </c>
      <c r="P722" s="145">
        <v>1.5501964948754221E-3</v>
      </c>
      <c r="Q7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9.8709520202078238E-4</v>
      </c>
      <c r="R7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0.35000694941600408</v>
      </c>
      <c r="S7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0.31550694986393069</v>
      </c>
      <c r="T7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0.6650653727895417</v>
      </c>
      <c r="U7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-8.3608667367229828E-7</v>
      </c>
      <c r="V7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-2.2228010232860917E-4</v>
      </c>
      <c r="W7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-7.925922140827879E-7</v>
      </c>
      <c r="X7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-9.6198237287126176E-7</v>
      </c>
      <c r="Y722" s="162" t="str">
        <f>ReportSummary___Track[[#This Row],[Track ID]]&amp;"-"&amp;ReportSummary___Track[[#This Row],[Epoch]]</f>
        <v>250-RL-OP-0034-45805.2291666667</v>
      </c>
      <c r="Z722" s="126">
        <f>SUBTOTAL(103,ReportSummary___Track[[#This Row],[Track ID]])</f>
        <v>1</v>
      </c>
      <c r="AA722" s="114">
        <f>_xlfn.NUMBERVALUE(RIGHT(ReportSummary___Track[[#This Row],[Track ID]],4))</f>
        <v>34</v>
      </c>
      <c r="AB722" s="78"/>
    </row>
    <row r="723" spans="5:28" ht="14.25" customHeight="1" x14ac:dyDescent="0.2">
      <c r="E723" s="74">
        <v>45805.229166666664</v>
      </c>
      <c r="F723" s="107" t="s">
        <v>274</v>
      </c>
      <c r="G723" s="142">
        <v>51899.557748431522</v>
      </c>
      <c r="H723" s="142">
        <v>159191.58237758733</v>
      </c>
      <c r="I723" s="142">
        <v>18.866</v>
      </c>
      <c r="J723" s="142">
        <v>51899.202476862527</v>
      </c>
      <c r="K723" s="142">
        <v>159190.32063600162</v>
      </c>
      <c r="L723" s="142">
        <v>18.859777465674785</v>
      </c>
      <c r="M723" s="145">
        <v>6.2225343252144683E-3</v>
      </c>
      <c r="N723" s="145">
        <v>1.310819757547883</v>
      </c>
      <c r="O723" s="145">
        <v>2.9714881446913921E-3</v>
      </c>
      <c r="P723" s="145">
        <v>3.0146342694550299E-3</v>
      </c>
      <c r="Q7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-2.7657740986342105E-5</v>
      </c>
      <c r="R7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-1.6238650001110244E-2</v>
      </c>
      <c r="S7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-5.6072195775414002E-5</v>
      </c>
      <c r="T7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0.99816242649097831</v>
      </c>
      <c r="U7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2.7932807356023659E-7</v>
      </c>
      <c r="V7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-6.6632035276681378E-4</v>
      </c>
      <c r="W7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3.0893961877609399E-7</v>
      </c>
      <c r="X7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1.6076990643654199E-5</v>
      </c>
      <c r="Y723" s="162" t="str">
        <f>ReportSummary___Track[[#This Row],[Track ID]]&amp;"-"&amp;ReportSummary___Track[[#This Row],[Epoch]]</f>
        <v>250-RL-OP-0035-45805.2291666667</v>
      </c>
      <c r="Z723" s="126">
        <f>SUBTOTAL(103,ReportSummary___Track[[#This Row],[Track ID]])</f>
        <v>1</v>
      </c>
      <c r="AA723" s="114">
        <f>_xlfn.NUMBERVALUE(RIGHT(ReportSummary___Track[[#This Row],[Track ID]],4))</f>
        <v>35</v>
      </c>
      <c r="AB723" s="78"/>
    </row>
    <row r="724" spans="5:28" ht="14.25" customHeight="1" x14ac:dyDescent="0.2">
      <c r="E724" s="74">
        <v>45805.229166666664</v>
      </c>
      <c r="F724" s="107" t="s">
        <v>275</v>
      </c>
      <c r="G724" s="142">
        <v>51900.520772886579</v>
      </c>
      <c r="H724" s="142">
        <v>159191.31296359556</v>
      </c>
      <c r="I724" s="142">
        <v>18.866</v>
      </c>
      <c r="J724" s="142">
        <v>51900.165060040614</v>
      </c>
      <c r="K724" s="142">
        <v>159190.04965039479</v>
      </c>
      <c r="L724" s="142">
        <v>18.859124645615051</v>
      </c>
      <c r="M724" s="145">
        <v>6.8753543849489063E-3</v>
      </c>
      <c r="N724" s="145">
        <v>1.3124553868609785</v>
      </c>
      <c r="O724" s="145">
        <v>2.6104060286691322E-3</v>
      </c>
      <c r="P724" s="145">
        <v>3.6713696634542714E-3</v>
      </c>
      <c r="Q7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-1.7500852678153933E-4</v>
      </c>
      <c r="R7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-9.8656556746234969E-2</v>
      </c>
      <c r="S7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-6.8276335341010963E-4</v>
      </c>
      <c r="T7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0.65617996092015574</v>
      </c>
      <c r="U7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6.0195230027204616E-6</v>
      </c>
      <c r="V7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-5.3004738274475827E-4</v>
      </c>
      <c r="W7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6.4523721121645394E-6</v>
      </c>
      <c r="X7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1.3940101517562198E-5</v>
      </c>
      <c r="Y724" s="162" t="str">
        <f>ReportSummary___Track[[#This Row],[Track ID]]&amp;"-"&amp;ReportSummary___Track[[#This Row],[Epoch]]</f>
        <v>250-RL-OP-0036-45805.2291666667</v>
      </c>
      <c r="Z724" s="126">
        <f>SUBTOTAL(103,ReportSummary___Track[[#This Row],[Track ID]])</f>
        <v>1</v>
      </c>
      <c r="AA724" s="114">
        <f>_xlfn.NUMBERVALUE(RIGHT(ReportSummary___Track[[#This Row],[Track ID]],4))</f>
        <v>36</v>
      </c>
      <c r="AB724" s="78"/>
    </row>
    <row r="725" spans="5:28" ht="14.25" customHeight="1" x14ac:dyDescent="0.2">
      <c r="E725" s="74">
        <v>45805.229166666664</v>
      </c>
      <c r="F725" s="107" t="s">
        <v>276</v>
      </c>
      <c r="G725" s="142">
        <v>51901.483797341636</v>
      </c>
      <c r="H725" s="142">
        <v>159191.04354960378</v>
      </c>
      <c r="I725" s="142">
        <v>18.866</v>
      </c>
      <c r="J725" s="142">
        <v>51901.127643218693</v>
      </c>
      <c r="K725" s="142">
        <v>159189.778664788</v>
      </c>
      <c r="L725" s="142">
        <v>18.858471825555313</v>
      </c>
      <c r="M725" s="145">
        <v>7.528174444686897E-3</v>
      </c>
      <c r="N725" s="145">
        <v>1.3140913324046393</v>
      </c>
      <c r="O725" s="145">
        <v>2.2493239126468723E-3</v>
      </c>
      <c r="P725" s="145">
        <v>4.3281050574570656E-3</v>
      </c>
      <c r="Q7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-3.223593054713092E-4</v>
      </c>
      <c r="R7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-0.18107418831814215</v>
      </c>
      <c r="S7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-1.3094545074920916E-3</v>
      </c>
      <c r="T7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0.31419749535643859</v>
      </c>
      <c r="U7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1.1759717942538828E-5</v>
      </c>
      <c r="V7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-3.9376937824631142E-4</v>
      </c>
      <c r="W7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1.2595804616211126E-5</v>
      </c>
      <c r="X7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1.1803212402128338E-5</v>
      </c>
      <c r="Y725" s="162" t="str">
        <f>ReportSummary___Track[[#This Row],[Track ID]]&amp;"-"&amp;ReportSummary___Track[[#This Row],[Epoch]]</f>
        <v>250-RL-OP-0037-45805.2291666667</v>
      </c>
      <c r="Z725" s="126">
        <f>SUBTOTAL(103,ReportSummary___Track[[#This Row],[Track ID]])</f>
        <v>1</v>
      </c>
      <c r="AA725" s="114">
        <f>_xlfn.NUMBERVALUE(RIGHT(ReportSummary___Track[[#This Row],[Track ID]],4))</f>
        <v>37</v>
      </c>
      <c r="AB725" s="78"/>
    </row>
    <row r="726" spans="5:28" ht="14.25" customHeight="1" x14ac:dyDescent="0.2">
      <c r="E726" s="74">
        <v>45805.229166666664</v>
      </c>
      <c r="F726" s="107" t="s">
        <v>277</v>
      </c>
      <c r="G726" s="142">
        <v>51902.446769974056</v>
      </c>
      <c r="H726" s="142">
        <v>159190.77524553274</v>
      </c>
      <c r="I726" s="142">
        <v>18.866065352039769</v>
      </c>
      <c r="J726" s="142">
        <v>51902.099872443272</v>
      </c>
      <c r="K726" s="142">
        <v>159189.50604742009</v>
      </c>
      <c r="L726" s="142">
        <v>18.857900000000001</v>
      </c>
      <c r="M726" s="145">
        <v>8.1653520397679813E-3</v>
      </c>
      <c r="N726" s="145">
        <v>1.3157767360028105</v>
      </c>
      <c r="O726" s="145">
        <v>1.942817714553513E-3</v>
      </c>
      <c r="P726" s="145">
        <v>4.9143058592449052E-3</v>
      </c>
      <c r="Q7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7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-0.24869539707683685</v>
      </c>
      <c r="S7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-5.9423265877711628E-2</v>
      </c>
      <c r="T7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-5.9479338073487042E-2</v>
      </c>
      <c r="U7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7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-3.0602397490331334E-4</v>
      </c>
      <c r="W7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-5.974118976936893E-5</v>
      </c>
      <c r="X7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-5.9432250150592836E-5</v>
      </c>
      <c r="Y726" s="162" t="str">
        <f>ReportSummary___Track[[#This Row],[Track ID]]&amp;"-"&amp;ReportSummary___Track[[#This Row],[Epoch]]</f>
        <v>250-RL-OP-0038-45805.2291666667</v>
      </c>
      <c r="Z726" s="126">
        <f>SUBTOTAL(103,ReportSummary___Track[[#This Row],[Track ID]])</f>
        <v>1</v>
      </c>
      <c r="AA726" s="114">
        <f>_xlfn.NUMBERVALUE(RIGHT(ReportSummary___Track[[#This Row],[Track ID]],4))</f>
        <v>38</v>
      </c>
      <c r="AB726" s="78"/>
    </row>
    <row r="727" spans="5:28" ht="14.25" customHeight="1" x14ac:dyDescent="0.2">
      <c r="E727" s="74">
        <v>45805.229166666664</v>
      </c>
      <c r="F727" s="107" t="s">
        <v>278</v>
      </c>
      <c r="G727" s="142">
        <v>51903.411367144348</v>
      </c>
      <c r="H727" s="142">
        <v>159190.51151808733</v>
      </c>
      <c r="I727" s="142">
        <v>18.866430855617907</v>
      </c>
      <c r="J727" s="142">
        <v>51903.064539433311</v>
      </c>
      <c r="K727" s="142">
        <v>159189.24257522359</v>
      </c>
      <c r="L727" s="142">
        <v>18.857900000000001</v>
      </c>
      <c r="M727" s="145">
        <v>8.5308556179057859E-3</v>
      </c>
      <c r="N727" s="145">
        <v>1.3155144347645373</v>
      </c>
      <c r="O727" s="145">
        <v>1.6555012329568797E-3</v>
      </c>
      <c r="P727" s="145">
        <v>4.2659072616260119E-3</v>
      </c>
      <c r="Q7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-0.39195049642870572</v>
      </c>
      <c r="R7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-0.16326790013443393</v>
      </c>
      <c r="S7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-0.39177548790192418</v>
      </c>
      <c r="T7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-0.39245825125533429</v>
      </c>
      <c r="U7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-3.9202260941451073E-4</v>
      </c>
      <c r="V7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-5.412248439391476E-4</v>
      </c>
      <c r="W7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-3.9804213241723119E-4</v>
      </c>
      <c r="X7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-3.9158976030506665E-4</v>
      </c>
      <c r="Y727" s="162" t="str">
        <f>ReportSummary___Track[[#This Row],[Track ID]]&amp;"-"&amp;ReportSummary___Track[[#This Row],[Epoch]]</f>
        <v>250-RL-OP-0039-45805.2291666667</v>
      </c>
      <c r="Z727" s="126">
        <f>SUBTOTAL(103,ReportSummary___Track[[#This Row],[Track ID]])</f>
        <v>1</v>
      </c>
      <c r="AA727" s="114">
        <f>_xlfn.NUMBERVALUE(RIGHT(ReportSummary___Track[[#This Row],[Track ID]],4))</f>
        <v>39</v>
      </c>
      <c r="AB727" s="78"/>
    </row>
    <row r="728" spans="5:28" ht="14.25" customHeight="1" x14ac:dyDescent="0.2">
      <c r="E728" s="74">
        <v>45805.229166666664</v>
      </c>
      <c r="F728" s="107" t="s">
        <v>279</v>
      </c>
      <c r="G728" s="142">
        <v>51904.37596431464</v>
      </c>
      <c r="H728" s="142">
        <v>159190.24779064191</v>
      </c>
      <c r="I728" s="142">
        <v>18.866796359196041</v>
      </c>
      <c r="J728" s="142">
        <v>51904.029206423351</v>
      </c>
      <c r="K728" s="142">
        <v>159188.97910302709</v>
      </c>
      <c r="L728" s="142">
        <v>18.857900000000001</v>
      </c>
      <c r="M728" s="145">
        <v>8.8963591960400379E-3</v>
      </c>
      <c r="N728" s="145">
        <v>1.3152522360295973</v>
      </c>
      <c r="O728" s="145">
        <v>1.3681847513531409E-3</v>
      </c>
      <c r="P728" s="145">
        <v>3.6175086640000131E-3</v>
      </c>
      <c r="Q7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-0.72445006923871347</v>
      </c>
      <c r="R7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-7.8110760043825778E-2</v>
      </c>
      <c r="S7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-0.72412770993324216</v>
      </c>
      <c r="T7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-0.72543716444073425</v>
      </c>
      <c r="U7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-7.2458335713676547E-4</v>
      </c>
      <c r="V7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-7.7669371290056688E-4</v>
      </c>
      <c r="W7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-7.363430750793043E-4</v>
      </c>
      <c r="X7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-7.2374727046309317E-4</v>
      </c>
      <c r="Y728" s="162" t="str">
        <f>ReportSummary___Track[[#This Row],[Track ID]]&amp;"-"&amp;ReportSummary___Track[[#This Row],[Epoch]]</f>
        <v>250-RL-OP-0040-45805.2291666667</v>
      </c>
      <c r="Z728" s="126">
        <f>SUBTOTAL(103,ReportSummary___Track[[#This Row],[Track ID]])</f>
        <v>1</v>
      </c>
      <c r="AA728" s="114">
        <f>_xlfn.NUMBERVALUE(RIGHT(ReportSummary___Track[[#This Row],[Track ID]],4))</f>
        <v>40</v>
      </c>
      <c r="AB728" s="78"/>
    </row>
    <row r="729" spans="5:28" ht="14.25" customHeight="1" x14ac:dyDescent="0.2">
      <c r="E729" s="74">
        <v>45805.229166666664</v>
      </c>
      <c r="F729" s="107" t="s">
        <v>280</v>
      </c>
      <c r="G729" s="142">
        <v>51905.341841450259</v>
      </c>
      <c r="H729" s="142">
        <v>159189.98517913549</v>
      </c>
      <c r="I729" s="142">
        <v>18.867392406740741</v>
      </c>
      <c r="J729" s="142">
        <v>51905.003849068715</v>
      </c>
      <c r="K729" s="142">
        <v>159188.71394465279</v>
      </c>
      <c r="L729" s="142">
        <v>18.858054762778423</v>
      </c>
      <c r="M729" s="145">
        <v>9.3376439623185092E-3</v>
      </c>
      <c r="N729" s="145">
        <v>1.315432686071798</v>
      </c>
      <c r="O729" s="145">
        <v>1.1722919225505279E-3</v>
      </c>
      <c r="P729" s="145">
        <v>3.115109637104041E-3</v>
      </c>
      <c r="Q7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-0.95007661814605626</v>
      </c>
      <c r="R7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-7.0872299495761126E-3</v>
      </c>
      <c r="S7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-0.89062569452735829</v>
      </c>
      <c r="T7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-0.95004896040506992</v>
      </c>
      <c r="U7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-9.5012882245271157E-4</v>
      </c>
      <c r="V7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-9.124661091668429E-4</v>
      </c>
      <c r="W7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-8.9066696075690288E-4</v>
      </c>
      <c r="X7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-9.5040815052627181E-4</v>
      </c>
      <c r="Y729" s="162" t="str">
        <f>ReportSummary___Track[[#This Row],[Track ID]]&amp;"-"&amp;ReportSummary___Track[[#This Row],[Epoch]]</f>
        <v>250-RL-OP-0041-45805.2291666667</v>
      </c>
      <c r="Z729" s="126">
        <f>SUBTOTAL(103,ReportSummary___Track[[#This Row],[Track ID]])</f>
        <v>1</v>
      </c>
      <c r="AA729" s="114">
        <f>_xlfn.NUMBERVALUE(RIGHT(ReportSummary___Track[[#This Row],[Track ID]],4))</f>
        <v>41</v>
      </c>
      <c r="AB729" s="78"/>
    </row>
    <row r="730" spans="5:28" ht="14.25" customHeight="1" x14ac:dyDescent="0.2">
      <c r="E730" s="74">
        <v>45805.229166666664</v>
      </c>
      <c r="F730" s="107" t="s">
        <v>281</v>
      </c>
      <c r="G730" s="142">
        <v>51906.308594977017</v>
      </c>
      <c r="H730" s="142">
        <v>159189.72947487878</v>
      </c>
      <c r="I730" s="142">
        <v>18.869110425193988</v>
      </c>
      <c r="J730" s="142">
        <v>51905.970389131391</v>
      </c>
      <c r="K730" s="142">
        <v>159188.45743136352</v>
      </c>
      <c r="L730" s="142">
        <v>18.859168164062019</v>
      </c>
      <c r="M730" s="145">
        <v>9.9422611319681664E-3</v>
      </c>
      <c r="N730" s="145">
        <v>1.3162738116683677</v>
      </c>
      <c r="O730" s="145">
        <v>1.4114055140623805E-3</v>
      </c>
      <c r="P730" s="145">
        <v>3.0669067470192601E-3</v>
      </c>
      <c r="Q7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-0.59091559760204859</v>
      </c>
      <c r="R7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-4.5962568007151816E-3</v>
      </c>
      <c r="S7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-0.19896510117334287</v>
      </c>
      <c r="T7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-0.59074058907526705</v>
      </c>
      <c r="U7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-5.913433724131778E-4</v>
      </c>
      <c r="V7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-4.708291716666313E-4</v>
      </c>
      <c r="W7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-1.9932076299866708E-4</v>
      </c>
      <c r="X7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-5.9736289541589827E-4</v>
      </c>
      <c r="Y730" s="162" t="str">
        <f>ReportSummary___Track[[#This Row],[Track ID]]&amp;"-"&amp;ReportSummary___Track[[#This Row],[Epoch]]</f>
        <v>250-RL-OP-0042-45805.2291666667</v>
      </c>
      <c r="Z730" s="126">
        <f>SUBTOTAL(103,ReportSummary___Track[[#This Row],[Track ID]])</f>
        <v>1</v>
      </c>
      <c r="AA730" s="114">
        <f>_xlfn.NUMBERVALUE(RIGHT(ReportSummary___Track[[#This Row],[Track ID]],4))</f>
        <v>42</v>
      </c>
      <c r="AB730" s="78"/>
    </row>
    <row r="731" spans="5:28" ht="14.25" customHeight="1" x14ac:dyDescent="0.2">
      <c r="E731" s="74">
        <v>45805.229166666664</v>
      </c>
      <c r="F731" s="107" t="s">
        <v>282</v>
      </c>
      <c r="G731" s="142">
        <v>51907.275348503776</v>
      </c>
      <c r="H731" s="142">
        <v>159189.47377062205</v>
      </c>
      <c r="I731" s="142">
        <v>18.87082844364723</v>
      </c>
      <c r="J731" s="142">
        <v>51906.936929194067</v>
      </c>
      <c r="K731" s="142">
        <v>159188.20091807423</v>
      </c>
      <c r="L731" s="142">
        <v>18.86028156534562</v>
      </c>
      <c r="M731" s="145">
        <v>1.0546878301610718E-2</v>
      </c>
      <c r="N731" s="145">
        <v>1.3171152092003611</v>
      </c>
      <c r="O731" s="145">
        <v>1.6505191055706803E-3</v>
      </c>
      <c r="P731" s="145">
        <v>3.0187038569238211E-3</v>
      </c>
      <c r="Q7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-0.23175457706514635</v>
      </c>
      <c r="R7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-1.8766252642965497E-3</v>
      </c>
      <c r="S7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0.49269549217356712</v>
      </c>
      <c r="T7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-0.23143221775967504</v>
      </c>
      <c r="U7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-2.3255792238430217E-4</v>
      </c>
      <c r="V7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-2.8965008637138467E-5</v>
      </c>
      <c r="W7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4.920254347524633E-4</v>
      </c>
      <c r="X7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-2.44317640326841E-4</v>
      </c>
      <c r="Y731" s="162" t="str">
        <f>ReportSummary___Track[[#This Row],[Track ID]]&amp;"-"&amp;ReportSummary___Track[[#This Row],[Epoch]]</f>
        <v>250-RL-OP-0043-45805.2291666667</v>
      </c>
      <c r="Z731" s="126">
        <f>SUBTOTAL(103,ReportSummary___Track[[#This Row],[Track ID]])</f>
        <v>1</v>
      </c>
      <c r="AA731" s="114">
        <f>_xlfn.NUMBERVALUE(RIGHT(ReportSummary___Track[[#This Row],[Track ID]],4))</f>
        <v>43</v>
      </c>
      <c r="AB731" s="78"/>
    </row>
    <row r="732" spans="5:28" ht="14.25" customHeight="1" x14ac:dyDescent="0.2">
      <c r="E732" s="74">
        <v>45805.229166666664</v>
      </c>
      <c r="F732" s="107" t="s">
        <v>283</v>
      </c>
      <c r="G732" s="142">
        <v>51908.242830902767</v>
      </c>
      <c r="H732" s="142">
        <v>159189.22159771813</v>
      </c>
      <c r="I732" s="142">
        <v>18.872962038212972</v>
      </c>
      <c r="J732" s="142">
        <v>51907.904524094469</v>
      </c>
      <c r="K732" s="142">
        <v>159187.94823138544</v>
      </c>
      <c r="L732" s="142">
        <v>18.861943334659106</v>
      </c>
      <c r="M732" s="145">
        <v>1.1018703553865805E-2</v>
      </c>
      <c r="N732" s="145">
        <v>1.3175867051578718</v>
      </c>
      <c r="O732" s="145">
        <v>1.6810595915472959E-3</v>
      </c>
      <c r="P732" s="145">
        <v>2.8533515140978238E-3</v>
      </c>
      <c r="Q7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-9.6992824829555957E-3</v>
      </c>
      <c r="R7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-3.7336639550300532E-2</v>
      </c>
      <c r="S7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0.94037733566310067</v>
      </c>
      <c r="T7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4.9751641135742375E-2</v>
      </c>
      <c r="U7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-9.4987844541094546E-6</v>
      </c>
      <c r="V7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9.4821156877644697E-5</v>
      </c>
      <c r="W7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9.4063003799860212E-4</v>
      </c>
      <c r="X7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4.9963077241699239E-5</v>
      </c>
      <c r="Y732" s="162" t="str">
        <f>ReportSummary___Track[[#This Row],[Track ID]]&amp;"-"&amp;ReportSummary___Track[[#This Row],[Epoch]]</f>
        <v>250-RL-OP-0044-45805.2291666667</v>
      </c>
      <c r="Z732" s="126">
        <f>SUBTOTAL(103,ReportSummary___Track[[#This Row],[Track ID]])</f>
        <v>1</v>
      </c>
      <c r="AA732" s="114">
        <f>_xlfn.NUMBERVALUE(RIGHT(ReportSummary___Track[[#This Row],[Track ID]],4))</f>
        <v>44</v>
      </c>
      <c r="AB732" s="78"/>
    </row>
    <row r="733" spans="5:28" ht="14.25" customHeight="1" x14ac:dyDescent="0.2">
      <c r="E733" s="74">
        <v>45805.229166666664</v>
      </c>
      <c r="F733" s="107" t="s">
        <v>284</v>
      </c>
      <c r="G733" s="142">
        <v>51909.212415371985</v>
      </c>
      <c r="H733" s="142">
        <v>159188.97685949272</v>
      </c>
      <c r="I733" s="142">
        <v>18.875988267256602</v>
      </c>
      <c r="J733" s="142">
        <v>51908.873870471209</v>
      </c>
      <c r="K733" s="142">
        <v>159187.70254757887</v>
      </c>
      <c r="L733" s="142">
        <v>18.864602113292445</v>
      </c>
      <c r="M733" s="145">
        <v>1.1386153964156875E-2</v>
      </c>
      <c r="N733" s="145">
        <v>1.3185648061872555</v>
      </c>
      <c r="O733" s="145">
        <v>1.443892832188709E-3</v>
      </c>
      <c r="P733" s="145">
        <v>2.8552983462510895E-3</v>
      </c>
      <c r="Q7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-3.5322846620999826E-3</v>
      </c>
      <c r="R7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-0.10983292874899853</v>
      </c>
      <c r="S7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0.58738331293994861</v>
      </c>
      <c r="T7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0.38841821176660574</v>
      </c>
      <c r="U7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-2.7010913505876033E-6</v>
      </c>
      <c r="V7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-3.6852968358735971E-4</v>
      </c>
      <c r="W7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5.886422810625902E-4</v>
      </c>
      <c r="X7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3.8932151806392312E-4</v>
      </c>
      <c r="Y733" s="162" t="str">
        <f>ReportSummary___Track[[#This Row],[Track ID]]&amp;"-"&amp;ReportSummary___Track[[#This Row],[Epoch]]</f>
        <v>250-RL-OP-0045-45805.2291666667</v>
      </c>
      <c r="Z733" s="126">
        <f>SUBTOTAL(103,ReportSummary___Track[[#This Row],[Track ID]])</f>
        <v>1</v>
      </c>
      <c r="AA733" s="114">
        <f>_xlfn.NUMBERVALUE(RIGHT(ReportSummary___Track[[#This Row],[Track ID]],4))</f>
        <v>45</v>
      </c>
      <c r="AB733" s="78"/>
    </row>
    <row r="734" spans="5:28" ht="14.25" customHeight="1" x14ac:dyDescent="0.2">
      <c r="E734" s="74">
        <v>45805.229166666664</v>
      </c>
      <c r="F734" s="107" t="s">
        <v>285</v>
      </c>
      <c r="G734" s="142">
        <v>51910.18199984121</v>
      </c>
      <c r="H734" s="142">
        <v>159188.7321212673</v>
      </c>
      <c r="I734" s="142">
        <v>18.879014496300233</v>
      </c>
      <c r="J734" s="142">
        <v>51909.843216847941</v>
      </c>
      <c r="K734" s="142">
        <v>159187.4568637723</v>
      </c>
      <c r="L734" s="142">
        <v>18.867260891925785</v>
      </c>
      <c r="M734" s="145">
        <v>1.1753604374447946E-2</v>
      </c>
      <c r="N734" s="145">
        <v>1.3195430050951156</v>
      </c>
      <c r="O734" s="145">
        <v>1.2067260728372275E-3</v>
      </c>
      <c r="P734" s="145">
        <v>2.8572451784079078E-3</v>
      </c>
      <c r="Q7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2.6347131623083442E-3</v>
      </c>
      <c r="R7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-0.18232560437247969</v>
      </c>
      <c r="S7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0.23438929022745469</v>
      </c>
      <c r="T7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0.72708478240102181</v>
      </c>
      <c r="U7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4.096601752934248E-6</v>
      </c>
      <c r="V7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-8.3187476634960511E-4</v>
      </c>
      <c r="W7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2.3665452413723642E-4</v>
      </c>
      <c r="X7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7.2867995888969972E-4</v>
      </c>
      <c r="Y734" s="162" t="str">
        <f>ReportSummary___Track[[#This Row],[Track ID]]&amp;"-"&amp;ReportSummary___Track[[#This Row],[Epoch]]</f>
        <v>250-RL-OP-0046-45805.2291666667</v>
      </c>
      <c r="Z734" s="126">
        <f>SUBTOTAL(103,ReportSummary___Track[[#This Row],[Track ID]])</f>
        <v>1</v>
      </c>
      <c r="AA734" s="114">
        <f>_xlfn.NUMBERVALUE(RIGHT(ReportSummary___Track[[#This Row],[Track ID]],4))</f>
        <v>46</v>
      </c>
      <c r="AB734" s="78"/>
    </row>
    <row r="735" spans="5:28" ht="14.25" customHeight="1" x14ac:dyDescent="0.2">
      <c r="E735" s="74">
        <v>45805.229166666664</v>
      </c>
      <c r="F735" s="107" t="s">
        <v>286</v>
      </c>
      <c r="G735" s="142">
        <v>51911.151124583565</v>
      </c>
      <c r="H735" s="142">
        <v>159188.48937362182</v>
      </c>
      <c r="I735" s="142">
        <v>18.882328441829319</v>
      </c>
      <c r="J735" s="142">
        <v>51910.835170760911</v>
      </c>
      <c r="K735" s="142">
        <v>159187.20742803696</v>
      </c>
      <c r="L735" s="142">
        <v>18.870139055249297</v>
      </c>
      <c r="M735" s="145">
        <v>1.2189386580022443E-2</v>
      </c>
      <c r="N735" s="145">
        <v>1.3203635415109993</v>
      </c>
      <c r="O735" s="145">
        <v>1.1706830261566381E-3</v>
      </c>
      <c r="P735" s="145">
        <v>2.851742617703934E-3</v>
      </c>
      <c r="Q7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2.5546288391353755E-3</v>
      </c>
      <c r="R7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-0.23655436007286035</v>
      </c>
      <c r="S7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1.2253911322090971E-2</v>
      </c>
      <c r="T7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0.95263124698519164</v>
      </c>
      <c r="U7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-7.4296993574307635E-5</v>
      </c>
      <c r="V7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-1.1732268707347338E-3</v>
      </c>
      <c r="W7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-6.479820912019818E-5</v>
      </c>
      <c r="X7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8.7583182887840394E-4</v>
      </c>
      <c r="Y735" s="162" t="str">
        <f>ReportSummary___Track[[#This Row],[Track ID]]&amp;"-"&amp;ReportSummary___Track[[#This Row],[Epoch]]</f>
        <v>250-RL-OP-0047-45805.2291666667</v>
      </c>
      <c r="Z735" s="126">
        <f>SUBTOTAL(103,ReportSummary___Track[[#This Row],[Track ID]])</f>
        <v>1</v>
      </c>
      <c r="AA735" s="114">
        <f>_xlfn.NUMBERVALUE(RIGHT(ReportSummary___Track[[#This Row],[Track ID]],4))</f>
        <v>47</v>
      </c>
      <c r="AB735" s="78"/>
    </row>
    <row r="736" spans="5:28" ht="14.25" customHeight="1" x14ac:dyDescent="0.2">
      <c r="E736" s="74">
        <v>45805.229166666664</v>
      </c>
      <c r="F736" s="107" t="s">
        <v>287</v>
      </c>
      <c r="G736" s="142">
        <v>51912.122778205805</v>
      </c>
      <c r="H736" s="142">
        <v>159188.25300560394</v>
      </c>
      <c r="I736" s="142">
        <v>18.886732814833675</v>
      </c>
      <c r="J736" s="142">
        <v>51911.806635538363</v>
      </c>
      <c r="K736" s="142">
        <v>159186.97026833432</v>
      </c>
      <c r="L736" s="142">
        <v>18.873524557994575</v>
      </c>
      <c r="M736" s="145">
        <v>1.3208256839099874E-2</v>
      </c>
      <c r="N736" s="145">
        <v>1.3211871733770224</v>
      </c>
      <c r="O736" s="145">
        <v>1.8221028749429991E-3</v>
      </c>
      <c r="P736" s="145">
        <v>3.2659957071317081E-3</v>
      </c>
      <c r="Q7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2.2898558391659662E-3</v>
      </c>
      <c r="R7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-0.23697900312535936</v>
      </c>
      <c r="S7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5.8221405012659488E-3</v>
      </c>
      <c r="T7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0.59320545344121456</v>
      </c>
      <c r="U7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-4.2671865157828393E-4</v>
      </c>
      <c r="V7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-1.0122642619501132E-3</v>
      </c>
      <c r="W7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-4.2401756022769632E-4</v>
      </c>
      <c r="X7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1.6462472083489388E-4</v>
      </c>
      <c r="Y736" s="162" t="str">
        <f>ReportSummary___Track[[#This Row],[Track ID]]&amp;"-"&amp;ReportSummary___Track[[#This Row],[Epoch]]</f>
        <v>250-RL-OP-0048-45805.2291666667</v>
      </c>
      <c r="Z736" s="126">
        <f>SUBTOTAL(103,ReportSummary___Track[[#This Row],[Track ID]])</f>
        <v>1</v>
      </c>
      <c r="AA736" s="114">
        <f>_xlfn.NUMBERVALUE(RIGHT(ReportSummary___Track[[#This Row],[Track ID]],4))</f>
        <v>48</v>
      </c>
      <c r="AB736" s="78"/>
    </row>
    <row r="737" spans="5:28" ht="14.25" customHeight="1" x14ac:dyDescent="0.2">
      <c r="E737" s="74">
        <v>45805.229166666664</v>
      </c>
      <c r="F737" s="107" t="s">
        <v>288</v>
      </c>
      <c r="G737" s="142">
        <v>51913.094431828045</v>
      </c>
      <c r="H737" s="142">
        <v>159188.01663758603</v>
      </c>
      <c r="I737" s="142">
        <v>18.89113718783803</v>
      </c>
      <c r="J737" s="142">
        <v>51912.778100315809</v>
      </c>
      <c r="K737" s="142">
        <v>159186.73310863168</v>
      </c>
      <c r="L737" s="142">
        <v>18.876910060739853</v>
      </c>
      <c r="M737" s="145">
        <v>1.4227127098177306E-2</v>
      </c>
      <c r="N737" s="145">
        <v>1.3220115783977731</v>
      </c>
      <c r="O737" s="145">
        <v>2.47352272372936E-3</v>
      </c>
      <c r="P737" s="145">
        <v>3.6802487965665875E-3</v>
      </c>
      <c r="Q7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2.0250828427492706E-3</v>
      </c>
      <c r="R7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-0.23740395376181667</v>
      </c>
      <c r="S7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-6.0963031955907354E-4</v>
      </c>
      <c r="T7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0.23377965990789562</v>
      </c>
      <c r="U7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-7.7914030958581293E-4</v>
      </c>
      <c r="V7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-8.5193674576711231E-4</v>
      </c>
      <c r="W7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-7.8323691133874718E-4</v>
      </c>
      <c r="X7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-5.4658238720151076E-4</v>
      </c>
      <c r="Y737" s="162" t="str">
        <f>ReportSummary___Track[[#This Row],[Track ID]]&amp;"-"&amp;ReportSummary___Track[[#This Row],[Epoch]]</f>
        <v>250-RL-OP-0049-45805.2291666667</v>
      </c>
      <c r="Z737" s="126">
        <f>SUBTOTAL(103,ReportSummary___Track[[#This Row],[Track ID]])</f>
        <v>1</v>
      </c>
      <c r="AA737" s="114">
        <f>_xlfn.NUMBERVALUE(RIGHT(ReportSummary___Track[[#This Row],[Track ID]],4))</f>
        <v>49</v>
      </c>
      <c r="AB737" s="78"/>
    </row>
    <row r="738" spans="5:28" ht="14.25" customHeight="1" x14ac:dyDescent="0.2">
      <c r="E738" s="74">
        <v>45803.277777777781</v>
      </c>
      <c r="F738" s="107" t="s">
        <v>235</v>
      </c>
      <c r="G738" s="142">
        <v>51886.101888003854</v>
      </c>
      <c r="H738" s="142">
        <v>159195.44568170901</v>
      </c>
      <c r="I738" s="142">
        <v>18.870774640796562</v>
      </c>
      <c r="J738" s="142">
        <v>51885.743029345111</v>
      </c>
      <c r="K738" s="142">
        <v>159194.186880728</v>
      </c>
      <c r="L738" s="142">
        <v>18.866787522685922</v>
      </c>
      <c r="M738" s="145">
        <v>3.9871181106398978E-3</v>
      </c>
      <c r="N738" s="145">
        <v>1.3089596418017535</v>
      </c>
      <c r="O738" s="145"/>
      <c r="P738" s="145"/>
      <c r="Q7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-0.28164663535434897</v>
      </c>
      <c r="R7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-1.1585345856561791</v>
      </c>
      <c r="S73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3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4.7019078408538917E-8</v>
      </c>
      <c r="V7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-4.6700731373205961E-4</v>
      </c>
      <c r="W73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3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38" s="162" t="str">
        <f>ReportSummary___Track[[#This Row],[Track ID]]&amp;"-"&amp;ReportSummary___Track[[#This Row],[Epoch]]</f>
        <v>250-RL-OP-0021-45803.2777777778</v>
      </c>
      <c r="Z738" s="126">
        <f>SUBTOTAL(103,ReportSummary___Track[[#This Row],[Track ID]])</f>
        <v>1</v>
      </c>
      <c r="AA738" s="114">
        <f>_xlfn.NUMBERVALUE(RIGHT(ReportSummary___Track[[#This Row],[Track ID]],4))</f>
        <v>21</v>
      </c>
      <c r="AB738" s="78"/>
    </row>
    <row r="739" spans="5:28" ht="14.25" customHeight="1" x14ac:dyDescent="0.2">
      <c r="E739" s="74">
        <v>45803.277777777781</v>
      </c>
      <c r="F739" s="107" t="s">
        <v>236</v>
      </c>
      <c r="G739" s="142">
        <v>51887.0635346048</v>
      </c>
      <c r="H739" s="142">
        <v>159195.17139037082</v>
      </c>
      <c r="I739" s="142">
        <v>18.870497718698449</v>
      </c>
      <c r="J739" s="142">
        <v>51886.704122307987</v>
      </c>
      <c r="K739" s="142">
        <v>159193.91065564146</v>
      </c>
      <c r="L739" s="142">
        <v>18.866652333606499</v>
      </c>
      <c r="M739" s="145">
        <v>3.845385091949538E-3</v>
      </c>
      <c r="N739" s="145">
        <v>1.3109706495122111</v>
      </c>
      <c r="O739" s="145"/>
      <c r="P739" s="145"/>
      <c r="Q7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-0.62773617074896038</v>
      </c>
      <c r="R7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-1.0581635828750269</v>
      </c>
      <c r="S73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3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1.0353239687788118E-7</v>
      </c>
      <c r="V7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-6.9837704948438883E-4</v>
      </c>
      <c r="W73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3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39" s="162" t="str">
        <f>ReportSummary___Track[[#This Row],[Track ID]]&amp;"-"&amp;ReportSummary___Track[[#This Row],[Epoch]]</f>
        <v>250-RL-OP-0022-45803.2777777778</v>
      </c>
      <c r="Z739" s="126">
        <f>SUBTOTAL(103,ReportSummary___Track[[#This Row],[Track ID]])</f>
        <v>1</v>
      </c>
      <c r="AA739" s="114">
        <f>_xlfn.NUMBERVALUE(RIGHT(ReportSummary___Track[[#This Row],[Track ID]],4))</f>
        <v>22</v>
      </c>
      <c r="AB739" s="78"/>
    </row>
    <row r="740" spans="5:28" ht="14.25" customHeight="1" x14ac:dyDescent="0.2">
      <c r="E740" s="74">
        <v>45803.277777777781</v>
      </c>
      <c r="F740" s="107" t="s">
        <v>237</v>
      </c>
      <c r="G740" s="142">
        <v>51888.025181205747</v>
      </c>
      <c r="H740" s="142">
        <v>159194.89709903265</v>
      </c>
      <c r="I740" s="142">
        <v>18.870220796600339</v>
      </c>
      <c r="J740" s="142">
        <v>51887.665215270863</v>
      </c>
      <c r="K740" s="142">
        <v>159193.63443055493</v>
      </c>
      <c r="L740" s="142">
        <v>18.866517144527077</v>
      </c>
      <c r="M740" s="145">
        <v>3.7036520732627309E-3</v>
      </c>
      <c r="N740" s="145">
        <v>1.3129816738799744</v>
      </c>
      <c r="O740" s="145"/>
      <c r="P740" s="145"/>
      <c r="Q7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-0.97382570614001907</v>
      </c>
      <c r="R7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-0.95780573041315265</v>
      </c>
      <c r="S74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4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1.6004571534722345E-7</v>
      </c>
      <c r="V7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-9.29746936533693E-4</v>
      </c>
      <c r="W74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4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40" s="162" t="str">
        <f>ReportSummary___Track[[#This Row],[Track ID]]&amp;"-"&amp;ReportSummary___Track[[#This Row],[Epoch]]</f>
        <v>250-RL-OP-0023-45803.2777777778</v>
      </c>
      <c r="Z740" s="126">
        <f>SUBTOTAL(103,ReportSummary___Track[[#This Row],[Track ID]])</f>
        <v>1</v>
      </c>
      <c r="AA740" s="114">
        <f>_xlfn.NUMBERVALUE(RIGHT(ReportSummary___Track[[#This Row],[Track ID]],4))</f>
        <v>23</v>
      </c>
      <c r="AB740" s="78"/>
    </row>
    <row r="741" spans="5:28" ht="14.25" customHeight="1" x14ac:dyDescent="0.2">
      <c r="E741" s="74">
        <v>45803.277777777781</v>
      </c>
      <c r="F741" s="107" t="s">
        <v>238</v>
      </c>
      <c r="G741" s="142">
        <v>51888.98628832103</v>
      </c>
      <c r="H741" s="142">
        <v>159194.62201573106</v>
      </c>
      <c r="I741" s="142">
        <v>18.869514730242752</v>
      </c>
      <c r="J741" s="142">
        <v>51888.624024107339</v>
      </c>
      <c r="K741" s="142">
        <v>159193.3577967032</v>
      </c>
      <c r="L741" s="142">
        <v>18.86545332152658</v>
      </c>
      <c r="M741" s="145">
        <v>4.0614087161721102E-3</v>
      </c>
      <c r="N741" s="145">
        <v>1.3151051691618987</v>
      </c>
      <c r="O741" s="145">
        <v>7.4290605532212339E-5</v>
      </c>
      <c r="P741" s="145"/>
      <c r="Q7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7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7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-0.41936620755222975</v>
      </c>
      <c r="T74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7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7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-1.4663264735759185E-7</v>
      </c>
      <c r="X74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41" s="162" t="str">
        <f>ReportSummary___Track[[#This Row],[Track ID]]&amp;"-"&amp;ReportSummary___Track[[#This Row],[Epoch]]</f>
        <v>250-RL-OP-0024-45803.2777777778</v>
      </c>
      <c r="Z741" s="126">
        <f>SUBTOTAL(103,ReportSummary___Track[[#This Row],[Track ID]])</f>
        <v>1</v>
      </c>
      <c r="AA741" s="114">
        <f>_xlfn.NUMBERVALUE(RIGHT(ReportSummary___Track[[#This Row],[Track ID]],4))</f>
        <v>24</v>
      </c>
      <c r="AB741" s="78"/>
    </row>
    <row r="742" spans="5:28" ht="14.25" customHeight="1" x14ac:dyDescent="0.2">
      <c r="E742" s="74">
        <v>45803.277777777781</v>
      </c>
      <c r="F742" s="107" t="s">
        <v>239</v>
      </c>
      <c r="G742" s="142">
        <v>51889.947664398285</v>
      </c>
      <c r="H742" s="142">
        <v>159194.34677858101</v>
      </c>
      <c r="I742" s="142">
        <v>18.868773577574299</v>
      </c>
      <c r="J742" s="142">
        <v>51889.58479107709</v>
      </c>
      <c r="K742" s="142">
        <v>159193.08044244221</v>
      </c>
      <c r="L742" s="142">
        <v>18.864251762034648</v>
      </c>
      <c r="M742" s="145">
        <v>4.5218155396504756E-3</v>
      </c>
      <c r="N742" s="145">
        <v>1.3173096486680025</v>
      </c>
      <c r="O742" s="145">
        <v>6.7643044770093752E-4</v>
      </c>
      <c r="P742" s="145"/>
      <c r="Q7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7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7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0.26995698125631407</v>
      </c>
      <c r="T74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7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7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-3.1749972961847561E-7</v>
      </c>
      <c r="X74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42" s="162" t="str">
        <f>ReportSummary___Track[[#This Row],[Track ID]]&amp;"-"&amp;ReportSummary___Track[[#This Row],[Epoch]]</f>
        <v>250-RL-OP-0025-45803.2777777778</v>
      </c>
      <c r="Z742" s="126">
        <f>SUBTOTAL(103,ReportSummary___Track[[#This Row],[Track ID]])</f>
        <v>1</v>
      </c>
      <c r="AA742" s="114">
        <f>_xlfn.NUMBERVALUE(RIGHT(ReportSummary___Track[[#This Row],[Track ID]],4))</f>
        <v>25</v>
      </c>
      <c r="AB742" s="78"/>
    </row>
    <row r="743" spans="5:28" ht="14.25" customHeight="1" x14ac:dyDescent="0.2">
      <c r="E743" s="74">
        <v>45803.277777777781</v>
      </c>
      <c r="F743" s="107" t="s">
        <v>240</v>
      </c>
      <c r="G743" s="142">
        <v>51890.909040475541</v>
      </c>
      <c r="H743" s="142">
        <v>159194.07154143095</v>
      </c>
      <c r="I743" s="142">
        <v>18.868032424905849</v>
      </c>
      <c r="J743" s="142">
        <v>51890.545558046833</v>
      </c>
      <c r="K743" s="142">
        <v>159192.80308818122</v>
      </c>
      <c r="L743" s="142">
        <v>18.86305020254272</v>
      </c>
      <c r="M743" s="145">
        <v>4.9822223631288409E-3</v>
      </c>
      <c r="N743" s="145">
        <v>1.3195142838510057</v>
      </c>
      <c r="O743" s="145">
        <v>1.27857028986611E-3</v>
      </c>
      <c r="P743" s="145"/>
      <c r="Q7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7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7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0.95928017006130517</v>
      </c>
      <c r="T74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7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7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-4.8836681543207305E-7</v>
      </c>
      <c r="X74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43" s="162" t="str">
        <f>ReportSummary___Track[[#This Row],[Track ID]]&amp;"-"&amp;ReportSummary___Track[[#This Row],[Epoch]]</f>
        <v>250-RL-OP-0026-45803.2777777778</v>
      </c>
      <c r="Z743" s="126">
        <f>SUBTOTAL(103,ReportSummary___Track[[#This Row],[Track ID]])</f>
        <v>1</v>
      </c>
      <c r="AA743" s="114">
        <f>_xlfn.NUMBERVALUE(RIGHT(ReportSummary___Track[[#This Row],[Track ID]],4))</f>
        <v>26</v>
      </c>
      <c r="AB743" s="78"/>
    </row>
    <row r="744" spans="5:28" ht="14.25" customHeight="1" x14ac:dyDescent="0.2">
      <c r="E744" s="74">
        <v>45803.277777777781</v>
      </c>
      <c r="F744" s="107" t="s">
        <v>241</v>
      </c>
      <c r="G744" s="142">
        <v>51891.869997674046</v>
      </c>
      <c r="H744" s="142">
        <v>159193.79503821288</v>
      </c>
      <c r="I744" s="142">
        <v>18.865661670375356</v>
      </c>
      <c r="J744" s="142">
        <v>51891.504267267614</v>
      </c>
      <c r="K744" s="142">
        <v>159192.52660902659</v>
      </c>
      <c r="L744" s="142">
        <v>18.861283294009535</v>
      </c>
      <c r="M744" s="145">
        <v>4.3783763658211683E-3</v>
      </c>
      <c r="N744" s="145">
        <v>1.3201100336646869</v>
      </c>
      <c r="O744" s="145">
        <v>3.169676496490581E-4</v>
      </c>
      <c r="P744" s="145">
        <v>3.9125825518127044E-4</v>
      </c>
      <c r="Q7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7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7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0.37644288719462793</v>
      </c>
      <c r="T7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-4.2923320357601824E-2</v>
      </c>
      <c r="U7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7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7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1.6116922196829364E-7</v>
      </c>
      <c r="X7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1.4536574610701791E-8</v>
      </c>
      <c r="Y744" s="162" t="str">
        <f>ReportSummary___Track[[#This Row],[Track ID]]&amp;"-"&amp;ReportSummary___Track[[#This Row],[Epoch]]</f>
        <v>250-RL-OP-0027-45803.2777777778</v>
      </c>
      <c r="Z744" s="126">
        <f>SUBTOTAL(103,ReportSummary___Track[[#This Row],[Track ID]])</f>
        <v>1</v>
      </c>
      <c r="AA744" s="114">
        <f>_xlfn.NUMBERVALUE(RIGHT(ReportSummary___Track[[#This Row],[Track ID]],4))</f>
        <v>27</v>
      </c>
      <c r="AB744" s="78"/>
    </row>
    <row r="745" spans="5:28" ht="14.25" customHeight="1" x14ac:dyDescent="0.2">
      <c r="E745" s="74">
        <v>45803.277777777781</v>
      </c>
      <c r="F745" s="107" t="s">
        <v>242</v>
      </c>
      <c r="G745" s="142">
        <v>51892.83098666594</v>
      </c>
      <c r="H745" s="142">
        <v>159193.51846240537</v>
      </c>
      <c r="I745" s="142">
        <v>18.863216230483452</v>
      </c>
      <c r="J745" s="142">
        <v>51892.465111689802</v>
      </c>
      <c r="K745" s="142">
        <v>159192.24952641845</v>
      </c>
      <c r="L745" s="142">
        <v>18.859487576446288</v>
      </c>
      <c r="M745" s="145">
        <v>3.7286540371646026E-3</v>
      </c>
      <c r="N745" s="145">
        <v>1.3206350517469128</v>
      </c>
      <c r="O745" s="145">
        <v>-7.9316150248587292E-4</v>
      </c>
      <c r="P745" s="145">
        <v>-1.167310547849354E-4</v>
      </c>
      <c r="Q7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7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7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-0.30629908809487461</v>
      </c>
      <c r="T7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-3.6342106838560539E-2</v>
      </c>
      <c r="U7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7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7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3.3986303193955791E-7</v>
      </c>
      <c r="X7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2.2363302321082301E-8</v>
      </c>
      <c r="Y745" s="162" t="str">
        <f>ReportSummary___Track[[#This Row],[Track ID]]&amp;"-"&amp;ReportSummary___Track[[#This Row],[Epoch]]</f>
        <v>250-RL-OP-0028-45803.2777777778</v>
      </c>
      <c r="Z745" s="126">
        <f>SUBTOTAL(103,ReportSummary___Track[[#This Row],[Track ID]])</f>
        <v>1</v>
      </c>
      <c r="AA745" s="114">
        <f>_xlfn.NUMBERVALUE(RIGHT(ReportSummary___Track[[#This Row],[Track ID]],4))</f>
        <v>28</v>
      </c>
      <c r="AB745" s="78"/>
    </row>
    <row r="746" spans="5:28" ht="14.25" customHeight="1" x14ac:dyDescent="0.2">
      <c r="E746" s="74">
        <v>45803.277777777781</v>
      </c>
      <c r="F746" s="107" t="s">
        <v>243</v>
      </c>
      <c r="G746" s="142">
        <v>51893.79183894024</v>
      </c>
      <c r="H746" s="142">
        <v>159193.24190592469</v>
      </c>
      <c r="I746" s="142">
        <v>18.86092641939771</v>
      </c>
      <c r="J746" s="142">
        <v>51893.426692580288</v>
      </c>
      <c r="K746" s="142">
        <v>159191.97223179525</v>
      </c>
      <c r="L746" s="142">
        <v>18.857700906411129</v>
      </c>
      <c r="M746" s="145">
        <v>3.2255129865816912E-3</v>
      </c>
      <c r="N746" s="145">
        <v>1.3211414243285451</v>
      </c>
      <c r="O746" s="145">
        <v>-1.7567093765471498E-3</v>
      </c>
      <c r="P746" s="145">
        <v>-4.7813908668103977E-4</v>
      </c>
      <c r="Q7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-0.98057715340971185</v>
      </c>
      <c r="R7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-0.25718536921748303</v>
      </c>
      <c r="S7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-0.96603161733099796</v>
      </c>
      <c r="T7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-6.7514472696927896E-3</v>
      </c>
      <c r="U7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1.8152682521588304E-6</v>
      </c>
      <c r="V7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1.6926918418702641E-5</v>
      </c>
      <c r="W7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2.14358935224368E-6</v>
      </c>
      <c r="X7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1.6552225368116069E-6</v>
      </c>
      <c r="Y746" s="162" t="str">
        <f>ReportSummary___Track[[#This Row],[Track ID]]&amp;"-"&amp;ReportSummary___Track[[#This Row],[Epoch]]</f>
        <v>250-RL-OP-0029-45803.2777777778</v>
      </c>
      <c r="Z746" s="126">
        <f>SUBTOTAL(103,ReportSummary___Track[[#This Row],[Track ID]])</f>
        <v>1</v>
      </c>
      <c r="AA746" s="114">
        <f>_xlfn.NUMBERVALUE(RIGHT(ReportSummary___Track[[#This Row],[Track ID]],4))</f>
        <v>29</v>
      </c>
      <c r="AB746" s="78"/>
    </row>
    <row r="747" spans="5:28" ht="14.25" customHeight="1" x14ac:dyDescent="0.2">
      <c r="E747" s="74">
        <v>45803.277777777781</v>
      </c>
      <c r="F747" s="107" t="s">
        <v>269</v>
      </c>
      <c r="G747" s="142">
        <v>51894.752729646825</v>
      </c>
      <c r="H747" s="142">
        <v>159192.96497849975</v>
      </c>
      <c r="I747" s="142">
        <v>18.861427736242298</v>
      </c>
      <c r="J747" s="142">
        <v>51894.387556785739</v>
      </c>
      <c r="K747" s="142">
        <v>159191.69521203163</v>
      </c>
      <c r="L747" s="142">
        <v>18.85787192737892</v>
      </c>
      <c r="M747" s="145">
        <v>3.5558088633784735E-3</v>
      </c>
      <c r="N747" s="145">
        <v>1.3212383380024699</v>
      </c>
      <c r="O747" s="145">
        <v>-8.2256750244269483E-4</v>
      </c>
      <c r="P747" s="145">
        <v>-5.0559985279363673E-4</v>
      </c>
      <c r="Q7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-0.30453082756309868</v>
      </c>
      <c r="R7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0.25322418947859582</v>
      </c>
      <c r="S7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2.0039128148852114E-2</v>
      </c>
      <c r="T7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0.39648201534348004</v>
      </c>
      <c r="U7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3.4390356336899686E-4</v>
      </c>
      <c r="V7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3.3891306682010125E-4</v>
      </c>
      <c r="W7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3.4384200771597762E-4</v>
      </c>
      <c r="X7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3.4400317693794591E-4</v>
      </c>
      <c r="Y747" s="162" t="str">
        <f>ReportSummary___Track[[#This Row],[Track ID]]&amp;"-"&amp;ReportSummary___Track[[#This Row],[Epoch]]</f>
        <v>250-RL-OP-0030-45803.2777777778</v>
      </c>
      <c r="Z747" s="126">
        <f>SUBTOTAL(103,ReportSummary___Track[[#This Row],[Track ID]])</f>
        <v>1</v>
      </c>
      <c r="AA747" s="114">
        <f>_xlfn.NUMBERVALUE(RIGHT(ReportSummary___Track[[#This Row],[Track ID]],4))</f>
        <v>30</v>
      </c>
      <c r="AB747" s="78"/>
    </row>
    <row r="748" spans="5:28" ht="14.25" customHeight="1" x14ac:dyDescent="0.2">
      <c r="E748" s="74">
        <v>45803.277777777781</v>
      </c>
      <c r="F748" s="107" t="s">
        <v>270</v>
      </c>
      <c r="G748" s="142">
        <v>51895.713620353403</v>
      </c>
      <c r="H748" s="142">
        <v>159192.6880510748</v>
      </c>
      <c r="I748" s="142">
        <v>18.861929053086882</v>
      </c>
      <c r="J748" s="142">
        <v>51895.348420991184</v>
      </c>
      <c r="K748" s="142">
        <v>159191.418192268</v>
      </c>
      <c r="L748" s="142">
        <v>18.858042948346714</v>
      </c>
      <c r="M748" s="145">
        <v>3.8861047401681503E-3</v>
      </c>
      <c r="N748" s="145">
        <v>1.3213353341171263</v>
      </c>
      <c r="O748" s="145">
        <v>1.5745070300354769E-4</v>
      </c>
      <c r="P748" s="145">
        <v>-6.3571079948232523E-4</v>
      </c>
      <c r="Q7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0.37151549827640906</v>
      </c>
      <c r="R7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0.76362632387372287</v>
      </c>
      <c r="S7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1.03559377586393</v>
      </c>
      <c r="T7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0.72929468776905537</v>
      </c>
      <c r="U7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6.8599185847872945E-4</v>
      </c>
      <c r="V7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6.6098158615734981E-4</v>
      </c>
      <c r="W7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6.8586596277953049E-4</v>
      </c>
      <c r="X7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6.8620582581147005E-4</v>
      </c>
      <c r="Y748" s="162" t="str">
        <f>ReportSummary___Track[[#This Row],[Track ID]]&amp;"-"&amp;ReportSummary___Track[[#This Row],[Epoch]]</f>
        <v>250-RL-OP-0031-45803.2777777778</v>
      </c>
      <c r="Z748" s="126">
        <f>SUBTOTAL(103,ReportSummary___Track[[#This Row],[Track ID]])</f>
        <v>1</v>
      </c>
      <c r="AA748" s="114">
        <f>_xlfn.NUMBERVALUE(RIGHT(ReportSummary___Track[[#This Row],[Track ID]],4))</f>
        <v>31</v>
      </c>
      <c r="AB748" s="78"/>
    </row>
    <row r="749" spans="5:28" ht="14.25" customHeight="1" x14ac:dyDescent="0.2">
      <c r="E749" s="74">
        <v>45803.277777777781</v>
      </c>
      <c r="F749" s="107" t="s">
        <v>271</v>
      </c>
      <c r="G749" s="142">
        <v>51896.675398681873</v>
      </c>
      <c r="H749" s="142">
        <v>159192.41088265969</v>
      </c>
      <c r="I749" s="142">
        <v>18.862477001539897</v>
      </c>
      <c r="J749" s="142">
        <v>51896.30852141809</v>
      </c>
      <c r="K749" s="142">
        <v>159191.14170884955</v>
      </c>
      <c r="L749" s="142">
        <v>18.858247340168667</v>
      </c>
      <c r="M749" s="145">
        <v>4.2296613712302644E-3</v>
      </c>
      <c r="N749" s="145">
        <v>1.3211430570028282</v>
      </c>
      <c r="O749" s="145">
        <v>1.0041483846485733E-3</v>
      </c>
      <c r="P749" s="145">
        <v>-7.525609918985765E-4</v>
      </c>
      <c r="Q7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0.97864360516197735</v>
      </c>
      <c r="R7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1.2350403420311462</v>
      </c>
      <c r="S7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1.9592207585716892</v>
      </c>
      <c r="T7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0.99318914124069124</v>
      </c>
      <c r="U7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9.7858557916197242E-4</v>
      </c>
      <c r="V7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9.5046163969403352E-4</v>
      </c>
      <c r="W7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9.7677031090981359E-4</v>
      </c>
      <c r="X7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9.7891390026205727E-4</v>
      </c>
      <c r="Y749" s="162" t="str">
        <f>ReportSummary___Track[[#This Row],[Track ID]]&amp;"-"&amp;ReportSummary___Track[[#This Row],[Epoch]]</f>
        <v>250-RL-OP-0032-45803.2777777778</v>
      </c>
      <c r="Z749" s="126">
        <f>SUBTOTAL(103,ReportSummary___Track[[#This Row],[Track ID]])</f>
        <v>1</v>
      </c>
      <c r="AA749" s="114">
        <f>_xlfn.NUMBERVALUE(RIGHT(ReportSummary___Track[[#This Row],[Track ID]],4))</f>
        <v>32</v>
      </c>
      <c r="AB749" s="78"/>
    </row>
    <row r="750" spans="5:28" ht="14.25" customHeight="1" x14ac:dyDescent="0.2">
      <c r="E750" s="74">
        <v>45803.277777777781</v>
      </c>
      <c r="F750" s="107" t="s">
        <v>272</v>
      </c>
      <c r="G750" s="142">
        <v>51897.636352858688</v>
      </c>
      <c r="H750" s="142">
        <v>159192.13417793906</v>
      </c>
      <c r="I750" s="142">
        <v>18.863729059099267</v>
      </c>
      <c r="J750" s="142">
        <v>51897.270420156812</v>
      </c>
      <c r="K750" s="142">
        <v>159190.86830352191</v>
      </c>
      <c r="L750" s="142">
        <v>18.858833233345244</v>
      </c>
      <c r="M750" s="145">
        <v>4.895825754022809E-3</v>
      </c>
      <c r="N750" s="145">
        <v>1.3177134557275618</v>
      </c>
      <c r="O750" s="145">
        <v>1.3400168906443355E-3</v>
      </c>
      <c r="P750" s="145">
        <v>5.1744938820164066E-4</v>
      </c>
      <c r="Q7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0.63138515256966343</v>
      </c>
      <c r="R7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1.1382623579319073</v>
      </c>
      <c r="S7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0.93591598013276212</v>
      </c>
      <c r="T7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0.95595510828161423</v>
      </c>
      <c r="U7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6.3044454863359078E-4</v>
      </c>
      <c r="V7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7.0982970423516534E-4</v>
      </c>
      <c r="W7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2.8654098526459393E-4</v>
      </c>
      <c r="X7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6.3038299298057154E-4</v>
      </c>
      <c r="Y750" s="162" t="str">
        <f>ReportSummary___Track[[#This Row],[Track ID]]&amp;"-"&amp;ReportSummary___Track[[#This Row],[Epoch]]</f>
        <v>250-RL-OP-0033-45803.2777777778</v>
      </c>
      <c r="Z750" s="126">
        <f>SUBTOTAL(103,ReportSummary___Track[[#This Row],[Track ID]])</f>
        <v>1</v>
      </c>
      <c r="AA750" s="114">
        <f>_xlfn.NUMBERVALUE(RIGHT(ReportSummary___Track[[#This Row],[Track ID]],4))</f>
        <v>33</v>
      </c>
      <c r="AB750" s="78"/>
    </row>
    <row r="751" spans="5:28" ht="14.25" customHeight="1" x14ac:dyDescent="0.2">
      <c r="E751" s="74">
        <v>45803.277777777781</v>
      </c>
      <c r="F751" s="107" t="s">
        <v>273</v>
      </c>
      <c r="G751" s="142">
        <v>51898.597307035503</v>
      </c>
      <c r="H751" s="142">
        <v>159191.85747321844</v>
      </c>
      <c r="I751" s="142">
        <v>18.864981116658633</v>
      </c>
      <c r="J751" s="142">
        <v>51898.232318895534</v>
      </c>
      <c r="K751" s="142">
        <v>159190.59489819428</v>
      </c>
      <c r="L751" s="142">
        <v>18.859419126521821</v>
      </c>
      <c r="M751" s="145">
        <v>5.5619901368118008E-3</v>
      </c>
      <c r="N751" s="145">
        <v>1.3142842043016303</v>
      </c>
      <c r="O751" s="145">
        <v>1.6758853966436504E-3</v>
      </c>
      <c r="P751" s="145">
        <v>1.8333360996471981E-3</v>
      </c>
      <c r="Q7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0.2841266999737968</v>
      </c>
      <c r="R7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1.041037398284983</v>
      </c>
      <c r="S7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-8.7388798302612258E-2</v>
      </c>
      <c r="T7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0.94820497756131772</v>
      </c>
      <c r="U7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2.8230351809810372E-4</v>
      </c>
      <c r="V7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4.6875034654036973E-4</v>
      </c>
      <c r="W7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-4.0368834038062573E-4</v>
      </c>
      <c r="X7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2.8217762239890476E-4</v>
      </c>
      <c r="Y751" s="162" t="str">
        <f>ReportSummary___Track[[#This Row],[Track ID]]&amp;"-"&amp;ReportSummary___Track[[#This Row],[Epoch]]</f>
        <v>250-RL-OP-0034-45803.2777777778</v>
      </c>
      <c r="Z751" s="126">
        <f>SUBTOTAL(103,ReportSummary___Track[[#This Row],[Track ID]])</f>
        <v>1</v>
      </c>
      <c r="AA751" s="114">
        <f>_xlfn.NUMBERVALUE(RIGHT(ReportSummary___Track[[#This Row],[Track ID]],4))</f>
        <v>34</v>
      </c>
      <c r="AB751" s="78"/>
    </row>
    <row r="752" spans="5:28" ht="14.25" customHeight="1" x14ac:dyDescent="0.2">
      <c r="E752" s="74">
        <v>45803.277777777781</v>
      </c>
      <c r="F752" s="107" t="s">
        <v>274</v>
      </c>
      <c r="G752" s="142">
        <v>51899.557748431522</v>
      </c>
      <c r="H752" s="142">
        <v>159191.58237758733</v>
      </c>
      <c r="I752" s="142">
        <v>18.866</v>
      </c>
      <c r="J752" s="142">
        <v>51899.202488344781</v>
      </c>
      <c r="K752" s="142">
        <v>159190.31967680616</v>
      </c>
      <c r="L752" s="142">
        <v>18.859777416319687</v>
      </c>
      <c r="M752" s="145">
        <v>6.2225836803122547E-3</v>
      </c>
      <c r="N752" s="145">
        <v>1.3117399561425083</v>
      </c>
      <c r="O752" s="145">
        <v>1.9929223090819903E-3</v>
      </c>
      <c r="P752" s="145">
        <v>2.9970706937305636E-3</v>
      </c>
      <c r="Q7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7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0.90395994462411089</v>
      </c>
      <c r="S7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-0.97862190780517722</v>
      </c>
      <c r="T7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0.98059885076651199</v>
      </c>
      <c r="U7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7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2.5387824185840735E-4</v>
      </c>
      <c r="W7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-9.7825689599062571E-4</v>
      </c>
      <c r="X7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-1.4865850808121195E-6</v>
      </c>
      <c r="Y752" s="162" t="str">
        <f>ReportSummary___Track[[#This Row],[Track ID]]&amp;"-"&amp;ReportSummary___Track[[#This Row],[Epoch]]</f>
        <v>250-RL-OP-0035-45803.2777777778</v>
      </c>
      <c r="Z752" s="126">
        <f>SUBTOTAL(103,ReportSummary___Track[[#This Row],[Track ID]])</f>
        <v>1</v>
      </c>
      <c r="AA752" s="114">
        <f>_xlfn.NUMBERVALUE(RIGHT(ReportSummary___Track[[#This Row],[Track ID]],4))</f>
        <v>35</v>
      </c>
      <c r="AB752" s="78"/>
    </row>
    <row r="753" spans="5:28" ht="14.25" customHeight="1" x14ac:dyDescent="0.2">
      <c r="E753" s="74">
        <v>45803.277777777781</v>
      </c>
      <c r="F753" s="107" t="s">
        <v>275</v>
      </c>
      <c r="G753" s="142">
        <v>51900.520772886579</v>
      </c>
      <c r="H753" s="142">
        <v>159191.31296359556</v>
      </c>
      <c r="I753" s="142">
        <v>18.866</v>
      </c>
      <c r="J753" s="142">
        <v>51900.165132696296</v>
      </c>
      <c r="K753" s="142">
        <v>159190.04890859168</v>
      </c>
      <c r="L753" s="142">
        <v>18.859124333313233</v>
      </c>
      <c r="M753" s="145">
        <v>6.8756666867670901E-3</v>
      </c>
      <c r="N753" s="145">
        <v>1.3131497525281857</v>
      </c>
      <c r="O753" s="145">
        <v>1.9798409327442812E-3</v>
      </c>
      <c r="P753" s="145">
        <v>3.3198578233886167E-3</v>
      </c>
      <c r="Q7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7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0.59570911046091801</v>
      </c>
      <c r="S7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-0.6312478592782611</v>
      </c>
      <c r="T7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0.30466812085450101</v>
      </c>
      <c r="U7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7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1.6431828446239471E-4</v>
      </c>
      <c r="W7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-6.2411272381268645E-4</v>
      </c>
      <c r="X7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-3.3757173854809253E-4</v>
      </c>
      <c r="Y753" s="162" t="str">
        <f>ReportSummary___Track[[#This Row],[Track ID]]&amp;"-"&amp;ReportSummary___Track[[#This Row],[Epoch]]</f>
        <v>250-RL-OP-0036-45803.2777777778</v>
      </c>
      <c r="Z753" s="126">
        <f>SUBTOTAL(103,ReportSummary___Track[[#This Row],[Track ID]])</f>
        <v>1</v>
      </c>
      <c r="AA753" s="114">
        <f>_xlfn.NUMBERVALUE(RIGHT(ReportSummary___Track[[#This Row],[Track ID]],4))</f>
        <v>36</v>
      </c>
      <c r="AB753" s="78"/>
    </row>
    <row r="754" spans="5:28" ht="14.25" customHeight="1" x14ac:dyDescent="0.2">
      <c r="E754" s="74">
        <v>45803.277777777781</v>
      </c>
      <c r="F754" s="107" t="s">
        <v>276</v>
      </c>
      <c r="G754" s="142">
        <v>51901.483797341636</v>
      </c>
      <c r="H754" s="142">
        <v>159191.04354960378</v>
      </c>
      <c r="I754" s="142">
        <v>18.866</v>
      </c>
      <c r="J754" s="142">
        <v>51901.127777047812</v>
      </c>
      <c r="K754" s="142">
        <v>159189.7781403772</v>
      </c>
      <c r="L754" s="142">
        <v>18.858471250306774</v>
      </c>
      <c r="M754" s="145">
        <v>7.5287496932254783E-3</v>
      </c>
      <c r="N754" s="145">
        <v>1.314559866426573</v>
      </c>
      <c r="O754" s="145">
        <v>1.9667595564136775E-3</v>
      </c>
      <c r="P754" s="145">
        <v>3.6426449530573279E-3</v>
      </c>
      <c r="Q7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2.5288923310995415E-4</v>
      </c>
      <c r="R7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0.28745983361555538</v>
      </c>
      <c r="S7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-0.28387381074068685</v>
      </c>
      <c r="T7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-0.37126260904329911</v>
      </c>
      <c r="U7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1.2334966481120091E-5</v>
      </c>
      <c r="V7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7.4764643687386112E-5</v>
      </c>
      <c r="W7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-2.6996855161698363E-4</v>
      </c>
      <c r="X7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-6.7365689199760936E-4</v>
      </c>
      <c r="Y754" s="162" t="str">
        <f>ReportSummary___Track[[#This Row],[Track ID]]&amp;"-"&amp;ReportSummary___Track[[#This Row],[Epoch]]</f>
        <v>250-RL-OP-0037-45803.2777777778</v>
      </c>
      <c r="Z754" s="126">
        <f>SUBTOTAL(103,ReportSummary___Track[[#This Row],[Track ID]])</f>
        <v>1</v>
      </c>
      <c r="AA754" s="114">
        <f>_xlfn.NUMBERVALUE(RIGHT(ReportSummary___Track[[#This Row],[Track ID]],4))</f>
        <v>37</v>
      </c>
      <c r="AB754" s="78"/>
    </row>
    <row r="755" spans="5:28" ht="14.25" customHeight="1" x14ac:dyDescent="0.2">
      <c r="E755" s="74">
        <v>45803.277777777781</v>
      </c>
      <c r="F755" s="107" t="s">
        <v>277</v>
      </c>
      <c r="G755" s="142">
        <v>51902.446769943585</v>
      </c>
      <c r="H755" s="142">
        <v>159190.77524554107</v>
      </c>
      <c r="I755" s="142">
        <v>18.866124762962976</v>
      </c>
      <c r="J755" s="142">
        <v>51902.09886421683</v>
      </c>
      <c r="K755" s="142">
        <v>159189.50601731395</v>
      </c>
      <c r="L755" s="142">
        <v>18.857900000000001</v>
      </c>
      <c r="M755" s="145">
        <v>8.2247629629748076E-3</v>
      </c>
      <c r="N755" s="145">
        <v>1.3160723133411556</v>
      </c>
      <c r="O755" s="145">
        <v>2.0021792826625529E-3</v>
      </c>
      <c r="P755" s="145">
        <v>3.9951015917445432E-3</v>
      </c>
      <c r="Q7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7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4.6881941268228644E-2</v>
      </c>
      <c r="S7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-6.1697768671820086E-5</v>
      </c>
      <c r="T7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-0.97868360557384904</v>
      </c>
      <c r="U7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7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-1.0446636558247846E-5</v>
      </c>
      <c r="W7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-3.7962166032912137E-7</v>
      </c>
      <c r="X7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-9.7863651765095483E-4</v>
      </c>
      <c r="Y755" s="162" t="str">
        <f>ReportSummary___Track[[#This Row],[Track ID]]&amp;"-"&amp;ReportSummary___Track[[#This Row],[Epoch]]</f>
        <v>250-RL-OP-0038-45803.2777777778</v>
      </c>
      <c r="Z755" s="126">
        <f>SUBTOTAL(103,ReportSummary___Track[[#This Row],[Track ID]])</f>
        <v>1</v>
      </c>
      <c r="AA755" s="114">
        <f>_xlfn.NUMBERVALUE(RIGHT(ReportSummary___Track[[#This Row],[Track ID]],4))</f>
        <v>38</v>
      </c>
      <c r="AB755" s="78"/>
    </row>
    <row r="756" spans="5:28" ht="14.25" customHeight="1" x14ac:dyDescent="0.2">
      <c r="E756" s="74">
        <v>45803.277777777781</v>
      </c>
      <c r="F756" s="107" t="s">
        <v>278</v>
      </c>
      <c r="G756" s="142">
        <v>51903.411366943481</v>
      </c>
      <c r="H756" s="142">
        <v>159190.51151814224</v>
      </c>
      <c r="I756" s="142">
        <v>18.866822542397969</v>
      </c>
      <c r="J756" s="142">
        <v>51903.063469723798</v>
      </c>
      <c r="K756" s="142">
        <v>159189.24232010896</v>
      </c>
      <c r="L756" s="142">
        <v>18.857900000000001</v>
      </c>
      <c r="M756" s="145">
        <v>8.9225423979684138E-3</v>
      </c>
      <c r="N756" s="145">
        <v>1.3160454912088495</v>
      </c>
      <c r="O756" s="145">
        <v>2.0468757112013236E-3</v>
      </c>
      <c r="P756" s="145">
        <v>4.0267166439456048E-3</v>
      </c>
      <c r="Q7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-2.6371636607791515E-4</v>
      </c>
      <c r="R7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0.36778854417773843</v>
      </c>
      <c r="S7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-4.0100965748024464E-4</v>
      </c>
      <c r="T7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-0.63164886893574135</v>
      </c>
      <c r="U7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-3.358293518829214E-7</v>
      </c>
      <c r="V7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-1.0168399626975244E-5</v>
      </c>
      <c r="W7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-6.6676541727872518E-6</v>
      </c>
      <c r="X7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-6.3078037798547371E-4</v>
      </c>
      <c r="Y756" s="162" t="str">
        <f>ReportSummary___Track[[#This Row],[Track ID]]&amp;"-"&amp;ReportSummary___Track[[#This Row],[Epoch]]</f>
        <v>250-RL-OP-0039-45803.2777777778</v>
      </c>
      <c r="Z756" s="126">
        <f>SUBTOTAL(103,ReportSummary___Track[[#This Row],[Track ID]])</f>
        <v>1</v>
      </c>
      <c r="AA756" s="114">
        <f>_xlfn.NUMBERVALUE(RIGHT(ReportSummary___Track[[#This Row],[Track ID]],4))</f>
        <v>39</v>
      </c>
      <c r="AB756" s="78"/>
    </row>
    <row r="757" spans="5:28" ht="14.25" customHeight="1" x14ac:dyDescent="0.2">
      <c r="E757" s="74">
        <v>45803.277777777781</v>
      </c>
      <c r="F757" s="107" t="s">
        <v>279</v>
      </c>
      <c r="G757" s="142">
        <v>51904.375963943377</v>
      </c>
      <c r="H757" s="142">
        <v>159190.24779074339</v>
      </c>
      <c r="I757" s="142">
        <v>18.867520321832963</v>
      </c>
      <c r="J757" s="142">
        <v>51904.028075230774</v>
      </c>
      <c r="K757" s="142">
        <v>159188.97862290396</v>
      </c>
      <c r="L757" s="142">
        <v>18.857900000000001</v>
      </c>
      <c r="M757" s="145">
        <v>9.6203218329620199E-3</v>
      </c>
      <c r="N757" s="145">
        <v>1.3160190392241899</v>
      </c>
      <c r="O757" s="145">
        <v>2.0915721397365417E-3</v>
      </c>
      <c r="P757" s="145">
        <v>4.0583316961502192E-3</v>
      </c>
      <c r="Q7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-4.8743231673142873E-4</v>
      </c>
      <c r="R7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0.68869243454883211</v>
      </c>
      <c r="S7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-7.4032154984138288E-4</v>
      </c>
      <c r="T7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-0.28461413229052823</v>
      </c>
      <c r="U7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-6.2072021478343231E-7</v>
      </c>
      <c r="V7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-9.8905183079089909E-6</v>
      </c>
      <c r="W7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-1.2955686695903523E-5</v>
      </c>
      <c r="X7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-2.8292423831288716E-4</v>
      </c>
      <c r="Y757" s="162" t="str">
        <f>ReportSummary___Track[[#This Row],[Track ID]]&amp;"-"&amp;ReportSummary___Track[[#This Row],[Epoch]]</f>
        <v>250-RL-OP-0040-45803.2777777778</v>
      </c>
      <c r="Z757" s="126">
        <f>SUBTOTAL(103,ReportSummary___Track[[#This Row],[Track ID]])</f>
        <v>1</v>
      </c>
      <c r="AA757" s="114">
        <f>_xlfn.NUMBERVALUE(RIGHT(ReportSummary___Track[[#This Row],[Track ID]],4))</f>
        <v>40</v>
      </c>
      <c r="AB757" s="78"/>
    </row>
    <row r="758" spans="5:28" ht="14.25" customHeight="1" x14ac:dyDescent="0.2">
      <c r="E758" s="74">
        <v>45803.277777777781</v>
      </c>
      <c r="F758" s="107" t="s">
        <v>280</v>
      </c>
      <c r="G758" s="142">
        <v>51905.341841450259</v>
      </c>
      <c r="H758" s="142">
        <v>159189.98517913549</v>
      </c>
      <c r="I758" s="142">
        <v>18.868392406740742</v>
      </c>
      <c r="J758" s="142">
        <v>51905.003861376892</v>
      </c>
      <c r="K758" s="142">
        <v>159188.71299131436</v>
      </c>
      <c r="L758" s="142">
        <v>18.858104705007346</v>
      </c>
      <c r="M758" s="145">
        <v>1.0287701733396659E-2</v>
      </c>
      <c r="N758" s="145">
        <v>1.3163579372773708</v>
      </c>
      <c r="O758" s="145">
        <v>2.0629387704218516E-3</v>
      </c>
      <c r="P758" s="145">
        <v>4.0651180530844044E-3</v>
      </c>
      <c r="Q7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-1.8847067906335724E-5</v>
      </c>
      <c r="R7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0.91816397562327623</v>
      </c>
      <c r="S7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2.1153343965352178E-5</v>
      </c>
      <c r="T7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-4.0544424706467908E-5</v>
      </c>
      <c r="U7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-7.1051374561648117E-8</v>
      </c>
      <c r="V7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1.2785096406009444E-5</v>
      </c>
      <c r="W7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-2.0112885579237627E-8</v>
      </c>
      <c r="X7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-3.99734545908359E-7</v>
      </c>
      <c r="Y758" s="162" t="str">
        <f>ReportSummary___Track[[#This Row],[Track ID]]&amp;"-"&amp;ReportSummary___Track[[#This Row],[Epoch]]</f>
        <v>250-RL-OP-0041-45803.2777777778</v>
      </c>
      <c r="Z758" s="126">
        <f>SUBTOTAL(103,ReportSummary___Track[[#This Row],[Track ID]])</f>
        <v>1</v>
      </c>
      <c r="AA758" s="114">
        <f>_xlfn.NUMBERVALUE(RIGHT(ReportSummary___Track[[#This Row],[Track ID]],4))</f>
        <v>41</v>
      </c>
      <c r="AB758" s="78"/>
    </row>
    <row r="759" spans="5:28" ht="14.25" customHeight="1" x14ac:dyDescent="0.2">
      <c r="E759" s="74">
        <v>45803.277777777781</v>
      </c>
      <c r="F759" s="107" t="s">
        <v>281</v>
      </c>
      <c r="G759" s="142">
        <v>51906.308594977017</v>
      </c>
      <c r="H759" s="142">
        <v>159189.72947487878</v>
      </c>
      <c r="I759" s="142">
        <v>18.870110425193985</v>
      </c>
      <c r="J759" s="142">
        <v>51905.970489987638</v>
      </c>
      <c r="K759" s="142">
        <v>159188.45681371962</v>
      </c>
      <c r="L759" s="142">
        <v>18.859577402901905</v>
      </c>
      <c r="M759" s="145">
        <v>1.0533022292079863E-2</v>
      </c>
      <c r="N759" s="145">
        <v>1.3168494046197401</v>
      </c>
      <c r="O759" s="145">
        <v>1.6104798941114495E-3</v>
      </c>
      <c r="P759" s="145">
        <v>3.6573556053127732E-3</v>
      </c>
      <c r="Q7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-1.5443749035171095E-4</v>
      </c>
      <c r="R7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0.57099669457172375</v>
      </c>
      <c r="S7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1.0927887572620421E-4</v>
      </c>
      <c r="T7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-2.9173078175404044E-4</v>
      </c>
      <c r="U7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-5.8221230148092218E-7</v>
      </c>
      <c r="V7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1.0476377970580764E-4</v>
      </c>
      <c r="W7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-2.4638294959800078E-7</v>
      </c>
      <c r="X7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-6.9140371223852526E-6</v>
      </c>
      <c r="Y759" s="162" t="str">
        <f>ReportSummary___Track[[#This Row],[Track ID]]&amp;"-"&amp;ReportSummary___Track[[#This Row],[Epoch]]</f>
        <v>250-RL-OP-0042-45803.2777777778</v>
      </c>
      <c r="Z759" s="126">
        <f>SUBTOTAL(103,ReportSummary___Track[[#This Row],[Track ID]])</f>
        <v>1</v>
      </c>
      <c r="AA759" s="114">
        <f>_xlfn.NUMBERVALUE(RIGHT(ReportSummary___Track[[#This Row],[Track ID]],4))</f>
        <v>42</v>
      </c>
      <c r="AB759" s="78"/>
    </row>
    <row r="760" spans="5:28" ht="14.25" customHeight="1" x14ac:dyDescent="0.2">
      <c r="E760" s="74">
        <v>45803.277777777781</v>
      </c>
      <c r="F760" s="107" t="s">
        <v>282</v>
      </c>
      <c r="G760" s="142">
        <v>51907.275348503776</v>
      </c>
      <c r="H760" s="142">
        <v>159189.47377062205</v>
      </c>
      <c r="I760" s="142">
        <v>18.871828443647232</v>
      </c>
      <c r="J760" s="142">
        <v>51906.937118598384</v>
      </c>
      <c r="K760" s="142">
        <v>159188.20063612488</v>
      </c>
      <c r="L760" s="142">
        <v>18.861050100796465</v>
      </c>
      <c r="M760" s="145">
        <v>1.077834285076662E-2</v>
      </c>
      <c r="N760" s="145">
        <v>1.3173409161859542</v>
      </c>
      <c r="O760" s="145">
        <v>1.1580210178046002E-3</v>
      </c>
      <c r="P760" s="145">
        <v>3.2495931575411419E-3</v>
      </c>
      <c r="Q7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-2.9002790924437249E-4</v>
      </c>
      <c r="R7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0.22383036032880277</v>
      </c>
      <c r="S7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1.9740440748705623E-4</v>
      </c>
      <c r="T7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-5.4291714235432664E-4</v>
      </c>
      <c r="U7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-1.0933732284001962E-6</v>
      </c>
      <c r="V7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1.9674197695596085E-4</v>
      </c>
      <c r="W7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-4.7265301361676393E-7</v>
      </c>
      <c r="X7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-1.3428339709520287E-5</v>
      </c>
      <c r="Y760" s="162" t="str">
        <f>ReportSummary___Track[[#This Row],[Track ID]]&amp;"-"&amp;ReportSummary___Track[[#This Row],[Epoch]]</f>
        <v>250-RL-OP-0043-45803.2777777778</v>
      </c>
      <c r="Z760" s="126">
        <f>SUBTOTAL(103,ReportSummary___Track[[#This Row],[Track ID]])</f>
        <v>1</v>
      </c>
      <c r="AA760" s="114">
        <f>_xlfn.NUMBERVALUE(RIGHT(ReportSummary___Track[[#This Row],[Track ID]],4))</f>
        <v>43</v>
      </c>
      <c r="AB760" s="78"/>
    </row>
    <row r="761" spans="5:28" ht="14.25" customHeight="1" x14ac:dyDescent="0.2">
      <c r="E761" s="74">
        <v>45803.277777777781</v>
      </c>
      <c r="F761" s="107" t="s">
        <v>283</v>
      </c>
      <c r="G761" s="142">
        <v>51908.24283118709</v>
      </c>
      <c r="H761" s="142">
        <v>159189.22159764636</v>
      </c>
      <c r="I761" s="142">
        <v>18.873859694515247</v>
      </c>
      <c r="J761" s="142">
        <v>51907.904490809298</v>
      </c>
      <c r="K761" s="142">
        <v>159187.94809902433</v>
      </c>
      <c r="L761" s="142">
        <v>18.862831223906181</v>
      </c>
      <c r="M761" s="145">
        <v>1.1028470609065977E-2</v>
      </c>
      <c r="N761" s="145">
        <v>1.3177232557420655</v>
      </c>
      <c r="O761" s="145">
        <v>7.4076887566931759E-4</v>
      </c>
      <c r="P761" s="145">
        <v>2.8037076460911692E-3</v>
      </c>
      <c r="Q7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6.7772717216030287E-5</v>
      </c>
      <c r="R7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9.9213944643405938E-2</v>
      </c>
      <c r="S7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8.6619785122366011E-5</v>
      </c>
      <c r="T7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1.0777312908771819E-4</v>
      </c>
      <c r="U7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2.6827074606217138E-7</v>
      </c>
      <c r="V7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2.3137174107135117E-4</v>
      </c>
      <c r="W7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3.393221206238195E-7</v>
      </c>
      <c r="X7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3.1920923504458187E-7</v>
      </c>
      <c r="Y761" s="162" t="str">
        <f>ReportSummary___Track[[#This Row],[Track ID]]&amp;"-"&amp;ReportSummary___Track[[#This Row],[Epoch]]</f>
        <v>250-RL-OP-0044-45803.2777777778</v>
      </c>
      <c r="Z761" s="126">
        <f>SUBTOTAL(103,ReportSummary___Track[[#This Row],[Track ID]])</f>
        <v>1</v>
      </c>
      <c r="AA761" s="114">
        <f>_xlfn.NUMBERVALUE(RIGHT(ReportSummary___Track[[#This Row],[Track ID]],4))</f>
        <v>44</v>
      </c>
      <c r="AB761" s="78"/>
    </row>
    <row r="762" spans="5:28" ht="14.25" customHeight="1" x14ac:dyDescent="0.2">
      <c r="E762" s="74">
        <v>45803.277777777781</v>
      </c>
      <c r="F762" s="107" t="s">
        <v>284</v>
      </c>
      <c r="G762" s="142">
        <v>51909.212416550698</v>
      </c>
      <c r="H762" s="142">
        <v>159188.97685919519</v>
      </c>
      <c r="I762" s="142">
        <v>18.876563986793464</v>
      </c>
      <c r="J762" s="142">
        <v>51908.873743372133</v>
      </c>
      <c r="K762" s="142">
        <v>159187.70204215948</v>
      </c>
      <c r="L762" s="142">
        <v>18.865174019583129</v>
      </c>
      <c r="M762" s="145">
        <v>1.1389967210334362E-2</v>
      </c>
      <c r="N762" s="145">
        <v>1.3190859440400162</v>
      </c>
      <c r="O762" s="145">
        <v>8.5694491825449859E-4</v>
      </c>
      <c r="P762" s="145">
        <v>2.4674248123659481E-3</v>
      </c>
      <c r="Q7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2.8096151538647973E-4</v>
      </c>
      <c r="R7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0.41130492401175722</v>
      </c>
      <c r="S7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4.3539900573819068E-4</v>
      </c>
      <c r="T7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5.4467788146439489E-4</v>
      </c>
      <c r="U7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1.112154826898859E-6</v>
      </c>
      <c r="V7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1.5260816917339604E-4</v>
      </c>
      <c r="W7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1.6943671283797812E-6</v>
      </c>
      <c r="X7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1.4479841787817804E-6</v>
      </c>
      <c r="Y762" s="162" t="str">
        <f>ReportSummary___Track[[#This Row],[Track ID]]&amp;"-"&amp;ReportSummary___Track[[#This Row],[Epoch]]</f>
        <v>250-RL-OP-0045-45803.2777777778</v>
      </c>
      <c r="Z762" s="126">
        <f>SUBTOTAL(103,ReportSummary___Track[[#This Row],[Track ID]])</f>
        <v>1</v>
      </c>
      <c r="AA762" s="114">
        <f>_xlfn.NUMBERVALUE(RIGHT(ReportSummary___Track[[#This Row],[Track ID]],4))</f>
        <v>45</v>
      </c>
      <c r="AB762" s="78"/>
    </row>
    <row r="763" spans="5:28" ht="14.25" customHeight="1" x14ac:dyDescent="0.2">
      <c r="E763" s="74">
        <v>45803.277777777781</v>
      </c>
      <c r="F763" s="107" t="s">
        <v>285</v>
      </c>
      <c r="G763" s="142">
        <v>51910.182001914305</v>
      </c>
      <c r="H763" s="142">
        <v>159188.73212074401</v>
      </c>
      <c r="I763" s="142">
        <v>18.879268279071681</v>
      </c>
      <c r="J763" s="142">
        <v>51909.842995934967</v>
      </c>
      <c r="K763" s="142">
        <v>159187.4559852946</v>
      </c>
      <c r="L763" s="142">
        <v>18.867516815260082</v>
      </c>
      <c r="M763" s="145">
        <v>1.1751463811599194E-2</v>
      </c>
      <c r="N763" s="145">
        <v>1.3204487253128143</v>
      </c>
      <c r="O763" s="145">
        <v>9.7312096083257416E-4</v>
      </c>
      <c r="P763" s="145">
        <v>2.1311419786371744E-3</v>
      </c>
      <c r="Q7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4.9415031355692918E-4</v>
      </c>
      <c r="R7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0.72339461332626698</v>
      </c>
      <c r="S7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7.8417822280130167E-4</v>
      </c>
      <c r="T7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9.815826302883579E-4</v>
      </c>
      <c r="U7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1.956038904182833E-6</v>
      </c>
      <c r="V7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7.3845451349141555E-5</v>
      </c>
      <c r="W7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3.0494121325830292E-6</v>
      </c>
      <c r="X7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2.5767591189662653E-6</v>
      </c>
      <c r="Y763" s="162" t="str">
        <f>ReportSummary___Track[[#This Row],[Track ID]]&amp;"-"&amp;ReportSummary___Track[[#This Row],[Epoch]]</f>
        <v>250-RL-OP-0046-45803.2777777778</v>
      </c>
      <c r="Z763" s="126">
        <f>SUBTOTAL(103,ReportSummary___Track[[#This Row],[Track ID]])</f>
        <v>1</v>
      </c>
      <c r="AA763" s="114">
        <f>_xlfn.NUMBERVALUE(RIGHT(ReportSummary___Track[[#This Row],[Track ID]],4))</f>
        <v>46</v>
      </c>
      <c r="AB763" s="78"/>
    </row>
    <row r="764" spans="5:28" ht="14.25" customHeight="1" x14ac:dyDescent="0.2">
      <c r="E764" s="74">
        <v>45803.277777777781</v>
      </c>
      <c r="F764" s="107" t="s">
        <v>286</v>
      </c>
      <c r="G764" s="142">
        <v>51911.151124583565</v>
      </c>
      <c r="H764" s="142">
        <v>159188.48937362182</v>
      </c>
      <c r="I764" s="142">
        <v>18.882328441829319</v>
      </c>
      <c r="J764" s="142">
        <v>51910.834192576571</v>
      </c>
      <c r="K764" s="142">
        <v>159187.20651747842</v>
      </c>
      <c r="L764" s="142">
        <v>18.870138865821264</v>
      </c>
      <c r="M764" s="145">
        <v>1.2189576008054814E-2</v>
      </c>
      <c r="N764" s="145">
        <v>1.321481883144467</v>
      </c>
      <c r="O764" s="145">
        <v>1.1611053989888376E-3</v>
      </c>
      <c r="P764" s="145">
        <v>1.9018742746581552E-3</v>
      </c>
      <c r="Q7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2.7440568715064728E-3</v>
      </c>
      <c r="R7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0.88178727339482954</v>
      </c>
      <c r="S7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2.6762841542904425E-3</v>
      </c>
      <c r="T7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2.7629039394128085E-3</v>
      </c>
      <c r="U7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-7.4107565541936538E-5</v>
      </c>
      <c r="V7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-5.4885237267043863E-5</v>
      </c>
      <c r="W7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-7.4375836287998709E-5</v>
      </c>
      <c r="X7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-7.4036514167374889E-5</v>
      </c>
      <c r="Y764" s="162" t="str">
        <f>ReportSummary___Track[[#This Row],[Track ID]]&amp;"-"&amp;ReportSummary___Track[[#This Row],[Epoch]]</f>
        <v>250-RL-OP-0047-45803.2777777778</v>
      </c>
      <c r="Z764" s="126">
        <f>SUBTOTAL(103,ReportSummary___Track[[#This Row],[Track ID]])</f>
        <v>1</v>
      </c>
      <c r="AA764" s="114">
        <f>_xlfn.NUMBERVALUE(RIGHT(ReportSummary___Track[[#This Row],[Track ID]],4))</f>
        <v>47</v>
      </c>
      <c r="AB764" s="78"/>
    </row>
    <row r="765" spans="5:28" ht="14.25" customHeight="1" x14ac:dyDescent="0.2">
      <c r="E765" s="74">
        <v>45803.277777777781</v>
      </c>
      <c r="F765" s="107" t="s">
        <v>287</v>
      </c>
      <c r="G765" s="142">
        <v>51912.122778205805</v>
      </c>
      <c r="H765" s="142">
        <v>159188.25300560394</v>
      </c>
      <c r="I765" s="142">
        <v>18.886732814833675</v>
      </c>
      <c r="J765" s="142">
        <v>51911.805757288297</v>
      </c>
      <c r="K765" s="142">
        <v>159186.96976749389</v>
      </c>
      <c r="L765" s="142">
        <v>18.873523500824753</v>
      </c>
      <c r="M765" s="145">
        <v>1.320931400892178E-2</v>
      </c>
      <c r="N765" s="145">
        <v>1.3218838054785436</v>
      </c>
      <c r="O765" s="145">
        <v>1.8193467985874179E-3</v>
      </c>
      <c r="P765" s="145">
        <v>2.6762917168419165E-3</v>
      </c>
      <c r="Q7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3.3470256610712568E-3</v>
      </c>
      <c r="R7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0.45965309839579582</v>
      </c>
      <c r="S7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3.066064145684777E-3</v>
      </c>
      <c r="T7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3.5014631514229677E-3</v>
      </c>
      <c r="U7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-4.2566148175637863E-4</v>
      </c>
      <c r="V7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-3.1563216042895803E-4</v>
      </c>
      <c r="W7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-4.2677363658327749E-4</v>
      </c>
      <c r="X7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-4.2507926945489771E-4</v>
      </c>
      <c r="Y765" s="162" t="str">
        <f>ReportSummary___Track[[#This Row],[Track ID]]&amp;"-"&amp;ReportSummary___Track[[#This Row],[Epoch]]</f>
        <v>250-RL-OP-0048-45803.2777777778</v>
      </c>
      <c r="Z765" s="126">
        <f>SUBTOTAL(103,ReportSummary___Track[[#This Row],[Track ID]])</f>
        <v>1</v>
      </c>
      <c r="AA765" s="114">
        <f>_xlfn.NUMBERVALUE(RIGHT(ReportSummary___Track[[#This Row],[Track ID]],4))</f>
        <v>48</v>
      </c>
      <c r="AB765" s="78"/>
    </row>
    <row r="766" spans="5:28" ht="14.25" customHeight="1" x14ac:dyDescent="0.2">
      <c r="E766" s="74">
        <v>45803.277777777781</v>
      </c>
      <c r="F766" s="107" t="s">
        <v>288</v>
      </c>
      <c r="G766" s="142">
        <v>51913.094431828045</v>
      </c>
      <c r="H766" s="142">
        <v>159188.01663758603</v>
      </c>
      <c r="I766" s="142">
        <v>18.89113718783803</v>
      </c>
      <c r="J766" s="142">
        <v>51912.777322000016</v>
      </c>
      <c r="K766" s="142">
        <v>159186.73301750934</v>
      </c>
      <c r="L766" s="142">
        <v>18.876908135828241</v>
      </c>
      <c r="M766" s="145">
        <v>1.4229052009788745E-2</v>
      </c>
      <c r="N766" s="145">
        <v>1.3222865083773701</v>
      </c>
      <c r="O766" s="145">
        <v>2.4775881981895509E-3</v>
      </c>
      <c r="P766" s="145">
        <v>3.450709159022125E-3</v>
      </c>
      <c r="Q7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3.9499944541887544E-3</v>
      </c>
      <c r="R7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3.7526025835177279E-2</v>
      </c>
      <c r="S7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3.4558441406318252E-3</v>
      </c>
      <c r="T7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4.2400223634331269E-3</v>
      </c>
      <c r="U7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-7.7721539797437345E-4</v>
      </c>
      <c r="V7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-5.7700676617011837E-4</v>
      </c>
      <c r="W7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-7.7917143687855628E-4</v>
      </c>
      <c r="X7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-7.7612202474597325E-4</v>
      </c>
      <c r="Y766" s="162" t="str">
        <f>ReportSummary___Track[[#This Row],[Track ID]]&amp;"-"&amp;ReportSummary___Track[[#This Row],[Epoch]]</f>
        <v>250-RL-OP-0049-45803.2777777778</v>
      </c>
      <c r="Z766" s="126">
        <f>SUBTOTAL(103,ReportSummary___Track[[#This Row],[Track ID]])</f>
        <v>1</v>
      </c>
      <c r="AA766" s="114">
        <f>_xlfn.NUMBERVALUE(RIGHT(ReportSummary___Track[[#This Row],[Track ID]],4))</f>
        <v>49</v>
      </c>
      <c r="AB766" s="78"/>
    </row>
    <row r="767" spans="5:28" ht="14.25" customHeight="1" x14ac:dyDescent="0.2">
      <c r="E767" s="74">
        <v>45798.743055555555</v>
      </c>
      <c r="F767" s="107" t="s">
        <v>235</v>
      </c>
      <c r="G767" s="142">
        <v>51886.101813663445</v>
      </c>
      <c r="H767" s="142">
        <v>159195.44642124095</v>
      </c>
      <c r="I767" s="142">
        <v>18.869774662204115</v>
      </c>
      <c r="J767" s="142">
        <v>51885.74197615045</v>
      </c>
      <c r="K767" s="142">
        <v>159194.186695724</v>
      </c>
      <c r="L767" s="142">
        <v>18.865787569704999</v>
      </c>
      <c r="M767" s="145">
        <v>3.9870924991163292E-3</v>
      </c>
      <c r="N767" s="145">
        <v>1.3101172889202046</v>
      </c>
      <c r="O767" s="145"/>
      <c r="P767" s="145"/>
      <c r="Q7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-0.28167224687791759</v>
      </c>
      <c r="R7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-8.8746720505739063E-4</v>
      </c>
      <c r="S76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6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2.1407554839925069E-8</v>
      </c>
      <c r="V7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6.9063980471906206E-4</v>
      </c>
      <c r="W76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6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67" s="162" t="str">
        <f>ReportSummary___Track[[#This Row],[Track ID]]&amp;"-"&amp;ReportSummary___Track[[#This Row],[Epoch]]</f>
        <v>250-RL-OP-0021-45798.7430555556</v>
      </c>
      <c r="Z767" s="126">
        <f>SUBTOTAL(103,ReportSummary___Track[[#This Row],[Track ID]])</f>
        <v>1</v>
      </c>
      <c r="AA767" s="114">
        <f>_xlfn.NUMBERVALUE(RIGHT(ReportSummary___Track[[#This Row],[Track ID]],4))</f>
        <v>21</v>
      </c>
      <c r="AB767" s="78"/>
    </row>
    <row r="768" spans="5:28" ht="14.25" customHeight="1" x14ac:dyDescent="0.2">
      <c r="E768" s="74">
        <v>45798.743055555555</v>
      </c>
      <c r="F768" s="107" t="s">
        <v>236</v>
      </c>
      <c r="G768" s="142">
        <v>51887.063368914656</v>
      </c>
      <c r="H768" s="142">
        <v>159195.17180983879</v>
      </c>
      <c r="I768" s="142">
        <v>18.869497766411676</v>
      </c>
      <c r="J768" s="142">
        <v>51886.703005177442</v>
      </c>
      <c r="K768" s="142">
        <v>159193.91024827689</v>
      </c>
      <c r="L768" s="142">
        <v>18.865652437138895</v>
      </c>
      <c r="M768" s="145">
        <v>3.8453292727815835E-3</v>
      </c>
      <c r="N768" s="145">
        <v>1.3120268229419658</v>
      </c>
      <c r="O768" s="145"/>
      <c r="P768" s="145"/>
      <c r="Q7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-0.62779198991691487</v>
      </c>
      <c r="R7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-1.9901531203014855E-3</v>
      </c>
      <c r="S76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6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4.7713228923385032E-8</v>
      </c>
      <c r="V7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3.5779638027033656E-4</v>
      </c>
      <c r="W76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6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68" s="162" t="str">
        <f>ReportSummary___Track[[#This Row],[Track ID]]&amp;"-"&amp;ReportSummary___Track[[#This Row],[Epoch]]</f>
        <v>250-RL-OP-0022-45798.7430555556</v>
      </c>
      <c r="Z768" s="126">
        <f>SUBTOTAL(103,ReportSummary___Track[[#This Row],[Track ID]])</f>
        <v>1</v>
      </c>
      <c r="AA768" s="114">
        <f>_xlfn.NUMBERVALUE(RIGHT(ReportSummary___Track[[#This Row],[Track ID]],4))</f>
        <v>22</v>
      </c>
      <c r="AB768" s="78"/>
    </row>
    <row r="769" spans="5:28" ht="14.25" customHeight="1" x14ac:dyDescent="0.2">
      <c r="E769" s="74">
        <v>45798.743055555555</v>
      </c>
      <c r="F769" s="107" t="s">
        <v>237</v>
      </c>
      <c r="G769" s="142">
        <v>51888.024924165868</v>
      </c>
      <c r="H769" s="142">
        <v>159194.89719843664</v>
      </c>
      <c r="I769" s="142">
        <v>18.869220870619237</v>
      </c>
      <c r="J769" s="142">
        <v>51887.664034204441</v>
      </c>
      <c r="K769" s="142">
        <v>159193.63380082979</v>
      </c>
      <c r="L769" s="142">
        <v>18.865517304572791</v>
      </c>
      <c r="M769" s="145">
        <v>3.7035660464468378E-3</v>
      </c>
      <c r="N769" s="145">
        <v>1.3139363735147429</v>
      </c>
      <c r="O769" s="145"/>
      <c r="P769" s="145"/>
      <c r="Q7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-0.97391173295591216</v>
      </c>
      <c r="R7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-3.1060956446893329E-3</v>
      </c>
      <c r="S76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6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7.4018899454131315E-8</v>
      </c>
      <c r="V7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2.495269823477031E-5</v>
      </c>
      <c r="W76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6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69" s="162" t="str">
        <f>ReportSummary___Track[[#This Row],[Track ID]]&amp;"-"&amp;ReportSummary___Track[[#This Row],[Epoch]]</f>
        <v>250-RL-OP-0023-45798.7430555556</v>
      </c>
      <c r="Z769" s="126">
        <f>SUBTOTAL(103,ReportSummary___Track[[#This Row],[Track ID]])</f>
        <v>1</v>
      </c>
      <c r="AA769" s="114">
        <f>_xlfn.NUMBERVALUE(RIGHT(ReportSummary___Track[[#This Row],[Track ID]],4))</f>
        <v>23</v>
      </c>
      <c r="AB769" s="78"/>
    </row>
    <row r="770" spans="5:28" ht="14.25" customHeight="1" x14ac:dyDescent="0.2">
      <c r="E770" s="74">
        <v>45798.743055555555</v>
      </c>
      <c r="F770" s="107" t="s">
        <v>238</v>
      </c>
      <c r="G770" s="142">
        <v>51888.986288492531</v>
      </c>
      <c r="H770" s="142">
        <v>159194.62201568196</v>
      </c>
      <c r="I770" s="142">
        <v>18.868826216423926</v>
      </c>
      <c r="J770" s="142">
        <v>51888.624104054346</v>
      </c>
      <c r="K770" s="142">
        <v>159193.35707270369</v>
      </c>
      <c r="L770" s="142">
        <v>18.864752301102019</v>
      </c>
      <c r="M770" s="145">
        <v>4.0739153219071511E-3</v>
      </c>
      <c r="N770" s="145">
        <v>1.3157791996908479</v>
      </c>
      <c r="O770" s="145">
        <v>8.6822822790821874E-5</v>
      </c>
      <c r="P770" s="145"/>
      <c r="Q7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-0.6885062371715378</v>
      </c>
      <c r="R7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9.7703590320463718E-3</v>
      </c>
      <c r="S7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-0.40683399029362022</v>
      </c>
      <c r="T77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1.2406992166091868E-5</v>
      </c>
      <c r="V7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3.8922497447302362E-8</v>
      </c>
      <c r="W7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1.2385584611251943E-5</v>
      </c>
      <c r="X77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70" s="162" t="str">
        <f>ReportSummary___Track[[#This Row],[Track ID]]&amp;"-"&amp;ReportSummary___Track[[#This Row],[Epoch]]</f>
        <v>250-RL-OP-0024-45798.7430555556</v>
      </c>
      <c r="Z770" s="126">
        <f>SUBTOTAL(103,ReportSummary___Track[[#This Row],[Track ID]])</f>
        <v>1</v>
      </c>
      <c r="AA770" s="114">
        <f>_xlfn.NUMBERVALUE(RIGHT(ReportSummary___Track[[#This Row],[Track ID]],4))</f>
        <v>24</v>
      </c>
      <c r="AB770" s="78"/>
    </row>
    <row r="771" spans="5:28" ht="14.25" customHeight="1" x14ac:dyDescent="0.2">
      <c r="E771" s="74">
        <v>45798.743055555555</v>
      </c>
      <c r="F771" s="107" t="s">
        <v>239</v>
      </c>
      <c r="G771" s="142">
        <v>51889.947664755273</v>
      </c>
      <c r="H771" s="142">
        <v>159194.34677847879</v>
      </c>
      <c r="I771" s="142">
        <v>18.868421951254046</v>
      </c>
      <c r="J771" s="142">
        <v>51889.584962801164</v>
      </c>
      <c r="K771" s="142">
        <v>159193.08003528396</v>
      </c>
      <c r="L771" s="142">
        <v>18.863893962337269</v>
      </c>
      <c r="M771" s="145">
        <v>4.5279889167773035E-3</v>
      </c>
      <c r="N771" s="145">
        <v>1.3176537981809908</v>
      </c>
      <c r="O771" s="145">
        <v>6.8265964399571999E-4</v>
      </c>
      <c r="P771" s="145"/>
      <c r="Q7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-0.35160581236581834</v>
      </c>
      <c r="R7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4.8078640273452322E-3</v>
      </c>
      <c r="S7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0.27618617755109653</v>
      </c>
      <c r="T77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5.959409794087378E-6</v>
      </c>
      <c r="V7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2.1698336905018323E-8</v>
      </c>
      <c r="W7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5.911696565163993E-6</v>
      </c>
      <c r="X77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71" s="162" t="str">
        <f>ReportSummary___Track[[#This Row],[Track ID]]&amp;"-"&amp;ReportSummary___Track[[#This Row],[Epoch]]</f>
        <v>250-RL-OP-0025-45798.7430555556</v>
      </c>
      <c r="Z771" s="126">
        <f>SUBTOTAL(103,ReportSummary___Track[[#This Row],[Track ID]])</f>
        <v>1</v>
      </c>
      <c r="AA771" s="114">
        <f>_xlfn.NUMBERVALUE(RIGHT(ReportSummary___Track[[#This Row],[Track ID]],4))</f>
        <v>25</v>
      </c>
      <c r="AB771" s="78"/>
    </row>
    <row r="772" spans="5:28" ht="14.25" customHeight="1" x14ac:dyDescent="0.2">
      <c r="E772" s="74">
        <v>45798.743055555555</v>
      </c>
      <c r="F772" s="107" t="s">
        <v>240</v>
      </c>
      <c r="G772" s="142">
        <v>51890.909041018014</v>
      </c>
      <c r="H772" s="142">
        <v>159194.07154127565</v>
      </c>
      <c r="I772" s="142">
        <v>18.868017686084166</v>
      </c>
      <c r="J772" s="142">
        <v>51890.545821547981</v>
      </c>
      <c r="K772" s="142">
        <v>159192.80299786426</v>
      </c>
      <c r="L772" s="142">
        <v>18.863035623572515</v>
      </c>
      <c r="M772" s="145">
        <v>4.9820625116510087E-3</v>
      </c>
      <c r="N772" s="145">
        <v>1.3195285487449451</v>
      </c>
      <c r="O772" s="145">
        <v>1.2784964652041708E-3</v>
      </c>
      <c r="P772" s="145"/>
      <c r="Q7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-1.4705387556546157E-2</v>
      </c>
      <c r="R7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-1.1804263122527914E-5</v>
      </c>
      <c r="S7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0.959206345399366</v>
      </c>
      <c r="T77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-4.8817257791711199E-7</v>
      </c>
      <c r="V7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5.7543747544741564E-11</v>
      </c>
      <c r="W7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-5.6219147737124331E-7</v>
      </c>
      <c r="X77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72" s="162" t="str">
        <f>ReportSummary___Track[[#This Row],[Track ID]]&amp;"-"&amp;ReportSummary___Track[[#This Row],[Epoch]]</f>
        <v>250-RL-OP-0026-45798.7430555556</v>
      </c>
      <c r="Z772" s="126">
        <f>SUBTOTAL(103,ReportSummary___Track[[#This Row],[Track ID]])</f>
        <v>1</v>
      </c>
      <c r="AA772" s="114">
        <f>_xlfn.NUMBERVALUE(RIGHT(ReportSummary___Track[[#This Row],[Track ID]],4))</f>
        <v>26</v>
      </c>
      <c r="AB772" s="78"/>
    </row>
    <row r="773" spans="5:28" ht="14.25" customHeight="1" x14ac:dyDescent="0.2">
      <c r="E773" s="74">
        <v>45798.743055555555</v>
      </c>
      <c r="F773" s="107" t="s">
        <v>241</v>
      </c>
      <c r="G773" s="142">
        <v>51891.869997674046</v>
      </c>
      <c r="H773" s="142">
        <v>159193.79503821288</v>
      </c>
      <c r="I773" s="142">
        <v>18.865661670375356</v>
      </c>
      <c r="J773" s="142">
        <v>51891.504266656018</v>
      </c>
      <c r="K773" s="142">
        <v>159192.52660920296</v>
      </c>
      <c r="L773" s="142">
        <v>18.860959388577548</v>
      </c>
      <c r="M773" s="145">
        <v>4.7022817978081832E-3</v>
      </c>
      <c r="N773" s="145">
        <v>1.3201111476657097</v>
      </c>
      <c r="O773" s="145">
        <v>6.2836647590103212E-4</v>
      </c>
      <c r="P773" s="145">
        <v>7.1518929869185399E-4</v>
      </c>
      <c r="Q7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-6.6452372493586154E-4</v>
      </c>
      <c r="R7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-8.9780051292009944E-2</v>
      </c>
      <c r="S7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0.68784171344660194</v>
      </c>
      <c r="T7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0.28100772315298173</v>
      </c>
      <c r="U7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3.2396698764003418E-4</v>
      </c>
      <c r="V7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-4.1572607649698057E-6</v>
      </c>
      <c r="W7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3.1155999547394231E-4</v>
      </c>
      <c r="X7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3.2394558008519425E-4</v>
      </c>
      <c r="Y773" s="162" t="str">
        <f>ReportSummary___Track[[#This Row],[Track ID]]&amp;"-"&amp;ReportSummary___Track[[#This Row],[Epoch]]</f>
        <v>250-RL-OP-0027-45798.7430555556</v>
      </c>
      <c r="Z773" s="126">
        <f>SUBTOTAL(103,ReportSummary___Track[[#This Row],[Track ID]])</f>
        <v>1</v>
      </c>
      <c r="AA773" s="114">
        <f>_xlfn.NUMBERVALUE(RIGHT(ReportSummary___Track[[#This Row],[Track ID]],4))</f>
        <v>27</v>
      </c>
      <c r="AB773" s="78"/>
    </row>
    <row r="774" spans="5:28" ht="14.25" customHeight="1" x14ac:dyDescent="0.2">
      <c r="E774" s="74">
        <v>45798.743055555555</v>
      </c>
      <c r="F774" s="107" t="s">
        <v>242</v>
      </c>
      <c r="G774" s="142">
        <v>51892.83098666594</v>
      </c>
      <c r="H774" s="142">
        <v>159193.51846240537</v>
      </c>
      <c r="I774" s="142">
        <v>18.863216230483452</v>
      </c>
      <c r="J774" s="142">
        <v>51892.465110438468</v>
      </c>
      <c r="K774" s="142">
        <v>159192.24952677931</v>
      </c>
      <c r="L774" s="142">
        <v>18.858824857800926</v>
      </c>
      <c r="M774" s="145">
        <v>4.3913726825266508E-3</v>
      </c>
      <c r="N774" s="145">
        <v>1.3206370890779862</v>
      </c>
      <c r="O774" s="145">
        <v>-1.3661623425065272E-4</v>
      </c>
      <c r="P774" s="145">
        <v>5.4604340974506727E-4</v>
      </c>
      <c r="Q7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-1.3596322254727511E-3</v>
      </c>
      <c r="R7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-0.18369207022495004</v>
      </c>
      <c r="S7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0.35024618014034559</v>
      </c>
      <c r="T7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0.62643235769144212</v>
      </c>
      <c r="U7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6.6284454106124713E-4</v>
      </c>
      <c r="V7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-8.6786478865619188E-6</v>
      </c>
      <c r="W7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6.5688513126715975E-4</v>
      </c>
      <c r="X7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6.6279682783232374E-4</v>
      </c>
      <c r="Y774" s="162" t="str">
        <f>ReportSummary___Track[[#This Row],[Track ID]]&amp;"-"&amp;ReportSummary___Track[[#This Row],[Epoch]]</f>
        <v>250-RL-OP-0028-45798.7430555556</v>
      </c>
      <c r="Z774" s="126">
        <f>SUBTOTAL(103,ReportSummary___Track[[#This Row],[Track ID]])</f>
        <v>1</v>
      </c>
      <c r="AA774" s="114">
        <f>_xlfn.NUMBERVALUE(RIGHT(ReportSummary___Track[[#This Row],[Track ID]],4))</f>
        <v>28</v>
      </c>
      <c r="AB774" s="78"/>
    </row>
    <row r="775" spans="5:28" ht="14.25" customHeight="1" x14ac:dyDescent="0.2">
      <c r="E775" s="74">
        <v>45798.743055555555</v>
      </c>
      <c r="F775" s="107" t="s">
        <v>243</v>
      </c>
      <c r="G775" s="142">
        <v>51893.791834256968</v>
      </c>
      <c r="H775" s="142">
        <v>159193.2418896631</v>
      </c>
      <c r="I775" s="142">
        <v>18.860908805651452</v>
      </c>
      <c r="J775" s="142">
        <v>51893.426692096931</v>
      </c>
      <c r="K775" s="142">
        <v>159191.97223012196</v>
      </c>
      <c r="L775" s="142">
        <v>18.856702718975292</v>
      </c>
      <c r="M775" s="145">
        <v>4.206086676159515E-3</v>
      </c>
      <c r="N775" s="145">
        <v>1.3211290015017849</v>
      </c>
      <c r="O775" s="145">
        <v>-7.7597583549149363E-4</v>
      </c>
      <c r="P775" s="145">
        <v>5.0252062971267719E-4</v>
      </c>
      <c r="Q7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-3.46383188798427E-6</v>
      </c>
      <c r="R7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-0.26960819597765528</v>
      </c>
      <c r="S7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1.4701923724658172E-2</v>
      </c>
      <c r="T7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0.97390826912402417</v>
      </c>
      <c r="U7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9.823889578299827E-4</v>
      </c>
      <c r="V7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4.5040916585303847E-6</v>
      </c>
      <c r="W7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9.8287713040789981E-4</v>
      </c>
      <c r="X7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9.8231493893052857E-4</v>
      </c>
      <c r="Y775" s="162" t="str">
        <f>ReportSummary___Track[[#This Row],[Track ID]]&amp;"-"&amp;ReportSummary___Track[[#This Row],[Epoch]]</f>
        <v>250-RL-OP-0029-45798.7430555556</v>
      </c>
      <c r="Z775" s="126">
        <f>SUBTOTAL(103,ReportSummary___Track[[#This Row],[Track ID]])</f>
        <v>1</v>
      </c>
      <c r="AA775" s="114">
        <f>_xlfn.NUMBERVALUE(RIGHT(ReportSummary___Track[[#This Row],[Track ID]],4))</f>
        <v>29</v>
      </c>
      <c r="AB775" s="78"/>
    </row>
    <row r="776" spans="5:28" ht="14.25" customHeight="1" x14ac:dyDescent="0.2">
      <c r="E776" s="74">
        <v>45798.743055555555</v>
      </c>
      <c r="F776" s="107" t="s">
        <v>269</v>
      </c>
      <c r="G776" s="142">
        <v>51894.752636096942</v>
      </c>
      <c r="H776" s="142">
        <v>159192.96465366907</v>
      </c>
      <c r="I776" s="142">
        <v>18.861075895811787</v>
      </c>
      <c r="J776" s="142">
        <v>51894.387465102576</v>
      </c>
      <c r="K776" s="142">
        <v>159191.69489464202</v>
      </c>
      <c r="L776" s="142">
        <v>18.85721573318164</v>
      </c>
      <c r="M776" s="145">
        <v>3.8601626301471015E-3</v>
      </c>
      <c r="N776" s="145">
        <v>1.3212315250433206</v>
      </c>
      <c r="O776" s="145">
        <v>-8.4211916766108175E-4</v>
      </c>
      <c r="P776" s="145">
        <v>-2.1375269176004963E-4</v>
      </c>
      <c r="Q7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-1.7706079447066259E-4</v>
      </c>
      <c r="R7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0.24641123032931311</v>
      </c>
      <c r="S7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4.8746293046519895E-4</v>
      </c>
      <c r="T7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0.68832917637706714</v>
      </c>
      <c r="U7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6.4825733013762488E-4</v>
      </c>
      <c r="V7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3.3210010767081855E-4</v>
      </c>
      <c r="W7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3.242903424975907E-4</v>
      </c>
      <c r="X7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6.3585033797153301E-4</v>
      </c>
      <c r="Y776" s="162" t="str">
        <f>ReportSummary___Track[[#This Row],[Track ID]]&amp;"-"&amp;ReportSummary___Track[[#This Row],[Epoch]]</f>
        <v>250-RL-OP-0030-45798.7430555556</v>
      </c>
      <c r="Z776" s="126">
        <f>SUBTOTAL(103,ReportSummary___Track[[#This Row],[Track ID]])</f>
        <v>1</v>
      </c>
      <c r="AA776" s="114">
        <f>_xlfn.NUMBERVALUE(RIGHT(ReportSummary___Track[[#This Row],[Track ID]],4))</f>
        <v>30</v>
      </c>
      <c r="AB776" s="78"/>
    </row>
    <row r="777" spans="5:28" ht="14.25" customHeight="1" x14ac:dyDescent="0.2">
      <c r="E777" s="74">
        <v>45798.743055555555</v>
      </c>
      <c r="F777" s="107" t="s">
        <v>270</v>
      </c>
      <c r="G777" s="142">
        <v>51895.713437936916</v>
      </c>
      <c r="H777" s="142">
        <v>159192.68741767504</v>
      </c>
      <c r="I777" s="142">
        <v>18.861242985972126</v>
      </c>
      <c r="J777" s="142">
        <v>51895.348238108221</v>
      </c>
      <c r="K777" s="142">
        <v>159191.41755916204</v>
      </c>
      <c r="L777" s="142">
        <v>18.857728747387984</v>
      </c>
      <c r="M777" s="145">
        <v>3.5142385841417934E-3</v>
      </c>
      <c r="N777" s="145">
        <v>1.3213341393402471</v>
      </c>
      <c r="O777" s="145">
        <v>-8.7713409838485745E-4</v>
      </c>
      <c r="P777" s="145">
        <v>-1.0137503326355102E-3</v>
      </c>
      <c r="Q7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-3.5065774994791354E-4</v>
      </c>
      <c r="R7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0.7624315469945131</v>
      </c>
      <c r="S7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1.0089744755248375E-3</v>
      </c>
      <c r="T7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0.35125515461587042</v>
      </c>
      <c r="U7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3.1412570245237248E-4</v>
      </c>
      <c r="V7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6.5978680927814004E-4</v>
      </c>
      <c r="W7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-3.4871883860887465E-4</v>
      </c>
      <c r="X7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3.081662926582851E-4</v>
      </c>
      <c r="Y777" s="162" t="str">
        <f>ReportSummary___Track[[#This Row],[Track ID]]&amp;"-"&amp;ReportSummary___Track[[#This Row],[Epoch]]</f>
        <v>250-RL-OP-0031-45798.7430555556</v>
      </c>
      <c r="Z777" s="126">
        <f>SUBTOTAL(103,ReportSummary___Track[[#This Row],[Track ID]])</f>
        <v>1</v>
      </c>
      <c r="AA777" s="114">
        <f>_xlfn.NUMBERVALUE(RIGHT(ReportSummary___Track[[#This Row],[Track ID]],4))</f>
        <v>31</v>
      </c>
      <c r="AB777" s="78"/>
    </row>
    <row r="778" spans="5:28" ht="14.25" customHeight="1" x14ac:dyDescent="0.2">
      <c r="E778" s="74">
        <v>45798.743055555555</v>
      </c>
      <c r="F778" s="107" t="s">
        <v>271</v>
      </c>
      <c r="G778" s="142">
        <v>51896.675405970513</v>
      </c>
      <c r="H778" s="142">
        <v>159192.40990810268</v>
      </c>
      <c r="I778" s="142">
        <v>18.861498367389412</v>
      </c>
      <c r="J778" s="142">
        <v>51896.308528737987</v>
      </c>
      <c r="K778" s="142">
        <v>159191.14073461873</v>
      </c>
      <c r="L778" s="142">
        <v>18.85824734462722</v>
      </c>
      <c r="M778" s="145">
        <v>3.2510227621926902E-3</v>
      </c>
      <c r="N778" s="145">
        <v>1.3211399642910922</v>
      </c>
      <c r="O778" s="145">
        <v>-9.5506391396682488E-4</v>
      </c>
      <c r="P778" s="145">
        <v>-1.7310397494583185E-3</v>
      </c>
      <c r="Q7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4.9961244030782836E-6</v>
      </c>
      <c r="R7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1.2319476302951049</v>
      </c>
      <c r="S7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8.4599562910625536E-6</v>
      </c>
      <c r="T7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1.4710383680949235E-2</v>
      </c>
      <c r="U7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-5.3029875601851018E-8</v>
      </c>
      <c r="V7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9.4736892795799221E-4</v>
      </c>
      <c r="W7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-9.8244198770558455E-4</v>
      </c>
      <c r="X7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4.3514270231526098E-7</v>
      </c>
      <c r="Y778" s="162" t="str">
        <f>ReportSummary___Track[[#This Row],[Track ID]]&amp;"-"&amp;ReportSummary___Track[[#This Row],[Epoch]]</f>
        <v>250-RL-OP-0032-45798.7430555556</v>
      </c>
      <c r="Z778" s="126">
        <f>SUBTOTAL(103,ReportSummary___Track[[#This Row],[Track ID]])</f>
        <v>1</v>
      </c>
      <c r="AA778" s="114">
        <f>_xlfn.NUMBERVALUE(RIGHT(ReportSummary___Track[[#This Row],[Track ID]],4))</f>
        <v>32</v>
      </c>
      <c r="AB778" s="78"/>
    </row>
    <row r="779" spans="5:28" ht="14.25" customHeight="1" x14ac:dyDescent="0.2">
      <c r="E779" s="74">
        <v>45798.743055555555</v>
      </c>
      <c r="F779" s="107" t="s">
        <v>272</v>
      </c>
      <c r="G779" s="142">
        <v>51897.63647866169</v>
      </c>
      <c r="H779" s="142">
        <v>159192.13361708951</v>
      </c>
      <c r="I779" s="142">
        <v>18.863097837135957</v>
      </c>
      <c r="J779" s="142">
        <v>51897.270518069447</v>
      </c>
      <c r="K779" s="142">
        <v>159190.86764821698</v>
      </c>
      <c r="L779" s="142">
        <v>18.858833292983896</v>
      </c>
      <c r="M779" s="145">
        <v>4.2645441520612337E-3</v>
      </c>
      <c r="N779" s="145">
        <v>1.3178097463652501</v>
      </c>
      <c r="O779" s="145">
        <v>4.0438152191413224E-4</v>
      </c>
      <c r="P779" s="145">
        <v>-4.3773764574694951E-4</v>
      </c>
      <c r="Q7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1.0355060808819871E-4</v>
      </c>
      <c r="R7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1.2345529956201418</v>
      </c>
      <c r="S7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2.806114025588613E-4</v>
      </c>
      <c r="T7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7.6807433302406025E-4</v>
      </c>
      <c r="U7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-8.3705332798444942E-7</v>
      </c>
      <c r="V7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8.0612034192339976E-4</v>
      </c>
      <c r="W7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-6.4909438346560933E-4</v>
      </c>
      <c r="X7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-3.2480404096801863E-4</v>
      </c>
      <c r="Y779" s="162" t="str">
        <f>ReportSummary___Track[[#This Row],[Track ID]]&amp;"-"&amp;ReportSummary___Track[[#This Row],[Epoch]]</f>
        <v>250-RL-OP-0033-45798.7430555556</v>
      </c>
      <c r="Z779" s="126">
        <f>SUBTOTAL(103,ReportSummary___Track[[#This Row],[Track ID]])</f>
        <v>1</v>
      </c>
      <c r="AA779" s="114">
        <f>_xlfn.NUMBERVALUE(RIGHT(ReportSummary___Track[[#This Row],[Track ID]],4))</f>
        <v>33</v>
      </c>
      <c r="AB779" s="78"/>
    </row>
    <row r="780" spans="5:28" ht="14.25" customHeight="1" x14ac:dyDescent="0.2">
      <c r="E780" s="74">
        <v>45798.743055555555</v>
      </c>
      <c r="F780" s="107" t="s">
        <v>273</v>
      </c>
      <c r="G780" s="142">
        <v>51898.597551352876</v>
      </c>
      <c r="H780" s="142">
        <v>159191.85732607634</v>
      </c>
      <c r="I780" s="142">
        <v>18.864697306882498</v>
      </c>
      <c r="J780" s="142">
        <v>51898.232507400906</v>
      </c>
      <c r="K780" s="142">
        <v>159190.59456181523</v>
      </c>
      <c r="L780" s="142">
        <v>18.859419241340571</v>
      </c>
      <c r="M780" s="145">
        <v>5.2780655419262246E-3</v>
      </c>
      <c r="N780" s="145">
        <v>1.3144803246787227</v>
      </c>
      <c r="O780" s="145">
        <v>1.7638269577844312E-3</v>
      </c>
      <c r="P780" s="145">
        <v>8.8669285939957376E-4</v>
      </c>
      <c r="Q7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2.0210508822060547E-4</v>
      </c>
      <c r="R7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1.2371577753773622</v>
      </c>
      <c r="S7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5.5276283816851901E-4</v>
      </c>
      <c r="T7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1.5617373136933566E-3</v>
      </c>
      <c r="U7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-1.6210767874724752E-6</v>
      </c>
      <c r="V7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6.6487072363274891E-4</v>
      </c>
      <c r="W7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-3.1574677923984495E-4</v>
      </c>
      <c r="X7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-6.644656178487196E-4</v>
      </c>
      <c r="Y780" s="162" t="str">
        <f>ReportSummary___Track[[#This Row],[Track ID]]&amp;"-"&amp;ReportSummary___Track[[#This Row],[Epoch]]</f>
        <v>250-RL-OP-0034-45798.7430555556</v>
      </c>
      <c r="Z780" s="126">
        <f>SUBTOTAL(103,ReportSummary___Track[[#This Row],[Track ID]])</f>
        <v>1</v>
      </c>
      <c r="AA780" s="114">
        <f>_xlfn.NUMBERVALUE(RIGHT(ReportSummary___Track[[#This Row],[Track ID]],4))</f>
        <v>34</v>
      </c>
      <c r="AB780" s="78"/>
    </row>
    <row r="781" spans="5:28" ht="14.25" customHeight="1" x14ac:dyDescent="0.2">
      <c r="E781" s="74">
        <v>45798.743055555555</v>
      </c>
      <c r="F781" s="107" t="s">
        <v>274</v>
      </c>
      <c r="G781" s="142">
        <v>51899.558732421232</v>
      </c>
      <c r="H781" s="142">
        <v>159191.58232043165</v>
      </c>
      <c r="I781" s="142">
        <v>18.865938365312182</v>
      </c>
      <c r="J781" s="142">
        <v>51899.202460873719</v>
      </c>
      <c r="K781" s="142">
        <v>159190.31957924104</v>
      </c>
      <c r="L781" s="142">
        <v>18.859777476518332</v>
      </c>
      <c r="M781" s="145">
        <v>6.1608887938504608E-3</v>
      </c>
      <c r="N781" s="145">
        <v>1.3120528520572492</v>
      </c>
      <c r="O781" s="145">
        <v>2.9098660316577707E-3</v>
      </c>
      <c r="P781" s="145">
        <v>1.9548021176909458E-3</v>
      </c>
      <c r="Q7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-6.1673189104993753E-2</v>
      </c>
      <c r="R7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1.2168558593650403</v>
      </c>
      <c r="S7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-6.1678185229396831E-2</v>
      </c>
      <c r="T7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-6.1669725273105769E-2</v>
      </c>
      <c r="U7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-6.1366203290447174E-5</v>
      </c>
      <c r="V7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5.6677415659933672E-4</v>
      </c>
      <c r="W7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-6.1313173414845323E-5</v>
      </c>
      <c r="X7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-1.0437551611204299E-3</v>
      </c>
      <c r="Y781" s="162" t="str">
        <f>ReportSummary___Track[[#This Row],[Track ID]]&amp;"-"&amp;ReportSummary___Track[[#This Row],[Epoch]]</f>
        <v>250-RL-OP-0035-45798.7430555556</v>
      </c>
      <c r="Z781" s="126">
        <f>SUBTOTAL(103,ReportSummary___Track[[#This Row],[Track ID]])</f>
        <v>1</v>
      </c>
      <c r="AA781" s="114">
        <f>_xlfn.NUMBERVALUE(RIGHT(ReportSummary___Track[[#This Row],[Track ID]],4))</f>
        <v>35</v>
      </c>
      <c r="AB781" s="78"/>
    </row>
    <row r="782" spans="5:28" ht="14.25" customHeight="1" x14ac:dyDescent="0.2">
      <c r="E782" s="74">
        <v>45798.743055555555</v>
      </c>
      <c r="F782" s="107" t="s">
        <v>275</v>
      </c>
      <c r="G782" s="142">
        <v>51900.521670474322</v>
      </c>
      <c r="H782" s="142">
        <v>159191.31259799044</v>
      </c>
      <c r="I782" s="142">
        <v>18.865605744223032</v>
      </c>
      <c r="J782" s="142">
        <v>51900.16495886902</v>
      </c>
      <c r="K782" s="142">
        <v>159190.04829123366</v>
      </c>
      <c r="L782" s="142">
        <v>18.859124714229218</v>
      </c>
      <c r="M782" s="145">
        <v>6.4810299938145022E-3</v>
      </c>
      <c r="N782" s="145">
        <v>1.3136806112434594</v>
      </c>
      <c r="O782" s="145">
        <v>2.2164858417532685E-3</v>
      </c>
      <c r="P782" s="145">
        <v>2.6208673636674007E-3</v>
      </c>
      <c r="Q7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-0.39449939966118563</v>
      </c>
      <c r="R7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1.1265678257346146</v>
      </c>
      <c r="S7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-0.39460295026927383</v>
      </c>
      <c r="T7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-0.39432233886671497</v>
      </c>
      <c r="U7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-3.8830486813168363E-4</v>
      </c>
      <c r="V7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6.9517699973609126E-4</v>
      </c>
      <c r="W7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-3.8746781480369918E-4</v>
      </c>
      <c r="X7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-1.0365621982693085E-3</v>
      </c>
      <c r="Y782" s="162" t="str">
        <f>ReportSummary___Track[[#This Row],[Track ID]]&amp;"-"&amp;ReportSummary___Track[[#This Row],[Epoch]]</f>
        <v>250-RL-OP-0036-45798.7430555556</v>
      </c>
      <c r="Z782" s="126">
        <f>SUBTOTAL(103,ReportSummary___Track[[#This Row],[Track ID]])</f>
        <v>1</v>
      </c>
      <c r="AA782" s="114">
        <f>_xlfn.NUMBERVALUE(RIGHT(ReportSummary___Track[[#This Row],[Track ID]],4))</f>
        <v>36</v>
      </c>
      <c r="AB782" s="78"/>
    </row>
    <row r="783" spans="5:28" ht="14.25" customHeight="1" x14ac:dyDescent="0.2">
      <c r="E783" s="74">
        <v>45798.743055555555</v>
      </c>
      <c r="F783" s="107" t="s">
        <v>276</v>
      </c>
      <c r="G783" s="142">
        <v>51901.484608527404</v>
      </c>
      <c r="H783" s="142">
        <v>159191.04287554926</v>
      </c>
      <c r="I783" s="142">
        <v>18.865273123133882</v>
      </c>
      <c r="J783" s="142">
        <v>51901.12745686432</v>
      </c>
      <c r="K783" s="142">
        <v>159189.77700322631</v>
      </c>
      <c r="L783" s="142">
        <v>18.858471951940103</v>
      </c>
      <c r="M783" s="145">
        <v>6.8011711937785435E-3</v>
      </c>
      <c r="N783" s="145">
        <v>1.3153084445842258</v>
      </c>
      <c r="O783" s="145">
        <v>1.5231056518523189E-3</v>
      </c>
      <c r="P783" s="145">
        <v>3.2869326096367502E-3</v>
      </c>
      <c r="Q7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-0.7273256102138248</v>
      </c>
      <c r="R7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1.0360379912683904</v>
      </c>
      <c r="S7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-0.72752771530204541</v>
      </c>
      <c r="T7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-0.72697495246387689</v>
      </c>
      <c r="U7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-7.1524353296581467E-4</v>
      </c>
      <c r="V7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8.2334280134022109E-4</v>
      </c>
      <c r="W7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-7.1362245617834219E-4</v>
      </c>
      <c r="X7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-1.0293692354181871E-3</v>
      </c>
      <c r="Y783" s="162" t="str">
        <f>ReportSummary___Track[[#This Row],[Track ID]]&amp;"-"&amp;ReportSummary___Track[[#This Row],[Epoch]]</f>
        <v>250-RL-OP-0037-45798.7430555556</v>
      </c>
      <c r="Z783" s="126">
        <f>SUBTOTAL(103,ReportSummary___Track[[#This Row],[Track ID]])</f>
        <v>1</v>
      </c>
      <c r="AA783" s="114">
        <f>_xlfn.NUMBERVALUE(RIGHT(ReportSummary___Track[[#This Row],[Track ID]],4))</f>
        <v>37</v>
      </c>
      <c r="AB783" s="78"/>
    </row>
    <row r="784" spans="5:28" ht="14.25" customHeight="1" x14ac:dyDescent="0.2">
      <c r="E784" s="74">
        <v>45798.743055555555</v>
      </c>
      <c r="F784" s="107" t="s">
        <v>277</v>
      </c>
      <c r="G784" s="142">
        <v>51902.447765809411</v>
      </c>
      <c r="H784" s="142">
        <v>159190.77423042283</v>
      </c>
      <c r="I784" s="142">
        <v>18.865124802963386</v>
      </c>
      <c r="J784" s="142">
        <v>51902.099872443272</v>
      </c>
      <c r="K784" s="142">
        <v>159189.50404742008</v>
      </c>
      <c r="L784" s="142">
        <v>18.857900000000001</v>
      </c>
      <c r="M784" s="145">
        <v>7.2248029633854571E-3</v>
      </c>
      <c r="N784" s="145">
        <v>1.3169839985582914</v>
      </c>
      <c r="O784" s="145">
        <v>1.0639141695349963E-3</v>
      </c>
      <c r="P784" s="145">
        <v>3.973780201192767E-3</v>
      </c>
      <c r="Q7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-1.0000000000012221</v>
      </c>
      <c r="R7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0.95856715840403339</v>
      </c>
      <c r="S7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-0.93832681089622838</v>
      </c>
      <c r="T7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-1.0000049961256252</v>
      </c>
      <c r="U7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-1.0000109380783329E-3</v>
      </c>
      <c r="V7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9.012385805775569E-4</v>
      </c>
      <c r="W7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-9.3864473478788568E-4</v>
      </c>
      <c r="X7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-9.9995790820273101E-4</v>
      </c>
      <c r="Y784" s="162" t="str">
        <f>ReportSummary___Track[[#This Row],[Track ID]]&amp;"-"&amp;ReportSummary___Track[[#This Row],[Epoch]]</f>
        <v>250-RL-OP-0038-45798.7430555556</v>
      </c>
      <c r="Z784" s="126">
        <f>SUBTOTAL(103,ReportSummary___Track[[#This Row],[Track ID]])</f>
        <v>1</v>
      </c>
      <c r="AA784" s="114">
        <f>_xlfn.NUMBERVALUE(RIGHT(ReportSummary___Track[[#This Row],[Track ID]],4))</f>
        <v>38</v>
      </c>
      <c r="AB784" s="78"/>
    </row>
    <row r="785" spans="5:28" ht="14.25" customHeight="1" x14ac:dyDescent="0.2">
      <c r="E785" s="74">
        <v>45798.743055555555</v>
      </c>
      <c r="F785" s="107" t="s">
        <v>278</v>
      </c>
      <c r="G785" s="142">
        <v>51903.412339687522</v>
      </c>
      <c r="H785" s="142">
        <v>159190.51041847002</v>
      </c>
      <c r="I785" s="142">
        <v>18.865822806114334</v>
      </c>
      <c r="J785" s="142">
        <v>51903.064539433311</v>
      </c>
      <c r="K785" s="142">
        <v>159189.24057522361</v>
      </c>
      <c r="L785" s="142">
        <v>18.857900000000001</v>
      </c>
      <c r="M785" s="145">
        <v>7.9228061143332695E-3</v>
      </c>
      <c r="N785" s="145">
        <v>1.3166357347943047</v>
      </c>
      <c r="O785" s="145">
        <v>1.4417761205187674E-3</v>
      </c>
      <c r="P785" s="145">
        <v>3.6582619622720358E-3</v>
      </c>
      <c r="Q7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-1.0000000000012221</v>
      </c>
      <c r="R7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0.95803212963296858</v>
      </c>
      <c r="S7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-0.6055006003400365</v>
      </c>
      <c r="T7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-1.0001035506093103</v>
      </c>
      <c r="U7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-1.0000721129870271E-3</v>
      </c>
      <c r="V7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5.800751858282549E-4</v>
      </c>
      <c r="W7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-6.1176724485534351E-4</v>
      </c>
      <c r="X7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-9.9923505965904269E-4</v>
      </c>
      <c r="Y785" s="162" t="str">
        <f>ReportSummary___Track[[#This Row],[Track ID]]&amp;"-"&amp;ReportSummary___Track[[#This Row],[Epoch]]</f>
        <v>250-RL-OP-0039-45798.7430555556</v>
      </c>
      <c r="Z785" s="126">
        <f>SUBTOTAL(103,ReportSummary___Track[[#This Row],[Track ID]])</f>
        <v>1</v>
      </c>
      <c r="AA785" s="114">
        <f>_xlfn.NUMBERVALUE(RIGHT(ReportSummary___Track[[#This Row],[Track ID]],4))</f>
        <v>39</v>
      </c>
      <c r="AB785" s="78"/>
    </row>
    <row r="786" spans="5:28" ht="14.25" customHeight="1" x14ac:dyDescent="0.2">
      <c r="E786" s="74">
        <v>45798.743055555555</v>
      </c>
      <c r="F786" s="107" t="s">
        <v>279</v>
      </c>
      <c r="G786" s="142">
        <v>51904.37691356564</v>
      </c>
      <c r="H786" s="142">
        <v>159190.2466065172</v>
      </c>
      <c r="I786" s="142">
        <v>18.866520809265278</v>
      </c>
      <c r="J786" s="142">
        <v>51904.029206423358</v>
      </c>
      <c r="K786" s="142">
        <v>159188.97710302711</v>
      </c>
      <c r="L786" s="142">
        <v>18.857900000000001</v>
      </c>
      <c r="M786" s="145">
        <v>8.6208092652775292E-3</v>
      </c>
      <c r="N786" s="145">
        <v>1.3162878433363994</v>
      </c>
      <c r="O786" s="145">
        <v>1.8196380714989857E-3</v>
      </c>
      <c r="P786" s="145">
        <v>3.3427437233513047E-3</v>
      </c>
      <c r="Q7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-1.0000000000012221</v>
      </c>
      <c r="R7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0.95749654675825191</v>
      </c>
      <c r="S7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-0.27267438978739733</v>
      </c>
      <c r="T7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-1.0002021050894427</v>
      </c>
      <c r="U7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-1.0001332878992741E-3</v>
      </c>
      <c r="V7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2.5891359390151081E-4</v>
      </c>
      <c r="W7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-2.8488975493345947E-4</v>
      </c>
      <c r="X7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-9.9851221111180166E-4</v>
      </c>
      <c r="Y786" s="162" t="str">
        <f>ReportSummary___Track[[#This Row],[Track ID]]&amp;"-"&amp;ReportSummary___Track[[#This Row],[Epoch]]</f>
        <v>250-RL-OP-0040-45798.7430555556</v>
      </c>
      <c r="Z786" s="126">
        <f>SUBTOTAL(103,ReportSummary___Track[[#This Row],[Track ID]])</f>
        <v>1</v>
      </c>
      <c r="AA786" s="114">
        <f>_xlfn.NUMBERVALUE(RIGHT(ReportSummary___Track[[#This Row],[Track ID]],4))</f>
        <v>40</v>
      </c>
      <c r="AB786" s="78"/>
    </row>
    <row r="787" spans="5:28" ht="14.25" customHeight="1" x14ac:dyDescent="0.2">
      <c r="E787" s="74">
        <v>45798.743055555555</v>
      </c>
      <c r="F787" s="107" t="s">
        <v>280</v>
      </c>
      <c r="G787" s="142">
        <v>51905.341841450259</v>
      </c>
      <c r="H787" s="142">
        <v>159189.98417913547</v>
      </c>
      <c r="I787" s="142">
        <v>18.867392406740745</v>
      </c>
      <c r="J787" s="142">
        <v>51905.003861439305</v>
      </c>
      <c r="K787" s="142">
        <v>159188.71199129781</v>
      </c>
      <c r="L787" s="142">
        <v>18.858054777028663</v>
      </c>
      <c r="M787" s="145">
        <v>9.3376297120819629E-3</v>
      </c>
      <c r="N787" s="145">
        <v>1.3163508549877663</v>
      </c>
      <c r="O787" s="145">
        <v>2.1128267486965058E-3</v>
      </c>
      <c r="P787" s="145">
        <v>3.1767409182315021E-3</v>
      </c>
      <c r="Q7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-0.95009086838260259</v>
      </c>
      <c r="R7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0.91108168601872208</v>
      </c>
      <c r="S7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4.990913161861954E-2</v>
      </c>
      <c r="T7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-0.88841767927760884</v>
      </c>
      <c r="U7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-9.5014307268925791E-4</v>
      </c>
      <c r="V7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5.7028068014552957E-6</v>
      </c>
      <c r="W7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4.986786538907495E-5</v>
      </c>
      <c r="X7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-8.8877686939881073E-4</v>
      </c>
      <c r="Y787" s="162" t="str">
        <f>ReportSummary___Track[[#This Row],[Track ID]]&amp;"-"&amp;ReportSummary___Track[[#This Row],[Epoch]]</f>
        <v>250-RL-OP-0041-45798.7430555556</v>
      </c>
      <c r="Z787" s="126">
        <f>SUBTOTAL(103,ReportSummary___Track[[#This Row],[Track ID]])</f>
        <v>1</v>
      </c>
      <c r="AA787" s="114">
        <f>_xlfn.NUMBERVALUE(RIGHT(ReportSummary___Track[[#This Row],[Track ID]],4))</f>
        <v>41</v>
      </c>
      <c r="AB787" s="78"/>
    </row>
    <row r="788" spans="5:28" ht="14.25" customHeight="1" x14ac:dyDescent="0.2">
      <c r="E788" s="74">
        <v>45798.743055555555</v>
      </c>
      <c r="F788" s="107" t="s">
        <v>281</v>
      </c>
      <c r="G788" s="142">
        <v>51906.308594977025</v>
      </c>
      <c r="H788" s="142">
        <v>159189.72847487876</v>
      </c>
      <c r="I788" s="142">
        <v>18.869110425193991</v>
      </c>
      <c r="J788" s="142">
        <v>51905.970490499021</v>
      </c>
      <c r="K788" s="142">
        <v>159188.45581358409</v>
      </c>
      <c r="L788" s="142">
        <v>18.859168280831987</v>
      </c>
      <c r="M788" s="145">
        <v>9.9421443620038019E-3</v>
      </c>
      <c r="N788" s="145">
        <v>1.3168448106120969</v>
      </c>
      <c r="O788" s="145">
        <v>2.0193382476705324E-3</v>
      </c>
      <c r="P788" s="145">
        <v>3.4611143681892997E-3</v>
      </c>
      <c r="Q7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-0.59103236756641309</v>
      </c>
      <c r="R7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0.56640268692853546</v>
      </c>
      <c r="S7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0.40896763243480905</v>
      </c>
      <c r="T7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-0.19653296790522745</v>
      </c>
      <c r="U7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-5.914601423775423E-4</v>
      </c>
      <c r="V7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1.0016977206261934E-4</v>
      </c>
      <c r="W7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4.0861197060948484E-4</v>
      </c>
      <c r="X7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-2.0315527424585866E-4</v>
      </c>
      <c r="Y788" s="162" t="str">
        <f>ReportSummary___Track[[#This Row],[Track ID]]&amp;"-"&amp;ReportSummary___Track[[#This Row],[Epoch]]</f>
        <v>250-RL-OP-0042-45798.7430555556</v>
      </c>
      <c r="Z788" s="126">
        <f>SUBTOTAL(103,ReportSummary___Track[[#This Row],[Track ID]])</f>
        <v>1</v>
      </c>
      <c r="AA788" s="114">
        <f>_xlfn.NUMBERVALUE(RIGHT(ReportSummary___Track[[#This Row],[Track ID]],4))</f>
        <v>42</v>
      </c>
      <c r="AB788" s="78"/>
    </row>
    <row r="789" spans="5:28" ht="14.25" customHeight="1" x14ac:dyDescent="0.2">
      <c r="E789" s="74">
        <v>45798.743055555555</v>
      </c>
      <c r="F789" s="107" t="s">
        <v>282</v>
      </c>
      <c r="G789" s="142">
        <v>51907.275348503783</v>
      </c>
      <c r="H789" s="142">
        <v>159189.47277062206</v>
      </c>
      <c r="I789" s="142">
        <v>18.870828443647241</v>
      </c>
      <c r="J789" s="142">
        <v>51906.937119558745</v>
      </c>
      <c r="K789" s="142">
        <v>159188.19963587038</v>
      </c>
      <c r="L789" s="142">
        <v>18.860281784635312</v>
      </c>
      <c r="M789" s="145">
        <v>1.0546659011929194E-2</v>
      </c>
      <c r="N789" s="145">
        <v>1.3173390403454419</v>
      </c>
      <c r="O789" s="145">
        <v>1.9258497466516644E-3</v>
      </c>
      <c r="P789" s="145">
        <v>3.7454878181506501E-3</v>
      </c>
      <c r="Q7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-0.23197386674667086</v>
      </c>
      <c r="R7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0.22195451981654735</v>
      </c>
      <c r="S7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0.76802613325455127</v>
      </c>
      <c r="T7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0.49535174346715394</v>
      </c>
      <c r="U7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-2.3277721206582669E-4</v>
      </c>
      <c r="V7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1.9486613644370543E-4</v>
      </c>
      <c r="W7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7.6735607583344745E-4</v>
      </c>
      <c r="X7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4.8246632089998798E-4</v>
      </c>
      <c r="Y789" s="162" t="str">
        <f>ReportSummary___Track[[#This Row],[Track ID]]&amp;"-"&amp;ReportSummary___Track[[#This Row],[Epoch]]</f>
        <v>250-RL-OP-0043-45798.7430555556</v>
      </c>
      <c r="Z789" s="126">
        <f>SUBTOTAL(103,ReportSummary___Track[[#This Row],[Track ID]])</f>
        <v>1</v>
      </c>
      <c r="AA789" s="114">
        <f>_xlfn.NUMBERVALUE(RIGHT(ReportSummary___Track[[#This Row],[Track ID]],4))</f>
        <v>43</v>
      </c>
      <c r="AB789" s="78"/>
    </row>
    <row r="790" spans="5:28" ht="14.25" customHeight="1" x14ac:dyDescent="0.2">
      <c r="E790" s="74">
        <v>45798.743055555555</v>
      </c>
      <c r="F790" s="107" t="s">
        <v>283</v>
      </c>
      <c r="G790" s="142">
        <v>51908.242837030943</v>
      </c>
      <c r="H790" s="142">
        <v>159189.22062199659</v>
      </c>
      <c r="I790" s="142">
        <v>18.872961738006055</v>
      </c>
      <c r="J790" s="142">
        <v>51907.904497335403</v>
      </c>
      <c r="K790" s="142">
        <v>159187.94712587461</v>
      </c>
      <c r="L790" s="142">
        <v>18.861943261262798</v>
      </c>
      <c r="M790" s="145">
        <v>1.10184767432564E-2</v>
      </c>
      <c r="N790" s="145">
        <v>1.3177205808187993</v>
      </c>
      <c r="O790" s="145">
        <v>1.6808470311744372E-3</v>
      </c>
      <c r="P790" s="145">
        <v>3.793673779870943E-3</v>
      </c>
      <c r="Q7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-9.9260930923605883E-3</v>
      </c>
      <c r="R7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9.6539021377184397E-2</v>
      </c>
      <c r="S7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0.94016477529024201</v>
      </c>
      <c r="T7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0.99007390690886155</v>
      </c>
      <c r="U7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-9.7255950635144472E-6</v>
      </c>
      <c r="V7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2.2869681780512963E-4</v>
      </c>
      <c r="W7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9.4041747762574346E-4</v>
      </c>
      <c r="X7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9.9028534301481841E-4</v>
      </c>
      <c r="Y790" s="162" t="str">
        <f>ReportSummary___Track[[#This Row],[Track ID]]&amp;"-"&amp;ReportSummary___Track[[#This Row],[Epoch]]</f>
        <v>250-RL-OP-0044-45798.7430555556</v>
      </c>
      <c r="Z790" s="126">
        <f>SUBTOTAL(103,ReportSummary___Track[[#This Row],[Track ID]])</f>
        <v>1</v>
      </c>
      <c r="AA790" s="114">
        <f>_xlfn.NUMBERVALUE(RIGHT(ReportSummary___Track[[#This Row],[Track ID]],4))</f>
        <v>44</v>
      </c>
      <c r="AB790" s="78"/>
    </row>
    <row r="791" spans="5:28" ht="14.25" customHeight="1" x14ac:dyDescent="0.2">
      <c r="E791" s="74">
        <v>45798.743055555555</v>
      </c>
      <c r="F791" s="107" t="s">
        <v>284</v>
      </c>
      <c r="G791" s="142">
        <v>51909.212440777213</v>
      </c>
      <c r="H791" s="142">
        <v>159188.97596014244</v>
      </c>
      <c r="I791" s="142">
        <v>18.875987022705825</v>
      </c>
      <c r="J791" s="142">
        <v>51908.873768291982</v>
      </c>
      <c r="K791" s="142">
        <v>159187.70114468687</v>
      </c>
      <c r="L791" s="142">
        <v>18.864601833029436</v>
      </c>
      <c r="M791" s="145">
        <v>1.1385189676389018E-2</v>
      </c>
      <c r="N791" s="145">
        <v>1.3190841976791701</v>
      </c>
      <c r="O791" s="145">
        <v>1.4430453143852162E-3</v>
      </c>
      <c r="P791" s="145">
        <v>3.4623835620557486E-3</v>
      </c>
      <c r="Q7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-4.4965724299572685E-3</v>
      </c>
      <c r="R7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0.4095585631656018</v>
      </c>
      <c r="S7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0.58653579513645582</v>
      </c>
      <c r="T7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0.99550342757126487</v>
      </c>
      <c r="U7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-3.6653791184448892E-6</v>
      </c>
      <c r="V7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1.5086180832724061E-4</v>
      </c>
      <c r="W7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5.8779476325909741E-4</v>
      </c>
      <c r="X7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9.9640673386858225E-4</v>
      </c>
      <c r="Y791" s="162" t="str">
        <f>ReportSummary___Track[[#This Row],[Track ID]]&amp;"-"&amp;ReportSummary___Track[[#This Row],[Epoch]]</f>
        <v>250-RL-OP-0045-45798.7430555556</v>
      </c>
      <c r="Z791" s="126">
        <f>SUBTOTAL(103,ReportSummary___Track[[#This Row],[Track ID]])</f>
        <v>1</v>
      </c>
      <c r="AA791" s="114">
        <f>_xlfn.NUMBERVALUE(RIGHT(ReportSummary___Track[[#This Row],[Track ID]],4))</f>
        <v>45</v>
      </c>
      <c r="AB791" s="78"/>
    </row>
    <row r="792" spans="5:28" ht="14.25" customHeight="1" x14ac:dyDescent="0.2">
      <c r="E792" s="74">
        <v>45798.743055555555</v>
      </c>
      <c r="F792" s="107" t="s">
        <v>285</v>
      </c>
      <c r="G792" s="142">
        <v>51910.182044523492</v>
      </c>
      <c r="H792" s="142">
        <v>159188.73129828833</v>
      </c>
      <c r="I792" s="142">
        <v>18.879012307405592</v>
      </c>
      <c r="J792" s="142">
        <v>51909.843039248568</v>
      </c>
      <c r="K792" s="142">
        <v>159187.45516349914</v>
      </c>
      <c r="L792" s="142">
        <v>18.867260404796074</v>
      </c>
      <c r="M792" s="145">
        <v>1.1751902609518083E-2</v>
      </c>
      <c r="N792" s="145">
        <v>1.3204479103060456</v>
      </c>
      <c r="O792" s="145">
        <v>1.2052435975888898E-3</v>
      </c>
      <c r="P792" s="145">
        <v>3.1310933442405542E-3</v>
      </c>
      <c r="Q7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9.3294823244605141E-4</v>
      </c>
      <c r="R7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0.7225796065575274</v>
      </c>
      <c r="S7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0.23290681497911692</v>
      </c>
      <c r="T7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1.0009329482336682</v>
      </c>
      <c r="U7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2.3948368230719552E-6</v>
      </c>
      <c r="V7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7.3030444580401976E-5</v>
      </c>
      <c r="W7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2.3517204888889864E-4</v>
      </c>
      <c r="X7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1.0025281247223461E-3</v>
      </c>
      <c r="Y792" s="162" t="str">
        <f>ReportSummary___Track[[#This Row],[Track ID]]&amp;"-"&amp;ReportSummary___Track[[#This Row],[Epoch]]</f>
        <v>250-RL-OP-0046-45798.7430555556</v>
      </c>
      <c r="Z792" s="126">
        <f>SUBTOTAL(103,ReportSummary___Track[[#This Row],[Track ID]])</f>
        <v>1</v>
      </c>
      <c r="AA792" s="114">
        <f>_xlfn.NUMBERVALUE(RIGHT(ReportSummary___Track[[#This Row],[Track ID]],4))</f>
        <v>46</v>
      </c>
      <c r="AB792" s="78"/>
    </row>
    <row r="793" spans="5:28" ht="14.25" customHeight="1" x14ac:dyDescent="0.2">
      <c r="E793" s="74">
        <v>45798.743055555555</v>
      </c>
      <c r="F793" s="107" t="s">
        <v>286</v>
      </c>
      <c r="G793" s="142">
        <v>51911.152124583568</v>
      </c>
      <c r="H793" s="142">
        <v>159188.48837362183</v>
      </c>
      <c r="I793" s="142">
        <v>18.882328441829323</v>
      </c>
      <c r="J793" s="142">
        <v>51910.835188304052</v>
      </c>
      <c r="K793" s="142">
        <v>159187.20549995176</v>
      </c>
      <c r="L793" s="142">
        <v>18.870139116386202</v>
      </c>
      <c r="M793" s="145">
        <v>1.218932544312068E-2</v>
      </c>
      <c r="N793" s="145">
        <v>1.3214999199023723</v>
      </c>
      <c r="O793" s="145">
        <v>1.1708486998642798E-3</v>
      </c>
      <c r="P793" s="145">
        <v>2.851695731038717E-3</v>
      </c>
      <c r="Q7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2.4934919373720277E-3</v>
      </c>
      <c r="R7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0.89982403130006716</v>
      </c>
      <c r="S7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1.2419585029732616E-2</v>
      </c>
      <c r="T7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0.95258436031997462</v>
      </c>
      <c r="U7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-7.4358130476070983E-5</v>
      </c>
      <c r="V7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-3.6848479361806241E-5</v>
      </c>
      <c r="W7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-6.4632535412556535E-5</v>
      </c>
      <c r="X7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8.7578494221318692E-4</v>
      </c>
      <c r="Y793" s="162" t="str">
        <f>ReportSummary___Track[[#This Row],[Track ID]]&amp;"-"&amp;ReportSummary___Track[[#This Row],[Epoch]]</f>
        <v>250-RL-OP-0047-45798.7430555556</v>
      </c>
      <c r="Z793" s="126">
        <f>SUBTOTAL(103,ReportSummary___Track[[#This Row],[Track ID]])</f>
        <v>1</v>
      </c>
      <c r="AA793" s="114">
        <f>_xlfn.NUMBERVALUE(RIGHT(ReportSummary___Track[[#This Row],[Track ID]],4))</f>
        <v>47</v>
      </c>
      <c r="AB793" s="78"/>
    </row>
    <row r="794" spans="5:28" ht="14.25" customHeight="1" x14ac:dyDescent="0.2">
      <c r="E794" s="74">
        <v>45798.743055555555</v>
      </c>
      <c r="F794" s="107" t="s">
        <v>287</v>
      </c>
      <c r="G794" s="142">
        <v>51912.123778205809</v>
      </c>
      <c r="H794" s="142">
        <v>159188.25200560392</v>
      </c>
      <c r="I794" s="142">
        <v>18.886732814833678</v>
      </c>
      <c r="J794" s="142">
        <v>51911.806733444027</v>
      </c>
      <c r="K794" s="142">
        <v>159186.96866968035</v>
      </c>
      <c r="L794" s="142">
        <v>18.873524899190596</v>
      </c>
      <c r="M794" s="145">
        <v>1.3207915643082657E-2</v>
      </c>
      <c r="N794" s="145">
        <v>1.3219844638742271</v>
      </c>
      <c r="O794" s="145">
        <v>1.8227259666936391E-3</v>
      </c>
      <c r="P794" s="145">
        <v>3.2657712810788553E-3</v>
      </c>
      <c r="Q7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1.948659821948695E-3</v>
      </c>
      <c r="R7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0.56031149407931302</v>
      </c>
      <c r="S7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6.4452322519059635E-3</v>
      </c>
      <c r="T7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0.59298102738836178</v>
      </c>
      <c r="U7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-4.270598475955012E-4</v>
      </c>
      <c r="V7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-2.1497376474544083E-4</v>
      </c>
      <c r="W7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-4.2339446847705631E-4</v>
      </c>
      <c r="X7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1.644002947820411E-4</v>
      </c>
      <c r="Y794" s="162" t="str">
        <f>ReportSummary___Track[[#This Row],[Track ID]]&amp;"-"&amp;ReportSummary___Track[[#This Row],[Epoch]]</f>
        <v>250-RL-OP-0048-45798.7430555556</v>
      </c>
      <c r="Z794" s="126">
        <f>SUBTOTAL(103,ReportSummary___Track[[#This Row],[Track ID]])</f>
        <v>1</v>
      </c>
      <c r="AA794" s="114">
        <f>_xlfn.NUMBERVALUE(RIGHT(ReportSummary___Track[[#This Row],[Track ID]],4))</f>
        <v>48</v>
      </c>
      <c r="AB794" s="78"/>
    </row>
    <row r="795" spans="5:28" ht="14.25" customHeight="1" x14ac:dyDescent="0.2">
      <c r="E795" s="74">
        <v>45798.743055555555</v>
      </c>
      <c r="F795" s="107" t="s">
        <v>288</v>
      </c>
      <c r="G795" s="142">
        <v>51913.095431828042</v>
      </c>
      <c r="H795" s="142">
        <v>159188.01563758601</v>
      </c>
      <c r="I795" s="142">
        <v>18.89113718783803</v>
      </c>
      <c r="J795" s="142">
        <v>51912.77827858401</v>
      </c>
      <c r="K795" s="142">
        <v>159186.73183940892</v>
      </c>
      <c r="L795" s="142">
        <v>18.876910681994985</v>
      </c>
      <c r="M795" s="145">
        <v>1.4226505843044635E-2</v>
      </c>
      <c r="N795" s="145">
        <v>1.3224697853480618</v>
      </c>
      <c r="O795" s="145">
        <v>2.4746032335265511E-3</v>
      </c>
      <c r="P795" s="145">
        <v>3.6798468311154409E-3</v>
      </c>
      <c r="Q7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1.4038277100780761E-3</v>
      </c>
      <c r="R7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0.22080299652693647</v>
      </c>
      <c r="S7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4.7087947763202465E-4</v>
      </c>
      <c r="T7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0.23337769445674894</v>
      </c>
      <c r="U7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-7.7976156471848412E-4</v>
      </c>
      <c r="V7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-3.9372979547835918E-4</v>
      </c>
      <c r="W7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-7.8215640154155608E-4</v>
      </c>
      <c r="X7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-5.4698435265265744E-4</v>
      </c>
      <c r="Y795" s="162" t="str">
        <f>ReportSummary___Track[[#This Row],[Track ID]]&amp;"-"&amp;ReportSummary___Track[[#This Row],[Epoch]]</f>
        <v>250-RL-OP-0049-45798.7430555556</v>
      </c>
      <c r="Z795" s="126">
        <f>SUBTOTAL(103,ReportSummary___Track[[#This Row],[Track ID]])</f>
        <v>1</v>
      </c>
      <c r="AA795" s="114">
        <f>_xlfn.NUMBERVALUE(RIGHT(ReportSummary___Track[[#This Row],[Track ID]],4))</f>
        <v>49</v>
      </c>
      <c r="AB795" s="78"/>
    </row>
    <row r="796" spans="5:28" ht="14.25" customHeight="1" x14ac:dyDescent="0.2">
      <c r="E796" s="74">
        <v>45797.777777777781</v>
      </c>
      <c r="F796" s="107" t="s">
        <v>235</v>
      </c>
      <c r="G796" s="142">
        <v>51886.100888003857</v>
      </c>
      <c r="H796" s="142">
        <v>159195.446681709</v>
      </c>
      <c r="I796" s="142">
        <v>18.86977464079656</v>
      </c>
      <c r="J796" s="142">
        <v>51885.74197615045</v>
      </c>
      <c r="K796" s="142">
        <v>159194.18769572402</v>
      </c>
      <c r="L796" s="142">
        <v>18.865787569705002</v>
      </c>
      <c r="M796" s="145">
        <v>3.9870710915579366E-3</v>
      </c>
      <c r="N796" s="145">
        <v>1.3091521399883912</v>
      </c>
      <c r="O796" s="145"/>
      <c r="P796" s="145"/>
      <c r="Q7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-0.28169365443631023</v>
      </c>
      <c r="R7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-0.96603639901848837</v>
      </c>
      <c r="S79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9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7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-2.7450912709436892E-4</v>
      </c>
      <c r="W79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9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96" s="162" t="str">
        <f>ReportSummary___Track[[#This Row],[Track ID]]&amp;"-"&amp;ReportSummary___Track[[#This Row],[Epoch]]</f>
        <v>250-RL-OP-0021-45797.7777777778</v>
      </c>
      <c r="Z796" s="126">
        <f>SUBTOTAL(103,ReportSummary___Track[[#This Row],[Track ID]])</f>
        <v>1</v>
      </c>
      <c r="AA796" s="114">
        <f>_xlfn.NUMBERVALUE(RIGHT(ReportSummary___Track[[#This Row],[Track ID]],4))</f>
        <v>21</v>
      </c>
      <c r="AB796" s="78"/>
    </row>
    <row r="797" spans="5:28" ht="14.25" customHeight="1" x14ac:dyDescent="0.2">
      <c r="E797" s="74">
        <v>45797.777777777781</v>
      </c>
      <c r="F797" s="107" t="s">
        <v>236</v>
      </c>
      <c r="G797" s="142">
        <v>51887.062534604804</v>
      </c>
      <c r="H797" s="142">
        <v>159195.1723903708</v>
      </c>
      <c r="I797" s="142">
        <v>18.869497718698447</v>
      </c>
      <c r="J797" s="142">
        <v>51886.703005177442</v>
      </c>
      <c r="K797" s="142">
        <v>159193.91124827688</v>
      </c>
      <c r="L797" s="142">
        <v>18.865652437138895</v>
      </c>
      <c r="M797" s="145">
        <v>3.8452815595526602E-3</v>
      </c>
      <c r="N797" s="145">
        <v>1.3113945159215279</v>
      </c>
      <c r="O797" s="145"/>
      <c r="P797" s="145"/>
      <c r="Q7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-0.62783970314583826</v>
      </c>
      <c r="R7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-0.63429717355822923</v>
      </c>
      <c r="S79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9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7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-2.7451064016759119E-4</v>
      </c>
      <c r="W79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9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97" s="162" t="str">
        <f>ReportSummary___Track[[#This Row],[Track ID]]&amp;"-"&amp;ReportSummary___Track[[#This Row],[Epoch]]</f>
        <v>250-RL-OP-0022-45797.7777777778</v>
      </c>
      <c r="Z797" s="126">
        <f>SUBTOTAL(103,ReportSummary___Track[[#This Row],[Track ID]])</f>
        <v>1</v>
      </c>
      <c r="AA797" s="114">
        <f>_xlfn.NUMBERVALUE(RIGHT(ReportSummary___Track[[#This Row],[Track ID]],4))</f>
        <v>22</v>
      </c>
      <c r="AB797" s="78"/>
    </row>
    <row r="798" spans="5:28" ht="14.25" customHeight="1" x14ac:dyDescent="0.2">
      <c r="E798" s="74">
        <v>45797.777777777781</v>
      </c>
      <c r="F798" s="107" t="s">
        <v>237</v>
      </c>
      <c r="G798" s="142">
        <v>51888.02418120575</v>
      </c>
      <c r="H798" s="142">
        <v>159194.89809903264</v>
      </c>
      <c r="I798" s="142">
        <v>18.869220796600338</v>
      </c>
      <c r="J798" s="142">
        <v>51887.664034204434</v>
      </c>
      <c r="K798" s="142">
        <v>159193.63480082978</v>
      </c>
      <c r="L798" s="142">
        <v>18.865517304572791</v>
      </c>
      <c r="M798" s="145">
        <v>3.7034920275473837E-3</v>
      </c>
      <c r="N798" s="145">
        <v>1.3136369086460529</v>
      </c>
      <c r="O798" s="145"/>
      <c r="P798" s="145"/>
      <c r="Q7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-0.97398575185536629</v>
      </c>
      <c r="R7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-0.30257096433472519</v>
      </c>
      <c r="S79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79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7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-2.7451217045526555E-4</v>
      </c>
      <c r="W79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79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98" s="162" t="str">
        <f>ReportSummary___Track[[#This Row],[Track ID]]&amp;"-"&amp;ReportSummary___Track[[#This Row],[Epoch]]</f>
        <v>250-RL-OP-0023-45797.7777777778</v>
      </c>
      <c r="Z798" s="126">
        <f>SUBTOTAL(103,ReportSummary___Track[[#This Row],[Track ID]])</f>
        <v>1</v>
      </c>
      <c r="AA798" s="114">
        <f>_xlfn.NUMBERVALUE(RIGHT(ReportSummary___Track[[#This Row],[Track ID]],4))</f>
        <v>23</v>
      </c>
      <c r="AB798" s="78"/>
    </row>
    <row r="799" spans="5:28" ht="14.25" customHeight="1" x14ac:dyDescent="0.2">
      <c r="E799" s="74">
        <v>45797.777777777781</v>
      </c>
      <c r="F799" s="107" t="s">
        <v>238</v>
      </c>
      <c r="G799" s="142">
        <v>51888.985229668855</v>
      </c>
      <c r="H799" s="142">
        <v>159194.62281030611</v>
      </c>
      <c r="I799" s="142">
        <v>18.868826372087216</v>
      </c>
      <c r="J799" s="142">
        <v>51888.624024403252</v>
      </c>
      <c r="K799" s="142">
        <v>159193.35779661778</v>
      </c>
      <c r="L799" s="142">
        <v>18.864752372254646</v>
      </c>
      <c r="M799" s="145">
        <v>4.0739998325705074E-3</v>
      </c>
      <c r="N799" s="145">
        <v>1.3155779996028725</v>
      </c>
      <c r="O799" s="145">
        <v>8.6928741012570754E-5</v>
      </c>
      <c r="P799" s="145"/>
      <c r="Q7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-0.68842172650818156</v>
      </c>
      <c r="R7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-0.19142972894337085</v>
      </c>
      <c r="S7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-0.40672807207187134</v>
      </c>
      <c r="T79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7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1.2491502829448109E-5</v>
      </c>
      <c r="V7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-2.0116116547796992E-4</v>
      </c>
      <c r="W7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1.2491502833000823E-5</v>
      </c>
      <c r="X79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799" s="162" t="str">
        <f>ReportSummary___Track[[#This Row],[Track ID]]&amp;"-"&amp;ReportSummary___Track[[#This Row],[Epoch]]</f>
        <v>250-RL-OP-0024-45797.7777777778</v>
      </c>
      <c r="Z799" s="126">
        <f>SUBTOTAL(103,ReportSummary___Track[[#This Row],[Track ID]])</f>
        <v>1</v>
      </c>
      <c r="AA799" s="114">
        <f>_xlfn.NUMBERVALUE(RIGHT(ReportSummary___Track[[#This Row],[Track ID]],4))</f>
        <v>24</v>
      </c>
      <c r="AB799" s="78"/>
    </row>
    <row r="800" spans="5:28" ht="14.25" customHeight="1" x14ac:dyDescent="0.2">
      <c r="E800" s="74">
        <v>45797.777777777781</v>
      </c>
      <c r="F800" s="107" t="s">
        <v>239</v>
      </c>
      <c r="G800" s="142">
        <v>51889.946542310921</v>
      </c>
      <c r="H800" s="142">
        <v>159194.34735097896</v>
      </c>
      <c r="I800" s="142">
        <v>18.868422275274774</v>
      </c>
      <c r="J800" s="142">
        <v>51889.584791712696</v>
      </c>
      <c r="K800" s="142">
        <v>159193.08044225874</v>
      </c>
      <c r="L800" s="142">
        <v>18.863894115171242</v>
      </c>
      <c r="M800" s="145">
        <v>4.5281601035327412E-3</v>
      </c>
      <c r="N800" s="145">
        <v>1.3175514050417927</v>
      </c>
      <c r="O800" s="145">
        <v>6.8287854398008108E-4</v>
      </c>
      <c r="P800" s="145"/>
      <c r="Q8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-0.35143462561038064</v>
      </c>
      <c r="R8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-9.758527517078619E-2</v>
      </c>
      <c r="S8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0.27640507753545762</v>
      </c>
      <c r="T80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6.1305965495250803E-6</v>
      </c>
      <c r="V8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-1.023714408612264E-4</v>
      </c>
      <c r="W8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6.1305965495250803E-6</v>
      </c>
      <c r="X80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00" s="162" t="str">
        <f>ReportSummary___Track[[#This Row],[Track ID]]&amp;"-"&amp;ReportSummary___Track[[#This Row],[Epoch]]</f>
        <v>250-RL-OP-0025-45797.7777777778</v>
      </c>
      <c r="Z800" s="126">
        <f>SUBTOTAL(103,ReportSummary___Track[[#This Row],[Track ID]])</f>
        <v>1</v>
      </c>
      <c r="AA800" s="114">
        <f>_xlfn.NUMBERVALUE(RIGHT(ReportSummary___Track[[#This Row],[Track ID]],4))</f>
        <v>25</v>
      </c>
      <c r="AB800" s="78"/>
    </row>
    <row r="801" spans="5:28" ht="14.25" customHeight="1" x14ac:dyDescent="0.2">
      <c r="E801" s="74">
        <v>45797.777777777781</v>
      </c>
      <c r="F801" s="107" t="s">
        <v>240</v>
      </c>
      <c r="G801" s="142">
        <v>51890.907854952988</v>
      </c>
      <c r="H801" s="142">
        <v>159194.07189165184</v>
      </c>
      <c r="I801" s="142">
        <v>18.868018178462332</v>
      </c>
      <c r="J801" s="142">
        <v>51890.545559022146</v>
      </c>
      <c r="K801" s="142">
        <v>159192.80308789967</v>
      </c>
      <c r="L801" s="142">
        <v>18.863035858087837</v>
      </c>
      <c r="M801" s="145">
        <v>4.9823203744949751E-3</v>
      </c>
      <c r="N801" s="145">
        <v>1.3195249624575993</v>
      </c>
      <c r="O801" s="145">
        <v>1.2788283469475914E-3</v>
      </c>
      <c r="P801" s="145"/>
      <c r="Q8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-1.4447524712579707E-2</v>
      </c>
      <c r="R8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-3.5980916088806936E-3</v>
      </c>
      <c r="S8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0.95953822714278658</v>
      </c>
      <c r="T80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-2.3030973395066212E-7</v>
      </c>
      <c r="V8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-3.5862298020106209E-6</v>
      </c>
      <c r="W8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-2.3030973395066212E-7</v>
      </c>
      <c r="X80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01" s="162" t="str">
        <f>ReportSummary___Track[[#This Row],[Track ID]]&amp;"-"&amp;ReportSummary___Track[[#This Row],[Epoch]]</f>
        <v>250-RL-OP-0026-45797.7777777778</v>
      </c>
      <c r="Z801" s="126">
        <f>SUBTOTAL(103,ReportSummary___Track[[#This Row],[Track ID]])</f>
        <v>1</v>
      </c>
      <c r="AA801" s="114">
        <f>_xlfn.NUMBERVALUE(RIGHT(ReportSummary___Track[[#This Row],[Track ID]],4))</f>
        <v>26</v>
      </c>
      <c r="AB801" s="78"/>
    </row>
    <row r="802" spans="5:28" ht="14.25" customHeight="1" x14ac:dyDescent="0.2">
      <c r="E802" s="74">
        <v>45797.777777777781</v>
      </c>
      <c r="F802" s="107" t="s">
        <v>241</v>
      </c>
      <c r="G802" s="142">
        <v>51891.870085166687</v>
      </c>
      <c r="H802" s="142">
        <v>159193.79534240576</v>
      </c>
      <c r="I802" s="142">
        <v>18.865661447731828</v>
      </c>
      <c r="J802" s="142">
        <v>51891.504328022391</v>
      </c>
      <c r="K802" s="142">
        <v>159192.52682210354</v>
      </c>
      <c r="L802" s="142">
        <v>18.86095853238524</v>
      </c>
      <c r="M802" s="145">
        <v>4.7029153465878437E-3</v>
      </c>
      <c r="N802" s="145">
        <v>1.3202061063248756</v>
      </c>
      <c r="O802" s="145">
        <v>6.2891551401733636E-4</v>
      </c>
      <c r="P802" s="145">
        <v>7.1584425502990712E-4</v>
      </c>
      <c r="Q8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-3.0974945275374921E-5</v>
      </c>
      <c r="R8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5.178607873856933E-3</v>
      </c>
      <c r="S8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0.68839075156290619</v>
      </c>
      <c r="T8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0.28166267949103485</v>
      </c>
      <c r="U8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3.2460053641969466E-4</v>
      </c>
      <c r="V8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9.0801398400897071E-5</v>
      </c>
      <c r="W8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3.1210903359024655E-4</v>
      </c>
      <c r="X8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3.2460053642324738E-4</v>
      </c>
      <c r="Y802" s="162" t="str">
        <f>ReportSummary___Track[[#This Row],[Track ID]]&amp;"-"&amp;ReportSummary___Track[[#This Row],[Epoch]]</f>
        <v>250-RL-OP-0027-45797.7777777778</v>
      </c>
      <c r="Z802" s="126">
        <f>SUBTOTAL(103,ReportSummary___Track[[#This Row],[Track ID]])</f>
        <v>1</v>
      </c>
      <c r="AA802" s="114">
        <f>_xlfn.NUMBERVALUE(RIGHT(ReportSummary___Track[[#This Row],[Track ID]],4))</f>
        <v>27</v>
      </c>
      <c r="AB802" s="78"/>
    </row>
    <row r="803" spans="5:28" ht="14.25" customHeight="1" x14ac:dyDescent="0.2">
      <c r="E803" s="74">
        <v>45797.777777777781</v>
      </c>
      <c r="F803" s="107" t="s">
        <v>242</v>
      </c>
      <c r="G803" s="142">
        <v>51892.831165658921</v>
      </c>
      <c r="H803" s="142">
        <v>159193.51908472509</v>
      </c>
      <c r="I803" s="142">
        <v>18.863215774997911</v>
      </c>
      <c r="J803" s="142">
        <v>51892.465235995609</v>
      </c>
      <c r="K803" s="142">
        <v>159192.2499623792</v>
      </c>
      <c r="L803" s="142">
        <v>18.858823106009972</v>
      </c>
      <c r="M803" s="145">
        <v>4.392668987939885E-3</v>
      </c>
      <c r="N803" s="145">
        <v>1.3208313075058185</v>
      </c>
      <c r="O803" s="145">
        <v>-1.354911155928562E-4</v>
      </c>
      <c r="P803" s="145">
        <v>5.4738742838722487E-4</v>
      </c>
      <c r="Q8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-6.3326812238528873E-5</v>
      </c>
      <c r="R8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1.0526357607343328E-2</v>
      </c>
      <c r="S8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0.35137129879814211</v>
      </c>
      <c r="T8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0.62777637633359973</v>
      </c>
      <c r="U8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6.6414084647448135E-4</v>
      </c>
      <c r="V8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1.8553977994573145E-4</v>
      </c>
      <c r="W8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6.5801024992495627E-4</v>
      </c>
      <c r="X8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6.6414084647448135E-4</v>
      </c>
      <c r="Y803" s="162" t="str">
        <f>ReportSummary___Track[[#This Row],[Track ID]]&amp;"-"&amp;ReportSummary___Track[[#This Row],[Epoch]]</f>
        <v>250-RL-OP-0028-45797.7777777778</v>
      </c>
      <c r="Z803" s="126">
        <f>SUBTOTAL(103,ReportSummary___Track[[#This Row],[Track ID]])</f>
        <v>1</v>
      </c>
      <c r="AA803" s="114">
        <f>_xlfn.NUMBERVALUE(RIGHT(ReportSummary___Track[[#This Row],[Track ID]],4))</f>
        <v>28</v>
      </c>
      <c r="AB803" s="78"/>
    </row>
    <row r="804" spans="5:28" ht="14.25" customHeight="1" x14ac:dyDescent="0.2">
      <c r="E804" s="74">
        <v>45797.777777777781</v>
      </c>
      <c r="F804" s="107" t="s">
        <v>243</v>
      </c>
      <c r="G804" s="142">
        <v>51893.791832902716</v>
      </c>
      <c r="H804" s="142">
        <v>159193.24288497053</v>
      </c>
      <c r="I804" s="142">
        <v>18.86090880847965</v>
      </c>
      <c r="J804" s="142">
        <v>51893.425692236284</v>
      </c>
      <c r="K804" s="142">
        <v>159191.97323060478</v>
      </c>
      <c r="L804" s="142">
        <v>18.856702718082136</v>
      </c>
      <c r="M804" s="145">
        <v>4.2060903975134067E-3</v>
      </c>
      <c r="N804" s="145">
        <v>1.321400350871381</v>
      </c>
      <c r="O804" s="145">
        <v>-7.7622997698156837E-4</v>
      </c>
      <c r="P804" s="145">
        <v>5.0259836996602303E-4</v>
      </c>
      <c r="Q8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2.5752200372153311E-7</v>
      </c>
      <c r="R8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1.741173618396985E-3</v>
      </c>
      <c r="S8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1.4447782234583428E-2</v>
      </c>
      <c r="T8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0.97398600937737001</v>
      </c>
      <c r="U8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9.8239267918387441E-4</v>
      </c>
      <c r="V8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2.7585346125458265E-4</v>
      </c>
      <c r="W8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9.8262298891782507E-4</v>
      </c>
      <c r="X8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9.8239267918387441E-4</v>
      </c>
      <c r="Y804" s="162" t="str">
        <f>ReportSummary___Track[[#This Row],[Track ID]]&amp;"-"&amp;ReportSummary___Track[[#This Row],[Epoch]]</f>
        <v>250-RL-OP-0029-45797.7777777778</v>
      </c>
      <c r="Z804" s="126">
        <f>SUBTOTAL(103,ReportSummary___Track[[#This Row],[Track ID]])</f>
        <v>1</v>
      </c>
      <c r="AA804" s="114">
        <f>_xlfn.NUMBERVALUE(RIGHT(ReportSummary___Track[[#This Row],[Track ID]],4))</f>
        <v>29</v>
      </c>
      <c r="AB804" s="78"/>
    </row>
    <row r="805" spans="5:28" ht="14.25" customHeight="1" x14ac:dyDescent="0.2">
      <c r="E805" s="74">
        <v>45797.777777777781</v>
      </c>
      <c r="F805" s="107" t="s">
        <v>269</v>
      </c>
      <c r="G805" s="142">
        <v>51894.752609045274</v>
      </c>
      <c r="H805" s="142">
        <v>159192.96555993389</v>
      </c>
      <c r="I805" s="142">
        <v>18.861075952305988</v>
      </c>
      <c r="J805" s="142">
        <v>51894.386491534708</v>
      </c>
      <c r="K805" s="142">
        <v>159191.69598622678</v>
      </c>
      <c r="L805" s="142">
        <v>18.857215563768435</v>
      </c>
      <c r="M805" s="145">
        <v>3.8603885375536606E-3</v>
      </c>
      <c r="N805" s="145">
        <v>1.3213153794283075</v>
      </c>
      <c r="O805" s="145">
        <v>-8.4252680903418309E-4</v>
      </c>
      <c r="P805" s="145">
        <v>-2.1361129501684673E-4</v>
      </c>
      <c r="Q8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4.8846612088482289E-5</v>
      </c>
      <c r="R8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0.33026561531612764</v>
      </c>
      <c r="S8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7.982155736385721E-5</v>
      </c>
      <c r="T8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0.68847057312027005</v>
      </c>
      <c r="U8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6.4848323754418402E-4</v>
      </c>
      <c r="V8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4.1595449265763307E-4</v>
      </c>
      <c r="W8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3.2388270112448936E-4</v>
      </c>
      <c r="X8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6.3599173471473591E-4</v>
      </c>
      <c r="Y805" s="162" t="str">
        <f>ReportSummary___Track[[#This Row],[Track ID]]&amp;"-"&amp;ReportSummary___Track[[#This Row],[Epoch]]</f>
        <v>250-RL-OP-0030-45797.7777777778</v>
      </c>
      <c r="Z805" s="126">
        <f>SUBTOTAL(103,ReportSummary___Track[[#This Row],[Track ID]])</f>
        <v>1</v>
      </c>
      <c r="AA805" s="114">
        <f>_xlfn.NUMBERVALUE(RIGHT(ReportSummary___Track[[#This Row],[Track ID]],4))</f>
        <v>30</v>
      </c>
      <c r="AB805" s="78"/>
    </row>
    <row r="806" spans="5:28" ht="14.25" customHeight="1" x14ac:dyDescent="0.2">
      <c r="E806" s="74">
        <v>45797.777777777781</v>
      </c>
      <c r="F806" s="107" t="s">
        <v>270</v>
      </c>
      <c r="G806" s="142">
        <v>51895.713385187832</v>
      </c>
      <c r="H806" s="142">
        <v>159192.68823489724</v>
      </c>
      <c r="I806" s="142">
        <v>18.861243096132327</v>
      </c>
      <c r="J806" s="142">
        <v>51895.347290833139</v>
      </c>
      <c r="K806" s="142">
        <v>159191.41874184879</v>
      </c>
      <c r="L806" s="142">
        <v>18.857728409454737</v>
      </c>
      <c r="M806" s="145">
        <v>3.5146866775903618E-3</v>
      </c>
      <c r="N806" s="145">
        <v>1.3212304983017849</v>
      </c>
      <c r="O806" s="145">
        <v>-8.7798231034952323E-4</v>
      </c>
      <c r="P806" s="145">
        <v>-1.0134734259423794E-3</v>
      </c>
      <c r="Q8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9.7435698620529365E-5</v>
      </c>
      <c r="R8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0.65879050853223653</v>
      </c>
      <c r="S8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1.6076251085905824E-4</v>
      </c>
      <c r="T8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0.35153206130900116</v>
      </c>
      <c r="U8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3.1457379590094092E-4</v>
      </c>
      <c r="V8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5.5614577081586347E-4</v>
      </c>
      <c r="W8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-3.4956705057354043E-4</v>
      </c>
      <c r="X8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3.0844319935141584E-4</v>
      </c>
      <c r="Y806" s="162" t="str">
        <f>ReportSummary___Track[[#This Row],[Track ID]]&amp;"-"&amp;ReportSummary___Track[[#This Row],[Epoch]]</f>
        <v>250-RL-OP-0031-45797.7777777778</v>
      </c>
      <c r="Z806" s="126">
        <f>SUBTOTAL(103,ReportSummary___Track[[#This Row],[Track ID]])</f>
        <v>1</v>
      </c>
      <c r="AA806" s="114">
        <f>_xlfn.NUMBERVALUE(RIGHT(ReportSummary___Track[[#This Row],[Track ID]],4))</f>
        <v>31</v>
      </c>
      <c r="AB806" s="78"/>
    </row>
    <row r="807" spans="5:28" ht="14.25" customHeight="1" x14ac:dyDescent="0.2">
      <c r="E807" s="74">
        <v>45797.777777777781</v>
      </c>
      <c r="F807" s="107" t="s">
        <v>271</v>
      </c>
      <c r="G807" s="142">
        <v>51896.674400289477</v>
      </c>
      <c r="H807" s="142">
        <v>159192.41088835374</v>
      </c>
      <c r="I807" s="142">
        <v>18.861498357934735</v>
      </c>
      <c r="J807" s="142">
        <v>51896.308528737987</v>
      </c>
      <c r="K807" s="142">
        <v>159191.14173461875</v>
      </c>
      <c r="L807" s="142">
        <v>18.85824734462722</v>
      </c>
      <c r="M807" s="145">
        <v>3.2510133075156489E-3</v>
      </c>
      <c r="N807" s="145">
        <v>1.3208420663783165</v>
      </c>
      <c r="O807" s="145">
        <v>-9.5507708999775787E-4</v>
      </c>
      <c r="P807" s="145">
        <v>-1.7313070669793262E-3</v>
      </c>
      <c r="Q8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-4.4585526381979435E-6</v>
      </c>
      <c r="R8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0.93404971751942512</v>
      </c>
      <c r="S8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-4.7160746419194766E-6</v>
      </c>
      <c r="T8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1.4443066159941509E-2</v>
      </c>
      <c r="U8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-6.2484552643127245E-8</v>
      </c>
      <c r="V8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6.4947101518231243E-4</v>
      </c>
      <c r="W8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-9.8245516373651753E-4</v>
      </c>
      <c r="X8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1.6782518130753488E-7</v>
      </c>
      <c r="Y807" s="162" t="str">
        <f>ReportSummary___Track[[#This Row],[Track ID]]&amp;"-"&amp;ReportSummary___Track[[#This Row],[Epoch]]</f>
        <v>250-RL-OP-0032-45797.7777777778</v>
      </c>
      <c r="Z807" s="126">
        <f>SUBTOTAL(103,ReportSummary___Track[[#This Row],[Track ID]])</f>
        <v>1</v>
      </c>
      <c r="AA807" s="114">
        <f>_xlfn.NUMBERVALUE(RIGHT(ReportSummary___Track[[#This Row],[Track ID]],4))</f>
        <v>32</v>
      </c>
      <c r="AB807" s="78"/>
    </row>
    <row r="808" spans="5:28" ht="14.25" customHeight="1" x14ac:dyDescent="0.2">
      <c r="E808" s="74">
        <v>45797.777777777781</v>
      </c>
      <c r="F808" s="107" t="s">
        <v>272</v>
      </c>
      <c r="G808" s="142">
        <v>51897.635380606233</v>
      </c>
      <c r="H808" s="142">
        <v>159192.13427621915</v>
      </c>
      <c r="I808" s="142">
        <v>18.863097673946694</v>
      </c>
      <c r="J808" s="142">
        <v>51897.270518069447</v>
      </c>
      <c r="K808" s="142">
        <v>159190.86864821697</v>
      </c>
      <c r="L808" s="142">
        <v>18.858833292983896</v>
      </c>
      <c r="M808" s="145">
        <v>4.2643809627982421E-3</v>
      </c>
      <c r="N808" s="145">
        <v>1.3171777008392682</v>
      </c>
      <c r="O808" s="145">
        <v>4.0399242524458145E-4</v>
      </c>
      <c r="P808" s="145">
        <v>-4.3853438378960163E-4</v>
      </c>
      <c r="Q8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-5.9638654903437782E-5</v>
      </c>
      <c r="R8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0.6025074696383026</v>
      </c>
      <c r="S8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-1.0848526699192007E-4</v>
      </c>
      <c r="T8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-2.8663709628062861E-5</v>
      </c>
      <c r="U8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-1.0002425909760859E-6</v>
      </c>
      <c r="V8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1.740748159415606E-4</v>
      </c>
      <c r="W8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-6.4948348013516011E-4</v>
      </c>
      <c r="X8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-3.2560077901067075E-4</v>
      </c>
      <c r="Y808" s="162" t="str">
        <f>ReportSummary___Track[[#This Row],[Track ID]]&amp;"-"&amp;ReportSummary___Track[[#This Row],[Epoch]]</f>
        <v>250-RL-OP-0033-45797.7777777778</v>
      </c>
      <c r="Z808" s="126">
        <f>SUBTOTAL(103,ReportSummary___Track[[#This Row],[Track ID]])</f>
        <v>1</v>
      </c>
      <c r="AA808" s="114">
        <f>_xlfn.NUMBERVALUE(RIGHT(ReportSummary___Track[[#This Row],[Track ID]],4))</f>
        <v>33</v>
      </c>
      <c r="AB808" s="78"/>
    </row>
    <row r="809" spans="5:28" ht="14.25" customHeight="1" x14ac:dyDescent="0.2">
      <c r="E809" s="74">
        <v>45797.777777777781</v>
      </c>
      <c r="F809" s="107" t="s">
        <v>273</v>
      </c>
      <c r="G809" s="142">
        <v>51898.59636092298</v>
      </c>
      <c r="H809" s="142">
        <v>159191.85766408456</v>
      </c>
      <c r="I809" s="142">
        <v>18.864696989958652</v>
      </c>
      <c r="J809" s="142">
        <v>51898.232507400899</v>
      </c>
      <c r="K809" s="142">
        <v>159190.59556181522</v>
      </c>
      <c r="L809" s="142">
        <v>18.859419241340568</v>
      </c>
      <c r="M809" s="145">
        <v>5.277748618084388E-3</v>
      </c>
      <c r="N809" s="145">
        <v>1.3135141333162452</v>
      </c>
      <c r="O809" s="145">
        <v>1.7630619404940262E-3</v>
      </c>
      <c r="P809" s="145">
        <v>8.8507963014450297E-4</v>
      </c>
      <c r="Q8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-1.1481875361596394E-4</v>
      </c>
      <c r="R8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0.27096641289992007</v>
      </c>
      <c r="S8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-2.1225445223649331E-4</v>
      </c>
      <c r="T8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-5.1491941377435069E-5</v>
      </c>
      <c r="U8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-1.9380006293090446E-6</v>
      </c>
      <c r="V8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-3.0132063884469318E-4</v>
      </c>
      <c r="W8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-3.1651179653024997E-4</v>
      </c>
      <c r="X8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-6.6607884710379039E-4</v>
      </c>
      <c r="Y809" s="162" t="str">
        <f>ReportSummary___Track[[#This Row],[Track ID]]&amp;"-"&amp;ReportSummary___Track[[#This Row],[Epoch]]</f>
        <v>250-RL-OP-0034-45797.7777777778</v>
      </c>
      <c r="Z809" s="126">
        <f>SUBTOTAL(103,ReportSummary___Track[[#This Row],[Track ID]])</f>
        <v>1</v>
      </c>
      <c r="AA809" s="114">
        <f>_xlfn.NUMBERVALUE(RIGHT(ReportSummary___Track[[#This Row],[Track ID]],4))</f>
        <v>34</v>
      </c>
      <c r="AB809" s="78"/>
    </row>
    <row r="810" spans="5:28" ht="14.25" customHeight="1" x14ac:dyDescent="0.2">
      <c r="E810" s="74">
        <v>45797.777777777781</v>
      </c>
      <c r="F810" s="107" t="s">
        <v>274</v>
      </c>
      <c r="G810" s="142">
        <v>51899.557748431522</v>
      </c>
      <c r="H810" s="142">
        <v>159191.58237758733</v>
      </c>
      <c r="I810" s="142">
        <v>18.866</v>
      </c>
      <c r="J810" s="142">
        <v>51899.202472361336</v>
      </c>
      <c r="K810" s="142">
        <v>159190.32062001547</v>
      </c>
      <c r="L810" s="142">
        <v>18.859777427163273</v>
      </c>
      <c r="M810" s="145">
        <v>6.2225728367266697E-3</v>
      </c>
      <c r="N810" s="145">
        <v>1.3108363653061348</v>
      </c>
      <c r="O810" s="145">
        <v>2.9715595292110208E-3</v>
      </c>
      <c r="P810" s="145">
        <v>2.016482439213263E-3</v>
      </c>
      <c r="Q8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8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3.6910825063074526E-4</v>
      </c>
      <c r="S8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1.5312323853322596E-5</v>
      </c>
      <c r="T8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1.0596249211403119E-5</v>
      </c>
      <c r="U8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8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-6.4971259451507279E-4</v>
      </c>
      <c r="W8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3.8032413840483059E-7</v>
      </c>
      <c r="X8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-9.820748395981127E-4</v>
      </c>
      <c r="Y810" s="162" t="str">
        <f>ReportSummary___Track[[#This Row],[Track ID]]&amp;"-"&amp;ReportSummary___Track[[#This Row],[Epoch]]</f>
        <v>250-RL-OP-0035-45797.7777777778</v>
      </c>
      <c r="Z810" s="126">
        <f>SUBTOTAL(103,ReportSummary___Track[[#This Row],[Track ID]])</f>
        <v>1</v>
      </c>
      <c r="AA810" s="114">
        <f>_xlfn.NUMBERVALUE(RIGHT(ReportSummary___Track[[#This Row],[Track ID]],4))</f>
        <v>35</v>
      </c>
      <c r="AB810" s="78"/>
    </row>
    <row r="811" spans="5:28" ht="14.25" customHeight="1" x14ac:dyDescent="0.2">
      <c r="E811" s="74">
        <v>45797.777777777781</v>
      </c>
      <c r="F811" s="107" t="s">
        <v>275</v>
      </c>
      <c r="G811" s="142">
        <v>51900.520772886579</v>
      </c>
      <c r="H811" s="142">
        <v>159191.31296359556</v>
      </c>
      <c r="I811" s="142">
        <v>18.866</v>
      </c>
      <c r="J811" s="142">
        <v>51900.165031558645</v>
      </c>
      <c r="K811" s="142">
        <v>159190.04954924015</v>
      </c>
      <c r="L811" s="142">
        <v>18.859124401927648</v>
      </c>
      <c r="M811" s="145">
        <v>6.8755980723516075E-3</v>
      </c>
      <c r="N811" s="145">
        <v>1.3125604746775994</v>
      </c>
      <c r="O811" s="145">
        <v>2.6112171095533654E-3</v>
      </c>
      <c r="P811" s="145">
        <v>3.0152095347979468E-3</v>
      </c>
      <c r="Q8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8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6.4312598746507632E-3</v>
      </c>
      <c r="S8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1.283175308230966E-4</v>
      </c>
      <c r="T8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1.9832263831176533E-5</v>
      </c>
      <c r="U8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8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-4.2495956612387253E-4</v>
      </c>
      <c r="W8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7.2634529963977457E-6</v>
      </c>
      <c r="X8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-6.4222002713876236E-4</v>
      </c>
      <c r="Y811" s="162" t="str">
        <f>ReportSummary___Track[[#This Row],[Track ID]]&amp;"-"&amp;ReportSummary___Track[[#This Row],[Epoch]]</f>
        <v>250-RL-OP-0036-45797.7777777778</v>
      </c>
      <c r="Z811" s="126">
        <f>SUBTOTAL(103,ReportSummary___Track[[#This Row],[Track ID]])</f>
        <v>1</v>
      </c>
      <c r="AA811" s="114">
        <f>_xlfn.NUMBERVALUE(RIGHT(ReportSummary___Track[[#This Row],[Track ID]],4))</f>
        <v>36</v>
      </c>
      <c r="AB811" s="78"/>
    </row>
    <row r="812" spans="5:28" ht="14.25" customHeight="1" x14ac:dyDescent="0.2">
      <c r="E812" s="74">
        <v>45797.777777777781</v>
      </c>
      <c r="F812" s="107" t="s">
        <v>276</v>
      </c>
      <c r="G812" s="142">
        <v>51901.483797341636</v>
      </c>
      <c r="H812" s="142">
        <v>159191.04354960378</v>
      </c>
      <c r="I812" s="142">
        <v>18.866</v>
      </c>
      <c r="J812" s="142">
        <v>51901.127590755961</v>
      </c>
      <c r="K812" s="142">
        <v>159189.77847846484</v>
      </c>
      <c r="L812" s="142">
        <v>18.858471376692023</v>
      </c>
      <c r="M812" s="145">
        <v>7.5286233079765452E-3</v>
      </c>
      <c r="N812" s="145">
        <v>1.314284900025277</v>
      </c>
      <c r="O812" s="145">
        <v>2.2508746898921572E-3</v>
      </c>
      <c r="P812" s="145">
        <v>4.0139366303861834E-3</v>
      </c>
      <c r="Q8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1.2650398417690667E-4</v>
      </c>
      <c r="R8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1.249343231957134E-2</v>
      </c>
      <c r="S8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2.4132273779287061E-4</v>
      </c>
      <c r="T8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2.9068285556377305E-5</v>
      </c>
      <c r="U8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1.2208581232187043E-5</v>
      </c>
      <c r="V8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-2.0020175760859793E-4</v>
      </c>
      <c r="W8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1.4146581861496088E-5</v>
      </c>
      <c r="X8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-3.0236521466875388E-4</v>
      </c>
      <c r="Y812" s="162" t="str">
        <f>ReportSummary___Track[[#This Row],[Track ID]]&amp;"-"&amp;ReportSummary___Track[[#This Row],[Epoch]]</f>
        <v>250-RL-OP-0037-45797.7777777778</v>
      </c>
      <c r="Z812" s="126">
        <f>SUBTOTAL(103,ReportSummary___Track[[#This Row],[Track ID]])</f>
        <v>1</v>
      </c>
      <c r="AA812" s="114">
        <f>_xlfn.NUMBERVALUE(RIGHT(ReportSummary___Track[[#This Row],[Track ID]],4))</f>
        <v>37</v>
      </c>
      <c r="AB812" s="78"/>
    </row>
    <row r="813" spans="5:28" ht="14.25" customHeight="1" x14ac:dyDescent="0.2">
      <c r="E813" s="74">
        <v>45797.777777777781</v>
      </c>
      <c r="F813" s="107" t="s">
        <v>277</v>
      </c>
      <c r="G813" s="142">
        <v>51902.446769974056</v>
      </c>
      <c r="H813" s="142">
        <v>159190.77524553274</v>
      </c>
      <c r="I813" s="142">
        <v>18.866065352039769</v>
      </c>
      <c r="J813" s="142">
        <v>51902.098861120321</v>
      </c>
      <c r="K813" s="142">
        <v>159189.50600598883</v>
      </c>
      <c r="L813" s="142">
        <v>18.857900000000001</v>
      </c>
      <c r="M813" s="145">
        <v>8.1653520397679813E-3</v>
      </c>
      <c r="N813" s="145">
        <v>1.3160836840038421</v>
      </c>
      <c r="O813" s="145">
        <v>1.9427792030413116E-3</v>
      </c>
      <c r="P813" s="145">
        <v>4.9143387322523324E-3</v>
      </c>
      <c r="Q8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8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5.8252603954755955E-2</v>
      </c>
      <c r="S8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-5.9461777389913095E-2</v>
      </c>
      <c r="T8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-5.9446465066059773E-2</v>
      </c>
      <c r="U8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8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9.2402612827946484E-7</v>
      </c>
      <c r="W8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-5.9779701281570397E-5</v>
      </c>
      <c r="X8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-5.9399377143165566E-5</v>
      </c>
      <c r="Y813" s="162" t="str">
        <f>ReportSummary___Track[[#This Row],[Track ID]]&amp;"-"&amp;ReportSummary___Track[[#This Row],[Epoch]]</f>
        <v>250-RL-OP-0038-45797.7777777778</v>
      </c>
      <c r="Z813" s="126">
        <f>SUBTOTAL(103,ReportSummary___Track[[#This Row],[Track ID]])</f>
        <v>1</v>
      </c>
      <c r="AA813" s="114">
        <f>_xlfn.NUMBERVALUE(RIGHT(ReportSummary___Track[[#This Row],[Track ID]],4))</f>
        <v>38</v>
      </c>
      <c r="AB813" s="78"/>
    </row>
    <row r="814" spans="5:28" ht="14.25" customHeight="1" x14ac:dyDescent="0.2">
      <c r="E814" s="74">
        <v>45797.777777777781</v>
      </c>
      <c r="F814" s="107" t="s">
        <v>278</v>
      </c>
      <c r="G814" s="142">
        <v>51903.411367144348</v>
      </c>
      <c r="H814" s="142">
        <v>159190.51151808733</v>
      </c>
      <c r="I814" s="142">
        <v>18.866430855617907</v>
      </c>
      <c r="J814" s="142">
        <v>51903.06344348444</v>
      </c>
      <c r="K814" s="142">
        <v>159189.24222414181</v>
      </c>
      <c r="L814" s="142">
        <v>18.857900000000001</v>
      </c>
      <c r="M814" s="145">
        <v>8.5308556179057859E-3</v>
      </c>
      <c r="N814" s="145">
        <v>1.3161423816381783</v>
      </c>
      <c r="O814" s="145">
        <v>1.6552575455541785E-3</v>
      </c>
      <c r="P814" s="145">
        <v>4.2664746551075439E-3</v>
      </c>
      <c r="Q8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-0.39195049642870572</v>
      </c>
      <c r="R8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0.4646789735065493</v>
      </c>
      <c r="S8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-0.39201917530462538</v>
      </c>
      <c r="T8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-0.39189085777380228</v>
      </c>
      <c r="U8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-3.9202260941451073E-4</v>
      </c>
      <c r="V8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8.6722029701835623E-5</v>
      </c>
      <c r="W8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-3.9828581981993239E-4</v>
      </c>
      <c r="X8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-3.9102236682353464E-4</v>
      </c>
      <c r="Y814" s="162" t="str">
        <f>ReportSummary___Track[[#This Row],[Track ID]]&amp;"-"&amp;ReportSummary___Track[[#This Row],[Epoch]]</f>
        <v>250-RL-OP-0039-45797.7777777778</v>
      </c>
      <c r="Z814" s="126">
        <f>SUBTOTAL(103,ReportSummary___Track[[#This Row],[Track ID]])</f>
        <v>1</v>
      </c>
      <c r="AA814" s="114">
        <f>_xlfn.NUMBERVALUE(RIGHT(ReportSummary___Track[[#This Row],[Track ID]],4))</f>
        <v>39</v>
      </c>
      <c r="AB814" s="78"/>
    </row>
    <row r="815" spans="5:28" ht="14.25" customHeight="1" x14ac:dyDescent="0.2">
      <c r="E815" s="74">
        <v>45797.777777777781</v>
      </c>
      <c r="F815" s="107" t="s">
        <v>279</v>
      </c>
      <c r="G815" s="142">
        <v>51904.37596431464</v>
      </c>
      <c r="H815" s="142">
        <v>159190.24779064191</v>
      </c>
      <c r="I815" s="142">
        <v>18.866796359196041</v>
      </c>
      <c r="J815" s="142">
        <v>51904.028025848558</v>
      </c>
      <c r="K815" s="142">
        <v>159188.97844229479</v>
      </c>
      <c r="L815" s="142">
        <v>18.857900000000001</v>
      </c>
      <c r="M815" s="145">
        <v>8.8963591960400379E-3</v>
      </c>
      <c r="N815" s="145">
        <v>1.3162011805687437</v>
      </c>
      <c r="O815" s="145">
        <v>1.3677358880634927E-3</v>
      </c>
      <c r="P815" s="145">
        <v>3.6186105779556499E-3</v>
      </c>
      <c r="Q8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-0.72445006923871347</v>
      </c>
      <c r="R8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0.87083377910257553</v>
      </c>
      <c r="S8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-0.72457657322289037</v>
      </c>
      <c r="T8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-0.7243352504850975</v>
      </c>
      <c r="U8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-7.2458335713676547E-4</v>
      </c>
      <c r="V8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1.7225082624583443E-4</v>
      </c>
      <c r="W8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-7.3679193836895251E-4</v>
      </c>
      <c r="X8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-7.2264535650745643E-4</v>
      </c>
      <c r="Y815" s="162" t="str">
        <f>ReportSummary___Track[[#This Row],[Track ID]]&amp;"-"&amp;ReportSummary___Track[[#This Row],[Epoch]]</f>
        <v>250-RL-OP-0040-45797.7777777778</v>
      </c>
      <c r="Z815" s="126">
        <f>SUBTOTAL(103,ReportSummary___Track[[#This Row],[Track ID]])</f>
        <v>1</v>
      </c>
      <c r="AA815" s="114">
        <f>_xlfn.NUMBERVALUE(RIGHT(ReportSummary___Track[[#This Row],[Track ID]],4))</f>
        <v>40</v>
      </c>
      <c r="AB815" s="78"/>
    </row>
    <row r="816" spans="5:28" ht="14.25" customHeight="1" x14ac:dyDescent="0.2">
      <c r="E816" s="74">
        <v>45797.777777777781</v>
      </c>
      <c r="F816" s="107" t="s">
        <v>280</v>
      </c>
      <c r="G816" s="142">
        <v>51905.341841450259</v>
      </c>
      <c r="H816" s="142">
        <v>159189.98517913549</v>
      </c>
      <c r="I816" s="142">
        <v>18.867392406740741</v>
      </c>
      <c r="J816" s="142">
        <v>51905.00285235198</v>
      </c>
      <c r="K816" s="142">
        <v>159188.7129570262</v>
      </c>
      <c r="L816" s="142">
        <v>18.858054709071411</v>
      </c>
      <c r="M816" s="145">
        <v>9.3376976693306801E-3</v>
      </c>
      <c r="N816" s="145">
        <v>1.3166434204835475</v>
      </c>
      <c r="O816" s="145">
        <v>1.1723456295626988E-3</v>
      </c>
      <c r="P816" s="145">
        <v>3.1151248326040104E-3</v>
      </c>
      <c r="Q8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-0.95002291113388537</v>
      </c>
      <c r="R8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1.2036471817999939</v>
      </c>
      <c r="S8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-0.8905719875151874</v>
      </c>
      <c r="T8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-0.9500337649051005</v>
      </c>
      <c r="U8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-9.5007511544054069E-4</v>
      </c>
      <c r="V8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2.9826830258272707E-4</v>
      </c>
      <c r="W8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-8.9061325374473199E-4</v>
      </c>
      <c r="X8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-9.5039295502630239E-4</v>
      </c>
      <c r="Y816" s="162" t="str">
        <f>ReportSummary___Track[[#This Row],[Track ID]]&amp;"-"&amp;ReportSummary___Track[[#This Row],[Epoch]]</f>
        <v>250-RL-OP-0041-45797.7777777778</v>
      </c>
      <c r="Z816" s="126">
        <f>SUBTOTAL(103,ReportSummary___Track[[#This Row],[Track ID]])</f>
        <v>1</v>
      </c>
      <c r="AA816" s="114">
        <f>_xlfn.NUMBERVALUE(RIGHT(ReportSummary___Track[[#This Row],[Track ID]],4))</f>
        <v>41</v>
      </c>
      <c r="AB816" s="78"/>
    </row>
    <row r="817" spans="5:28" ht="14.25" customHeight="1" x14ac:dyDescent="0.2">
      <c r="E817" s="74">
        <v>45797.777777777781</v>
      </c>
      <c r="F817" s="107" t="s">
        <v>281</v>
      </c>
      <c r="G817" s="142">
        <v>51906.308594977017</v>
      </c>
      <c r="H817" s="142">
        <v>159189.72947487878</v>
      </c>
      <c r="I817" s="142">
        <v>18.869110425193988</v>
      </c>
      <c r="J817" s="142">
        <v>51905.96941603531</v>
      </c>
      <c r="K817" s="142">
        <v>159188.45653275421</v>
      </c>
      <c r="L817" s="142">
        <v>18.859167723973645</v>
      </c>
      <c r="M817" s="145">
        <v>9.9427012203427978E-3</v>
      </c>
      <c r="N817" s="145">
        <v>1.3173924488635</v>
      </c>
      <c r="O817" s="145">
        <v>1.4118456024370118E-3</v>
      </c>
      <c r="P817" s="145">
        <v>3.0671031479911903E-3</v>
      </c>
      <c r="Q8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-0.59047550922741721</v>
      </c>
      <c r="R8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1.1140409383316729</v>
      </c>
      <c r="S8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-0.19852501279871149</v>
      </c>
      <c r="T8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-0.59054418810333686</v>
      </c>
      <c r="U8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-5.9090328403854642E-4</v>
      </c>
      <c r="V8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6.4780802346575683E-4</v>
      </c>
      <c r="W8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-1.9888067462403569E-4</v>
      </c>
      <c r="X8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-5.9716649444396808E-4</v>
      </c>
      <c r="Y817" s="162" t="str">
        <f>ReportSummary___Track[[#This Row],[Track ID]]&amp;"-"&amp;ReportSummary___Track[[#This Row],[Epoch]]</f>
        <v>250-RL-OP-0042-45797.7777777778</v>
      </c>
      <c r="Z817" s="126">
        <f>SUBTOTAL(103,ReportSummary___Track[[#This Row],[Track ID]])</f>
        <v>1</v>
      </c>
      <c r="AA817" s="114">
        <f>_xlfn.NUMBERVALUE(RIGHT(ReportSummary___Track[[#This Row],[Track ID]],4))</f>
        <v>42</v>
      </c>
      <c r="AB817" s="78"/>
    </row>
    <row r="818" spans="5:28" ht="14.25" customHeight="1" x14ac:dyDescent="0.2">
      <c r="E818" s="74">
        <v>45797.777777777781</v>
      </c>
      <c r="F818" s="107" t="s">
        <v>282</v>
      </c>
      <c r="G818" s="142">
        <v>51907.275348503776</v>
      </c>
      <c r="H818" s="142">
        <v>159189.47377062205</v>
      </c>
      <c r="I818" s="142">
        <v>18.87082844364723</v>
      </c>
      <c r="J818" s="142">
        <v>51906.935979718633</v>
      </c>
      <c r="K818" s="142">
        <v>159188.20010848221</v>
      </c>
      <c r="L818" s="142">
        <v>18.860280738875879</v>
      </c>
      <c r="M818" s="145">
        <v>1.0547704771351363E-2</v>
      </c>
      <c r="N818" s="145">
        <v>1.3181417499104597</v>
      </c>
      <c r="O818" s="145">
        <v>1.6513455753113249E-3</v>
      </c>
      <c r="P818" s="145">
        <v>3.0190814633748175E-3</v>
      </c>
      <c r="Q8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-0.23092810732450175</v>
      </c>
      <c r="R8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1.0246640848343702</v>
      </c>
      <c r="S8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0.49352196191421172</v>
      </c>
      <c r="T8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-0.23105461130867866</v>
      </c>
      <c r="U8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-2.3173145264365758E-4</v>
      </c>
      <c r="V8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9.975757014615283E-4</v>
      </c>
      <c r="W8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4.928519044931079E-4</v>
      </c>
      <c r="X8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-2.4394003387584462E-4</v>
      </c>
      <c r="Y818" s="162" t="str">
        <f>ReportSummary___Track[[#This Row],[Track ID]]&amp;"-"&amp;ReportSummary___Track[[#This Row],[Epoch]]</f>
        <v>250-RL-OP-0043-45797.7777777778</v>
      </c>
      <c r="Z818" s="126">
        <f>SUBTOTAL(103,ReportSummary___Track[[#This Row],[Track ID]])</f>
        <v>1</v>
      </c>
      <c r="AA818" s="114">
        <f>_xlfn.NUMBERVALUE(RIGHT(ReportSummary___Track[[#This Row],[Track ID]],4))</f>
        <v>43</v>
      </c>
      <c r="AB818" s="78"/>
    </row>
    <row r="819" spans="5:28" ht="14.25" customHeight="1" x14ac:dyDescent="0.2">
      <c r="E819" s="74">
        <v>45797.777777777781</v>
      </c>
      <c r="F819" s="107" t="s">
        <v>283</v>
      </c>
      <c r="G819" s="142">
        <v>51908.242806603892</v>
      </c>
      <c r="H819" s="142">
        <v>159189.22150151513</v>
      </c>
      <c r="I819" s="142">
        <v>18.872961962372283</v>
      </c>
      <c r="J819" s="142">
        <v>51907.904517311959</v>
      </c>
      <c r="K819" s="142">
        <v>159187.94720463254</v>
      </c>
      <c r="L819" s="142">
        <v>18.861943624177833</v>
      </c>
      <c r="M819" s="145">
        <v>1.1018338194450195E-2</v>
      </c>
      <c r="N819" s="145">
        <v>1.3184815485228054</v>
      </c>
      <c r="O819" s="145">
        <v>1.6806405251195145E-3</v>
      </c>
      <c r="P819" s="145">
        <v>2.8529861546822133E-3</v>
      </c>
      <c r="Q8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-1.0064641898566151E-2</v>
      </c>
      <c r="R8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0.85750672538331685</v>
      </c>
      <c r="S8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0.93995826923531922</v>
      </c>
      <c r="T8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4.9386281720131819E-2</v>
      </c>
      <c r="U8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-9.8641438697200101E-6</v>
      </c>
      <c r="V8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9.8966452181126208E-4</v>
      </c>
      <c r="W8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9.4021097157082067E-4</v>
      </c>
      <c r="X8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4.9597717826088683E-5</v>
      </c>
      <c r="Y819" s="162" t="str">
        <f>ReportSummary___Track[[#This Row],[Track ID]]&amp;"-"&amp;ReportSummary___Track[[#This Row],[Epoch]]</f>
        <v>250-RL-OP-0044-45797.7777777778</v>
      </c>
      <c r="Z819" s="126">
        <f>SUBTOTAL(103,ReportSummary___Track[[#This Row],[Track ID]])</f>
        <v>1</v>
      </c>
      <c r="AA819" s="114">
        <f>_xlfn.NUMBERVALUE(RIGHT(ReportSummary___Track[[#This Row],[Track ID]],4))</f>
        <v>44</v>
      </c>
      <c r="AB819" s="78"/>
    </row>
    <row r="820" spans="5:28" ht="14.25" customHeight="1" x14ac:dyDescent="0.2">
      <c r="E820" s="74">
        <v>45797.777777777781</v>
      </c>
      <c r="F820" s="107" t="s">
        <v>284</v>
      </c>
      <c r="G820" s="142">
        <v>51909.212314637531</v>
      </c>
      <c r="H820" s="142">
        <v>159188.97646066936</v>
      </c>
      <c r="I820" s="142">
        <v>18.875987952848167</v>
      </c>
      <c r="J820" s="142">
        <v>51908.87384457227</v>
      </c>
      <c r="K820" s="142">
        <v>159187.70144542318</v>
      </c>
      <c r="L820" s="142">
        <v>18.864603218816608</v>
      </c>
      <c r="M820" s="145">
        <v>1.1384734031558708E-2</v>
      </c>
      <c r="N820" s="145">
        <v>1.3192253314885678</v>
      </c>
      <c r="O820" s="145">
        <v>1.4420328112159098E-3</v>
      </c>
      <c r="P820" s="145">
        <v>2.8538784136529216E-3</v>
      </c>
      <c r="Q8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-4.9522172602678438E-3</v>
      </c>
      <c r="R8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0.55069237256333281</v>
      </c>
      <c r="S8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0.58552329196714936</v>
      </c>
      <c r="T8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0.38699827916843788</v>
      </c>
      <c r="U8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-4.1210239487554645E-6</v>
      </c>
      <c r="V8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2.9199561772497162E-4</v>
      </c>
      <c r="W8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5.8678226008979095E-4</v>
      </c>
      <c r="X8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3.8790158546575526E-4</v>
      </c>
      <c r="Y820" s="162" t="str">
        <f>ReportSummary___Track[[#This Row],[Track ID]]&amp;"-"&amp;ReportSummary___Track[[#This Row],[Epoch]]</f>
        <v>250-RL-OP-0045-45797.7777777778</v>
      </c>
      <c r="Z820" s="126">
        <f>SUBTOTAL(103,ReportSummary___Track[[#This Row],[Track ID]])</f>
        <v>1</v>
      </c>
      <c r="AA820" s="114">
        <f>_xlfn.NUMBERVALUE(RIGHT(ReportSummary___Track[[#This Row],[Track ID]],4))</f>
        <v>45</v>
      </c>
      <c r="AB820" s="78"/>
    </row>
    <row r="821" spans="5:28" ht="14.25" customHeight="1" x14ac:dyDescent="0.2">
      <c r="E821" s="74">
        <v>45797.777777777781</v>
      </c>
      <c r="F821" s="107" t="s">
        <v>285</v>
      </c>
      <c r="G821" s="142">
        <v>51910.181822671169</v>
      </c>
      <c r="H821" s="142">
        <v>159188.7314198236</v>
      </c>
      <c r="I821" s="142">
        <v>18.879013943324047</v>
      </c>
      <c r="J821" s="142">
        <v>51909.843171832581</v>
      </c>
      <c r="K821" s="142">
        <v>159187.45568621383</v>
      </c>
      <c r="L821" s="142">
        <v>18.867262813455383</v>
      </c>
      <c r="M821" s="145">
        <v>1.1751129868663668E-2</v>
      </c>
      <c r="N821" s="145">
        <v>1.3199692127581812</v>
      </c>
      <c r="O821" s="145">
        <v>1.2034250973123051E-3</v>
      </c>
      <c r="P821" s="145">
        <v>2.8547706726236299E-3</v>
      </c>
      <c r="Q8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1.6020737803046359E-4</v>
      </c>
      <c r="R8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0.24388205869319002</v>
      </c>
      <c r="S8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0.23108831470253222</v>
      </c>
      <c r="T8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0.72461027661674393</v>
      </c>
      <c r="U8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1.6220959686563674E-6</v>
      </c>
      <c r="V8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-4.056671032839354E-4</v>
      </c>
      <c r="W8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2.3335354861231394E-4</v>
      </c>
      <c r="X8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7.2620545310542184E-4</v>
      </c>
      <c r="Y821" s="162" t="str">
        <f>ReportSummary___Track[[#This Row],[Track ID]]&amp;"-"&amp;ReportSummary___Track[[#This Row],[Epoch]]</f>
        <v>250-RL-OP-0046-45797.7777777778</v>
      </c>
      <c r="Z821" s="126">
        <f>SUBTOTAL(103,ReportSummary___Track[[#This Row],[Track ID]])</f>
        <v>1</v>
      </c>
      <c r="AA821" s="114">
        <f>_xlfn.NUMBERVALUE(RIGHT(ReportSummary___Track[[#This Row],[Track ID]],4))</f>
        <v>46</v>
      </c>
      <c r="AB821" s="78"/>
    </row>
    <row r="822" spans="5:28" ht="14.25" customHeight="1" x14ac:dyDescent="0.2">
      <c r="E822" s="74">
        <v>45797.777777777781</v>
      </c>
      <c r="F822" s="107" t="s">
        <v>286</v>
      </c>
      <c r="G822" s="142">
        <v>51911.151141496419</v>
      </c>
      <c r="H822" s="142">
        <v>159188.48844319949</v>
      </c>
      <c r="I822" s="142">
        <v>18.882328518492972</v>
      </c>
      <c r="J822" s="142">
        <v>51910.834188304056</v>
      </c>
      <c r="K822" s="142">
        <v>159187.20649995178</v>
      </c>
      <c r="L822" s="142">
        <v>18.870139116386202</v>
      </c>
      <c r="M822" s="145">
        <v>1.2189402106770331E-2</v>
      </c>
      <c r="N822" s="145">
        <v>1.3206007716288304</v>
      </c>
      <c r="O822" s="145">
        <v>1.1710639123201361E-3</v>
      </c>
      <c r="P822" s="145">
        <v>2.8517044374396505E-3</v>
      </c>
      <c r="Q8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2.5701555870227821E-3</v>
      </c>
      <c r="R8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6.7575775819506134E-4</v>
      </c>
      <c r="S8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1.2634797485588933E-2</v>
      </c>
      <c r="T8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0.95259306672090815</v>
      </c>
      <c r="U8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-7.4281466826420228E-5</v>
      </c>
      <c r="V8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-9.3599675290367834E-4</v>
      </c>
      <c r="W8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-6.4417322956700218E-5</v>
      </c>
      <c r="X8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8.7579364861412046E-4</v>
      </c>
      <c r="Y822" s="162" t="str">
        <f>ReportSummary___Track[[#This Row],[Track ID]]&amp;"-"&amp;ReportSummary___Track[[#This Row],[Epoch]]</f>
        <v>250-RL-OP-0047-45797.7777777778</v>
      </c>
      <c r="Z822" s="126">
        <f>SUBTOTAL(103,ReportSummary___Track[[#This Row],[Track ID]])</f>
        <v>1</v>
      </c>
      <c r="AA822" s="114">
        <f>_xlfn.NUMBERVALUE(RIGHT(ReportSummary___Track[[#This Row],[Track ID]],4))</f>
        <v>47</v>
      </c>
      <c r="AB822" s="78"/>
    </row>
    <row r="823" spans="5:28" ht="14.25" customHeight="1" x14ac:dyDescent="0.2">
      <c r="E823" s="74">
        <v>45797.777777777781</v>
      </c>
      <c r="F823" s="107" t="s">
        <v>287</v>
      </c>
      <c r="G823" s="142">
        <v>51912.122875350411</v>
      </c>
      <c r="H823" s="142">
        <v>159188.2524052464</v>
      </c>
      <c r="I823" s="142">
        <v>18.886733255176882</v>
      </c>
      <c r="J823" s="142">
        <v>51911.805733444031</v>
      </c>
      <c r="K823" s="142">
        <v>159186.96966968034</v>
      </c>
      <c r="L823" s="142">
        <v>18.873524899190596</v>
      </c>
      <c r="M823" s="145">
        <v>1.3208355986286335E-2</v>
      </c>
      <c r="N823" s="145">
        <v>1.3214249815537595</v>
      </c>
      <c r="O823" s="145">
        <v>1.8236219547276278E-3</v>
      </c>
      <c r="P823" s="145">
        <v>3.2656547659435375E-3</v>
      </c>
      <c r="Q8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2.3890030256268346E-3</v>
      </c>
      <c r="R8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8.2917361177159421E-4</v>
      </c>
      <c r="S8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7.3412202858946785E-3</v>
      </c>
      <c r="T8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0.59286451225304404</v>
      </c>
      <c r="U8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-4.2661950439182306E-4</v>
      </c>
      <c r="V8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-7.7445608521298226E-4</v>
      </c>
      <c r="W8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-4.2249848044306759E-4</v>
      </c>
      <c r="X8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1.6428377964672336E-4</v>
      </c>
      <c r="Y823" s="162" t="str">
        <f>ReportSummary___Track[[#This Row],[Track ID]]&amp;"-"&amp;ReportSummary___Track[[#This Row],[Epoch]]</f>
        <v>250-RL-OP-0048-45797.7777777778</v>
      </c>
      <c r="Z823" s="126">
        <f>SUBTOTAL(103,ReportSummary___Track[[#This Row],[Track ID]])</f>
        <v>1</v>
      </c>
      <c r="AA823" s="114">
        <f>_xlfn.NUMBERVALUE(RIGHT(ReportSummary___Track[[#This Row],[Track ID]],4))</f>
        <v>48</v>
      </c>
      <c r="AB823" s="78"/>
    </row>
    <row r="824" spans="5:28" ht="14.25" customHeight="1" x14ac:dyDescent="0.2">
      <c r="E824" s="74">
        <v>45797.777777777781</v>
      </c>
      <c r="F824" s="107" t="s">
        <v>288</v>
      </c>
      <c r="G824" s="142">
        <v>51913.094609204403</v>
      </c>
      <c r="H824" s="142">
        <v>159188.01636729331</v>
      </c>
      <c r="I824" s="142">
        <v>18.891137991860795</v>
      </c>
      <c r="J824" s="142">
        <v>51912.777278584006</v>
      </c>
      <c r="K824" s="142">
        <v>159186.73283940891</v>
      </c>
      <c r="L824" s="142">
        <v>18.876910681994985</v>
      </c>
      <c r="M824" s="145">
        <v>1.4227309865809445E-2</v>
      </c>
      <c r="N824" s="145">
        <v>1.3222499646506856</v>
      </c>
      <c r="O824" s="145">
        <v>2.4761799971457776E-3</v>
      </c>
      <c r="P824" s="145">
        <v>3.6796050944580827E-3</v>
      </c>
      <c r="Q8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2.2078504748890282E-3</v>
      </c>
      <c r="R8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9.8229915068692719E-4</v>
      </c>
      <c r="S8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2.0476430968585646E-3</v>
      </c>
      <c r="T8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0.23313595779939078</v>
      </c>
      <c r="U8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-7.7895754195367317E-4</v>
      </c>
      <c r="V8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-6.1355049285460872E-4</v>
      </c>
      <c r="W8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-7.8057963792232954E-4</v>
      </c>
      <c r="X8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-5.472260893100156E-4</v>
      </c>
      <c r="Y824" s="162" t="str">
        <f>ReportSummary___Track[[#This Row],[Track ID]]&amp;"-"&amp;ReportSummary___Track[[#This Row],[Epoch]]</f>
        <v>250-RL-OP-0049-45797.7777777778</v>
      </c>
      <c r="Z824" s="126">
        <f>SUBTOTAL(103,ReportSummary___Track[[#This Row],[Track ID]])</f>
        <v>1</v>
      </c>
      <c r="AA824" s="114">
        <f>_xlfn.NUMBERVALUE(RIGHT(ReportSummary___Track[[#This Row],[Track ID]],4))</f>
        <v>49</v>
      </c>
      <c r="AB824" s="78"/>
    </row>
    <row r="825" spans="5:28" ht="14.25" customHeight="1" x14ac:dyDescent="0.2">
      <c r="E825" s="74">
        <v>45796.770833333336</v>
      </c>
      <c r="F825" s="107" t="s">
        <v>235</v>
      </c>
      <c r="G825" s="142">
        <v>51886.101888003854</v>
      </c>
      <c r="H825" s="142">
        <v>159195.446681709</v>
      </c>
      <c r="I825" s="142">
        <v>18.870774640796562</v>
      </c>
      <c r="J825" s="142">
        <v>51885.742050780667</v>
      </c>
      <c r="K825" s="142">
        <v>159194.18695535802</v>
      </c>
      <c r="L825" s="142">
        <v>18.866068661183395</v>
      </c>
      <c r="M825" s="145">
        <v>4.7059796131669884E-3</v>
      </c>
      <c r="N825" s="145">
        <v>1.3101203962963703</v>
      </c>
      <c r="O825" s="145"/>
      <c r="P825" s="145"/>
      <c r="Q8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0.43721486717274161</v>
      </c>
      <c r="R8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2.2199089606544931E-3</v>
      </c>
      <c r="S82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2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7.1890852160549912E-4</v>
      </c>
      <c r="V8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6.9374718088477394E-4</v>
      </c>
      <c r="W82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2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25" s="162" t="str">
        <f>ReportSummary___Track[[#This Row],[Track ID]]&amp;"-"&amp;ReportSummary___Track[[#This Row],[Epoch]]</f>
        <v>250-RL-OP-0021-45796.7708333333</v>
      </c>
      <c r="Z825" s="126">
        <f>SUBTOTAL(103,ReportSummary___Track[[#This Row],[Track ID]])</f>
        <v>1</v>
      </c>
      <c r="AA825" s="114">
        <f>_xlfn.NUMBERVALUE(RIGHT(ReportSummary___Track[[#This Row],[Track ID]],4))</f>
        <v>21</v>
      </c>
      <c r="AB825" s="78"/>
    </row>
    <row r="826" spans="5:28" ht="14.25" customHeight="1" x14ac:dyDescent="0.2">
      <c r="E826" s="74">
        <v>45796.770833333336</v>
      </c>
      <c r="F826" s="107" t="s">
        <v>236</v>
      </c>
      <c r="G826" s="142">
        <v>51887.0635346048</v>
      </c>
      <c r="H826" s="142">
        <v>159195.1723903708</v>
      </c>
      <c r="I826" s="142">
        <v>18.870497718698449</v>
      </c>
      <c r="J826" s="142">
        <v>51886.703169507433</v>
      </c>
      <c r="K826" s="142">
        <v>159193.910819971</v>
      </c>
      <c r="L826" s="142">
        <v>18.866271378951897</v>
      </c>
      <c r="M826" s="145">
        <v>4.2263397465518437E-3</v>
      </c>
      <c r="N826" s="145">
        <v>1.3120368664805364</v>
      </c>
      <c r="O826" s="145"/>
      <c r="P826" s="145"/>
      <c r="Q8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-0.24678151614665467</v>
      </c>
      <c r="R8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8.0533854502906621E-3</v>
      </c>
      <c r="S82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2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3.8105818699918359E-4</v>
      </c>
      <c r="V8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3.678399188409287E-4</v>
      </c>
      <c r="W82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2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26" s="162" t="str">
        <f>ReportSummary___Track[[#This Row],[Track ID]]&amp;"-"&amp;ReportSummary___Track[[#This Row],[Epoch]]</f>
        <v>250-RL-OP-0022-45796.7708333333</v>
      </c>
      <c r="Z826" s="126">
        <f>SUBTOTAL(103,ReportSummary___Track[[#This Row],[Track ID]])</f>
        <v>1</v>
      </c>
      <c r="AA826" s="114">
        <f>_xlfn.NUMBERVALUE(RIGHT(ReportSummary___Track[[#This Row],[Track ID]],4))</f>
        <v>22</v>
      </c>
      <c r="AB826" s="78"/>
    </row>
    <row r="827" spans="5:28" ht="14.25" customHeight="1" x14ac:dyDescent="0.2">
      <c r="E827" s="74">
        <v>45796.770833333336</v>
      </c>
      <c r="F827" s="107" t="s">
        <v>237</v>
      </c>
      <c r="G827" s="142">
        <v>51888.025181205747</v>
      </c>
      <c r="H827" s="142">
        <v>159194.89809903264</v>
      </c>
      <c r="I827" s="142">
        <v>18.870220796600339</v>
      </c>
      <c r="J827" s="142">
        <v>51887.664288234206</v>
      </c>
      <c r="K827" s="142">
        <v>159193.63468458402</v>
      </c>
      <c r="L827" s="142">
        <v>18.866474096720399</v>
      </c>
      <c r="M827" s="145">
        <v>3.7466998799402518E-3</v>
      </c>
      <c r="N827" s="145">
        <v>1.3139535165500822</v>
      </c>
      <c r="O827" s="145"/>
      <c r="P827" s="145"/>
      <c r="Q8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-0.93077789946249823</v>
      </c>
      <c r="R8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1.4036939694594963E-2</v>
      </c>
      <c r="S82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2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4.3207852392868062E-5</v>
      </c>
      <c r="V8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4.2095733574054606E-5</v>
      </c>
      <c r="W82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2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27" s="162" t="str">
        <f>ReportSummary___Track[[#This Row],[Track ID]]&amp;"-"&amp;ReportSummary___Track[[#This Row],[Epoch]]</f>
        <v>250-RL-OP-0023-45796.7708333333</v>
      </c>
      <c r="Z827" s="126">
        <f>SUBTOTAL(103,ReportSummary___Track[[#This Row],[Track ID]])</f>
        <v>1</v>
      </c>
      <c r="AA827" s="114">
        <f>_xlfn.NUMBERVALUE(RIGHT(ReportSummary___Track[[#This Row],[Track ID]],4))</f>
        <v>23</v>
      </c>
      <c r="AB827" s="78"/>
    </row>
    <row r="828" spans="5:28" ht="14.25" customHeight="1" x14ac:dyDescent="0.2">
      <c r="E828" s="74">
        <v>45796.770833333336</v>
      </c>
      <c r="F828" s="107" t="s">
        <v>238</v>
      </c>
      <c r="G828" s="142">
        <v>51888.986205860805</v>
      </c>
      <c r="H828" s="142">
        <v>159194.62272788165</v>
      </c>
      <c r="I828" s="142">
        <v>18.869514793813725</v>
      </c>
      <c r="J828" s="142">
        <v>51888.624024107339</v>
      </c>
      <c r="K828" s="142">
        <v>159193.3577967032</v>
      </c>
      <c r="L828" s="142">
        <v>18.86545332152658</v>
      </c>
      <c r="M828" s="145">
        <v>4.0614722871445963E-3</v>
      </c>
      <c r="N828" s="145">
        <v>1.3157670782895583</v>
      </c>
      <c r="O828" s="145">
        <v>-6.4450732602239214E-4</v>
      </c>
      <c r="P828" s="145"/>
      <c r="Q8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-0.70094927193409262</v>
      </c>
      <c r="R8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-2.3510422575423462E-3</v>
      </c>
      <c r="S8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-1.1381641391068342</v>
      </c>
      <c r="T82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-3.6042596462948495E-8</v>
      </c>
      <c r="V8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-1.2082478792141416E-5</v>
      </c>
      <c r="W8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-7.1894456420196207E-4</v>
      </c>
      <c r="X82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28" s="162" t="str">
        <f>ReportSummary___Track[[#This Row],[Track ID]]&amp;"-"&amp;ReportSummary___Track[[#This Row],[Epoch]]</f>
        <v>250-RL-OP-0024-45796.7708333333</v>
      </c>
      <c r="Z828" s="126">
        <f>SUBTOTAL(103,ReportSummary___Track[[#This Row],[Track ID]])</f>
        <v>1</v>
      </c>
      <c r="AA828" s="114">
        <f>_xlfn.NUMBERVALUE(RIGHT(ReportSummary___Track[[#This Row],[Track ID]],4))</f>
        <v>24</v>
      </c>
      <c r="AB828" s="78"/>
    </row>
    <row r="829" spans="5:28" ht="14.25" customHeight="1" x14ac:dyDescent="0.2">
      <c r="E829" s="74">
        <v>45796.770833333336</v>
      </c>
      <c r="F829" s="107" t="s">
        <v>239</v>
      </c>
      <c r="G829" s="142">
        <v>51889.947492753308</v>
      </c>
      <c r="H829" s="142">
        <v>159194.34717940842</v>
      </c>
      <c r="I829" s="142">
        <v>18.868773709900385</v>
      </c>
      <c r="J829" s="142">
        <v>51889.58479107709</v>
      </c>
      <c r="K829" s="142">
        <v>159193.08044244221</v>
      </c>
      <c r="L829" s="142">
        <v>18.864251762034648</v>
      </c>
      <c r="M829" s="145">
        <v>4.5219478657365642E-3</v>
      </c>
      <c r="N829" s="145">
        <v>1.3176477129731627</v>
      </c>
      <c r="O829" s="145">
        <v>2.9560811918472041E-4</v>
      </c>
      <c r="P829" s="145"/>
      <c r="Q8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-0.35764686340655771</v>
      </c>
      <c r="R8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-1.277343800731856E-3</v>
      </c>
      <c r="S8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-0.11086534725990305</v>
      </c>
      <c r="T82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-8.164124665199779E-8</v>
      </c>
      <c r="V8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-6.0635094911720699E-6</v>
      </c>
      <c r="W8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-3.8113982824583559E-4</v>
      </c>
      <c r="X82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29" s="162" t="str">
        <f>ReportSummary___Track[[#This Row],[Track ID]]&amp;"-"&amp;ReportSummary___Track[[#This Row],[Epoch]]</f>
        <v>250-RL-OP-0025-45796.7708333333</v>
      </c>
      <c r="Z829" s="126">
        <f>SUBTOTAL(103,ReportSummary___Track[[#This Row],[Track ID]])</f>
        <v>1</v>
      </c>
      <c r="AA829" s="114">
        <f>_xlfn.NUMBERVALUE(RIGHT(ReportSummary___Track[[#This Row],[Track ID]],4))</f>
        <v>25</v>
      </c>
      <c r="AB829" s="78"/>
    </row>
    <row r="830" spans="5:28" ht="14.25" customHeight="1" x14ac:dyDescent="0.2">
      <c r="E830" s="74">
        <v>45796.770833333336</v>
      </c>
      <c r="F830" s="107" t="s">
        <v>240</v>
      </c>
      <c r="G830" s="142">
        <v>51890.908779645804</v>
      </c>
      <c r="H830" s="142">
        <v>159194.07163093518</v>
      </c>
      <c r="I830" s="142">
        <v>18.868032625987045</v>
      </c>
      <c r="J830" s="142">
        <v>51890.545558046833</v>
      </c>
      <c r="K830" s="142">
        <v>159192.80308818122</v>
      </c>
      <c r="L830" s="142">
        <v>18.86305020254272</v>
      </c>
      <c r="M830" s="145">
        <v>4.9824234443249793E-3</v>
      </c>
      <c r="N830" s="145">
        <v>1.3195285041066367</v>
      </c>
      <c r="O830" s="145">
        <v>1.2357235643847275E-3</v>
      </c>
      <c r="P830" s="145"/>
      <c r="Q8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-1.4344454882575519E-2</v>
      </c>
      <c r="R8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-5.6442571505499473E-5</v>
      </c>
      <c r="S8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0.91643344457992271</v>
      </c>
      <c r="T83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-1.2723990394647444E-7</v>
      </c>
      <c r="V8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-4.4580764635426817E-8</v>
      </c>
      <c r="W8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-4.3335092296814537E-5</v>
      </c>
      <c r="X83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30" s="162" t="str">
        <f>ReportSummary___Track[[#This Row],[Track ID]]&amp;"-"&amp;ReportSummary___Track[[#This Row],[Epoch]]</f>
        <v>250-RL-OP-0026-45796.7708333333</v>
      </c>
      <c r="Z830" s="126">
        <f>SUBTOTAL(103,ReportSummary___Track[[#This Row],[Track ID]])</f>
        <v>1</v>
      </c>
      <c r="AA830" s="114">
        <f>_xlfn.NUMBERVALUE(RIGHT(ReportSummary___Track[[#This Row],[Track ID]],4))</f>
        <v>26</v>
      </c>
      <c r="AB830" s="78"/>
    </row>
    <row r="831" spans="5:28" ht="14.25" customHeight="1" x14ac:dyDescent="0.2">
      <c r="E831" s="74">
        <v>45796.770833333336</v>
      </c>
      <c r="F831" s="107" t="s">
        <v>241</v>
      </c>
      <c r="G831" s="142">
        <v>51891.870085166687</v>
      </c>
      <c r="H831" s="142">
        <v>159193.79534240576</v>
      </c>
      <c r="I831" s="142">
        <v>18.865661447731828</v>
      </c>
      <c r="J831" s="142">
        <v>51891.504353461787</v>
      </c>
      <c r="K831" s="142">
        <v>159192.52690810763</v>
      </c>
      <c r="L831" s="142">
        <v>18.861283132921656</v>
      </c>
      <c r="M831" s="145">
        <v>4.3783148101717018E-3</v>
      </c>
      <c r="N831" s="145">
        <v>1.3201153049264747</v>
      </c>
      <c r="O831" s="145">
        <v>3.1684252302710547E-4</v>
      </c>
      <c r="P831" s="145">
        <v>-3.2766480299528666E-4</v>
      </c>
      <c r="Q8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-0.32463151136141732</v>
      </c>
      <c r="R8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-8.5622790527040138E-2</v>
      </c>
      <c r="S8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0.3763177605726753</v>
      </c>
      <c r="T8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-0.76184637853415893</v>
      </c>
      <c r="U8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8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8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3.6042600015662174E-8</v>
      </c>
      <c r="X8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-7.189085216019464E-4</v>
      </c>
      <c r="Y831" s="162" t="str">
        <f>ReportSummary___Track[[#This Row],[Track ID]]&amp;"-"&amp;ReportSummary___Track[[#This Row],[Epoch]]</f>
        <v>250-RL-OP-0027-45796.7708333333</v>
      </c>
      <c r="Z831" s="126">
        <f>SUBTOTAL(103,ReportSummary___Track[[#This Row],[Track ID]])</f>
        <v>1</v>
      </c>
      <c r="AA831" s="114">
        <f>_xlfn.NUMBERVALUE(RIGHT(ReportSummary___Track[[#This Row],[Track ID]],4))</f>
        <v>27</v>
      </c>
      <c r="AB831" s="78"/>
    </row>
    <row r="832" spans="5:28" ht="14.25" customHeight="1" x14ac:dyDescent="0.2">
      <c r="E832" s="74">
        <v>45796.770833333336</v>
      </c>
      <c r="F832" s="107" t="s">
        <v>242</v>
      </c>
      <c r="G832" s="142">
        <v>51892.831165658921</v>
      </c>
      <c r="H832" s="142">
        <v>159193.51908472509</v>
      </c>
      <c r="I832" s="142">
        <v>18.863215774997911</v>
      </c>
      <c r="J832" s="142">
        <v>51892.465288045249</v>
      </c>
      <c r="K832" s="142">
        <v>159192.25013834573</v>
      </c>
      <c r="L832" s="142">
        <v>18.859487246856443</v>
      </c>
      <c r="M832" s="145">
        <v>3.7285281414689564E-3</v>
      </c>
      <c r="N832" s="145">
        <v>1.3206457677258727</v>
      </c>
      <c r="O832" s="145">
        <v>-7.9341972426760776E-4</v>
      </c>
      <c r="P832" s="145">
        <v>-4.9781160508288735E-4</v>
      </c>
      <c r="Q8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-0.66420417328316717</v>
      </c>
      <c r="R8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-0.17501342233838812</v>
      </c>
      <c r="S8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-0.30655730987660945</v>
      </c>
      <c r="T8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-0.4174226571365125</v>
      </c>
      <c r="U8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8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8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8.1641250204711469E-8</v>
      </c>
      <c r="X8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-3.8105818699563088E-4</v>
      </c>
      <c r="Y832" s="162" t="str">
        <f>ReportSummary___Track[[#This Row],[Track ID]]&amp;"-"&amp;ReportSummary___Track[[#This Row],[Epoch]]</f>
        <v>250-RL-OP-0028-45796.7708333333</v>
      </c>
      <c r="Z832" s="126">
        <f>SUBTOTAL(103,ReportSummary___Track[[#This Row],[Track ID]])</f>
        <v>1</v>
      </c>
      <c r="AA832" s="114">
        <f>_xlfn.NUMBERVALUE(RIGHT(ReportSummary___Track[[#This Row],[Track ID]],4))</f>
        <v>28</v>
      </c>
      <c r="AB832" s="78"/>
    </row>
    <row r="833" spans="5:28" ht="14.25" customHeight="1" x14ac:dyDescent="0.2">
      <c r="E833" s="74">
        <v>45796.770833333336</v>
      </c>
      <c r="F833" s="107" t="s">
        <v>243</v>
      </c>
      <c r="G833" s="142">
        <v>51893.791832897055</v>
      </c>
      <c r="H833" s="142">
        <v>159193.24288497219</v>
      </c>
      <c r="I833" s="142">
        <v>18.860926425435991</v>
      </c>
      <c r="J833" s="142">
        <v>51893.426692097528</v>
      </c>
      <c r="K833" s="142">
        <v>159191.97323012177</v>
      </c>
      <c r="L833" s="142">
        <v>18.857700906325203</v>
      </c>
      <c r="M833" s="145">
        <v>3.2255191107886105E-3</v>
      </c>
      <c r="N833" s="145">
        <v>1.3211213595432125</v>
      </c>
      <c r="O833" s="145">
        <v>-1.7569043335363688E-3</v>
      </c>
      <c r="P833" s="145">
        <v>-5.2118076915164124E-4</v>
      </c>
      <c r="Q8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-0.98057102920279249</v>
      </c>
      <c r="R8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-0.27725015455004609</v>
      </c>
      <c r="S8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-0.96622657432021697</v>
      </c>
      <c r="T8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-4.9793129740294262E-2</v>
      </c>
      <c r="U8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1.8213924590781971E-6</v>
      </c>
      <c r="V8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-3.1378669138604209E-6</v>
      </c>
      <c r="W8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1.9486323630246716E-6</v>
      </c>
      <c r="X8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-4.1386459933789865E-5</v>
      </c>
      <c r="Y833" s="162" t="str">
        <f>ReportSummary___Track[[#This Row],[Track ID]]&amp;"-"&amp;ReportSummary___Track[[#This Row],[Epoch]]</f>
        <v>250-RL-OP-0029-45796.7708333333</v>
      </c>
      <c r="Z833" s="126">
        <f>SUBTOTAL(103,ReportSummary___Track[[#This Row],[Track ID]])</f>
        <v>1</v>
      </c>
      <c r="AA833" s="114">
        <f>_xlfn.NUMBERVALUE(RIGHT(ReportSummary___Track[[#This Row],[Track ID]],4))</f>
        <v>29</v>
      </c>
      <c r="AB833" s="78"/>
    </row>
    <row r="834" spans="5:28" ht="14.25" customHeight="1" x14ac:dyDescent="0.2">
      <c r="E834" s="74">
        <v>45796.770833333336</v>
      </c>
      <c r="F834" s="107" t="s">
        <v>269</v>
      </c>
      <c r="G834" s="142">
        <v>51894.752608932249</v>
      </c>
      <c r="H834" s="142">
        <v>159192.96555996651</v>
      </c>
      <c r="I834" s="142">
        <v>18.861427856858974</v>
      </c>
      <c r="J834" s="142">
        <v>51894.387465215557</v>
      </c>
      <c r="K834" s="142">
        <v>159191.69589460938</v>
      </c>
      <c r="L834" s="142">
        <v>18.857871911080654</v>
      </c>
      <c r="M834" s="145">
        <v>3.5559457783200799E-3</v>
      </c>
      <c r="N834" s="145">
        <v>1.3211331112697646</v>
      </c>
      <c r="O834" s="145">
        <v>-8.2236903185162191E-4</v>
      </c>
      <c r="P834" s="145">
        <v>-5.0552650882451644E-4</v>
      </c>
      <c r="Q8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-0.30439391262149229</v>
      </c>
      <c r="R8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0.14799745677329668</v>
      </c>
      <c r="S8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2.0237598739925033E-2</v>
      </c>
      <c r="T8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0.39655535931260033</v>
      </c>
      <c r="U8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3.4404047831060325E-4</v>
      </c>
      <c r="V8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2.3368633411480211E-4</v>
      </c>
      <c r="W8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3.4404047830705053E-4</v>
      </c>
      <c r="X8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3.440765209070662E-4</v>
      </c>
      <c r="Y834" s="162" t="str">
        <f>ReportSummary___Track[[#This Row],[Track ID]]&amp;"-"&amp;ReportSummary___Track[[#This Row],[Epoch]]</f>
        <v>250-RL-OP-0030-45796.7708333333</v>
      </c>
      <c r="Z834" s="126">
        <f>SUBTOTAL(103,ReportSummary___Track[[#This Row],[Track ID]])</f>
        <v>1</v>
      </c>
      <c r="AA834" s="114">
        <f>_xlfn.NUMBERVALUE(RIGHT(ReportSummary___Track[[#This Row],[Track ID]],4))</f>
        <v>30</v>
      </c>
      <c r="AB834" s="78"/>
    </row>
    <row r="835" spans="5:28" ht="14.25" customHeight="1" x14ac:dyDescent="0.2">
      <c r="E835" s="74">
        <v>45796.770833333336</v>
      </c>
      <c r="F835" s="107" t="s">
        <v>270</v>
      </c>
      <c r="G835" s="142">
        <v>51895.713384967443</v>
      </c>
      <c r="H835" s="142">
        <v>159192.68823496086</v>
      </c>
      <c r="I835" s="142">
        <v>18.861929288281953</v>
      </c>
      <c r="J835" s="142">
        <v>51895.348238333587</v>
      </c>
      <c r="K835" s="142">
        <v>159191.41855909702</v>
      </c>
      <c r="L835" s="142">
        <v>18.858042915836105</v>
      </c>
      <c r="M835" s="145">
        <v>3.8863724458479965E-3</v>
      </c>
      <c r="N835" s="145">
        <v>1.3211449456235742</v>
      </c>
      <c r="O835" s="145">
        <v>1.5784430437904007E-4</v>
      </c>
      <c r="P835" s="145">
        <v>-6.3557541988856769E-4</v>
      </c>
      <c r="Q8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0.37178320395625519</v>
      </c>
      <c r="R8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0.57323783032159348</v>
      </c>
      <c r="S8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1.0359873772394224</v>
      </c>
      <c r="T8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0.72943006736281291</v>
      </c>
      <c r="U8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6.8625956415857559E-4</v>
      </c>
      <c r="V8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4.7059309260522042E-4</v>
      </c>
      <c r="W8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6.8625956415502287E-4</v>
      </c>
      <c r="X8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6.8634120540522758E-4</v>
      </c>
      <c r="Y835" s="162" t="str">
        <f>ReportSummary___Track[[#This Row],[Track ID]]&amp;"-"&amp;ReportSummary___Track[[#This Row],[Epoch]]</f>
        <v>250-RL-OP-0031-45796.7708333333</v>
      </c>
      <c r="Z835" s="126">
        <f>SUBTOTAL(103,ReportSummary___Track[[#This Row],[Track ID]])</f>
        <v>1</v>
      </c>
      <c r="AA835" s="114">
        <f>_xlfn.NUMBERVALUE(RIGHT(ReportSummary___Track[[#This Row],[Track ID]],4))</f>
        <v>31</v>
      </c>
      <c r="AB835" s="78"/>
    </row>
    <row r="836" spans="5:28" ht="14.25" customHeight="1" x14ac:dyDescent="0.2">
      <c r="E836" s="74">
        <v>45796.770833333336</v>
      </c>
      <c r="F836" s="107" t="s">
        <v>271</v>
      </c>
      <c r="G836" s="142">
        <v>51896.67440031877</v>
      </c>
      <c r="H836" s="142">
        <v>159192.4108883453</v>
      </c>
      <c r="I836" s="142">
        <v>18.862476975813159</v>
      </c>
      <c r="J836" s="142">
        <v>51896.308528737987</v>
      </c>
      <c r="K836" s="142">
        <v>159191.14173461875</v>
      </c>
      <c r="L836" s="142">
        <v>18.85824734462722</v>
      </c>
      <c r="M836" s="145">
        <v>4.229631185939553E-3</v>
      </c>
      <c r="N836" s="145">
        <v>1.3208448376014283</v>
      </c>
      <c r="O836" s="145">
        <v>1.0041120751509425E-3</v>
      </c>
      <c r="P836" s="145">
        <v>-7.5279225838542629E-4</v>
      </c>
      <c r="Q8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0.97861341987126593</v>
      </c>
      <c r="R8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0.93682094063129995</v>
      </c>
      <c r="S8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1.9591844490740584</v>
      </c>
      <c r="T8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0.99295787475384145</v>
      </c>
      <c r="U8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9.78555393871261E-4</v>
      </c>
      <c r="V8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6.5224223829418726E-4</v>
      </c>
      <c r="W8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9.7673400141218281E-4</v>
      </c>
      <c r="X8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9.7868263377520748E-4</v>
      </c>
      <c r="Y836" s="162" t="str">
        <f>ReportSummary___Track[[#This Row],[Track ID]]&amp;"-"&amp;ReportSummary___Track[[#This Row],[Epoch]]</f>
        <v>250-RL-OP-0032-45796.7708333333</v>
      </c>
      <c r="Z836" s="126">
        <f>SUBTOTAL(103,ReportSummary___Track[[#This Row],[Track ID]])</f>
        <v>1</v>
      </c>
      <c r="AA836" s="114">
        <f>_xlfn.NUMBERVALUE(RIGHT(ReportSummary___Track[[#This Row],[Track ID]],4))</f>
        <v>32</v>
      </c>
      <c r="AB836" s="78"/>
    </row>
    <row r="837" spans="5:28" ht="14.25" customHeight="1" x14ac:dyDescent="0.2">
      <c r="E837" s="74">
        <v>45796.770833333336</v>
      </c>
      <c r="F837" s="107" t="s">
        <v>272</v>
      </c>
      <c r="G837" s="142">
        <v>51897.635381111788</v>
      </c>
      <c r="H837" s="142">
        <v>159192.13427607363</v>
      </c>
      <c r="I837" s="142">
        <v>18.863728615051532</v>
      </c>
      <c r="J837" s="142">
        <v>51897.270518069447</v>
      </c>
      <c r="K837" s="142">
        <v>159190.86864821697</v>
      </c>
      <c r="L837" s="142">
        <v>18.858833292983896</v>
      </c>
      <c r="M837" s="145">
        <v>4.8953220676359877E-3</v>
      </c>
      <c r="N837" s="145">
        <v>1.3171798948480211</v>
      </c>
      <c r="O837" s="145">
        <v>1.3393762893159078E-3</v>
      </c>
      <c r="P837" s="145">
        <v>5.1700725746428589E-4</v>
      </c>
      <c r="Q8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0.63088146618284213</v>
      </c>
      <c r="R8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0.60470147839120081</v>
      </c>
      <c r="S8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0.93527537880433442</v>
      </c>
      <c r="T8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0.95551297754425946</v>
      </c>
      <c r="U8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6.2994086224676948E-4</v>
      </c>
      <c r="V8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1.7626882469445881E-4</v>
      </c>
      <c r="W8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2.8590038393616624E-4</v>
      </c>
      <c r="X8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6.2994086224321677E-4</v>
      </c>
      <c r="Y837" s="162" t="str">
        <f>ReportSummary___Track[[#This Row],[Track ID]]&amp;"-"&amp;ReportSummary___Track[[#This Row],[Epoch]]</f>
        <v>250-RL-OP-0033-45796.7708333333</v>
      </c>
      <c r="Z837" s="126">
        <f>SUBTOTAL(103,ReportSummary___Track[[#This Row],[Track ID]])</f>
        <v>1</v>
      </c>
      <c r="AA837" s="114">
        <f>_xlfn.NUMBERVALUE(RIGHT(ReportSummary___Track[[#This Row],[Track ID]],4))</f>
        <v>33</v>
      </c>
      <c r="AB837" s="78"/>
    </row>
    <row r="838" spans="5:28" ht="14.25" customHeight="1" x14ac:dyDescent="0.2">
      <c r="E838" s="74">
        <v>45796.770833333336</v>
      </c>
      <c r="F838" s="107" t="s">
        <v>273</v>
      </c>
      <c r="G838" s="142">
        <v>51898.596361904805</v>
      </c>
      <c r="H838" s="142">
        <v>159191.85766380193</v>
      </c>
      <c r="I838" s="142">
        <v>18.864980254289907</v>
      </c>
      <c r="J838" s="142">
        <v>51898.232507400899</v>
      </c>
      <c r="K838" s="142">
        <v>159190.59556181522</v>
      </c>
      <c r="L838" s="142">
        <v>18.859419241340568</v>
      </c>
      <c r="M838" s="145">
        <v>5.5610129493395277E-3</v>
      </c>
      <c r="N838" s="145">
        <v>1.3135153024342643</v>
      </c>
      <c r="O838" s="145">
        <v>1.6746405034915313E-3</v>
      </c>
      <c r="P838" s="145">
        <v>1.8324848078705713E-3</v>
      </c>
      <c r="Q8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0.28314951250152376</v>
      </c>
      <c r="R8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0.27213553091898213</v>
      </c>
      <c r="S8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-8.8633691454731434E-2</v>
      </c>
      <c r="T8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0.94735368578469092</v>
      </c>
      <c r="U8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2.8132633062583068E-4</v>
      </c>
      <c r="V8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-3.0015152082563112E-4</v>
      </c>
      <c r="W8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-4.0493323353274491E-4</v>
      </c>
      <c r="X8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2.8132633062227796E-4</v>
      </c>
      <c r="Y838" s="162" t="str">
        <f>ReportSummary___Track[[#This Row],[Track ID]]&amp;"-"&amp;ReportSummary___Track[[#This Row],[Epoch]]</f>
        <v>250-RL-OP-0034-45796.7708333333</v>
      </c>
      <c r="Z838" s="126">
        <f>SUBTOTAL(103,ReportSummary___Track[[#This Row],[Track ID]])</f>
        <v>1</v>
      </c>
      <c r="AA838" s="114">
        <f>_xlfn.NUMBERVALUE(RIGHT(ReportSummary___Track[[#This Row],[Track ID]],4))</f>
        <v>34</v>
      </c>
      <c r="AB838" s="78"/>
    </row>
    <row r="839" spans="5:28" ht="14.25" customHeight="1" x14ac:dyDescent="0.2">
      <c r="E839" s="74">
        <v>45796.770833333336</v>
      </c>
      <c r="F839" s="107" t="s">
        <v>274</v>
      </c>
      <c r="G839" s="142">
        <v>51899.557748431522</v>
      </c>
      <c r="H839" s="142">
        <v>159191.58237758733</v>
      </c>
      <c r="I839" s="142">
        <v>18.866</v>
      </c>
      <c r="J839" s="142">
        <v>51899.20245636288</v>
      </c>
      <c r="K839" s="142">
        <v>159190.32056323989</v>
      </c>
      <c r="L839" s="142">
        <v>18.859777438017044</v>
      </c>
      <c r="M839" s="145">
        <v>6.2225619829554546E-3</v>
      </c>
      <c r="N839" s="145">
        <v>1.3108953511705987</v>
      </c>
      <c r="O839" s="145">
        <v>1.9929307970159016E-3</v>
      </c>
      <c r="P839" s="145">
        <v>2.9970428721668441E-3</v>
      </c>
      <c r="Q8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8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5.9354972714587007E-2</v>
      </c>
      <c r="S8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-0.97861341987126593</v>
      </c>
      <c r="T8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0.98057102920279249</v>
      </c>
      <c r="U8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3.0698581454657869E-7</v>
      </c>
      <c r="V8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-5.9072673005111653E-4</v>
      </c>
      <c r="W8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-9.7824840805671442E-4</v>
      </c>
      <c r="X8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-1.5144066445316184E-6</v>
      </c>
      <c r="Y839" s="162" t="str">
        <f>ReportSummary___Track[[#This Row],[Track ID]]&amp;"-"&amp;ReportSummary___Track[[#This Row],[Epoch]]</f>
        <v>250-RL-OP-0035-45796.7708333333</v>
      </c>
      <c r="Z839" s="126">
        <f>SUBTOTAL(103,ReportSummary___Track[[#This Row],[Track ID]])</f>
        <v>1</v>
      </c>
      <c r="AA839" s="114">
        <f>_xlfn.NUMBERVALUE(RIGHT(ReportSummary___Track[[#This Row],[Track ID]],4))</f>
        <v>35</v>
      </c>
      <c r="AB839" s="78"/>
    </row>
    <row r="840" spans="5:28" ht="14.25" customHeight="1" x14ac:dyDescent="0.2">
      <c r="E840" s="74">
        <v>45796.770833333336</v>
      </c>
      <c r="F840" s="107" t="s">
        <v>275</v>
      </c>
      <c r="G840" s="142">
        <v>51900.520772886579</v>
      </c>
      <c r="H840" s="142">
        <v>159191.31296359556</v>
      </c>
      <c r="I840" s="142">
        <v>18.866</v>
      </c>
      <c r="J840" s="142">
        <v>51900.164930325984</v>
      </c>
      <c r="K840" s="142">
        <v>159190.04918998407</v>
      </c>
      <c r="L840" s="142">
        <v>18.859124470606524</v>
      </c>
      <c r="M840" s="145">
        <v>6.8755293934756878E-3</v>
      </c>
      <c r="N840" s="145">
        <v>1.3129337157376617</v>
      </c>
      <c r="O840" s="145">
        <v>1.9802073258397002E-3</v>
      </c>
      <c r="P840" s="145">
        <v>3.319583615155608E-3</v>
      </c>
      <c r="Q8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8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0.37967231993696338</v>
      </c>
      <c r="S8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-0.63088146618284213</v>
      </c>
      <c r="T8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0.30439391262149229</v>
      </c>
      <c r="U8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6.1945315295020009E-6</v>
      </c>
      <c r="V8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-5.1718506061559921E-5</v>
      </c>
      <c r="W8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-6.2374633071726748E-4</v>
      </c>
      <c r="X8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-3.3784594678110125E-4</v>
      </c>
      <c r="Y840" s="162" t="str">
        <f>ReportSummary___Track[[#This Row],[Track ID]]&amp;"-"&amp;ReportSummary___Track[[#This Row],[Epoch]]</f>
        <v>250-RL-OP-0036-45796.7708333333</v>
      </c>
      <c r="Z840" s="126">
        <f>SUBTOTAL(103,ReportSummary___Track[[#This Row],[Track ID]])</f>
        <v>1</v>
      </c>
      <c r="AA840" s="114">
        <f>_xlfn.NUMBERVALUE(RIGHT(ReportSummary___Track[[#This Row],[Track ID]],4))</f>
        <v>36</v>
      </c>
      <c r="AB840" s="78"/>
    </row>
    <row r="841" spans="5:28" ht="14.25" customHeight="1" x14ac:dyDescent="0.2">
      <c r="E841" s="74">
        <v>45796.770833333336</v>
      </c>
      <c r="F841" s="107" t="s">
        <v>276</v>
      </c>
      <c r="G841" s="142">
        <v>51901.483797341636</v>
      </c>
      <c r="H841" s="142">
        <v>159191.04354960378</v>
      </c>
      <c r="I841" s="142">
        <v>18.866</v>
      </c>
      <c r="J841" s="142">
        <v>51901.127404289095</v>
      </c>
      <c r="K841" s="142">
        <v>159189.77781672825</v>
      </c>
      <c r="L841" s="142">
        <v>18.858471503196004</v>
      </c>
      <c r="M841" s="145">
        <v>7.528496803995921E-3</v>
      </c>
      <c r="N841" s="145">
        <v>1.3149723945248406</v>
      </c>
      <c r="O841" s="145">
        <v>1.9674838546563933E-3</v>
      </c>
      <c r="P841" s="145">
        <v>3.6421243581479246E-3</v>
      </c>
      <c r="Q8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8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0.69998793188319475</v>
      </c>
      <c r="S8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-0.28314951249797105</v>
      </c>
      <c r="T8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-0.37178320395270248</v>
      </c>
      <c r="U8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1.2082077251562851E-5</v>
      </c>
      <c r="V8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4.8729274195502548E-4</v>
      </c>
      <c r="W8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-2.6924425337426783E-4</v>
      </c>
      <c r="X8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-6.7417748690701274E-4</v>
      </c>
      <c r="Y841" s="162" t="str">
        <f>ReportSummary___Track[[#This Row],[Track ID]]&amp;"-"&amp;ReportSummary___Track[[#This Row],[Epoch]]</f>
        <v>250-RL-OP-0037-45796.7708333333</v>
      </c>
      <c r="Z841" s="126">
        <f>SUBTOTAL(103,ReportSummary___Track[[#This Row],[Track ID]])</f>
        <v>1</v>
      </c>
      <c r="AA841" s="114">
        <f>_xlfn.NUMBERVALUE(RIGHT(ReportSummary___Track[[#This Row],[Track ID]],4))</f>
        <v>37</v>
      </c>
      <c r="AB841" s="78"/>
    </row>
    <row r="842" spans="5:28" ht="14.25" customHeight="1" x14ac:dyDescent="0.2">
      <c r="E842" s="74">
        <v>45796.770833333336</v>
      </c>
      <c r="F842" s="107" t="s">
        <v>277</v>
      </c>
      <c r="G842" s="142">
        <v>51902.446769943585</v>
      </c>
      <c r="H842" s="142">
        <v>159190.77524554107</v>
      </c>
      <c r="I842" s="142">
        <v>18.866124762962976</v>
      </c>
      <c r="J842" s="142">
        <v>51902.098875532785</v>
      </c>
      <c r="K842" s="142">
        <v>159189.50505873389</v>
      </c>
      <c r="L842" s="142">
        <v>18.857900000000001</v>
      </c>
      <c r="M842" s="145">
        <v>8.2247629629748076E-3</v>
      </c>
      <c r="N842" s="145">
        <v>1.3169938089874187</v>
      </c>
      <c r="O842" s="145">
        <v>2.002200980019353E-3</v>
      </c>
      <c r="P842" s="145">
        <v>3.9951317770352546E-3</v>
      </c>
      <c r="Q8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8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0.96837758753132164</v>
      </c>
      <c r="S8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-4.0000411871687902E-5</v>
      </c>
      <c r="T8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-0.97865342028313762</v>
      </c>
      <c r="U8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8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9.1104900970484515E-4</v>
      </c>
      <c r="W8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-3.5792430352898918E-7</v>
      </c>
      <c r="X8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-9.7860633236024341E-4</v>
      </c>
      <c r="Y842" s="162" t="str">
        <f>ReportSummary___Track[[#This Row],[Track ID]]&amp;"-"&amp;ReportSummary___Track[[#This Row],[Epoch]]</f>
        <v>250-RL-OP-0038-45796.7708333333</v>
      </c>
      <c r="Z842" s="126">
        <f>SUBTOTAL(103,ReportSummary___Track[[#This Row],[Track ID]])</f>
        <v>1</v>
      </c>
      <c r="AA842" s="114">
        <f>_xlfn.NUMBERVALUE(RIGHT(ReportSummary___Track[[#This Row],[Track ID]],4))</f>
        <v>38</v>
      </c>
      <c r="AB842" s="78"/>
    </row>
    <row r="843" spans="5:28" ht="14.25" customHeight="1" x14ac:dyDescent="0.2">
      <c r="E843" s="74">
        <v>45796.770833333336</v>
      </c>
      <c r="F843" s="107" t="s">
        <v>278</v>
      </c>
      <c r="G843" s="142">
        <v>51903.411366943481</v>
      </c>
      <c r="H843" s="142">
        <v>159190.51151814224</v>
      </c>
      <c r="I843" s="142">
        <v>18.866822542397969</v>
      </c>
      <c r="J843" s="142">
        <v>51903.063565613396</v>
      </c>
      <c r="K843" s="142">
        <v>159189.2416710949</v>
      </c>
      <c r="L843" s="142">
        <v>18.857900000000001</v>
      </c>
      <c r="M843" s="145">
        <v>8.9225423979684138E-3</v>
      </c>
      <c r="N843" s="145">
        <v>1.3166460802398992</v>
      </c>
      <c r="O843" s="145">
        <v>2.0470130044927259E-3</v>
      </c>
      <c r="P843" s="145">
        <v>4.0272203303324261E-3</v>
      </c>
      <c r="Q8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-2.6371636607791515E-4</v>
      </c>
      <c r="R8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0.96837757522738599</v>
      </c>
      <c r="S8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-2.6371636607791515E-4</v>
      </c>
      <c r="T8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-0.63114518254892005</v>
      </c>
      <c r="U8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-3.358293518829214E-7</v>
      </c>
      <c r="V8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5.9042063142267232E-4</v>
      </c>
      <c r="W8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-6.5303608813849223E-6</v>
      </c>
      <c r="X8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-6.3027669159865241E-4</v>
      </c>
      <c r="Y843" s="162" t="str">
        <f>ReportSummary___Track[[#This Row],[Track ID]]&amp;"-"&amp;ReportSummary___Track[[#This Row],[Epoch]]</f>
        <v>250-RL-OP-0039-45796.7708333333</v>
      </c>
      <c r="Z843" s="126">
        <f>SUBTOTAL(103,ReportSummary___Track[[#This Row],[Track ID]])</f>
        <v>1</v>
      </c>
      <c r="AA843" s="114">
        <f>_xlfn.NUMBERVALUE(RIGHT(ReportSummary___Track[[#This Row],[Track ID]],4))</f>
        <v>39</v>
      </c>
      <c r="AB843" s="78"/>
    </row>
    <row r="844" spans="5:28" ht="14.25" customHeight="1" x14ac:dyDescent="0.2">
      <c r="E844" s="74">
        <v>45796.770833333336</v>
      </c>
      <c r="F844" s="107" t="s">
        <v>279</v>
      </c>
      <c r="G844" s="142">
        <v>51904.375963943377</v>
      </c>
      <c r="H844" s="142">
        <v>159190.24779074339</v>
      </c>
      <c r="I844" s="142">
        <v>18.867520321832963</v>
      </c>
      <c r="J844" s="142">
        <v>51904.028255694</v>
      </c>
      <c r="K844" s="142">
        <v>159188.97828345592</v>
      </c>
      <c r="L844" s="142">
        <v>18.857900000000001</v>
      </c>
      <c r="M844" s="145">
        <v>9.6203218329620199E-3</v>
      </c>
      <c r="N844" s="145">
        <v>1.3162987237842199</v>
      </c>
      <c r="O844" s="145">
        <v>2.0918250289660989E-3</v>
      </c>
      <c r="P844" s="145">
        <v>4.0593088836224922E-3</v>
      </c>
      <c r="Q8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-4.8743231673142873E-4</v>
      </c>
      <c r="R8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0.96837699457874571</v>
      </c>
      <c r="S8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-4.8743232028414241E-4</v>
      </c>
      <c r="T8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-0.28363694481825519</v>
      </c>
      <c r="U8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-6.2072021478343231E-7</v>
      </c>
      <c r="V8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2.6979404172200461E-4</v>
      </c>
      <c r="W8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-1.2702797466346283E-5</v>
      </c>
      <c r="X8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-2.8194705084061411E-4</v>
      </c>
      <c r="Y844" s="162" t="str">
        <f>ReportSummary___Track[[#This Row],[Track ID]]&amp;"-"&amp;ReportSummary___Track[[#This Row],[Epoch]]</f>
        <v>250-RL-OP-0040-45796.7708333333</v>
      </c>
      <c r="Z844" s="126">
        <f>SUBTOTAL(103,ReportSummary___Track[[#This Row],[Track ID]])</f>
        <v>1</v>
      </c>
      <c r="AA844" s="114">
        <f>_xlfn.NUMBERVALUE(RIGHT(ReportSummary___Track[[#This Row],[Track ID]],4))</f>
        <v>40</v>
      </c>
      <c r="AB844" s="78"/>
    </row>
    <row r="845" spans="5:28" ht="14.25" customHeight="1" x14ac:dyDescent="0.2">
      <c r="E845" s="74">
        <v>45796.770833333336</v>
      </c>
      <c r="F845" s="107" t="s">
        <v>280</v>
      </c>
      <c r="G845" s="142">
        <v>51905.341841450259</v>
      </c>
      <c r="H845" s="142">
        <v>159189.98517913549</v>
      </c>
      <c r="I845" s="142">
        <v>18.868392406740742</v>
      </c>
      <c r="J845" s="142">
        <v>51905.003849006323</v>
      </c>
      <c r="K845" s="142">
        <v>159188.71294466936</v>
      </c>
      <c r="L845" s="142">
        <v>18.858104686160278</v>
      </c>
      <c r="M845" s="145">
        <v>1.0287720580464566E-2</v>
      </c>
      <c r="N845" s="145">
        <v>1.3164061934536693</v>
      </c>
      <c r="O845" s="145">
        <v>2.0629576174897579E-3</v>
      </c>
      <c r="P845" s="145">
        <v>4.0651585975091109E-3</v>
      </c>
      <c r="Q8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8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0.96642015192172082</v>
      </c>
      <c r="S8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4.0000411871687902E-5</v>
      </c>
      <c r="T8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8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-5.2204306655312394E-8</v>
      </c>
      <c r="V8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6.104127270445403E-5</v>
      </c>
      <c r="W8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-1.2658176729019033E-9</v>
      </c>
      <c r="X8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-3.5919012120189109E-7</v>
      </c>
      <c r="Y845" s="162" t="str">
        <f>ReportSummary___Track[[#This Row],[Track ID]]&amp;"-"&amp;ReportSummary___Track[[#This Row],[Epoch]]</f>
        <v>250-RL-OP-0041-45796.7708333333</v>
      </c>
      <c r="Z845" s="126">
        <f>SUBTOTAL(103,ReportSummary___Track[[#This Row],[Track ID]])</f>
        <v>1</v>
      </c>
      <c r="AA845" s="114">
        <f>_xlfn.NUMBERVALUE(RIGHT(ReportSummary___Track[[#This Row],[Track ID]],4))</f>
        <v>41</v>
      </c>
      <c r="AB845" s="78"/>
    </row>
    <row r="846" spans="5:28" ht="14.25" customHeight="1" x14ac:dyDescent="0.2">
      <c r="E846" s="74">
        <v>45796.770833333336</v>
      </c>
      <c r="F846" s="107" t="s">
        <v>281</v>
      </c>
      <c r="G846" s="142">
        <v>51906.308594977017</v>
      </c>
      <c r="H846" s="142">
        <v>159189.72947487878</v>
      </c>
      <c r="I846" s="142">
        <v>18.870110425193985</v>
      </c>
      <c r="J846" s="142">
        <v>51905.970388620146</v>
      </c>
      <c r="K846" s="142">
        <v>159188.45643149922</v>
      </c>
      <c r="L846" s="142">
        <v>18.859577248464422</v>
      </c>
      <c r="M846" s="145">
        <v>1.053317672956311E-2</v>
      </c>
      <c r="N846" s="145">
        <v>1.3172448268628649</v>
      </c>
      <c r="O846" s="145">
        <v>1.6106343315946958E-3</v>
      </c>
      <c r="P846" s="145">
        <v>3.6576473360874218E-3</v>
      </c>
      <c r="Q8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-7.1054273576010019E-12</v>
      </c>
      <c r="R8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0.96641893769655596</v>
      </c>
      <c r="S8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2.637163589724878E-4</v>
      </c>
      <c r="T8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-7.1054273576010019E-12</v>
      </c>
      <c r="U8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-4.2777481823463859E-7</v>
      </c>
      <c r="V8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5.0018602283063984E-4</v>
      </c>
      <c r="W8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-9.1945466351717187E-8</v>
      </c>
      <c r="X8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-6.6223063477366395E-6</v>
      </c>
      <c r="Y846" s="162" t="str">
        <f>ReportSummary___Track[[#This Row],[Track ID]]&amp;"-"&amp;ReportSummary___Track[[#This Row],[Epoch]]</f>
        <v>250-RL-OP-0042-45796.7708333333</v>
      </c>
      <c r="Z846" s="126">
        <f>SUBTOTAL(103,ReportSummary___Track[[#This Row],[Track ID]])</f>
        <v>1</v>
      </c>
      <c r="AA846" s="114">
        <f>_xlfn.NUMBERVALUE(RIGHT(ReportSummary___Track[[#This Row],[Track ID]],4))</f>
        <v>42</v>
      </c>
      <c r="AB846" s="78"/>
    </row>
    <row r="847" spans="5:28" ht="14.25" customHeight="1" x14ac:dyDescent="0.2">
      <c r="E847" s="74">
        <v>45796.770833333336</v>
      </c>
      <c r="F847" s="107" t="s">
        <v>282</v>
      </c>
      <c r="G847" s="142">
        <v>51907.275348503776</v>
      </c>
      <c r="H847" s="142">
        <v>159189.47377062205</v>
      </c>
      <c r="I847" s="142">
        <v>18.871828443647232</v>
      </c>
      <c r="J847" s="142">
        <v>51906.936928233976</v>
      </c>
      <c r="K847" s="142">
        <v>159188.19991832905</v>
      </c>
      <c r="L847" s="142">
        <v>18.861049810768563</v>
      </c>
      <c r="M847" s="145">
        <v>1.0778632878668759E-2</v>
      </c>
      <c r="N847" s="145">
        <v>1.3180835035469778</v>
      </c>
      <c r="O847" s="145">
        <v>1.1583110457067392E-3</v>
      </c>
      <c r="P847" s="145">
        <v>3.250136074672838E-3</v>
      </c>
      <c r="Q8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-7.1054273576010019E-12</v>
      </c>
      <c r="R8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0.96641772135241943</v>
      </c>
      <c r="S8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4.8743230962600137E-4</v>
      </c>
      <c r="T8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-1.0658141036401503E-11</v>
      </c>
      <c r="U8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-8.033453262612511E-7</v>
      </c>
      <c r="V8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9.3932933797957752E-4</v>
      </c>
      <c r="W8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-1.8262511147781879E-7</v>
      </c>
      <c r="X8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-1.2885422577824102E-5</v>
      </c>
      <c r="Y847" s="162" t="str">
        <f>ReportSummary___Track[[#This Row],[Track ID]]&amp;"-"&amp;ReportSummary___Track[[#This Row],[Epoch]]</f>
        <v>250-RL-OP-0043-45796.7708333333</v>
      </c>
      <c r="Z847" s="126">
        <f>SUBTOTAL(103,ReportSummary___Track[[#This Row],[Track ID]])</f>
        <v>1</v>
      </c>
      <c r="AA847" s="114">
        <f>_xlfn.NUMBERVALUE(RIGHT(ReportSummary___Track[[#This Row],[Track ID]],4))</f>
        <v>43</v>
      </c>
      <c r="AB847" s="78"/>
    </row>
    <row r="848" spans="5:28" ht="14.25" customHeight="1" x14ac:dyDescent="0.2">
      <c r="E848" s="74">
        <v>45796.770833333336</v>
      </c>
      <c r="F848" s="107" t="s">
        <v>283</v>
      </c>
      <c r="G848" s="142">
        <v>51908.242806888149</v>
      </c>
      <c r="H848" s="142">
        <v>159189.22150144327</v>
      </c>
      <c r="I848" s="142">
        <v>18.873859626742529</v>
      </c>
      <c r="J848" s="142">
        <v>51907.904517584328</v>
      </c>
      <c r="K848" s="142">
        <v>159187.94720456348</v>
      </c>
      <c r="L848" s="142">
        <v>18.86283128862453</v>
      </c>
      <c r="M848" s="145">
        <v>1.102833811799897E-2</v>
      </c>
      <c r="N848" s="145">
        <v>1.3184816324785376</v>
      </c>
      <c r="O848" s="145">
        <v>7.4061753753440485E-4</v>
      </c>
      <c r="P848" s="145">
        <v>2.8035751550241628E-3</v>
      </c>
      <c r="Q8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-6.471834979038249E-5</v>
      </c>
      <c r="R8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0.857590681115461</v>
      </c>
      <c r="S8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-6.471834979038249E-5</v>
      </c>
      <c r="T8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-2.4717937918694588E-5</v>
      </c>
      <c r="U8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1.3577967905575861E-7</v>
      </c>
      <c r="V8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9.8974847754340622E-4</v>
      </c>
      <c r="W8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1.87983985711071E-7</v>
      </c>
      <c r="X8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1.867181680381691E-7</v>
      </c>
      <c r="Y848" s="162" t="str">
        <f>ReportSummary___Track[[#This Row],[Track ID]]&amp;"-"&amp;ReportSummary___Track[[#This Row],[Epoch]]</f>
        <v>250-RL-OP-0044-45796.7708333333</v>
      </c>
      <c r="Z848" s="126">
        <f>SUBTOTAL(103,ReportSummary___Track[[#This Row],[Track ID]])</f>
        <v>1</v>
      </c>
      <c r="AA848" s="114">
        <f>_xlfn.NUMBERVALUE(RIGHT(ReportSummary___Track[[#This Row],[Track ID]],4))</f>
        <v>44</v>
      </c>
      <c r="AB848" s="78"/>
    </row>
    <row r="849" spans="5:28" ht="14.25" customHeight="1" x14ac:dyDescent="0.2">
      <c r="E849" s="74">
        <v>45796.770833333336</v>
      </c>
      <c r="F849" s="107" t="s">
        <v>284</v>
      </c>
      <c r="G849" s="142">
        <v>51909.212315815959</v>
      </c>
      <c r="H849" s="142">
        <v>159188.97646037152</v>
      </c>
      <c r="I849" s="142">
        <v>18.876563705831956</v>
      </c>
      <c r="J849" s="142">
        <v>51908.873845612303</v>
      </c>
      <c r="K849" s="142">
        <v>159187.7014451595</v>
      </c>
      <c r="L849" s="142">
        <v>18.865174266709456</v>
      </c>
      <c r="M849" s="145">
        <v>1.1389439122499567E-2</v>
      </c>
      <c r="N849" s="145">
        <v>1.3192253745862825</v>
      </c>
      <c r="O849" s="145">
        <v>8.5626239293645767E-4</v>
      </c>
      <c r="P849" s="145">
        <v>2.4668967245311535E-3</v>
      </c>
      <c r="Q8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-2.4712631940815299E-4</v>
      </c>
      <c r="R8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0.55073547027806313</v>
      </c>
      <c r="S8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-2.4712631230272564E-4</v>
      </c>
      <c r="T8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1.659004666976216E-5</v>
      </c>
      <c r="U8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5.840669921042263E-7</v>
      </c>
      <c r="V8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2.9203871543970195E-4</v>
      </c>
      <c r="W8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1.0118418103388649E-6</v>
      </c>
      <c r="X8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9.198963439871477E-7</v>
      </c>
      <c r="Y849" s="162" t="str">
        <f>ReportSummary___Track[[#This Row],[Track ID]]&amp;"-"&amp;ReportSummary___Track[[#This Row],[Epoch]]</f>
        <v>250-RL-OP-0045-45796.7708333333</v>
      </c>
      <c r="Z849" s="126">
        <f>SUBTOTAL(103,ReportSummary___Track[[#This Row],[Track ID]])</f>
        <v>1</v>
      </c>
      <c r="AA849" s="114">
        <f>_xlfn.NUMBERVALUE(RIGHT(ReportSummary___Track[[#This Row],[Track ID]],4))</f>
        <v>45</v>
      </c>
      <c r="AB849" s="78"/>
    </row>
    <row r="850" spans="5:28" ht="14.25" customHeight="1" x14ac:dyDescent="0.2">
      <c r="E850" s="74">
        <v>45796.770833333336</v>
      </c>
      <c r="F850" s="107" t="s">
        <v>285</v>
      </c>
      <c r="G850" s="142">
        <v>51910.181824743777</v>
      </c>
      <c r="H850" s="142">
        <v>159188.73141929976</v>
      </c>
      <c r="I850" s="142">
        <v>18.879267784921382</v>
      </c>
      <c r="J850" s="142">
        <v>51909.843173640271</v>
      </c>
      <c r="K850" s="142">
        <v>159187.45568575553</v>
      </c>
      <c r="L850" s="142">
        <v>18.867517244794382</v>
      </c>
      <c r="M850" s="145">
        <v>1.1750540127000164E-2</v>
      </c>
      <c r="N850" s="145">
        <v>1.3199692121299416</v>
      </c>
      <c r="O850" s="145">
        <v>9.7190724833140507E-4</v>
      </c>
      <c r="P850" s="145">
        <v>2.1302182940381442E-3</v>
      </c>
      <c r="Q8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-4.2953428547320982E-4</v>
      </c>
      <c r="R8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0.24388143045350752</v>
      </c>
      <c r="S8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-4.2953427836778246E-4</v>
      </c>
      <c r="T8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5.7898031258218907E-5</v>
      </c>
      <c r="U8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1.032354305152694E-6</v>
      </c>
      <c r="V8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-4.056677315236179E-4</v>
      </c>
      <c r="W8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1.8356996314139451E-6</v>
      </c>
      <c r="X8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1.6530745199361263E-6</v>
      </c>
      <c r="Y850" s="162" t="str">
        <f>ReportSummary___Track[[#This Row],[Track ID]]&amp;"-"&amp;ReportSummary___Track[[#This Row],[Epoch]]</f>
        <v>250-RL-OP-0046-45796.7708333333</v>
      </c>
      <c r="Z850" s="126">
        <f>SUBTOTAL(103,ReportSummary___Track[[#This Row],[Track ID]])</f>
        <v>1</v>
      </c>
      <c r="AA850" s="114">
        <f>_xlfn.NUMBERVALUE(RIGHT(ReportSummary___Track[[#This Row],[Track ID]],4))</f>
        <v>46</v>
      </c>
      <c r="AB850" s="78"/>
    </row>
    <row r="851" spans="5:28" ht="14.25" customHeight="1" x14ac:dyDescent="0.2">
      <c r="E851" s="74">
        <v>45796.770833333336</v>
      </c>
      <c r="F851" s="107" t="s">
        <v>286</v>
      </c>
      <c r="G851" s="142">
        <v>51911.151141496419</v>
      </c>
      <c r="H851" s="142">
        <v>159188.48844319949</v>
      </c>
      <c r="I851" s="142">
        <v>18.882328518492972</v>
      </c>
      <c r="J851" s="142">
        <v>51910.834175044969</v>
      </c>
      <c r="K851" s="142">
        <v>159187.20644558506</v>
      </c>
      <c r="L851" s="142">
        <v>18.870138804746514</v>
      </c>
      <c r="M851" s="145">
        <v>1.2189713746458608E-2</v>
      </c>
      <c r="N851" s="145">
        <v>1.3206567320292197</v>
      </c>
      <c r="O851" s="145">
        <v>1.1613756284596377E-3</v>
      </c>
      <c r="P851" s="145">
        <v>1.9019931659940426E-3</v>
      </c>
      <c r="Q8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2.8817952753001919E-3</v>
      </c>
      <c r="R8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5.6636158147549409E-2</v>
      </c>
      <c r="S8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2.9465136250905744E-3</v>
      </c>
      <c r="T8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2.8817952753001919E-3</v>
      </c>
      <c r="U8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-7.3969827138142819E-5</v>
      </c>
      <c r="V8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-8.8003635251432399E-4</v>
      </c>
      <c r="W8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-7.4105606817198577E-5</v>
      </c>
      <c r="X8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-7.3917622831487506E-5</v>
      </c>
      <c r="Y851" s="162" t="str">
        <f>ReportSummary___Track[[#This Row],[Track ID]]&amp;"-"&amp;ReportSummary___Track[[#This Row],[Epoch]]</f>
        <v>250-RL-OP-0047-45796.7708333333</v>
      </c>
      <c r="Z851" s="126">
        <f>SUBTOTAL(103,ReportSummary___Track[[#This Row],[Track ID]])</f>
        <v>1</v>
      </c>
      <c r="AA851" s="114">
        <f>_xlfn.NUMBERVALUE(RIGHT(ReportSummary___Track[[#This Row],[Track ID]],4))</f>
        <v>47</v>
      </c>
      <c r="AB851" s="78"/>
    </row>
    <row r="852" spans="5:28" ht="14.25" customHeight="1" x14ac:dyDescent="0.2">
      <c r="E852" s="74">
        <v>45796.770833333336</v>
      </c>
      <c r="F852" s="107" t="s">
        <v>287</v>
      </c>
      <c r="G852" s="142">
        <v>51912.122875350411</v>
      </c>
      <c r="H852" s="142">
        <v>159188.2524052464</v>
      </c>
      <c r="I852" s="142">
        <v>18.886733255176882</v>
      </c>
      <c r="J852" s="142">
        <v>51911.805659447018</v>
      </c>
      <c r="K852" s="142">
        <v>159186.96936626773</v>
      </c>
      <c r="L852" s="142">
        <v>18.873523159975598</v>
      </c>
      <c r="M852" s="145">
        <v>1.3210095201284133E-2</v>
      </c>
      <c r="N852" s="145">
        <v>1.3217372873470958</v>
      </c>
      <c r="O852" s="145">
        <v>1.820656078784566E-3</v>
      </c>
      <c r="P852" s="145">
        <v>2.6769184717210237E-3</v>
      </c>
      <c r="Q8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4.1282180234247789E-3</v>
      </c>
      <c r="R8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0.31313496694806986</v>
      </c>
      <c r="S8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4.3753443428329319E-3</v>
      </c>
      <c r="T8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4.1282180305302063E-3</v>
      </c>
      <c r="U8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-4.2488028939402511E-4</v>
      </c>
      <c r="V8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-4.6215029187668399E-4</v>
      </c>
      <c r="W8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-4.2546435638612934E-4</v>
      </c>
      <c r="X8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-4.2445251457579047E-4</v>
      </c>
      <c r="Y852" s="162" t="str">
        <f>ReportSummary___Track[[#This Row],[Track ID]]&amp;"-"&amp;ReportSummary___Track[[#This Row],[Epoch]]</f>
        <v>250-RL-OP-0048-45796.7708333333</v>
      </c>
      <c r="Z852" s="126">
        <f>SUBTOTAL(103,ReportSummary___Track[[#This Row],[Track ID]])</f>
        <v>1</v>
      </c>
      <c r="AA852" s="114">
        <f>_xlfn.NUMBERVALUE(RIGHT(ReportSummary___Track[[#This Row],[Track ID]],4))</f>
        <v>48</v>
      </c>
      <c r="AB852" s="78"/>
    </row>
    <row r="853" spans="5:28" ht="14.25" customHeight="1" x14ac:dyDescent="0.2">
      <c r="E853" s="74">
        <v>45796.770833333336</v>
      </c>
      <c r="F853" s="107" t="s">
        <v>288</v>
      </c>
      <c r="G853" s="142">
        <v>51913.094609204403</v>
      </c>
      <c r="H853" s="142">
        <v>159188.01636729331</v>
      </c>
      <c r="I853" s="142">
        <v>18.891137991860795</v>
      </c>
      <c r="J853" s="142">
        <v>51912.777143849067</v>
      </c>
      <c r="K853" s="142">
        <v>159186.73228695037</v>
      </c>
      <c r="L853" s="142">
        <v>18.876907515204685</v>
      </c>
      <c r="M853" s="145">
        <v>1.4230476656109659E-2</v>
      </c>
      <c r="N853" s="145">
        <v>1.3228186139588887</v>
      </c>
      <c r="O853" s="145">
        <v>2.4799365291094944E-3</v>
      </c>
      <c r="P853" s="145">
        <v>3.4518437774408994E-3</v>
      </c>
      <c r="Q8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5.3746407751020797E-3</v>
      </c>
      <c r="R8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0.56963160735379326</v>
      </c>
      <c r="S8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5.8041750605752895E-3</v>
      </c>
      <c r="T8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5.3746407822075071E-3</v>
      </c>
      <c r="U8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-7.7579075165346012E-4</v>
      </c>
      <c r="V8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-4.490118465150239E-5</v>
      </c>
      <c r="W8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-7.7682310595861281E-4</v>
      </c>
      <c r="X8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-7.7498740632719887E-4</v>
      </c>
      <c r="Y853" s="162" t="str">
        <f>ReportSummary___Track[[#This Row],[Track ID]]&amp;"-"&amp;ReportSummary___Track[[#This Row],[Epoch]]</f>
        <v>250-RL-OP-0049-45796.7708333333</v>
      </c>
      <c r="Z853" s="126">
        <f>SUBTOTAL(103,ReportSummary___Track[[#This Row],[Track ID]])</f>
        <v>1</v>
      </c>
      <c r="AA853" s="114">
        <f>_xlfn.NUMBERVALUE(RIGHT(ReportSummary___Track[[#This Row],[Track ID]],4))</f>
        <v>49</v>
      </c>
      <c r="AB853" s="78"/>
    </row>
    <row r="854" spans="5:28" ht="14.25" customHeight="1" x14ac:dyDescent="0.2">
      <c r="E854" s="74">
        <v>45793.270833333336</v>
      </c>
      <c r="F854" s="107" t="s">
        <v>235</v>
      </c>
      <c r="G854" s="142">
        <v>51886.101813663445</v>
      </c>
      <c r="H854" s="142">
        <v>159195.44642124095</v>
      </c>
      <c r="I854" s="142">
        <v>18.869774662204115</v>
      </c>
      <c r="J854" s="142">
        <v>51885.741976141326</v>
      </c>
      <c r="K854" s="142">
        <v>159194.18669572662</v>
      </c>
      <c r="L854" s="142">
        <v>18.866068645440574</v>
      </c>
      <c r="M854" s="145">
        <v>3.7060167635409869E-3</v>
      </c>
      <c r="N854" s="145">
        <v>1.310116463658221</v>
      </c>
      <c r="O854" s="145"/>
      <c r="P854" s="145"/>
      <c r="Q8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-0.56274798245325997</v>
      </c>
      <c r="R8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-1.7127291886964713E-3</v>
      </c>
      <c r="S85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5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-2.8105432802050245E-4</v>
      </c>
      <c r="V8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6.8981454273542298E-4</v>
      </c>
      <c r="W85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5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54" s="162" t="str">
        <f>ReportSummary___Track[[#This Row],[Track ID]]&amp;"-"&amp;ReportSummary___Track[[#This Row],[Epoch]]</f>
        <v>250-RL-OP-0021-45793.2708333333</v>
      </c>
      <c r="Z854" s="126">
        <f>SUBTOTAL(103,ReportSummary___Track[[#This Row],[Track ID]])</f>
        <v>1</v>
      </c>
      <c r="AA854" s="114">
        <f>_xlfn.NUMBERVALUE(RIGHT(ReportSummary___Track[[#This Row],[Track ID]],4))</f>
        <v>21</v>
      </c>
      <c r="AB854" s="78"/>
    </row>
    <row r="855" spans="5:28" ht="14.25" customHeight="1" x14ac:dyDescent="0.2">
      <c r="E855" s="74">
        <v>45793.270833333336</v>
      </c>
      <c r="F855" s="107" t="s">
        <v>236</v>
      </c>
      <c r="G855" s="142">
        <v>51887.063368914656</v>
      </c>
      <c r="H855" s="142">
        <v>159195.17180983879</v>
      </c>
      <c r="I855" s="142">
        <v>18.869497766411676</v>
      </c>
      <c r="J855" s="142">
        <v>51886.703005157353</v>
      </c>
      <c r="K855" s="142">
        <v>159193.91024828269</v>
      </c>
      <c r="L855" s="142">
        <v>18.866271344287416</v>
      </c>
      <c r="M855" s="145">
        <v>3.2264221242606084E-3</v>
      </c>
      <c r="N855" s="145">
        <v>1.3120251549521662</v>
      </c>
      <c r="O855" s="145"/>
      <c r="P855" s="145"/>
      <c r="Q8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-1.24669913843789</v>
      </c>
      <c r="R8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-3.658142919915619E-3</v>
      </c>
      <c r="S85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5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-6.1885943529205178E-4</v>
      </c>
      <c r="V8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3.5612839047072242E-4</v>
      </c>
      <c r="W85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5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55" s="162" t="str">
        <f>ReportSummary___Track[[#This Row],[Track ID]]&amp;"-"&amp;ReportSummary___Track[[#This Row],[Epoch]]</f>
        <v>250-RL-OP-0022-45793.2708333333</v>
      </c>
      <c r="Z855" s="126">
        <f>SUBTOTAL(103,ReportSummary___Track[[#This Row],[Track ID]])</f>
        <v>1</v>
      </c>
      <c r="AA855" s="114">
        <f>_xlfn.NUMBERVALUE(RIGHT(ReportSummary___Track[[#This Row],[Track ID]],4))</f>
        <v>22</v>
      </c>
      <c r="AB855" s="78"/>
    </row>
    <row r="856" spans="5:28" ht="14.25" customHeight="1" x14ac:dyDescent="0.2">
      <c r="E856" s="74">
        <v>45793.270833333336</v>
      </c>
      <c r="F856" s="107" t="s">
        <v>237</v>
      </c>
      <c r="G856" s="142">
        <v>51888.024924165868</v>
      </c>
      <c r="H856" s="142">
        <v>159194.89719843664</v>
      </c>
      <c r="I856" s="142">
        <v>18.869220870619237</v>
      </c>
      <c r="J856" s="142">
        <v>51887.664034173373</v>
      </c>
      <c r="K856" s="142">
        <v>159193.63380083872</v>
      </c>
      <c r="L856" s="142">
        <v>18.866474043134257</v>
      </c>
      <c r="M856" s="145">
        <v>2.7468274849802299E-3</v>
      </c>
      <c r="N856" s="145">
        <v>1.3139340250380718</v>
      </c>
      <c r="O856" s="145"/>
      <c r="P856" s="145"/>
      <c r="Q8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-1.9306502944225201</v>
      </c>
      <c r="R8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-5.454572315821693E-3</v>
      </c>
      <c r="S85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5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-9.5666454256715383E-4</v>
      </c>
      <c r="V8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2.260422156363795E-5</v>
      </c>
      <c r="W85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5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56" s="162" t="str">
        <f>ReportSummary___Track[[#This Row],[Track ID]]&amp;"-"&amp;ReportSummary___Track[[#This Row],[Epoch]]</f>
        <v>250-RL-OP-0023-45793.2708333333</v>
      </c>
      <c r="Z856" s="126">
        <f>SUBTOTAL(103,ReportSummary___Track[[#This Row],[Track ID]])</f>
        <v>1</v>
      </c>
      <c r="AA856" s="114">
        <f>_xlfn.NUMBERVALUE(RIGHT(ReportSummary___Track[[#This Row],[Track ID]],4))</f>
        <v>23</v>
      </c>
      <c r="AB856" s="78"/>
    </row>
    <row r="857" spans="5:28" ht="14.25" customHeight="1" x14ac:dyDescent="0.2">
      <c r="E857" s="74">
        <v>45793.270833333336</v>
      </c>
      <c r="F857" s="107" t="s">
        <v>238</v>
      </c>
      <c r="G857" s="142">
        <v>51888.986288492531</v>
      </c>
      <c r="H857" s="142">
        <v>159194.62201568196</v>
      </c>
      <c r="I857" s="142">
        <v>18.868826216423926</v>
      </c>
      <c r="J857" s="142">
        <v>51888.624024107339</v>
      </c>
      <c r="K857" s="142">
        <v>159193.35679670321</v>
      </c>
      <c r="L857" s="142">
        <v>18.86545332152658</v>
      </c>
      <c r="M857" s="145">
        <v>3.372894897346157E-3</v>
      </c>
      <c r="N857" s="145">
        <v>1.3160645597318328</v>
      </c>
      <c r="O857" s="145">
        <v>-3.3312186619482986E-4</v>
      </c>
      <c r="P857" s="145"/>
      <c r="Q8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-1.3895266617325319</v>
      </c>
      <c r="R8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0.2951304000169408</v>
      </c>
      <c r="S8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-0.82677867927927196</v>
      </c>
      <c r="T85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-6.8861343239490225E-4</v>
      </c>
      <c r="V8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2.8539896348234173E-4</v>
      </c>
      <c r="W8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-4.0755910437439979E-4</v>
      </c>
      <c r="X85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57" s="162" t="str">
        <f>ReportSummary___Track[[#This Row],[Track ID]]&amp;"-"&amp;ReportSummary___Track[[#This Row],[Epoch]]</f>
        <v>250-RL-OP-0024-45793.2708333333</v>
      </c>
      <c r="Z857" s="126">
        <f>SUBTOTAL(103,ReportSummary___Track[[#This Row],[Track ID]])</f>
        <v>1</v>
      </c>
      <c r="AA857" s="114">
        <f>_xlfn.NUMBERVALUE(RIGHT(ReportSummary___Track[[#This Row],[Track ID]],4))</f>
        <v>24</v>
      </c>
      <c r="AB857" s="78"/>
    </row>
    <row r="858" spans="5:28" ht="14.25" customHeight="1" x14ac:dyDescent="0.2">
      <c r="E858" s="74">
        <v>45793.270833333336</v>
      </c>
      <c r="F858" s="107" t="s">
        <v>239</v>
      </c>
      <c r="G858" s="142">
        <v>51889.947664755273</v>
      </c>
      <c r="H858" s="142">
        <v>159194.34677847879</v>
      </c>
      <c r="I858" s="142">
        <v>18.868421951254046</v>
      </c>
      <c r="J858" s="142">
        <v>51889.58479107709</v>
      </c>
      <c r="K858" s="142">
        <v>159193.07944244222</v>
      </c>
      <c r="L858" s="142">
        <v>18.864251762034648</v>
      </c>
      <c r="M858" s="145">
        <v>4.170189219397713E-3</v>
      </c>
      <c r="N858" s="145">
        <v>1.3182698230611651</v>
      </c>
      <c r="O858" s="145">
        <v>9.4376709513710466E-4</v>
      </c>
      <c r="P858" s="145"/>
      <c r="Q8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-0.70940550974540884</v>
      </c>
      <c r="R8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0.62083274420166035</v>
      </c>
      <c r="S8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0.53729362869248121</v>
      </c>
      <c r="T85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-3.5184028758550312E-4</v>
      </c>
      <c r="V8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6.1604657851122013E-4</v>
      </c>
      <c r="W8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2.6701914770654867E-4</v>
      </c>
      <c r="X85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58" s="162" t="str">
        <f>ReportSummary___Track[[#This Row],[Track ID]]&amp;"-"&amp;ReportSummary___Track[[#This Row],[Epoch]]</f>
        <v>250-RL-OP-0025-45793.2708333333</v>
      </c>
      <c r="Z858" s="126">
        <f>SUBTOTAL(103,ReportSummary___Track[[#This Row],[Track ID]])</f>
        <v>1</v>
      </c>
      <c r="AA858" s="114">
        <f>_xlfn.NUMBERVALUE(RIGHT(ReportSummary___Track[[#This Row],[Track ID]],4))</f>
        <v>25</v>
      </c>
      <c r="AB858" s="78"/>
    </row>
    <row r="859" spans="5:28" ht="14.25" customHeight="1" x14ac:dyDescent="0.2">
      <c r="E859" s="74">
        <v>45793.270833333336</v>
      </c>
      <c r="F859" s="107" t="s">
        <v>240</v>
      </c>
      <c r="G859" s="142">
        <v>51890.909041018014</v>
      </c>
      <c r="H859" s="142">
        <v>159194.07154127565</v>
      </c>
      <c r="I859" s="142">
        <v>18.868017686084166</v>
      </c>
      <c r="J859" s="142">
        <v>51890.545558046833</v>
      </c>
      <c r="K859" s="142">
        <v>159192.80208818123</v>
      </c>
      <c r="L859" s="142">
        <v>18.86305020254272</v>
      </c>
      <c r="M859" s="145">
        <v>4.9674835414457164E-3</v>
      </c>
      <c r="N859" s="145">
        <v>1.3204755602374898</v>
      </c>
      <c r="O859" s="145">
        <v>2.2206560564654865E-3</v>
      </c>
      <c r="P859" s="145"/>
      <c r="Q8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-2.9284357761838464E-2</v>
      </c>
      <c r="R8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0.9469996882816023</v>
      </c>
      <c r="S8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1.9013659366606817</v>
      </c>
      <c r="T85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-1.506714278320942E-5</v>
      </c>
      <c r="V8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9.4701155008847238E-4</v>
      </c>
      <c r="W8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9.4159739978394441E-4</v>
      </c>
      <c r="X85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59" s="162" t="str">
        <f>ReportSummary___Track[[#This Row],[Track ID]]&amp;"-"&amp;ReportSummary___Track[[#This Row],[Epoch]]</f>
        <v>250-RL-OP-0026-45793.2708333333</v>
      </c>
      <c r="Z859" s="126">
        <f>SUBTOTAL(103,ReportSummary___Track[[#This Row],[Track ID]])</f>
        <v>1</v>
      </c>
      <c r="AA859" s="114">
        <f>_xlfn.NUMBERVALUE(RIGHT(ReportSummary___Track[[#This Row],[Track ID]],4))</f>
        <v>26</v>
      </c>
      <c r="AB859" s="78"/>
    </row>
    <row r="860" spans="5:28" ht="14.25" customHeight="1" x14ac:dyDescent="0.2">
      <c r="E860" s="74">
        <v>45793.270833333336</v>
      </c>
      <c r="F860" s="107" t="s">
        <v>241</v>
      </c>
      <c r="G860" s="142">
        <v>51891.869997674046</v>
      </c>
      <c r="H860" s="142">
        <v>159193.79503821288</v>
      </c>
      <c r="I860" s="142">
        <v>18.865661670375356</v>
      </c>
      <c r="J860" s="142">
        <v>51891.504353461787</v>
      </c>
      <c r="K860" s="142">
        <v>159192.52590810764</v>
      </c>
      <c r="L860" s="142">
        <v>18.861283132921656</v>
      </c>
      <c r="M860" s="145">
        <v>4.3785374537002042E-3</v>
      </c>
      <c r="N860" s="145">
        <v>1.3207596623063118</v>
      </c>
      <c r="O860" s="145">
        <v>1.0056425563540472E-3</v>
      </c>
      <c r="P860" s="145">
        <v>6.7252069015921734E-4</v>
      </c>
      <c r="Q8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8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0.55873458931010589</v>
      </c>
      <c r="S8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1.065117793899617</v>
      </c>
      <c r="T8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0.23833911462034507</v>
      </c>
      <c r="U8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8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6.4435737983714603E-4</v>
      </c>
      <c r="W8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6.8883607592695739E-4</v>
      </c>
      <c r="X8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2.812769715525576E-4</v>
      </c>
      <c r="Y860" s="162" t="str">
        <f>ReportSummary___Track[[#This Row],[Track ID]]&amp;"-"&amp;ReportSummary___Track[[#This Row],[Epoch]]</f>
        <v>250-RL-OP-0027-45793.2708333333</v>
      </c>
      <c r="Z860" s="126">
        <f>SUBTOTAL(103,ReportSummary___Track[[#This Row],[Track ID]])</f>
        <v>1</v>
      </c>
      <c r="AA860" s="114">
        <f>_xlfn.NUMBERVALUE(RIGHT(ReportSummary___Track[[#This Row],[Track ID]],4))</f>
        <v>27</v>
      </c>
      <c r="AB860" s="78"/>
    </row>
    <row r="861" spans="5:28" ht="14.25" customHeight="1" x14ac:dyDescent="0.2">
      <c r="E861" s="74">
        <v>45793.270833333336</v>
      </c>
      <c r="F861" s="107" t="s">
        <v>242</v>
      </c>
      <c r="G861" s="142">
        <v>51892.83098666594</v>
      </c>
      <c r="H861" s="142">
        <v>159193.51846240537</v>
      </c>
      <c r="I861" s="142">
        <v>18.863216230483452</v>
      </c>
      <c r="J861" s="142">
        <v>51892.465288045249</v>
      </c>
      <c r="K861" s="142">
        <v>159192.24913834574</v>
      </c>
      <c r="L861" s="142">
        <v>18.859487246856443</v>
      </c>
      <c r="M861" s="145">
        <v>3.7289836270097965E-3</v>
      </c>
      <c r="N861" s="145">
        <v>1.3209591041524325</v>
      </c>
      <c r="O861" s="145">
        <v>-4.4120559238791657E-4</v>
      </c>
      <c r="P861" s="145">
        <v>5.0256150274918809E-4</v>
      </c>
      <c r="Q8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8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0.13832300422134125</v>
      </c>
      <c r="S8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4.5656822003081743E-2</v>
      </c>
      <c r="T8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0.58295045069556295</v>
      </c>
      <c r="U8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8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3.1333642655972938E-4</v>
      </c>
      <c r="W8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3.5229577312989591E-4</v>
      </c>
      <c r="X8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6.1931492083644457E-4</v>
      </c>
      <c r="Y861" s="162" t="str">
        <f>ReportSummary___Track[[#This Row],[Track ID]]&amp;"-"&amp;ReportSummary___Track[[#This Row],[Epoch]]</f>
        <v>250-RL-OP-0028-45793.2708333333</v>
      </c>
      <c r="Z861" s="126">
        <f>SUBTOTAL(103,ReportSummary___Track[[#This Row],[Track ID]])</f>
        <v>1</v>
      </c>
      <c r="AA861" s="114">
        <f>_xlfn.NUMBERVALUE(RIGHT(ReportSummary___Track[[#This Row],[Track ID]],4))</f>
        <v>28</v>
      </c>
      <c r="AB861" s="78"/>
    </row>
    <row r="862" spans="5:28" ht="14.25" customHeight="1" x14ac:dyDescent="0.2">
      <c r="E862" s="74">
        <v>45793.270833333336</v>
      </c>
      <c r="F862" s="107" t="s">
        <v>243</v>
      </c>
      <c r="G862" s="142">
        <v>51893.791834256968</v>
      </c>
      <c r="H862" s="142">
        <v>159193.2418896631</v>
      </c>
      <c r="I862" s="142">
        <v>18.860908805651452</v>
      </c>
      <c r="J862" s="142">
        <v>51893.426692580288</v>
      </c>
      <c r="K862" s="142">
        <v>159191.97223179525</v>
      </c>
      <c r="L862" s="142">
        <v>18.857700906411129</v>
      </c>
      <c r="M862" s="145">
        <v>3.2078992403228312E-3</v>
      </c>
      <c r="N862" s="145">
        <v>1.3211244589535895</v>
      </c>
      <c r="O862" s="145">
        <v>-1.7595843011228851E-3</v>
      </c>
      <c r="P862" s="145">
        <v>4.6107175534260136E-4</v>
      </c>
      <c r="Q8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-0.99819089966857177</v>
      </c>
      <c r="R8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-0.27415074417302954</v>
      </c>
      <c r="S8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-0.96890654190673331</v>
      </c>
      <c r="T8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0.93245939475394835</v>
      </c>
      <c r="U8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-1.5798478006701089E-5</v>
      </c>
      <c r="V8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-3.8456536843867184E-8</v>
      </c>
      <c r="W8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-7.3133522349166924E-7</v>
      </c>
      <c r="X8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9.4086606456045274E-4</v>
      </c>
      <c r="Y862" s="162" t="str">
        <f>ReportSummary___Track[[#This Row],[Track ID]]&amp;"-"&amp;ReportSummary___Track[[#This Row],[Epoch]]</f>
        <v>250-RL-OP-0029-45793.2708333333</v>
      </c>
      <c r="Z862" s="126">
        <f>SUBTOTAL(103,ReportSummary___Track[[#This Row],[Track ID]])</f>
        <v>1</v>
      </c>
      <c r="AA862" s="114">
        <f>_xlfn.NUMBERVALUE(RIGHT(ReportSummary___Track[[#This Row],[Track ID]],4))</f>
        <v>29</v>
      </c>
      <c r="AB862" s="78"/>
    </row>
    <row r="863" spans="5:28" ht="14.25" customHeight="1" x14ac:dyDescent="0.2">
      <c r="E863" s="74">
        <v>45793.270833333336</v>
      </c>
      <c r="F863" s="107" t="s">
        <v>269</v>
      </c>
      <c r="G863" s="142">
        <v>51894.752636096942</v>
      </c>
      <c r="H863" s="142">
        <v>159192.96465366907</v>
      </c>
      <c r="I863" s="142">
        <v>18.861075895811787</v>
      </c>
      <c r="J863" s="142">
        <v>51894.387556785739</v>
      </c>
      <c r="K863" s="142">
        <v>159191.69521203163</v>
      </c>
      <c r="L863" s="142">
        <v>18.85787192737892</v>
      </c>
      <c r="M863" s="145">
        <v>3.203968432867299E-3</v>
      </c>
      <c r="N863" s="145">
        <v>1.3208994056161134</v>
      </c>
      <c r="O863" s="145">
        <v>-1.1745690208329052E-3</v>
      </c>
      <c r="P863" s="145">
        <v>-1.6892646447885795E-4</v>
      </c>
      <c r="Q8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-0.6563712580742731</v>
      </c>
      <c r="R8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-8.5708196877920528E-2</v>
      </c>
      <c r="S8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-0.33196239024135821</v>
      </c>
      <c r="T8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0.73315540365825882</v>
      </c>
      <c r="U8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-7.9368671421775616E-6</v>
      </c>
      <c r="V8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-1.931953641509665E-8</v>
      </c>
      <c r="W8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-8.1595106742327062E-6</v>
      </c>
      <c r="X8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6.8067656525272469E-4</v>
      </c>
      <c r="Y863" s="162" t="str">
        <f>ReportSummary___Track[[#This Row],[Track ID]]&amp;"-"&amp;ReportSummary___Track[[#This Row],[Epoch]]</f>
        <v>250-RL-OP-0030-45793.2708333333</v>
      </c>
      <c r="Z863" s="126">
        <f>SUBTOTAL(103,ReportSummary___Track[[#This Row],[Track ID]])</f>
        <v>1</v>
      </c>
      <c r="AA863" s="114">
        <f>_xlfn.NUMBERVALUE(RIGHT(ReportSummary___Track[[#This Row],[Track ID]],4))</f>
        <v>30</v>
      </c>
      <c r="AB863" s="78"/>
    </row>
    <row r="864" spans="5:28" ht="14.25" customHeight="1" x14ac:dyDescent="0.2">
      <c r="E864" s="74">
        <v>45793.270833333336</v>
      </c>
      <c r="F864" s="107" t="s">
        <v>270</v>
      </c>
      <c r="G864" s="142">
        <v>51895.713437936916</v>
      </c>
      <c r="H864" s="142">
        <v>159192.68741767504</v>
      </c>
      <c r="I864" s="142">
        <v>18.861242985972126</v>
      </c>
      <c r="J864" s="142">
        <v>51895.348420991184</v>
      </c>
      <c r="K864" s="142">
        <v>159191.418192268</v>
      </c>
      <c r="L864" s="142">
        <v>18.858042948346714</v>
      </c>
      <c r="M864" s="145">
        <v>3.2000376254117668E-3</v>
      </c>
      <c r="N864" s="145">
        <v>1.3206743522893447</v>
      </c>
      <c r="O864" s="145">
        <v>-5.2894600159802962E-4</v>
      </c>
      <c r="P864" s="145">
        <v>-9.7015159398594619E-4</v>
      </c>
      <c r="Q8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-0.31455161647997443</v>
      </c>
      <c r="R8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0.10264449609209692</v>
      </c>
      <c r="S8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0.34919707126235267</v>
      </c>
      <c r="T8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0.39485389326543441</v>
      </c>
      <c r="U8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-7.525627765403442E-8</v>
      </c>
      <c r="V8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-2.4162427614271564E-10</v>
      </c>
      <c r="W8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-5.3074182204682074E-7</v>
      </c>
      <c r="X8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3.5176503130784909E-4</v>
      </c>
      <c r="Y864" s="162" t="str">
        <f>ReportSummary___Track[[#This Row],[Track ID]]&amp;"-"&amp;ReportSummary___Track[[#This Row],[Epoch]]</f>
        <v>250-RL-OP-0031-45793.2708333333</v>
      </c>
      <c r="Z864" s="126">
        <f>SUBTOTAL(103,ReportSummary___Track[[#This Row],[Track ID]])</f>
        <v>1</v>
      </c>
      <c r="AA864" s="114">
        <f>_xlfn.NUMBERVALUE(RIGHT(ReportSummary___Track[[#This Row],[Track ID]],4))</f>
        <v>31</v>
      </c>
      <c r="AB864" s="78"/>
    </row>
    <row r="865" spans="5:28" ht="14.25" customHeight="1" x14ac:dyDescent="0.2">
      <c r="E865" s="74">
        <v>45793.270833333336</v>
      </c>
      <c r="F865" s="107" t="s">
        <v>271</v>
      </c>
      <c r="G865" s="142">
        <v>51896.675404337235</v>
      </c>
      <c r="H865" s="142">
        <v>159192.4099024226</v>
      </c>
      <c r="I865" s="142">
        <v>18.861498400271905</v>
      </c>
      <c r="J865" s="142">
        <v>51896.30852141809</v>
      </c>
      <c r="K865" s="142">
        <v>159191.14170884955</v>
      </c>
      <c r="L865" s="142">
        <v>18.858247340168667</v>
      </c>
      <c r="M865" s="145">
        <v>3.2510601032385011E-3</v>
      </c>
      <c r="N865" s="145">
        <v>1.3202002062107656</v>
      </c>
      <c r="O865" s="145">
        <v>4.3160862915669895E-5</v>
      </c>
      <c r="P865" s="145">
        <v>-1.7164234382072152E-3</v>
      </c>
      <c r="Q8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4.2337170214068465E-5</v>
      </c>
      <c r="R8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0.29218954996856894</v>
      </c>
      <c r="S8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0.99823323683878584</v>
      </c>
      <c r="T8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2.9326694932052533E-2</v>
      </c>
      <c r="U8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-1.5688829790860837E-8</v>
      </c>
      <c r="V8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7.6108476314562523E-6</v>
      </c>
      <c r="W8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1.5782789176910228E-5</v>
      </c>
      <c r="X8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1.5051453953418559E-5</v>
      </c>
      <c r="Y865" s="162" t="str">
        <f>ReportSummary___Track[[#This Row],[Track ID]]&amp;"-"&amp;ReportSummary___Track[[#This Row],[Epoch]]</f>
        <v>250-RL-OP-0032-45793.2708333333</v>
      </c>
      <c r="Z865" s="126">
        <f>SUBTOTAL(103,ReportSummary___Track[[#This Row],[Track ID]])</f>
        <v>1</v>
      </c>
      <c r="AA865" s="114">
        <f>_xlfn.NUMBERVALUE(RIGHT(ReportSummary___Track[[#This Row],[Track ID]],4))</f>
        <v>32</v>
      </c>
      <c r="AB865" s="78"/>
    </row>
    <row r="866" spans="5:28" ht="14.25" customHeight="1" x14ac:dyDescent="0.2">
      <c r="E866" s="74">
        <v>45793.270833333336</v>
      </c>
      <c r="F866" s="107" t="s">
        <v>272</v>
      </c>
      <c r="G866" s="142">
        <v>51897.636450471109</v>
      </c>
      <c r="H866" s="142">
        <v>159192.13351905017</v>
      </c>
      <c r="I866" s="142">
        <v>18.863098404693126</v>
      </c>
      <c r="J866" s="142">
        <v>51897.270420156812</v>
      </c>
      <c r="K866" s="142">
        <v>159190.86830352191</v>
      </c>
      <c r="L866" s="142">
        <v>18.858833233345244</v>
      </c>
      <c r="M866" s="145">
        <v>4.2651713478818465E-3</v>
      </c>
      <c r="N866" s="145">
        <v>1.3171054307118086</v>
      </c>
      <c r="O866" s="145">
        <v>1.0612029150145474E-3</v>
      </c>
      <c r="P866" s="145">
        <v>-1.1336610581835771E-4</v>
      </c>
      <c r="Q8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7.3074642870096795E-4</v>
      </c>
      <c r="R8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0.53023734217871876</v>
      </c>
      <c r="S8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0.65710200450297407</v>
      </c>
      <c r="T8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0.32513961426161586</v>
      </c>
      <c r="U8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-2.0985750737168019E-7</v>
      </c>
      <c r="V8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1.0180468848197677E-4</v>
      </c>
      <c r="W8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7.7270096348058814E-6</v>
      </c>
      <c r="X8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-4.3250103942682472E-7</v>
      </c>
      <c r="Y866" s="162" t="str">
        <f>ReportSummary___Track[[#This Row],[Track ID]]&amp;"-"&amp;ReportSummary___Track[[#This Row],[Epoch]]</f>
        <v>250-RL-OP-0033-45793.2708333333</v>
      </c>
      <c r="Z866" s="126">
        <f>SUBTOTAL(103,ReportSummary___Track[[#This Row],[Track ID]])</f>
        <v>1</v>
      </c>
      <c r="AA866" s="114">
        <f>_xlfn.NUMBERVALUE(RIGHT(ReportSummary___Track[[#This Row],[Track ID]],4))</f>
        <v>33</v>
      </c>
      <c r="AB866" s="78"/>
    </row>
    <row r="867" spans="5:28" ht="14.25" customHeight="1" x14ac:dyDescent="0.2">
      <c r="E867" s="74">
        <v>45793.270833333336</v>
      </c>
      <c r="F867" s="107" t="s">
        <v>273</v>
      </c>
      <c r="G867" s="142">
        <v>51898.597496604991</v>
      </c>
      <c r="H867" s="142">
        <v>159191.85713567777</v>
      </c>
      <c r="I867" s="142">
        <v>18.86469840911435</v>
      </c>
      <c r="J867" s="142">
        <v>51898.232318895534</v>
      </c>
      <c r="K867" s="142">
        <v>159190.59489819428</v>
      </c>
      <c r="L867" s="142">
        <v>18.859419126521821</v>
      </c>
      <c r="M867" s="145">
        <v>5.2792825925287445E-3</v>
      </c>
      <c r="N867" s="145">
        <v>1.3140114516379993</v>
      </c>
      <c r="O867" s="145">
        <v>2.0792449671169777E-3</v>
      </c>
      <c r="P867" s="145">
        <v>1.5502989655189481E-3</v>
      </c>
      <c r="Q8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1.4191556907405811E-3</v>
      </c>
      <c r="R8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0.76828473465395675</v>
      </c>
      <c r="S8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0.31597077217071501</v>
      </c>
      <c r="T8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0.66516784343306767</v>
      </c>
      <c r="U8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-4.0402618495249953E-7</v>
      </c>
      <c r="V8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1.959976829093435E-4</v>
      </c>
      <c r="W8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-3.2876990729846511E-7</v>
      </c>
      <c r="X8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-8.5951172934528586E-7</v>
      </c>
      <c r="Y867" s="162" t="str">
        <f>ReportSummary___Track[[#This Row],[Track ID]]&amp;"-"&amp;ReportSummary___Track[[#This Row],[Epoch]]</f>
        <v>250-RL-OP-0034-45793.2708333333</v>
      </c>
      <c r="Z867" s="126">
        <f>SUBTOTAL(103,ReportSummary___Track[[#This Row],[Track ID]])</f>
        <v>1</v>
      </c>
      <c r="AA867" s="114">
        <f>_xlfn.NUMBERVALUE(RIGHT(ReportSummary___Track[[#This Row],[Track ID]],4))</f>
        <v>34</v>
      </c>
      <c r="AB867" s="78"/>
    </row>
    <row r="868" spans="5:28" ht="14.25" customHeight="1" x14ac:dyDescent="0.2">
      <c r="E868" s="74">
        <v>45793.270833333336</v>
      </c>
      <c r="F868" s="107" t="s">
        <v>274</v>
      </c>
      <c r="G868" s="142">
        <v>51899.557748431522</v>
      </c>
      <c r="H868" s="142">
        <v>159191.58237758733</v>
      </c>
      <c r="I868" s="142">
        <v>18.866</v>
      </c>
      <c r="J868" s="142">
        <v>51899.202476862527</v>
      </c>
      <c r="K868" s="142">
        <v>159190.31963600163</v>
      </c>
      <c r="L868" s="142">
        <v>18.859777465674785</v>
      </c>
      <c r="M868" s="145">
        <v>6.2225343252144683E-3</v>
      </c>
      <c r="N868" s="145">
        <v>1.3117823447212047</v>
      </c>
      <c r="O868" s="145">
        <v>2.9714742219759671E-3</v>
      </c>
      <c r="P868" s="145">
        <v>3.014635084891637E-3</v>
      </c>
      <c r="Q8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-2.7657740986342105E-5</v>
      </c>
      <c r="R8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0.94634852332053931</v>
      </c>
      <c r="S8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-6.999491120041057E-5</v>
      </c>
      <c r="T8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0.99816324192758543</v>
      </c>
      <c r="U8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2.7932807356023659E-7</v>
      </c>
      <c r="V8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2.9626682055483577E-4</v>
      </c>
      <c r="W8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2.9501690335109743E-7</v>
      </c>
      <c r="X8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1.6077806080261325E-5</v>
      </c>
      <c r="Y868" s="162" t="str">
        <f>ReportSummary___Track[[#This Row],[Track ID]]&amp;"-"&amp;ReportSummary___Track[[#This Row],[Epoch]]</f>
        <v>250-RL-OP-0035-45793.2708333333</v>
      </c>
      <c r="Z868" s="126">
        <f>SUBTOTAL(103,ReportSummary___Track[[#This Row],[Track ID]])</f>
        <v>1</v>
      </c>
      <c r="AA868" s="114">
        <f>_xlfn.NUMBERVALUE(RIGHT(ReportSummary___Track[[#This Row],[Track ID]],4))</f>
        <v>35</v>
      </c>
      <c r="AB868" s="78"/>
    </row>
    <row r="869" spans="5:28" ht="14.25" customHeight="1" x14ac:dyDescent="0.2">
      <c r="E869" s="74">
        <v>45793.270833333336</v>
      </c>
      <c r="F869" s="107" t="s">
        <v>275</v>
      </c>
      <c r="G869" s="142">
        <v>51900.520772886579</v>
      </c>
      <c r="H869" s="142">
        <v>159191.31296359556</v>
      </c>
      <c r="I869" s="142">
        <v>18.866</v>
      </c>
      <c r="J869" s="142">
        <v>51900.165060040614</v>
      </c>
      <c r="K869" s="142">
        <v>159190.04865039481</v>
      </c>
      <c r="L869" s="142">
        <v>18.859124645615051</v>
      </c>
      <c r="M869" s="145">
        <v>6.8753543849489063E-3</v>
      </c>
      <c r="N869" s="145">
        <v>1.3134179718866501</v>
      </c>
      <c r="O869" s="145">
        <v>2.6101830370670598E-3</v>
      </c>
      <c r="P869" s="145">
        <v>3.6713859520816072E-3</v>
      </c>
      <c r="Q8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-1.7500852678153933E-4</v>
      </c>
      <c r="R8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0.8639284689253568</v>
      </c>
      <c r="S8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-9.0575495548250728E-4</v>
      </c>
      <c r="T8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0.65619624954749156</v>
      </c>
      <c r="U8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6.0195230027204616E-6</v>
      </c>
      <c r="V8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4.325376429268335E-4</v>
      </c>
      <c r="W8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6.2293805100921418E-6</v>
      </c>
      <c r="X8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1.3956390144898023E-5</v>
      </c>
      <c r="Y869" s="162" t="str">
        <f>ReportSummary___Track[[#This Row],[Track ID]]&amp;"-"&amp;ReportSummary___Track[[#This Row],[Epoch]]</f>
        <v>250-RL-OP-0036-45793.2708333333</v>
      </c>
      <c r="Z869" s="126">
        <f>SUBTOTAL(103,ReportSummary___Track[[#This Row],[Track ID]])</f>
        <v>1</v>
      </c>
      <c r="AA869" s="114">
        <f>_xlfn.NUMBERVALUE(RIGHT(ReportSummary___Track[[#This Row],[Track ID]],4))</f>
        <v>36</v>
      </c>
      <c r="AB869" s="78"/>
    </row>
    <row r="870" spans="5:28" ht="14.25" customHeight="1" x14ac:dyDescent="0.2">
      <c r="E870" s="74">
        <v>45793.270833333336</v>
      </c>
      <c r="F870" s="107" t="s">
        <v>276</v>
      </c>
      <c r="G870" s="142">
        <v>51901.483797341636</v>
      </c>
      <c r="H870" s="142">
        <v>159191.04354960378</v>
      </c>
      <c r="I870" s="142">
        <v>18.866</v>
      </c>
      <c r="J870" s="142">
        <v>51901.127643218693</v>
      </c>
      <c r="K870" s="142">
        <v>159189.77766478801</v>
      </c>
      <c r="L870" s="142">
        <v>18.858471825555313</v>
      </c>
      <c r="M870" s="145">
        <v>7.528174444686897E-3</v>
      </c>
      <c r="N870" s="145">
        <v>1.3150539150565093</v>
      </c>
      <c r="O870" s="145">
        <v>2.2488918521581525E-3</v>
      </c>
      <c r="P870" s="145">
        <v>4.3281368192751302E-3</v>
      </c>
      <c r="Q8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-3.223593054713092E-4</v>
      </c>
      <c r="R8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0.78150846355184989</v>
      </c>
      <c r="S8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-1.7415149962118903E-3</v>
      </c>
      <c r="T8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0.31422925717450312</v>
      </c>
      <c r="U8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1.1759717942538828E-5</v>
      </c>
      <c r="V8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5.6881327362368062E-4</v>
      </c>
      <c r="W8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1.2163744127491327E-5</v>
      </c>
      <c r="X8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1.1834974220192862E-5</v>
      </c>
      <c r="Y870" s="162" t="str">
        <f>ReportSummary___Track[[#This Row],[Track ID]]&amp;"-"&amp;ReportSummary___Track[[#This Row],[Epoch]]</f>
        <v>250-RL-OP-0037-45793.2708333333</v>
      </c>
      <c r="Z870" s="126">
        <f>SUBTOTAL(103,ReportSummary___Track[[#This Row],[Track ID]])</f>
        <v>1</v>
      </c>
      <c r="AA870" s="114">
        <f>_xlfn.NUMBERVALUE(RIGHT(ReportSummary___Track[[#This Row],[Track ID]],4))</f>
        <v>37</v>
      </c>
      <c r="AB870" s="78"/>
    </row>
    <row r="871" spans="5:28" ht="14.25" customHeight="1" x14ac:dyDescent="0.2">
      <c r="E871" s="74">
        <v>45793.270833333336</v>
      </c>
      <c r="F871" s="107" t="s">
        <v>277</v>
      </c>
      <c r="G871" s="142">
        <v>51902.446769974056</v>
      </c>
      <c r="H871" s="142">
        <v>159190.77524553274</v>
      </c>
      <c r="I871" s="142">
        <v>18.866065352039769</v>
      </c>
      <c r="J871" s="142">
        <v>51902.099872443272</v>
      </c>
      <c r="K871" s="142">
        <v>159189.5050474201</v>
      </c>
      <c r="L871" s="142">
        <v>18.857900000000001</v>
      </c>
      <c r="M871" s="145">
        <v>8.1653520397679813E-3</v>
      </c>
      <c r="N871" s="145">
        <v>1.3167413623048045</v>
      </c>
      <c r="O871" s="145">
        <v>1.942817714553513E-3</v>
      </c>
      <c r="P871" s="145">
        <v>4.9142919365294802E-3</v>
      </c>
      <c r="Q8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8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0.71593090491717248</v>
      </c>
      <c r="S8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-5.9423265877711628E-2</v>
      </c>
      <c r="T8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-5.9493260788912039E-2</v>
      </c>
      <c r="U8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8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6.5860232709069599E-4</v>
      </c>
      <c r="W8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-5.974118976936893E-5</v>
      </c>
      <c r="X8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-5.9446172866017832E-5</v>
      </c>
      <c r="Y871" s="162" t="str">
        <f>ReportSummary___Track[[#This Row],[Track ID]]&amp;"-"&amp;ReportSummary___Track[[#This Row],[Epoch]]</f>
        <v>250-RL-OP-0038-45793.2708333333</v>
      </c>
      <c r="Z871" s="126">
        <f>SUBTOTAL(103,ReportSummary___Track[[#This Row],[Track ID]])</f>
        <v>1</v>
      </c>
      <c r="AA871" s="114">
        <f>_xlfn.NUMBERVALUE(RIGHT(ReportSummary___Track[[#This Row],[Track ID]],4))</f>
        <v>38</v>
      </c>
      <c r="AB871" s="78"/>
    </row>
    <row r="872" spans="5:28" ht="14.25" customHeight="1" x14ac:dyDescent="0.2">
      <c r="E872" s="74">
        <v>45793.270833333336</v>
      </c>
      <c r="F872" s="107" t="s">
        <v>278</v>
      </c>
      <c r="G872" s="142">
        <v>51903.411367144348</v>
      </c>
      <c r="H872" s="142">
        <v>159190.51151808733</v>
      </c>
      <c r="I872" s="142">
        <v>18.866430855617907</v>
      </c>
      <c r="J872" s="142">
        <v>51903.064539433311</v>
      </c>
      <c r="K872" s="142">
        <v>159189.2415752236</v>
      </c>
      <c r="L872" s="142">
        <v>18.857900000000001</v>
      </c>
      <c r="M872" s="145">
        <v>8.5308556179057859E-3</v>
      </c>
      <c r="N872" s="145">
        <v>1.3164790593754749</v>
      </c>
      <c r="O872" s="145">
        <v>1.6555012329568797E-3</v>
      </c>
      <c r="P872" s="145">
        <v>4.2656842700239395E-3</v>
      </c>
      <c r="Q8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-0.39195049642870572</v>
      </c>
      <c r="R8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0.80135671080316939</v>
      </c>
      <c r="S8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-0.39177548790192418</v>
      </c>
      <c r="T8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-0.39268124285740669</v>
      </c>
      <c r="U8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-3.9202260941451073E-4</v>
      </c>
      <c r="V8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4.2339976699845572E-4</v>
      </c>
      <c r="W8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-3.9804213241723119E-4</v>
      </c>
      <c r="X8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-3.9181275190713905E-4</v>
      </c>
      <c r="Y872" s="162" t="str">
        <f>ReportSummary___Track[[#This Row],[Track ID]]&amp;"-"&amp;ReportSummary___Track[[#This Row],[Epoch]]</f>
        <v>250-RL-OP-0039-45793.2708333333</v>
      </c>
      <c r="Z872" s="126">
        <f>SUBTOTAL(103,ReportSummary___Track[[#This Row],[Track ID]])</f>
        <v>1</v>
      </c>
      <c r="AA872" s="114">
        <f>_xlfn.NUMBERVALUE(RIGHT(ReportSummary___Track[[#This Row],[Track ID]],4))</f>
        <v>39</v>
      </c>
      <c r="AB872" s="78"/>
    </row>
    <row r="873" spans="5:28" ht="14.25" customHeight="1" x14ac:dyDescent="0.2">
      <c r="E873" s="74">
        <v>45793.270833333336</v>
      </c>
      <c r="F873" s="107" t="s">
        <v>279</v>
      </c>
      <c r="G873" s="142">
        <v>51904.37596431464</v>
      </c>
      <c r="H873" s="142">
        <v>159190.24779064191</v>
      </c>
      <c r="I873" s="142">
        <v>18.866796359196041</v>
      </c>
      <c r="J873" s="142">
        <v>51904.029206423351</v>
      </c>
      <c r="K873" s="142">
        <v>159188.9781030271</v>
      </c>
      <c r="L873" s="142">
        <v>18.857900000000001</v>
      </c>
      <c r="M873" s="145">
        <v>8.8963591960400379E-3</v>
      </c>
      <c r="N873" s="145">
        <v>1.316216858873682</v>
      </c>
      <c r="O873" s="145">
        <v>1.3681847513531409E-3</v>
      </c>
      <c r="P873" s="145">
        <v>3.6170766035112933E-3</v>
      </c>
      <c r="Q8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-0.72445006923871347</v>
      </c>
      <c r="R8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0.88651208404089132</v>
      </c>
      <c r="S8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-0.72412770993324216</v>
      </c>
      <c r="T8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-0.72586922492945405</v>
      </c>
      <c r="U8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-7.2458335713676547E-4</v>
      </c>
      <c r="V8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1.8792913118415022E-4</v>
      </c>
      <c r="W8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-7.363430750793043E-4</v>
      </c>
      <c r="X8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-7.2417933095181297E-4</v>
      </c>
      <c r="Y873" s="162" t="str">
        <f>ReportSummary___Track[[#This Row],[Track ID]]&amp;"-"&amp;ReportSummary___Track[[#This Row],[Epoch]]</f>
        <v>250-RL-OP-0040-45793.2708333333</v>
      </c>
      <c r="Z873" s="126">
        <f>SUBTOTAL(103,ReportSummary___Track[[#This Row],[Track ID]])</f>
        <v>1</v>
      </c>
      <c r="AA873" s="114">
        <f>_xlfn.NUMBERVALUE(RIGHT(ReportSummary___Track[[#This Row],[Track ID]],4))</f>
        <v>40</v>
      </c>
      <c r="AB873" s="78"/>
    </row>
    <row r="874" spans="5:28" ht="14.25" customHeight="1" x14ac:dyDescent="0.2">
      <c r="E874" s="74">
        <v>45793.270833333336</v>
      </c>
      <c r="F874" s="107" t="s">
        <v>280</v>
      </c>
      <c r="G874" s="142">
        <v>51905.341841450259</v>
      </c>
      <c r="H874" s="142">
        <v>159189.98517913549</v>
      </c>
      <c r="I874" s="142">
        <v>18.867392406740741</v>
      </c>
      <c r="J874" s="142">
        <v>51905.003861439305</v>
      </c>
      <c r="K874" s="142">
        <v>159188.7129912978</v>
      </c>
      <c r="L874" s="142">
        <v>18.858054777028663</v>
      </c>
      <c r="M874" s="145">
        <v>9.3376297120784102E-3</v>
      </c>
      <c r="N874" s="145">
        <v>1.3163508550158938</v>
      </c>
      <c r="O874" s="145">
        <v>1.1722776723104289E-3</v>
      </c>
      <c r="P874" s="145">
        <v>3.1150953868639419E-3</v>
      </c>
      <c r="Q8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-0.95009086838615531</v>
      </c>
      <c r="R8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0.91108171414622241</v>
      </c>
      <c r="S8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-0.89063994476745734</v>
      </c>
      <c r="T8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-0.95006321064516897</v>
      </c>
      <c r="U8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-9.5014307269281062E-4</v>
      </c>
      <c r="V8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5.7028349289556246E-6</v>
      </c>
      <c r="W8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-8.9068121099700193E-4</v>
      </c>
      <c r="X8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-9.5042240076637086E-4</v>
      </c>
      <c r="Y874" s="162" t="str">
        <f>ReportSummary___Track[[#This Row],[Track ID]]&amp;"-"&amp;ReportSummary___Track[[#This Row],[Epoch]]</f>
        <v>250-RL-OP-0041-45793.2708333333</v>
      </c>
      <c r="Z874" s="126">
        <f>SUBTOTAL(103,ReportSummary___Track[[#This Row],[Track ID]])</f>
        <v>1</v>
      </c>
      <c r="AA874" s="114">
        <f>_xlfn.NUMBERVALUE(RIGHT(ReportSummary___Track[[#This Row],[Track ID]],4))</f>
        <v>41</v>
      </c>
      <c r="AB874" s="78"/>
    </row>
    <row r="875" spans="5:28" ht="14.25" customHeight="1" x14ac:dyDescent="0.2">
      <c r="E875" s="74">
        <v>45793.270833333336</v>
      </c>
      <c r="F875" s="107" t="s">
        <v>281</v>
      </c>
      <c r="G875" s="142">
        <v>51906.308594977017</v>
      </c>
      <c r="H875" s="142">
        <v>159189.72947487878</v>
      </c>
      <c r="I875" s="142">
        <v>18.869110425193988</v>
      </c>
      <c r="J875" s="142">
        <v>51905.970490499021</v>
      </c>
      <c r="K875" s="142">
        <v>159188.45681358408</v>
      </c>
      <c r="L875" s="142">
        <v>18.859168280831987</v>
      </c>
      <c r="M875" s="145">
        <v>9.9421443620002492E-3</v>
      </c>
      <c r="N875" s="145">
        <v>1.3168448106383561</v>
      </c>
      <c r="O875" s="145">
        <v>1.4112887440944633E-3</v>
      </c>
      <c r="P875" s="145">
        <v>3.0667899770513429E-3</v>
      </c>
      <c r="Q8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-0.5910323675699658</v>
      </c>
      <c r="R8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0.56640271318775248</v>
      </c>
      <c r="S8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-0.19908187114126008</v>
      </c>
      <c r="T8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-0.59085735904318426</v>
      </c>
      <c r="U8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-5.9146014238109501E-4</v>
      </c>
      <c r="V8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1.0016979832183637E-4</v>
      </c>
      <c r="W8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-1.9943753296658429E-4</v>
      </c>
      <c r="X8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-5.9747966538381547E-4</v>
      </c>
      <c r="Y875" s="162" t="str">
        <f>ReportSummary___Track[[#This Row],[Track ID]]&amp;"-"&amp;ReportSummary___Track[[#This Row],[Epoch]]</f>
        <v>250-RL-OP-0042-45793.2708333333</v>
      </c>
      <c r="Z875" s="126">
        <f>SUBTOTAL(103,ReportSummary___Track[[#This Row],[Track ID]])</f>
        <v>1</v>
      </c>
      <c r="AA875" s="114">
        <f>_xlfn.NUMBERVALUE(RIGHT(ReportSummary___Track[[#This Row],[Track ID]],4))</f>
        <v>42</v>
      </c>
      <c r="AB875" s="78"/>
    </row>
    <row r="876" spans="5:28" ht="14.25" customHeight="1" x14ac:dyDescent="0.2">
      <c r="E876" s="74">
        <v>45793.270833333336</v>
      </c>
      <c r="F876" s="107" t="s">
        <v>282</v>
      </c>
      <c r="G876" s="142">
        <v>51907.275348503776</v>
      </c>
      <c r="H876" s="142">
        <v>159189.47377062205</v>
      </c>
      <c r="I876" s="142">
        <v>18.87082844364723</v>
      </c>
      <c r="J876" s="142">
        <v>51906.937119558745</v>
      </c>
      <c r="K876" s="142">
        <v>159188.20063587037</v>
      </c>
      <c r="L876" s="142">
        <v>18.860281784635312</v>
      </c>
      <c r="M876" s="145">
        <v>1.0546659011918535E-2</v>
      </c>
      <c r="N876" s="145">
        <v>1.3173390403435736</v>
      </c>
      <c r="O876" s="145">
        <v>1.6502998158784976E-3</v>
      </c>
      <c r="P876" s="145">
        <v>3.0184845672316385E-3</v>
      </c>
      <c r="Q8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-0.23197386675732901</v>
      </c>
      <c r="R8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0.22195451794826404</v>
      </c>
      <c r="S8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0.49247620248138446</v>
      </c>
      <c r="T8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-0.2316515074518577</v>
      </c>
      <c r="U8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-2.3277721207648483E-4</v>
      </c>
      <c r="V8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1.9486613457542212E-4</v>
      </c>
      <c r="W8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4.9180614506028064E-4</v>
      </c>
      <c r="X8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-2.4453693001902366E-4</v>
      </c>
      <c r="Y876" s="162" t="str">
        <f>ReportSummary___Track[[#This Row],[Track ID]]&amp;"-"&amp;ReportSummary___Track[[#This Row],[Epoch]]</f>
        <v>250-RL-OP-0043-45793.2708333333</v>
      </c>
      <c r="Z876" s="126">
        <f>SUBTOTAL(103,ReportSummary___Track[[#This Row],[Track ID]])</f>
        <v>1</v>
      </c>
      <c r="AA876" s="114">
        <f>_xlfn.NUMBERVALUE(RIGHT(ReportSummary___Track[[#This Row],[Track ID]],4))</f>
        <v>43</v>
      </c>
      <c r="AB876" s="78"/>
    </row>
    <row r="877" spans="5:28" ht="14.25" customHeight="1" x14ac:dyDescent="0.2">
      <c r="E877" s="74">
        <v>45793.270833333336</v>
      </c>
      <c r="F877" s="107" t="s">
        <v>283</v>
      </c>
      <c r="G877" s="142">
        <v>51908.242806603892</v>
      </c>
      <c r="H877" s="142">
        <v>159189.22150151513</v>
      </c>
      <c r="I877" s="142">
        <v>18.872961962372283</v>
      </c>
      <c r="J877" s="142">
        <v>51907.904497335403</v>
      </c>
      <c r="K877" s="142">
        <v>159187.94812587459</v>
      </c>
      <c r="L877" s="142">
        <v>18.861943261262802</v>
      </c>
      <c r="M877" s="145">
        <v>1.1018701109481555E-2</v>
      </c>
      <c r="N877" s="145">
        <v>1.3175963322770898</v>
      </c>
      <c r="O877" s="145">
        <v>1.6810713974031444E-3</v>
      </c>
      <c r="P877" s="145">
        <v>2.8533490697135733E-3</v>
      </c>
      <c r="Q8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-9.7017268672061618E-3</v>
      </c>
      <c r="R8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-2.7709520332264148E-2</v>
      </c>
      <c r="S8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0.94038914151894915</v>
      </c>
      <c r="T8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4.9749196751491809E-2</v>
      </c>
      <c r="U8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-9.5012288383600207E-6</v>
      </c>
      <c r="V8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1.0444827609568108E-4</v>
      </c>
      <c r="W8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9.406418438544506E-4</v>
      </c>
      <c r="X8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4.9960632857448672E-5</v>
      </c>
      <c r="Y877" s="162" t="str">
        <f>ReportSummary___Track[[#This Row],[Track ID]]&amp;"-"&amp;ReportSummary___Track[[#This Row],[Epoch]]</f>
        <v>250-RL-OP-0044-45793.2708333333</v>
      </c>
      <c r="Z877" s="126">
        <f>SUBTOTAL(103,ReportSummary___Track[[#This Row],[Track ID]])</f>
        <v>1</v>
      </c>
      <c r="AA877" s="114">
        <f>_xlfn.NUMBERVALUE(RIGHT(ReportSummary___Track[[#This Row],[Track ID]],4))</f>
        <v>44</v>
      </c>
      <c r="AB877" s="78"/>
    </row>
    <row r="878" spans="5:28" ht="14.25" customHeight="1" x14ac:dyDescent="0.2">
      <c r="E878" s="74">
        <v>45793.270833333336</v>
      </c>
      <c r="F878" s="107" t="s">
        <v>284</v>
      </c>
      <c r="G878" s="142">
        <v>51909.212314637531</v>
      </c>
      <c r="H878" s="142">
        <v>159188.97646066936</v>
      </c>
      <c r="I878" s="142">
        <v>18.875987952848167</v>
      </c>
      <c r="J878" s="142">
        <v>51908.873768291989</v>
      </c>
      <c r="K878" s="142">
        <v>159187.70214468686</v>
      </c>
      <c r="L878" s="142">
        <v>18.864601833029443</v>
      </c>
      <c r="M878" s="145">
        <v>1.1386119818723728E-2</v>
      </c>
      <c r="N878" s="145">
        <v>1.3185691089470137</v>
      </c>
      <c r="O878" s="145">
        <v>1.4439754567234786E-3</v>
      </c>
      <c r="P878" s="145">
        <v>2.8552642008179419E-3</v>
      </c>
      <c r="Q8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-3.5664300952475969E-3</v>
      </c>
      <c r="R8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-0.10553016899073064</v>
      </c>
      <c r="S8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0.5874659374747182</v>
      </c>
      <c r="T8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0.38838406633345812</v>
      </c>
      <c r="U8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-2.7352367837352176E-6</v>
      </c>
      <c r="V8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-3.6422692382909183E-4</v>
      </c>
      <c r="W8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5.8872490559735979E-4</v>
      </c>
      <c r="X8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3.8928737263077551E-4</v>
      </c>
      <c r="Y878" s="162" t="str">
        <f>ReportSummary___Track[[#This Row],[Track ID]]&amp;"-"&amp;ReportSummary___Track[[#This Row],[Epoch]]</f>
        <v>250-RL-OP-0045-45793.2708333333</v>
      </c>
      <c r="Z878" s="126">
        <f>SUBTOTAL(103,ReportSummary___Track[[#This Row],[Track ID]])</f>
        <v>1</v>
      </c>
      <c r="AA878" s="114">
        <f>_xlfn.NUMBERVALUE(RIGHT(ReportSummary___Track[[#This Row],[Track ID]],4))</f>
        <v>45</v>
      </c>
      <c r="AB878" s="78"/>
    </row>
    <row r="879" spans="5:28" ht="14.25" customHeight="1" x14ac:dyDescent="0.2">
      <c r="E879" s="74">
        <v>45793.270833333336</v>
      </c>
      <c r="F879" s="107" t="s">
        <v>285</v>
      </c>
      <c r="G879" s="142">
        <v>51910.181822671169</v>
      </c>
      <c r="H879" s="142">
        <v>159188.7314198236</v>
      </c>
      <c r="I879" s="142">
        <v>18.879013943324047</v>
      </c>
      <c r="J879" s="142">
        <v>51909.843039248575</v>
      </c>
      <c r="K879" s="142">
        <v>159187.45616349913</v>
      </c>
      <c r="L879" s="142">
        <v>18.867260404796088</v>
      </c>
      <c r="M879" s="145">
        <v>1.1753538527958796E-2</v>
      </c>
      <c r="N879" s="145">
        <v>1.3195419834922693</v>
      </c>
      <c r="O879" s="145">
        <v>1.2068795160402601E-3</v>
      </c>
      <c r="P879" s="145">
        <v>2.8571793319187577E-3</v>
      </c>
      <c r="Q8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2.5688666731582543E-3</v>
      </c>
      <c r="R8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-0.18334720721879805</v>
      </c>
      <c r="S8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0.23454273343048726</v>
      </c>
      <c r="T8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0.72701893591187172</v>
      </c>
      <c r="U8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4.0307552637841582E-6</v>
      </c>
      <c r="V8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-8.3289636919592347E-4</v>
      </c>
      <c r="W8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2.3680796734026899E-4</v>
      </c>
      <c r="X8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7.2861411240054963E-4</v>
      </c>
      <c r="Y879" s="162" t="str">
        <f>ReportSummary___Track[[#This Row],[Track ID]]&amp;"-"&amp;ReportSummary___Track[[#This Row],[Epoch]]</f>
        <v>250-RL-OP-0046-45793.2708333333</v>
      </c>
      <c r="Z879" s="126">
        <f>SUBTOTAL(103,ReportSummary___Track[[#This Row],[Track ID]])</f>
        <v>1</v>
      </c>
      <c r="AA879" s="114">
        <f>_xlfn.NUMBERVALUE(RIGHT(ReportSummary___Track[[#This Row],[Track ID]],4))</f>
        <v>46</v>
      </c>
      <c r="AB879" s="78"/>
    </row>
    <row r="880" spans="5:28" ht="14.25" customHeight="1" x14ac:dyDescent="0.2">
      <c r="E880" s="74">
        <v>45793.270833333336</v>
      </c>
      <c r="F880" s="107" t="s">
        <v>286</v>
      </c>
      <c r="G880" s="142">
        <v>51911.151141496419</v>
      </c>
      <c r="H880" s="142">
        <v>159188.48844319949</v>
      </c>
      <c r="I880" s="142">
        <v>18.882328518492972</v>
      </c>
      <c r="J880" s="142">
        <v>51910.835188304052</v>
      </c>
      <c r="K880" s="142">
        <v>159187.20649995178</v>
      </c>
      <c r="L880" s="142">
        <v>18.870139116386198</v>
      </c>
      <c r="M880" s="145">
        <v>1.2189402106773883E-2</v>
      </c>
      <c r="N880" s="145">
        <v>1.3203611216800144</v>
      </c>
      <c r="O880" s="145">
        <v>1.1707009972923288E-3</v>
      </c>
      <c r="P880" s="145">
        <v>2.8517723946954732E-3</v>
      </c>
      <c r="Q8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2.5701555905754958E-3</v>
      </c>
      <c r="R8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-0.23897419105778361</v>
      </c>
      <c r="S8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1.2271882457781658E-2</v>
      </c>
      <c r="T8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0.9526610239767308</v>
      </c>
      <c r="U8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-7.4281466822867515E-5</v>
      </c>
      <c r="V8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-1.175646701719657E-3</v>
      </c>
      <c r="W8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-6.4780237984507494E-5</v>
      </c>
      <c r="X8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8.7586160586994311E-4</v>
      </c>
      <c r="Y880" s="162" t="str">
        <f>ReportSummary___Track[[#This Row],[Track ID]]&amp;"-"&amp;ReportSummary___Track[[#This Row],[Epoch]]</f>
        <v>250-RL-OP-0047-45793.2708333333</v>
      </c>
      <c r="Z880" s="126">
        <f>SUBTOTAL(103,ReportSummary___Track[[#This Row],[Track ID]])</f>
        <v>1</v>
      </c>
      <c r="AA880" s="114">
        <f>_xlfn.NUMBERVALUE(RIGHT(ReportSummary___Track[[#This Row],[Track ID]],4))</f>
        <v>47</v>
      </c>
      <c r="AB880" s="78"/>
    </row>
    <row r="881" spans="5:28" ht="14.25" customHeight="1" x14ac:dyDescent="0.2">
      <c r="E881" s="74">
        <v>45793.270833333336</v>
      </c>
      <c r="F881" s="107" t="s">
        <v>287</v>
      </c>
      <c r="G881" s="142">
        <v>51912.122875350411</v>
      </c>
      <c r="H881" s="142">
        <v>159188.2524052464</v>
      </c>
      <c r="I881" s="142">
        <v>18.886733255176882</v>
      </c>
      <c r="J881" s="142">
        <v>51911.806733444027</v>
      </c>
      <c r="K881" s="142">
        <v>159186.96966968034</v>
      </c>
      <c r="L881" s="142">
        <v>18.873524899190585</v>
      </c>
      <c r="M881" s="145">
        <v>1.3208355986296993E-2</v>
      </c>
      <c r="N881" s="145">
        <v>1.3211853382715708</v>
      </c>
      <c r="O881" s="145">
        <v>1.8222361675732657E-3</v>
      </c>
      <c r="P881" s="145">
        <v>3.2662116242967443E-3</v>
      </c>
      <c r="Q8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2.3890030362849757E-3</v>
      </c>
      <c r="R8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-0.23881410857695684</v>
      </c>
      <c r="S8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5.9554331315325726E-3</v>
      </c>
      <c r="T8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0.59342137060625078</v>
      </c>
      <c r="U8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-4.2661950438116492E-4</v>
      </c>
      <c r="V8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-1.0140993674017107E-3</v>
      </c>
      <c r="W8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-4.238842675974297E-4</v>
      </c>
      <c r="X8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1.648406379999301E-4</v>
      </c>
      <c r="Y881" s="162" t="str">
        <f>ReportSummary___Track[[#This Row],[Track ID]]&amp;"-"&amp;ReportSummary___Track[[#This Row],[Epoch]]</f>
        <v>250-RL-OP-0048-45793.2708333333</v>
      </c>
      <c r="Z881" s="126">
        <f>SUBTOTAL(103,ReportSummary___Track[[#This Row],[Track ID]])</f>
        <v>1</v>
      </c>
      <c r="AA881" s="114">
        <f>_xlfn.NUMBERVALUE(RIGHT(ReportSummary___Track[[#This Row],[Track ID]],4))</f>
        <v>48</v>
      </c>
      <c r="AB881" s="78"/>
    </row>
    <row r="882" spans="5:28" ht="14.25" customHeight="1" x14ac:dyDescent="0.2">
      <c r="E882" s="74">
        <v>45793.270833333336</v>
      </c>
      <c r="F882" s="107" t="s">
        <v>288</v>
      </c>
      <c r="G882" s="142">
        <v>51913.094609204403</v>
      </c>
      <c r="H882" s="142">
        <v>159188.01636729331</v>
      </c>
      <c r="I882" s="142">
        <v>18.891137991860795</v>
      </c>
      <c r="J882" s="142">
        <v>51912.778278584003</v>
      </c>
      <c r="K882" s="142">
        <v>159186.73283940891</v>
      </c>
      <c r="L882" s="142">
        <v>18.876910681994968</v>
      </c>
      <c r="M882" s="145">
        <v>1.4227309865827209E-2</v>
      </c>
      <c r="N882" s="145">
        <v>1.322010328166962</v>
      </c>
      <c r="O882" s="145">
        <v>2.4737713378684134E-3</v>
      </c>
      <c r="P882" s="145">
        <v>3.6806508539086735E-3</v>
      </c>
      <c r="Q8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2.2078504926525966E-3</v>
      </c>
      <c r="R8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-0.23865418457291732</v>
      </c>
      <c r="S8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-3.6101618050565776E-4</v>
      </c>
      <c r="T8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0.2341817172499816</v>
      </c>
      <c r="U8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-7.789575419359096E-4</v>
      </c>
      <c r="V8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-8.5318697657821296E-4</v>
      </c>
      <c r="W8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-7.8298829719969376E-4</v>
      </c>
      <c r="X8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-5.4618032985942477E-4</v>
      </c>
      <c r="Y882" s="162" t="str">
        <f>ReportSummary___Track[[#This Row],[Track ID]]&amp;"-"&amp;ReportSummary___Track[[#This Row],[Epoch]]</f>
        <v>250-RL-OP-0049-45793.2708333333</v>
      </c>
      <c r="Z882" s="126">
        <f>SUBTOTAL(103,ReportSummary___Track[[#This Row],[Track ID]])</f>
        <v>1</v>
      </c>
      <c r="AA882" s="114">
        <f>_xlfn.NUMBERVALUE(RIGHT(ReportSummary___Track[[#This Row],[Track ID]],4))</f>
        <v>49</v>
      </c>
      <c r="AB882" s="78"/>
    </row>
    <row r="883" spans="5:28" ht="14.25" customHeight="1" x14ac:dyDescent="0.2">
      <c r="E883" s="74">
        <v>45792.270833333336</v>
      </c>
      <c r="F883" s="107" t="s">
        <v>235</v>
      </c>
      <c r="G883" s="142">
        <v>51886.101813691566</v>
      </c>
      <c r="H883" s="142">
        <v>159195.44642123292</v>
      </c>
      <c r="I883" s="142">
        <v>18.870056334450997</v>
      </c>
      <c r="J883" s="142">
        <v>51885.742050780667</v>
      </c>
      <c r="K883" s="142">
        <v>159194.18695535802</v>
      </c>
      <c r="L883" s="142">
        <v>18.866068661183395</v>
      </c>
      <c r="M883" s="145">
        <v>3.9876732676020765E-3</v>
      </c>
      <c r="N883" s="145">
        <v>1.3098471451414102</v>
      </c>
      <c r="O883" s="145"/>
      <c r="P883" s="145"/>
      <c r="Q8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-0.2810914783921703</v>
      </c>
      <c r="R8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-0.2710312459994757</v>
      </c>
      <c r="S88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8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6.0217604058721008E-7</v>
      </c>
      <c r="V8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4.2049602592464375E-4</v>
      </c>
      <c r="W88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8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83" s="162" t="str">
        <f>ReportSummary___Track[[#This Row],[Track ID]]&amp;"-"&amp;ReportSummary___Track[[#This Row],[Epoch]]</f>
        <v>250-RL-OP-0021-45792.2708333333</v>
      </c>
      <c r="Z883" s="126">
        <f>SUBTOTAL(103,ReportSummary___Track[[#This Row],[Track ID]])</f>
        <v>1</v>
      </c>
      <c r="AA883" s="114">
        <f>_xlfn.NUMBERVALUE(RIGHT(ReportSummary___Track[[#This Row],[Track ID]],4))</f>
        <v>21</v>
      </c>
      <c r="AB883" s="78"/>
    </row>
    <row r="884" spans="5:28" ht="14.25" customHeight="1" x14ac:dyDescent="0.2">
      <c r="E884" s="74">
        <v>45792.270833333336</v>
      </c>
      <c r="F884" s="107" t="s">
        <v>236</v>
      </c>
      <c r="G884" s="142">
        <v>51887.063368977339</v>
      </c>
      <c r="H884" s="142">
        <v>159195.17180982089</v>
      </c>
      <c r="I884" s="142">
        <v>18.870125558401593</v>
      </c>
      <c r="J884" s="142">
        <v>51886.703169507433</v>
      </c>
      <c r="K884" s="142">
        <v>159193.910819971</v>
      </c>
      <c r="L884" s="142">
        <v>18.866271378951897</v>
      </c>
      <c r="M884" s="145">
        <v>3.8541794496964599E-3</v>
      </c>
      <c r="N884" s="145">
        <v>1.31143200904611</v>
      </c>
      <c r="O884" s="145"/>
      <c r="P884" s="145"/>
      <c r="Q8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-0.61894181300203854</v>
      </c>
      <c r="R8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-0.59680404897610728</v>
      </c>
      <c r="S88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8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8.8978901437997138E-6</v>
      </c>
      <c r="V8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-2.3701751558546924E-4</v>
      </c>
      <c r="W88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8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84" s="162" t="str">
        <f>ReportSummary___Track[[#This Row],[Track ID]]&amp;"-"&amp;ReportSummary___Track[[#This Row],[Epoch]]</f>
        <v>250-RL-OP-0022-45792.2708333333</v>
      </c>
      <c r="Z884" s="126">
        <f>SUBTOTAL(103,ReportSummary___Track[[#This Row],[Track ID]])</f>
        <v>1</v>
      </c>
      <c r="AA884" s="114">
        <f>_xlfn.NUMBERVALUE(RIGHT(ReportSummary___Track[[#This Row],[Track ID]],4))</f>
        <v>22</v>
      </c>
      <c r="AB884" s="78"/>
    </row>
    <row r="885" spans="5:28" ht="14.25" customHeight="1" x14ac:dyDescent="0.2">
      <c r="E885" s="74">
        <v>45792.270833333336</v>
      </c>
      <c r="F885" s="107" t="s">
        <v>237</v>
      </c>
      <c r="G885" s="142">
        <v>51888.024924263111</v>
      </c>
      <c r="H885" s="142">
        <v>159194.89719840887</v>
      </c>
      <c r="I885" s="142">
        <v>18.870194782352193</v>
      </c>
      <c r="J885" s="142">
        <v>51887.664288234206</v>
      </c>
      <c r="K885" s="142">
        <v>159193.63468458402</v>
      </c>
      <c r="L885" s="142">
        <v>18.866474096720399</v>
      </c>
      <c r="M885" s="145">
        <v>3.7206856317943959E-3</v>
      </c>
      <c r="N885" s="145">
        <v>1.3130168874755106</v>
      </c>
      <c r="O885" s="145"/>
      <c r="P885" s="145"/>
      <c r="Q8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-0.95679214760835407</v>
      </c>
      <c r="R8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-0.92259213487699832</v>
      </c>
      <c r="S88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88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1.7193604247012217E-5</v>
      </c>
      <c r="V8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-8.9453334099753867E-4</v>
      </c>
      <c r="W88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88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85" s="162" t="str">
        <f>ReportSummary___Track[[#This Row],[Track ID]]&amp;"-"&amp;ReportSummary___Track[[#This Row],[Epoch]]</f>
        <v>250-RL-OP-0023-45792.2708333333</v>
      </c>
      <c r="Z885" s="126">
        <f>SUBTOTAL(103,ReportSummary___Track[[#This Row],[Track ID]])</f>
        <v>1</v>
      </c>
      <c r="AA885" s="114">
        <f>_xlfn.NUMBERVALUE(RIGHT(ReportSummary___Track[[#This Row],[Track ID]],4))</f>
        <v>23</v>
      </c>
      <c r="AB885" s="78"/>
    </row>
    <row r="886" spans="5:28" ht="14.25" customHeight="1" x14ac:dyDescent="0.2">
      <c r="E886" s="74">
        <v>45792.270833333336</v>
      </c>
      <c r="F886" s="107" t="s">
        <v>238</v>
      </c>
      <c r="G886" s="142">
        <v>51888.98628832103</v>
      </c>
      <c r="H886" s="142">
        <v>159194.62201573106</v>
      </c>
      <c r="I886" s="142">
        <v>18.869514730242752</v>
      </c>
      <c r="J886" s="142">
        <v>51888.624024107339</v>
      </c>
      <c r="K886" s="142">
        <v>159193.3577967032</v>
      </c>
      <c r="L886" s="142">
        <v>18.86545332152658</v>
      </c>
      <c r="M886" s="145">
        <v>4.0614087161721102E-3</v>
      </c>
      <c r="N886" s="145">
        <v>1.3151051691618987</v>
      </c>
      <c r="O886" s="145">
        <v>7.3735448570033668E-5</v>
      </c>
      <c r="P886" s="145"/>
      <c r="Q8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8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8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-0.41992136451440842</v>
      </c>
      <c r="T88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8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8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-7.0178960953626301E-7</v>
      </c>
      <c r="X88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86" s="162" t="str">
        <f>ReportSummary___Track[[#This Row],[Track ID]]&amp;"-"&amp;ReportSummary___Track[[#This Row],[Epoch]]</f>
        <v>250-RL-OP-0024-45792.2708333333</v>
      </c>
      <c r="Z886" s="126">
        <f>SUBTOTAL(103,ReportSummary___Track[[#This Row],[Track ID]])</f>
        <v>1</v>
      </c>
      <c r="AA886" s="114">
        <f>_xlfn.NUMBERVALUE(RIGHT(ReportSummary___Track[[#This Row],[Track ID]],4))</f>
        <v>24</v>
      </c>
      <c r="AB886" s="78"/>
    </row>
    <row r="887" spans="5:28" ht="14.25" customHeight="1" x14ac:dyDescent="0.2">
      <c r="E887" s="74">
        <v>45792.270833333336</v>
      </c>
      <c r="F887" s="107" t="s">
        <v>239</v>
      </c>
      <c r="G887" s="142">
        <v>51889.947664398285</v>
      </c>
      <c r="H887" s="142">
        <v>159194.34677858101</v>
      </c>
      <c r="I887" s="142">
        <v>18.868773577574299</v>
      </c>
      <c r="J887" s="142">
        <v>51889.58479107709</v>
      </c>
      <c r="K887" s="142">
        <v>159193.08044244221</v>
      </c>
      <c r="L887" s="142">
        <v>18.864251762034648</v>
      </c>
      <c r="M887" s="145">
        <v>4.5218155396504756E-3</v>
      </c>
      <c r="N887" s="145">
        <v>1.3173096486680025</v>
      </c>
      <c r="O887" s="145">
        <v>6.6763608995401569E-4</v>
      </c>
      <c r="P887" s="145"/>
      <c r="Q8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8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8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0.26116262350939223</v>
      </c>
      <c r="T88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8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8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-9.1118574765403082E-6</v>
      </c>
      <c r="X88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87" s="162" t="str">
        <f>ReportSummary___Track[[#This Row],[Track ID]]&amp;"-"&amp;ReportSummary___Track[[#This Row],[Epoch]]</f>
        <v>250-RL-OP-0025-45792.2708333333</v>
      </c>
      <c r="Z887" s="126">
        <f>SUBTOTAL(103,ReportSummary___Track[[#This Row],[Track ID]])</f>
        <v>1</v>
      </c>
      <c r="AA887" s="114">
        <f>_xlfn.NUMBERVALUE(RIGHT(ReportSummary___Track[[#This Row],[Track ID]],4))</f>
        <v>25</v>
      </c>
      <c r="AB887" s="78"/>
    </row>
    <row r="888" spans="5:28" ht="14.25" customHeight="1" x14ac:dyDescent="0.2">
      <c r="E888" s="74">
        <v>45792.270833333336</v>
      </c>
      <c r="F888" s="107" t="s">
        <v>240</v>
      </c>
      <c r="G888" s="142">
        <v>51890.909040475541</v>
      </c>
      <c r="H888" s="142">
        <v>159194.07154143095</v>
      </c>
      <c r="I888" s="142">
        <v>18.868032424905849</v>
      </c>
      <c r="J888" s="142">
        <v>51890.545558046833</v>
      </c>
      <c r="K888" s="142">
        <v>159192.80308818122</v>
      </c>
      <c r="L888" s="142">
        <v>18.86305020254272</v>
      </c>
      <c r="M888" s="145">
        <v>4.9822223631288409E-3</v>
      </c>
      <c r="N888" s="145">
        <v>1.3195142838510057</v>
      </c>
      <c r="O888" s="145">
        <v>1.261536731334445E-3</v>
      </c>
      <c r="P888" s="145"/>
      <c r="Q8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8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8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0.94224661152964018</v>
      </c>
      <c r="T88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8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8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8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-1.7521925347097067E-5</v>
      </c>
      <c r="X88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888" s="162" t="str">
        <f>ReportSummary___Track[[#This Row],[Track ID]]&amp;"-"&amp;ReportSummary___Track[[#This Row],[Epoch]]</f>
        <v>250-RL-OP-0026-45792.2708333333</v>
      </c>
      <c r="Z888" s="126">
        <f>SUBTOTAL(103,ReportSummary___Track[[#This Row],[Track ID]])</f>
        <v>1</v>
      </c>
      <c r="AA888" s="114">
        <f>_xlfn.NUMBERVALUE(RIGHT(ReportSummary___Track[[#This Row],[Track ID]],4))</f>
        <v>26</v>
      </c>
      <c r="AB888" s="78"/>
    </row>
    <row r="889" spans="5:28" ht="14.25" customHeight="1" x14ac:dyDescent="0.2">
      <c r="E889" s="74">
        <v>45792.270833333336</v>
      </c>
      <c r="F889" s="107" t="s">
        <v>241</v>
      </c>
      <c r="G889" s="142">
        <v>51891.869997674046</v>
      </c>
      <c r="H889" s="142">
        <v>159193.79503821288</v>
      </c>
      <c r="I889" s="142">
        <v>18.865661670375356</v>
      </c>
      <c r="J889" s="142">
        <v>51891.504353461787</v>
      </c>
      <c r="K889" s="142">
        <v>159192.52690810763</v>
      </c>
      <c r="L889" s="142">
        <v>18.861283132921656</v>
      </c>
      <c r="M889" s="145">
        <v>4.3785374537002042E-3</v>
      </c>
      <c r="N889" s="145">
        <v>1.3197987821604347</v>
      </c>
      <c r="O889" s="145">
        <v>3.1712873752809401E-4</v>
      </c>
      <c r="P889" s="145">
        <v>3.9086418609812767E-4</v>
      </c>
      <c r="Q8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8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-0.4021455565670351</v>
      </c>
      <c r="S8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0.37660397507366383</v>
      </c>
      <c r="T8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-4.3317389440744591E-2</v>
      </c>
      <c r="U8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8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-3.1652276603999496E-4</v>
      </c>
      <c r="W8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3.2225710100419747E-7</v>
      </c>
      <c r="X8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-3.7953250853206555E-7</v>
      </c>
      <c r="Y889" s="162" t="str">
        <f>ReportSummary___Track[[#This Row],[Track ID]]&amp;"-"&amp;ReportSummary___Track[[#This Row],[Epoch]]</f>
        <v>250-RL-OP-0027-45792.2708333333</v>
      </c>
      <c r="Z889" s="126">
        <f>SUBTOTAL(103,ReportSummary___Track[[#This Row],[Track ID]])</f>
        <v>1</v>
      </c>
      <c r="AA889" s="114">
        <f>_xlfn.NUMBERVALUE(RIGHT(ReportSummary___Track[[#This Row],[Track ID]],4))</f>
        <v>27</v>
      </c>
      <c r="AB889" s="78"/>
    </row>
    <row r="890" spans="5:28" ht="14.25" customHeight="1" x14ac:dyDescent="0.2">
      <c r="E890" s="74">
        <v>45792.270833333336</v>
      </c>
      <c r="F890" s="107" t="s">
        <v>242</v>
      </c>
      <c r="G890" s="142">
        <v>51892.83098666594</v>
      </c>
      <c r="H890" s="142">
        <v>159193.51846240537</v>
      </c>
      <c r="I890" s="142">
        <v>18.863216230483452</v>
      </c>
      <c r="J890" s="142">
        <v>51892.465288045249</v>
      </c>
      <c r="K890" s="142">
        <v>159192.25013834573</v>
      </c>
      <c r="L890" s="142">
        <v>18.859487246856443</v>
      </c>
      <c r="M890" s="145">
        <v>3.7289836270097965E-3</v>
      </c>
      <c r="N890" s="145">
        <v>1.3199982222530113</v>
      </c>
      <c r="O890" s="145">
        <v>-7.9283191264067909E-4</v>
      </c>
      <c r="P890" s="145">
        <v>-1.251958226866634E-4</v>
      </c>
      <c r="Q8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8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-0.82255889519977643</v>
      </c>
      <c r="S8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-0.30596949824968078</v>
      </c>
      <c r="T8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-4.4806874740288549E-2</v>
      </c>
      <c r="U8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8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-6.475454728613883E-4</v>
      </c>
      <c r="W8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6.6945287713338075E-7</v>
      </c>
      <c r="X8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-8.4424045994069274E-6</v>
      </c>
      <c r="Y890" s="162" t="str">
        <f>ReportSummary___Track[[#This Row],[Track ID]]&amp;"-"&amp;ReportSummary___Track[[#This Row],[Epoch]]</f>
        <v>250-RL-OP-0028-45792.2708333333</v>
      </c>
      <c r="Z890" s="126">
        <f>SUBTOTAL(103,ReportSummary___Track[[#This Row],[Track ID]])</f>
        <v>1</v>
      </c>
      <c r="AA890" s="114">
        <f>_xlfn.NUMBERVALUE(RIGHT(ReportSummary___Track[[#This Row],[Track ID]],4))</f>
        <v>28</v>
      </c>
      <c r="AB890" s="78"/>
    </row>
    <row r="891" spans="5:28" ht="14.25" customHeight="1" x14ac:dyDescent="0.2">
      <c r="E891" s="74">
        <v>45792.270833333336</v>
      </c>
      <c r="F891" s="107" t="s">
        <v>243</v>
      </c>
      <c r="G891" s="142">
        <v>51893.79183894024</v>
      </c>
      <c r="H891" s="142">
        <v>159193.24190592469</v>
      </c>
      <c r="I891" s="142">
        <v>18.86092641939771</v>
      </c>
      <c r="J891" s="142">
        <v>51893.426692097528</v>
      </c>
      <c r="K891" s="142">
        <v>159191.97323012177</v>
      </c>
      <c r="L891" s="142">
        <v>18.857700906325203</v>
      </c>
      <c r="M891" s="145">
        <v>3.2255130725076242E-3</v>
      </c>
      <c r="N891" s="145">
        <v>1.3201821516675407</v>
      </c>
      <c r="O891" s="145">
        <v>-1.7567092906212167E-3</v>
      </c>
      <c r="P891" s="145">
        <v>-4.9517255928677173E-4</v>
      </c>
      <c r="Q8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-0.98057706748377882</v>
      </c>
      <c r="R8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-1.2164580302218564</v>
      </c>
      <c r="S8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-0.96603153140506492</v>
      </c>
      <c r="T8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-2.3784919875424748E-2</v>
      </c>
      <c r="U8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1.8153541780918658E-6</v>
      </c>
      <c r="V8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-9.4234574258567072E-4</v>
      </c>
      <c r="W8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2.1436752781767154E-6</v>
      </c>
      <c r="X8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-1.5378250068920352E-5</v>
      </c>
      <c r="Y891" s="162" t="str">
        <f>ReportSummary___Track[[#This Row],[Track ID]]&amp;"-"&amp;ReportSummary___Track[[#This Row],[Epoch]]</f>
        <v>250-RL-OP-0029-45792.2708333333</v>
      </c>
      <c r="Z891" s="126">
        <f>SUBTOTAL(103,ReportSummary___Track[[#This Row],[Track ID]])</f>
        <v>1</v>
      </c>
      <c r="AA891" s="114">
        <f>_xlfn.NUMBERVALUE(RIGHT(ReportSummary___Track[[#This Row],[Track ID]],4))</f>
        <v>29</v>
      </c>
      <c r="AB891" s="78"/>
    </row>
    <row r="892" spans="5:28" ht="14.25" customHeight="1" x14ac:dyDescent="0.2">
      <c r="E892" s="74">
        <v>45792.270833333336</v>
      </c>
      <c r="F892" s="107" t="s">
        <v>269</v>
      </c>
      <c r="G892" s="142">
        <v>51894.752729646825</v>
      </c>
      <c r="H892" s="142">
        <v>159192.96497849975</v>
      </c>
      <c r="I892" s="142">
        <v>18.861427736242298</v>
      </c>
      <c r="J892" s="142">
        <v>51894.387465215557</v>
      </c>
      <c r="K892" s="142">
        <v>159191.69589460938</v>
      </c>
      <c r="L892" s="142">
        <v>18.857871911080654</v>
      </c>
      <c r="M892" s="145">
        <v>3.5558251616443215E-3</v>
      </c>
      <c r="N892" s="145">
        <v>1.320607689447205</v>
      </c>
      <c r="O892" s="145">
        <v>-8.227122920558827E-4</v>
      </c>
      <c r="P892" s="145">
        <v>-5.0558355452778869E-4</v>
      </c>
      <c r="Q8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-0.30451452929725065</v>
      </c>
      <c r="R8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-0.37742436578636074</v>
      </c>
      <c r="S8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1.9894338535664247E-2</v>
      </c>
      <c r="T8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0.39649831360932808</v>
      </c>
      <c r="U8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3.4391986163484489E-4</v>
      </c>
      <c r="V8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-2.9173548844485531E-4</v>
      </c>
      <c r="W8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3.4369721810278975E-4</v>
      </c>
      <c r="X8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3.4401947520379395E-4</v>
      </c>
      <c r="Y892" s="162" t="str">
        <f>ReportSummary___Track[[#This Row],[Track ID]]&amp;"-"&amp;ReportSummary___Track[[#This Row],[Epoch]]</f>
        <v>250-RL-OP-0030-45792.2708333333</v>
      </c>
      <c r="Z892" s="126">
        <f>SUBTOTAL(103,ReportSummary___Track[[#This Row],[Track ID]])</f>
        <v>1</v>
      </c>
      <c r="AA892" s="114">
        <f>_xlfn.NUMBERVALUE(RIGHT(ReportSummary___Track[[#This Row],[Track ID]],4))</f>
        <v>30</v>
      </c>
      <c r="AB892" s="78"/>
    </row>
    <row r="893" spans="5:28" ht="14.25" customHeight="1" x14ac:dyDescent="0.2">
      <c r="E893" s="74">
        <v>45792.270833333336</v>
      </c>
      <c r="F893" s="107" t="s">
        <v>270</v>
      </c>
      <c r="G893" s="142">
        <v>51895.713620353403</v>
      </c>
      <c r="H893" s="142">
        <v>159192.6880510748</v>
      </c>
      <c r="I893" s="142">
        <v>18.861929053086882</v>
      </c>
      <c r="J893" s="142">
        <v>51895.348238333587</v>
      </c>
      <c r="K893" s="142">
        <v>159191.41855909702</v>
      </c>
      <c r="L893" s="142">
        <v>18.858042915836105</v>
      </c>
      <c r="M893" s="145">
        <v>3.8861372507774661E-3</v>
      </c>
      <c r="N893" s="145">
        <v>1.321033309243353</v>
      </c>
      <c r="O893" s="145">
        <v>1.5715362376766961E-4</v>
      </c>
      <c r="P893" s="145">
        <v>-6.3567828887300948E-4</v>
      </c>
      <c r="Q8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0.37154800888572481</v>
      </c>
      <c r="R8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0.46160145010043507</v>
      </c>
      <c r="S8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1.0352966966280519</v>
      </c>
      <c r="T8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0.72932719837837112</v>
      </c>
      <c r="U8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6.860243690880452E-4</v>
      </c>
      <c r="V8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3.5895671238406202E-4</v>
      </c>
      <c r="W8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6.8556888354365242E-4</v>
      </c>
      <c r="X8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6.862383364207858E-4</v>
      </c>
      <c r="Y893" s="162" t="str">
        <f>ReportSummary___Track[[#This Row],[Track ID]]&amp;"-"&amp;ReportSummary___Track[[#This Row],[Epoch]]</f>
        <v>250-RL-OP-0031-45792.2708333333</v>
      </c>
      <c r="Z893" s="126">
        <f>SUBTOTAL(103,ReportSummary___Track[[#This Row],[Track ID]])</f>
        <v>1</v>
      </c>
      <c r="AA893" s="114">
        <f>_xlfn.NUMBERVALUE(RIGHT(ReportSummary___Track[[#This Row],[Track ID]],4))</f>
        <v>31</v>
      </c>
      <c r="AB893" s="78"/>
    </row>
    <row r="894" spans="5:28" ht="14.25" customHeight="1" x14ac:dyDescent="0.2">
      <c r="E894" s="74">
        <v>45792.270833333336</v>
      </c>
      <c r="F894" s="107" t="s">
        <v>271</v>
      </c>
      <c r="G894" s="142">
        <v>51896.675398681873</v>
      </c>
      <c r="H894" s="142">
        <v>159192.41088265969</v>
      </c>
      <c r="I894" s="142">
        <v>18.862477001539897</v>
      </c>
      <c r="J894" s="142">
        <v>51896.308528737987</v>
      </c>
      <c r="K894" s="142">
        <v>159191.14173461875</v>
      </c>
      <c r="L894" s="142">
        <v>18.85824734462722</v>
      </c>
      <c r="M894" s="145">
        <v>4.2296569126776262E-3</v>
      </c>
      <c r="N894" s="145">
        <v>1.3211162687475024</v>
      </c>
      <c r="O894" s="145">
        <v>1.004143840170002E-3</v>
      </c>
      <c r="P894" s="145">
        <v>-7.525654504512147E-4</v>
      </c>
      <c r="Q8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0.97863914660933915</v>
      </c>
      <c r="R8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1.2082520867053859</v>
      </c>
      <c r="S8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1.959216214093118</v>
      </c>
      <c r="T8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0.99318468268805304</v>
      </c>
      <c r="U8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9.7858112060933422E-4</v>
      </c>
      <c r="V8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9.2367338436827318E-4</v>
      </c>
      <c r="W8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9.7676576643124235E-4</v>
      </c>
      <c r="X8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9.7890944170941907E-4</v>
      </c>
      <c r="Y894" s="162" t="str">
        <f>ReportSummary___Track[[#This Row],[Track ID]]&amp;"-"&amp;ReportSummary___Track[[#This Row],[Epoch]]</f>
        <v>250-RL-OP-0032-45792.2708333333</v>
      </c>
      <c r="Z894" s="126">
        <f>SUBTOTAL(103,ReportSummary___Track[[#This Row],[Track ID]])</f>
        <v>1</v>
      </c>
      <c r="AA894" s="114">
        <f>_xlfn.NUMBERVALUE(RIGHT(ReportSummary___Track[[#This Row],[Track ID]],4))</f>
        <v>32</v>
      </c>
      <c r="AB894" s="78"/>
    </row>
    <row r="895" spans="5:28" ht="14.25" customHeight="1" x14ac:dyDescent="0.2">
      <c r="E895" s="74">
        <v>45792.270833333336</v>
      </c>
      <c r="F895" s="107" t="s">
        <v>272</v>
      </c>
      <c r="G895" s="142">
        <v>51897.636352858688</v>
      </c>
      <c r="H895" s="142">
        <v>159192.13417793906</v>
      </c>
      <c r="I895" s="142">
        <v>18.863729059099267</v>
      </c>
      <c r="J895" s="142">
        <v>51897.270518069447</v>
      </c>
      <c r="K895" s="142">
        <v>159190.86864821697</v>
      </c>
      <c r="L895" s="142">
        <v>18.858833292983896</v>
      </c>
      <c r="M895" s="145">
        <v>4.8957661153714582E-3</v>
      </c>
      <c r="N895" s="145">
        <v>1.317355130191864</v>
      </c>
      <c r="O895" s="145">
        <v>1.3399409537271367E-3</v>
      </c>
      <c r="P895" s="145">
        <v>5.1722866167125403E-4</v>
      </c>
      <c r="Q8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0.63132551391831271</v>
      </c>
      <c r="R8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0.77993682223409522</v>
      </c>
      <c r="S8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0.93584004321556336</v>
      </c>
      <c r="T8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0.9557343817512276</v>
      </c>
      <c r="U8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6.3038490998224006E-4</v>
      </c>
      <c r="V8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3.5150416853735322E-4</v>
      </c>
      <c r="W8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2.8646504834739517E-4</v>
      </c>
      <c r="X8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6.3016226645018492E-4</v>
      </c>
      <c r="Y895" s="162" t="str">
        <f>ReportSummary___Track[[#This Row],[Track ID]]&amp;"-"&amp;ReportSummary___Track[[#This Row],[Epoch]]</f>
        <v>250-RL-OP-0033-45792.2708333333</v>
      </c>
      <c r="Z895" s="126">
        <f>SUBTOTAL(103,ReportSummary___Track[[#This Row],[Track ID]])</f>
        <v>1</v>
      </c>
      <c r="AA895" s="114">
        <f>_xlfn.NUMBERVALUE(RIGHT(ReportSummary___Track[[#This Row],[Track ID]],4))</f>
        <v>33</v>
      </c>
      <c r="AB895" s="78"/>
    </row>
    <row r="896" spans="5:28" ht="14.25" customHeight="1" x14ac:dyDescent="0.2">
      <c r="E896" s="74">
        <v>45792.270833333336</v>
      </c>
      <c r="F896" s="107" t="s">
        <v>273</v>
      </c>
      <c r="G896" s="142">
        <v>51898.597307035503</v>
      </c>
      <c r="H896" s="142">
        <v>159191.85747321844</v>
      </c>
      <c r="I896" s="142">
        <v>18.864981116658633</v>
      </c>
      <c r="J896" s="142">
        <v>51898.232507400899</v>
      </c>
      <c r="K896" s="142">
        <v>159190.59556181522</v>
      </c>
      <c r="L896" s="142">
        <v>18.859419241340568</v>
      </c>
      <c r="M896" s="145">
        <v>5.5618753180652902E-3</v>
      </c>
      <c r="N896" s="145">
        <v>1.3135943427953649</v>
      </c>
      <c r="O896" s="145">
        <v>1.6757380672878242E-3</v>
      </c>
      <c r="P896" s="145">
        <v>1.8328916910554938E-3</v>
      </c>
      <c r="Q8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0.28401188122728627</v>
      </c>
      <c r="R8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0.3511758920196062</v>
      </c>
      <c r="S8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-8.7536127658438545E-2</v>
      </c>
      <c r="T8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0.94776056896961336</v>
      </c>
      <c r="U8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2.8218869935159319E-4</v>
      </c>
      <c r="V8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-2.2111115972500706E-4</v>
      </c>
      <c r="W8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-4.0383566973645202E-4</v>
      </c>
      <c r="X8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2.817332138072004E-4</v>
      </c>
      <c r="Y896" s="162" t="str">
        <f>ReportSummary___Track[[#This Row],[Track ID]]&amp;"-"&amp;ReportSummary___Track[[#This Row],[Epoch]]</f>
        <v>250-RL-OP-0034-45792.2708333333</v>
      </c>
      <c r="Z896" s="126">
        <f>SUBTOTAL(103,ReportSummary___Track[[#This Row],[Track ID]])</f>
        <v>1</v>
      </c>
      <c r="AA896" s="114">
        <f>_xlfn.NUMBERVALUE(RIGHT(ReportSummary___Track[[#This Row],[Track ID]],4))</f>
        <v>34</v>
      </c>
      <c r="AB896" s="78"/>
    </row>
    <row r="897" spans="5:28" ht="14.25" customHeight="1" x14ac:dyDescent="0.2">
      <c r="E897" s="74">
        <v>45792.270833333336</v>
      </c>
      <c r="F897" s="107" t="s">
        <v>274</v>
      </c>
      <c r="G897" s="142">
        <v>51899.557748431522</v>
      </c>
      <c r="H897" s="142">
        <v>159191.58237758733</v>
      </c>
      <c r="I897" s="142">
        <v>18.866</v>
      </c>
      <c r="J897" s="142">
        <v>51899.202472361336</v>
      </c>
      <c r="K897" s="142">
        <v>159190.32062001547</v>
      </c>
      <c r="L897" s="142">
        <v>18.859777427163273</v>
      </c>
      <c r="M897" s="145">
        <v>6.2225728367266697E-3</v>
      </c>
      <c r="N897" s="145">
        <v>1.3108363653061348</v>
      </c>
      <c r="O897" s="145">
        <v>1.9929159240490435E-3</v>
      </c>
      <c r="P897" s="145">
        <v>2.9970597642190455E-3</v>
      </c>
      <c r="Q8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8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3.6910825063074526E-4</v>
      </c>
      <c r="S8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-0.97862829283812403</v>
      </c>
      <c r="T8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0.98058792125499394</v>
      </c>
      <c r="U8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8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-6.4971259451507279E-4</v>
      </c>
      <c r="W8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-9.7826328102357252E-4</v>
      </c>
      <c r="X8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-1.4975145923301625E-6</v>
      </c>
      <c r="Y897" s="162" t="str">
        <f>ReportSummary___Track[[#This Row],[Track ID]]&amp;"-"&amp;ReportSummary___Track[[#This Row],[Epoch]]</f>
        <v>250-RL-OP-0035-45792.2708333333</v>
      </c>
      <c r="Z897" s="126">
        <f>SUBTOTAL(103,ReportSummary___Track[[#This Row],[Track ID]])</f>
        <v>1</v>
      </c>
      <c r="AA897" s="114">
        <f>_xlfn.NUMBERVALUE(RIGHT(ReportSummary___Track[[#This Row],[Track ID]],4))</f>
        <v>35</v>
      </c>
      <c r="AB897" s="78"/>
    </row>
    <row r="898" spans="5:28" ht="14.25" customHeight="1" x14ac:dyDescent="0.2">
      <c r="E898" s="74">
        <v>45792.270833333336</v>
      </c>
      <c r="F898" s="107" t="s">
        <v>275</v>
      </c>
      <c r="G898" s="142">
        <v>51900.520772886579</v>
      </c>
      <c r="H898" s="142">
        <v>159191.31296359556</v>
      </c>
      <c r="I898" s="142">
        <v>18.866</v>
      </c>
      <c r="J898" s="142">
        <v>51900.165031558645</v>
      </c>
      <c r="K898" s="142">
        <v>159190.04954924015</v>
      </c>
      <c r="L898" s="142">
        <v>18.859124401927648</v>
      </c>
      <c r="M898" s="145">
        <v>6.8755980723516075E-3</v>
      </c>
      <c r="N898" s="145">
        <v>1.3125604746775994</v>
      </c>
      <c r="O898" s="145">
        <v>1.9798319569801492E-3</v>
      </c>
      <c r="P898" s="145">
        <v>3.319772910707286E-3</v>
      </c>
      <c r="Q8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8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6.4312598746507632E-3</v>
      </c>
      <c r="S8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-0.63125683504239305</v>
      </c>
      <c r="T8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0.30458320817317031</v>
      </c>
      <c r="U8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8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-4.2495956612387253E-4</v>
      </c>
      <c r="W8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-6.241216995768184E-4</v>
      </c>
      <c r="X8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-3.3765665122942323E-4</v>
      </c>
      <c r="Y898" s="162" t="str">
        <f>ReportSummary___Track[[#This Row],[Track ID]]&amp;"-"&amp;ReportSummary___Track[[#This Row],[Epoch]]</f>
        <v>250-RL-OP-0036-45792.2708333333</v>
      </c>
      <c r="Z898" s="126">
        <f>SUBTOTAL(103,ReportSummary___Track[[#This Row],[Track ID]])</f>
        <v>1</v>
      </c>
      <c r="AA898" s="114">
        <f>_xlfn.NUMBERVALUE(RIGHT(ReportSummary___Track[[#This Row],[Track ID]],4))</f>
        <v>36</v>
      </c>
      <c r="AB898" s="78"/>
    </row>
    <row r="899" spans="5:28" ht="14.25" customHeight="1" x14ac:dyDescent="0.2">
      <c r="E899" s="74">
        <v>45792.270833333336</v>
      </c>
      <c r="F899" s="107" t="s">
        <v>276</v>
      </c>
      <c r="G899" s="142">
        <v>51901.483797341636</v>
      </c>
      <c r="H899" s="142">
        <v>159191.04354960378</v>
      </c>
      <c r="I899" s="142">
        <v>18.866</v>
      </c>
      <c r="J899" s="142">
        <v>51901.127590755961</v>
      </c>
      <c r="K899" s="142">
        <v>159189.77847846484</v>
      </c>
      <c r="L899" s="142">
        <v>18.858471376692023</v>
      </c>
      <c r="M899" s="145">
        <v>7.5286233079765452E-3</v>
      </c>
      <c r="N899" s="145">
        <v>1.314284900025277</v>
      </c>
      <c r="O899" s="145">
        <v>1.966747989911255E-3</v>
      </c>
      <c r="P899" s="145">
        <v>3.6424860571990791E-3</v>
      </c>
      <c r="Q8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1.2650398417690667E-4</v>
      </c>
      <c r="R8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1.249343231957134E-2</v>
      </c>
      <c r="S8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-0.28388537724310936</v>
      </c>
      <c r="T8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-0.37142150490154791</v>
      </c>
      <c r="U8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1.2208581232187043E-5</v>
      </c>
      <c r="V8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-2.0020175760859793E-4</v>
      </c>
      <c r="W8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-2.6998011811940614E-4</v>
      </c>
      <c r="X8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-6.7381578785585816E-4</v>
      </c>
      <c r="Y899" s="162" t="str">
        <f>ReportSummary___Track[[#This Row],[Track ID]]&amp;"-"&amp;ReportSummary___Track[[#This Row],[Epoch]]</f>
        <v>250-RL-OP-0037-45792.2708333333</v>
      </c>
      <c r="Z899" s="126">
        <f>SUBTOTAL(103,ReportSummary___Track[[#This Row],[Track ID]])</f>
        <v>1</v>
      </c>
      <c r="AA899" s="114">
        <f>_xlfn.NUMBERVALUE(RIGHT(ReportSummary___Track[[#This Row],[Track ID]],4))</f>
        <v>37</v>
      </c>
      <c r="AB899" s="78"/>
    </row>
    <row r="900" spans="5:28" ht="14.25" customHeight="1" x14ac:dyDescent="0.2">
      <c r="E900" s="74">
        <v>45792.270833333336</v>
      </c>
      <c r="F900" s="107" t="s">
        <v>277</v>
      </c>
      <c r="G900" s="142">
        <v>51902.446769974056</v>
      </c>
      <c r="H900" s="142">
        <v>159190.77524553274</v>
      </c>
      <c r="I900" s="142">
        <v>18.866065352039769</v>
      </c>
      <c r="J900" s="142">
        <v>51902.098875532785</v>
      </c>
      <c r="K900" s="142">
        <v>159189.50605873388</v>
      </c>
      <c r="L900" s="142">
        <v>18.857900000000001</v>
      </c>
      <c r="M900" s="145">
        <v>8.1653520397679813E-3</v>
      </c>
      <c r="N900" s="145">
        <v>1.3160290063845062</v>
      </c>
      <c r="O900" s="145">
        <v>1.9427792030413116E-3</v>
      </c>
      <c r="P900" s="145">
        <v>3.9356951270903551E-3</v>
      </c>
      <c r="Q9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9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3.5749846187815848E-3</v>
      </c>
      <c r="S9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-5.9461777389913095E-2</v>
      </c>
      <c r="T9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-1.0380900702280371</v>
      </c>
      <c r="U9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9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-5.3753593207694905E-5</v>
      </c>
      <c r="W9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-5.9779701281570397E-5</v>
      </c>
      <c r="X9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-1.0380429823051429E-3</v>
      </c>
      <c r="Y900" s="162" t="str">
        <f>ReportSummary___Track[[#This Row],[Track ID]]&amp;"-"&amp;ReportSummary___Track[[#This Row],[Epoch]]</f>
        <v>250-RL-OP-0038-45792.2708333333</v>
      </c>
      <c r="Z900" s="126">
        <f>SUBTOTAL(103,ReportSummary___Track[[#This Row],[Track ID]])</f>
        <v>1</v>
      </c>
      <c r="AA900" s="114">
        <f>_xlfn.NUMBERVALUE(RIGHT(ReportSummary___Track[[#This Row],[Track ID]],4))</f>
        <v>38</v>
      </c>
      <c r="AB900" s="78"/>
    </row>
    <row r="901" spans="5:28" ht="14.25" customHeight="1" x14ac:dyDescent="0.2">
      <c r="E901" s="74">
        <v>45792.270833333336</v>
      </c>
      <c r="F901" s="107" t="s">
        <v>278</v>
      </c>
      <c r="G901" s="142">
        <v>51903.411367144348</v>
      </c>
      <c r="H901" s="142">
        <v>159190.51151808733</v>
      </c>
      <c r="I901" s="142">
        <v>18.866430855617907</v>
      </c>
      <c r="J901" s="142">
        <v>51903.063565613396</v>
      </c>
      <c r="K901" s="142">
        <v>159189.24267109489</v>
      </c>
      <c r="L901" s="142">
        <v>18.857900000000001</v>
      </c>
      <c r="M901" s="145">
        <v>8.5308556179057859E-3</v>
      </c>
      <c r="N901" s="145">
        <v>1.315679053050095</v>
      </c>
      <c r="O901" s="145">
        <v>1.6552575455541785E-3</v>
      </c>
      <c r="P901" s="145">
        <v>3.6350895025343277E-3</v>
      </c>
      <c r="Q9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-0.39195049642870572</v>
      </c>
      <c r="R9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1.3503854232599366E-3</v>
      </c>
      <c r="S9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-0.39201917530462538</v>
      </c>
      <c r="T9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-1.0232760103470184</v>
      </c>
      <c r="U9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-3.9202260941451073E-4</v>
      </c>
      <c r="V9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-3.7660655838145374E-4</v>
      </c>
      <c r="W9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-3.9828581981993239E-4</v>
      </c>
      <c r="X9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-1.0224075193967508E-3</v>
      </c>
      <c r="Y901" s="162" t="str">
        <f>ReportSummary___Track[[#This Row],[Track ID]]&amp;"-"&amp;ReportSummary___Track[[#This Row],[Epoch]]</f>
        <v>250-RL-OP-0039-45792.2708333333</v>
      </c>
      <c r="Z901" s="126">
        <f>SUBTOTAL(103,ReportSummary___Track[[#This Row],[Track ID]])</f>
        <v>1</v>
      </c>
      <c r="AA901" s="114">
        <f>_xlfn.NUMBERVALUE(RIGHT(ReportSummary___Track[[#This Row],[Track ID]],4))</f>
        <v>39</v>
      </c>
      <c r="AB901" s="78"/>
    </row>
    <row r="902" spans="5:28" ht="14.25" customHeight="1" x14ac:dyDescent="0.2">
      <c r="E902" s="74">
        <v>45792.270833333336</v>
      </c>
      <c r="F902" s="107" t="s">
        <v>279</v>
      </c>
      <c r="G902" s="142">
        <v>51904.37596431464</v>
      </c>
      <c r="H902" s="142">
        <v>159190.24779064191</v>
      </c>
      <c r="I902" s="142">
        <v>18.866796359196041</v>
      </c>
      <c r="J902" s="142">
        <v>51904.028255694</v>
      </c>
      <c r="K902" s="142">
        <v>159188.9792834559</v>
      </c>
      <c r="L902" s="142">
        <v>18.857900000000001</v>
      </c>
      <c r="M902" s="145">
        <v>8.8963591960400379E-3</v>
      </c>
      <c r="N902" s="145">
        <v>1.3153292025255361</v>
      </c>
      <c r="O902" s="145">
        <v>1.3677358880634927E-3</v>
      </c>
      <c r="P902" s="145">
        <v>3.3344838779747477E-3</v>
      </c>
      <c r="Q9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-0.72445006923871347</v>
      </c>
      <c r="R9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-1.1442641050241065E-3</v>
      </c>
      <c r="S9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-0.72457657322289037</v>
      </c>
      <c r="T9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-1.0084619504659997</v>
      </c>
      <c r="U9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-7.2458335713676547E-4</v>
      </c>
      <c r="V9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-6.9972721696176521E-4</v>
      </c>
      <c r="W9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-7.3679193836895251E-4</v>
      </c>
      <c r="X9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-1.0067720564883587E-3</v>
      </c>
      <c r="Y902" s="162" t="str">
        <f>ReportSummary___Track[[#This Row],[Track ID]]&amp;"-"&amp;ReportSummary___Track[[#This Row],[Epoch]]</f>
        <v>250-RL-OP-0040-45792.2708333333</v>
      </c>
      <c r="Z902" s="126">
        <f>SUBTOTAL(103,ReportSummary___Track[[#This Row],[Track ID]])</f>
        <v>1</v>
      </c>
      <c r="AA902" s="114">
        <f>_xlfn.NUMBERVALUE(RIGHT(ReportSummary___Track[[#This Row],[Track ID]],4))</f>
        <v>40</v>
      </c>
      <c r="AB902" s="78"/>
    </row>
    <row r="903" spans="5:28" ht="14.25" customHeight="1" x14ac:dyDescent="0.2">
      <c r="E903" s="74">
        <v>45792.270833333336</v>
      </c>
      <c r="F903" s="107" t="s">
        <v>280</v>
      </c>
      <c r="G903" s="142">
        <v>51905.341856084669</v>
      </c>
      <c r="H903" s="142">
        <v>159189.98523494488</v>
      </c>
      <c r="I903" s="142">
        <v>18.867452112900132</v>
      </c>
      <c r="J903" s="142">
        <v>51905.003849068715</v>
      </c>
      <c r="K903" s="142">
        <v>159188.71394465279</v>
      </c>
      <c r="L903" s="142">
        <v>18.858054762778423</v>
      </c>
      <c r="M903" s="145">
        <v>9.3973501217092803E-3</v>
      </c>
      <c r="N903" s="145">
        <v>1.3154908056641215</v>
      </c>
      <c r="O903" s="145">
        <v>1.231998081941299E-3</v>
      </c>
      <c r="P903" s="145">
        <v>3.1747772849826106E-3</v>
      </c>
      <c r="Q9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-0.8903704587552852</v>
      </c>
      <c r="R9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5.1032362373915063E-2</v>
      </c>
      <c r="S9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-0.83091953513658723</v>
      </c>
      <c r="T9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-0.89038131252650032</v>
      </c>
      <c r="U9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-8.9042266306194051E-4</v>
      </c>
      <c r="V9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-8.5434651684335172E-4</v>
      </c>
      <c r="W9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-8.3096080136613182E-4</v>
      </c>
      <c r="X9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-8.9074050264770221E-4</v>
      </c>
      <c r="Y903" s="162" t="str">
        <f>ReportSummary___Track[[#This Row],[Track ID]]&amp;"-"&amp;ReportSummary___Track[[#This Row],[Epoch]]</f>
        <v>250-RL-OP-0041-45792.2708333333</v>
      </c>
      <c r="Z903" s="126">
        <f>SUBTOTAL(103,ReportSummary___Track[[#This Row],[Track ID]])</f>
        <v>1</v>
      </c>
      <c r="AA903" s="114">
        <f>_xlfn.NUMBERVALUE(RIGHT(ReportSummary___Track[[#This Row],[Track ID]],4))</f>
        <v>41</v>
      </c>
      <c r="AB903" s="78"/>
    </row>
    <row r="904" spans="5:28" ht="14.25" customHeight="1" x14ac:dyDescent="0.2">
      <c r="E904" s="74">
        <v>45792.270833333336</v>
      </c>
      <c r="F904" s="107" t="s">
        <v>281</v>
      </c>
      <c r="G904" s="142">
        <v>51906.308695595042</v>
      </c>
      <c r="H904" s="142">
        <v>159189.72985859288</v>
      </c>
      <c r="I904" s="142">
        <v>18.869520931349783</v>
      </c>
      <c r="J904" s="142">
        <v>51905.970389131391</v>
      </c>
      <c r="K904" s="142">
        <v>159188.45743136352</v>
      </c>
      <c r="L904" s="142">
        <v>18.859168164062019</v>
      </c>
      <c r="M904" s="145">
        <v>1.0352767287763243E-2</v>
      </c>
      <c r="N904" s="145">
        <v>1.3166736486866284</v>
      </c>
      <c r="O904" s="145">
        <v>1.8219116698574567E-3</v>
      </c>
      <c r="P904" s="145">
        <v>3.4771692154116352E-3</v>
      </c>
      <c r="Q9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-0.18040944180697238</v>
      </c>
      <c r="R9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0.39524076146002507</v>
      </c>
      <c r="S9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0.21154105462173334</v>
      </c>
      <c r="T9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-0.18047812068289204</v>
      </c>
      <c r="U9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-1.8083721661810159E-4</v>
      </c>
      <c r="V9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-7.0992153405891045E-5</v>
      </c>
      <c r="W9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2.1118539279640913E-4</v>
      </c>
      <c r="X9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-1.8710042702352325E-4</v>
      </c>
      <c r="Y904" s="162" t="str">
        <f>ReportSummary___Track[[#This Row],[Track ID]]&amp;"-"&amp;ReportSummary___Track[[#This Row],[Epoch]]</f>
        <v>250-RL-OP-0042-45792.2708333333</v>
      </c>
      <c r="Z904" s="126">
        <f>SUBTOTAL(103,ReportSummary___Track[[#This Row],[Track ID]])</f>
        <v>1</v>
      </c>
      <c r="AA904" s="114">
        <f>_xlfn.NUMBERVALUE(RIGHT(ReportSummary___Track[[#This Row],[Track ID]],4))</f>
        <v>42</v>
      </c>
      <c r="AB904" s="78"/>
    </row>
    <row r="905" spans="5:28" ht="14.25" customHeight="1" x14ac:dyDescent="0.2">
      <c r="E905" s="74">
        <v>45792.270833333336</v>
      </c>
      <c r="F905" s="107" t="s">
        <v>282</v>
      </c>
      <c r="G905" s="142">
        <v>51907.275535105422</v>
      </c>
      <c r="H905" s="142">
        <v>159189.47448224085</v>
      </c>
      <c r="I905" s="142">
        <v>18.871589749799437</v>
      </c>
      <c r="J905" s="142">
        <v>51906.936929194067</v>
      </c>
      <c r="K905" s="142">
        <v>159188.20091807423</v>
      </c>
      <c r="L905" s="142">
        <v>18.86028156534562</v>
      </c>
      <c r="M905" s="145">
        <v>1.1308184453817205E-2</v>
      </c>
      <c r="N905" s="145">
        <v>1.3178571716024721</v>
      </c>
      <c r="O905" s="145">
        <v>2.4118252577771671E-3</v>
      </c>
      <c r="P905" s="145">
        <v>3.7795611458406597E-3</v>
      </c>
      <c r="Q9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0.52955157514134044</v>
      </c>
      <c r="R9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0.74008577684669952</v>
      </c>
      <c r="S9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1.2540016443800539</v>
      </c>
      <c r="T9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0.52942507115716353</v>
      </c>
      <c r="U9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5.2874822982218461E-4</v>
      </c>
      <c r="V9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7.129973934738576E-4</v>
      </c>
      <c r="W9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1.2533315869589501E-3</v>
      </c>
      <c r="X9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5.1653964858999757E-4</v>
      </c>
      <c r="Y905" s="162" t="str">
        <f>ReportSummary___Track[[#This Row],[Track ID]]&amp;"-"&amp;ReportSummary___Track[[#This Row],[Epoch]]</f>
        <v>250-RL-OP-0043-45792.2708333333</v>
      </c>
      <c r="Z905" s="126">
        <f>SUBTOTAL(103,ReportSummary___Track[[#This Row],[Track ID]])</f>
        <v>1</v>
      </c>
      <c r="AA905" s="114">
        <f>_xlfn.NUMBERVALUE(RIGHT(ReportSummary___Track[[#This Row],[Track ID]],4))</f>
        <v>43</v>
      </c>
      <c r="AB905" s="78"/>
    </row>
    <row r="906" spans="5:28" ht="14.25" customHeight="1" x14ac:dyDescent="0.2">
      <c r="E906" s="74">
        <v>45792.270833333336</v>
      </c>
      <c r="F906" s="107" t="s">
        <v>283</v>
      </c>
      <c r="G906" s="142">
        <v>51908.242806888149</v>
      </c>
      <c r="H906" s="142">
        <v>159189.22250144329</v>
      </c>
      <c r="I906" s="142">
        <v>18.873859626742529</v>
      </c>
      <c r="J906" s="142">
        <v>51907.904524094469</v>
      </c>
      <c r="K906" s="142">
        <v>159187.94823138544</v>
      </c>
      <c r="L906" s="142">
        <v>18.861943334659106</v>
      </c>
      <c r="M906" s="145">
        <v>1.1916292083423485E-2</v>
      </c>
      <c r="N906" s="145">
        <v>1.318461765413558</v>
      </c>
      <c r="O906" s="145">
        <v>2.518941961714205E-3</v>
      </c>
      <c r="P906" s="145">
        <v>3.750940043655504E-3</v>
      </c>
      <c r="Q9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0.88788924707472461</v>
      </c>
      <c r="R9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0.83772361613587698</v>
      </c>
      <c r="S9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1.7782597058300098</v>
      </c>
      <c r="T9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0.94734017069342258</v>
      </c>
      <c r="U9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8.8808974510357075E-4</v>
      </c>
      <c r="V9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9.6988141256382221E-4</v>
      </c>
      <c r="W9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1.7785124081655113E-3</v>
      </c>
      <c r="X9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9.4755160679937944E-4</v>
      </c>
      <c r="Y906" s="162" t="str">
        <f>ReportSummary___Track[[#This Row],[Track ID]]&amp;"-"&amp;ReportSummary___Track[[#This Row],[Epoch]]</f>
        <v>250-RL-OP-0044-45792.2708333333</v>
      </c>
      <c r="Z906" s="126">
        <f>SUBTOTAL(103,ReportSummary___Track[[#This Row],[Track ID]])</f>
        <v>1</v>
      </c>
      <c r="AA906" s="114">
        <f>_xlfn.NUMBERVALUE(RIGHT(ReportSummary___Track[[#This Row],[Track ID]],4))</f>
        <v>44</v>
      </c>
      <c r="AB906" s="78"/>
    </row>
    <row r="907" spans="5:28" ht="14.25" customHeight="1" x14ac:dyDescent="0.2">
      <c r="E907" s="74">
        <v>45792.270833333336</v>
      </c>
      <c r="F907" s="107" t="s">
        <v>284</v>
      </c>
      <c r="G907" s="142">
        <v>51909.212315815959</v>
      </c>
      <c r="H907" s="142">
        <v>159188.97746037151</v>
      </c>
      <c r="I907" s="142">
        <v>18.876563705831948</v>
      </c>
      <c r="J907" s="142">
        <v>51908.873870471209</v>
      </c>
      <c r="K907" s="142">
        <v>159187.70254757887</v>
      </c>
      <c r="L907" s="142">
        <v>18.864602113292445</v>
      </c>
      <c r="M907" s="145">
        <v>1.196159253950313E-2</v>
      </c>
      <c r="N907" s="145">
        <v>1.3191250736405535</v>
      </c>
      <c r="O907" s="145">
        <v>1.6088252517398871E-3</v>
      </c>
      <c r="P907" s="145">
        <v>3.4307369215973438E-3</v>
      </c>
      <c r="Q9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0.57190629068415433</v>
      </c>
      <c r="R9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0.4504345245490704</v>
      </c>
      <c r="S9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0.75231573249112671</v>
      </c>
      <c r="T9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0.96385678711286005</v>
      </c>
      <c r="U9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5.7273748399566671E-4</v>
      </c>
      <c r="V9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1.9173776971070922E-4</v>
      </c>
      <c r="W9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7.535747006137683E-4</v>
      </c>
      <c r="X9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9.6476009341017743E-4</v>
      </c>
      <c r="Y907" s="162" t="str">
        <f>ReportSummary___Track[[#This Row],[Track ID]]&amp;"-"&amp;ReportSummary___Track[[#This Row],[Epoch]]</f>
        <v>250-RL-OP-0045-45792.2708333333</v>
      </c>
      <c r="Z907" s="126">
        <f>SUBTOTAL(103,ReportSummary___Track[[#This Row],[Track ID]])</f>
        <v>1</v>
      </c>
      <c r="AA907" s="114">
        <f>_xlfn.NUMBERVALUE(RIGHT(ReportSummary___Track[[#This Row],[Track ID]],4))</f>
        <v>45</v>
      </c>
      <c r="AB907" s="78"/>
    </row>
    <row r="908" spans="5:28" ht="14.25" customHeight="1" x14ac:dyDescent="0.2">
      <c r="E908" s="74">
        <v>45792.270833333336</v>
      </c>
      <c r="F908" s="107" t="s">
        <v>285</v>
      </c>
      <c r="G908" s="142">
        <v>51910.18182474377</v>
      </c>
      <c r="H908" s="142">
        <v>159188.73241929975</v>
      </c>
      <c r="I908" s="142">
        <v>18.879267784921367</v>
      </c>
      <c r="J908" s="142">
        <v>51909.843216847941</v>
      </c>
      <c r="K908" s="142">
        <v>159187.4568637723</v>
      </c>
      <c r="L908" s="142">
        <v>18.867260891925785</v>
      </c>
      <c r="M908" s="145">
        <v>1.2006892995582774E-2</v>
      </c>
      <c r="N908" s="145">
        <v>1.319788383113784</v>
      </c>
      <c r="O908" s="145">
        <v>6.9870854176556918E-4</v>
      </c>
      <c r="P908" s="145">
        <v>3.1105337995427362E-3</v>
      </c>
      <c r="Q9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0.25592333429713676</v>
      </c>
      <c r="R9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6.3052414295938775E-2</v>
      </c>
      <c r="S9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-0.27362824084420367</v>
      </c>
      <c r="T9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0.98037340353585023</v>
      </c>
      <c r="U9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2.5738522288776267E-4</v>
      </c>
      <c r="V9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-5.8649674768118665E-4</v>
      </c>
      <c r="W9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-2.7136300693442195E-4</v>
      </c>
      <c r="X9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9.8196858002452814E-4</v>
      </c>
      <c r="Y908" s="162" t="str">
        <f>ReportSummary___Track[[#This Row],[Track ID]]&amp;"-"&amp;ReportSummary___Track[[#This Row],[Epoch]]</f>
        <v>250-RL-OP-0046-45792.2708333333</v>
      </c>
      <c r="Z908" s="126">
        <f>SUBTOTAL(103,ReportSummary___Track[[#This Row],[Track ID]])</f>
        <v>1</v>
      </c>
      <c r="AA908" s="114">
        <f>_xlfn.NUMBERVALUE(RIGHT(ReportSummary___Track[[#This Row],[Track ID]],4))</f>
        <v>46</v>
      </c>
      <c r="AB908" s="78"/>
    </row>
    <row r="909" spans="5:28" ht="14.25" customHeight="1" x14ac:dyDescent="0.2">
      <c r="E909" s="74">
        <v>45792.270833333336</v>
      </c>
      <c r="F909" s="107" t="s">
        <v>286</v>
      </c>
      <c r="G909" s="142">
        <v>51911.151141496419</v>
      </c>
      <c r="H909" s="142">
        <v>159188.48944319948</v>
      </c>
      <c r="I909" s="142">
        <v>18.882328518492972</v>
      </c>
      <c r="J909" s="142">
        <v>51910.835188304052</v>
      </c>
      <c r="K909" s="142">
        <v>159187.20749995176</v>
      </c>
      <c r="L909" s="142">
        <v>18.870139116386202</v>
      </c>
      <c r="M909" s="145">
        <v>1.2189402106770331E-2</v>
      </c>
      <c r="N909" s="145">
        <v>1.3203611216800144</v>
      </c>
      <c r="O909" s="145">
        <v>2.7311002334684531E-4</v>
      </c>
      <c r="P909" s="145">
        <v>2.7920519850610503E-3</v>
      </c>
      <c r="Q9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2.5701555870227821E-3</v>
      </c>
      <c r="R9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-0.23897419105778361</v>
      </c>
      <c r="S9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-0.88531909148770183</v>
      </c>
      <c r="T9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0.89294061434230798</v>
      </c>
      <c r="U9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-7.4281466826420228E-5</v>
      </c>
      <c r="V9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-1.175646701719657E-3</v>
      </c>
      <c r="W9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-9.6237121192999098E-4</v>
      </c>
      <c r="X9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8.1614119623552028E-4</v>
      </c>
      <c r="Y909" s="162" t="str">
        <f>ReportSummary___Track[[#This Row],[Track ID]]&amp;"-"&amp;ReportSummary___Track[[#This Row],[Epoch]]</f>
        <v>250-RL-OP-0047-45792.2708333333</v>
      </c>
      <c r="Z909" s="126">
        <f>SUBTOTAL(103,ReportSummary___Track[[#This Row],[Track ID]])</f>
        <v>1</v>
      </c>
      <c r="AA909" s="114">
        <f>_xlfn.NUMBERVALUE(RIGHT(ReportSummary___Track[[#This Row],[Track ID]],4))</f>
        <v>47</v>
      </c>
      <c r="AB909" s="78"/>
    </row>
    <row r="910" spans="5:28" ht="14.25" customHeight="1" x14ac:dyDescent="0.2">
      <c r="E910" s="74">
        <v>45792.270833333336</v>
      </c>
      <c r="F910" s="107" t="s">
        <v>287</v>
      </c>
      <c r="G910" s="142">
        <v>51912.122875350411</v>
      </c>
      <c r="H910" s="142">
        <v>159188.25340524639</v>
      </c>
      <c r="I910" s="142">
        <v>18.886733255176882</v>
      </c>
      <c r="J910" s="142">
        <v>51911.806733444027</v>
      </c>
      <c r="K910" s="142">
        <v>159186.97066968036</v>
      </c>
      <c r="L910" s="142">
        <v>18.873524899190596</v>
      </c>
      <c r="M910" s="145">
        <v>1.3208355986286335E-2</v>
      </c>
      <c r="N910" s="145">
        <v>1.3211853382433139</v>
      </c>
      <c r="O910" s="145">
        <v>1.2467634467832056E-3</v>
      </c>
      <c r="P910" s="145">
        <v>2.8555886985230927E-3</v>
      </c>
      <c r="Q9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2.3890030256268346E-3</v>
      </c>
      <c r="R9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-0.23881413683390917</v>
      </c>
      <c r="S9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-0.56951728765852749</v>
      </c>
      <c r="T9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0.18279844483259922</v>
      </c>
      <c r="U9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-4.2661950439182306E-4</v>
      </c>
      <c r="V9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-1.014099395658663E-3</v>
      </c>
      <c r="W9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-9.9935698838748976E-4</v>
      </c>
      <c r="X9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-2.4578228777372146E-4</v>
      </c>
      <c r="Y910" s="162" t="str">
        <f>ReportSummary___Track[[#This Row],[Track ID]]&amp;"-"&amp;ReportSummary___Track[[#This Row],[Epoch]]</f>
        <v>250-RL-OP-0048-45792.2708333333</v>
      </c>
      <c r="Z910" s="126">
        <f>SUBTOTAL(103,ReportSummary___Track[[#This Row],[Track ID]])</f>
        <v>1</v>
      </c>
      <c r="AA910" s="114">
        <f>_xlfn.NUMBERVALUE(RIGHT(ReportSummary___Track[[#This Row],[Track ID]],4))</f>
        <v>48</v>
      </c>
      <c r="AB910" s="78"/>
    </row>
    <row r="911" spans="5:28" ht="14.25" customHeight="1" x14ac:dyDescent="0.2">
      <c r="E911" s="74">
        <v>45792.270833333336</v>
      </c>
      <c r="F911" s="107" t="s">
        <v>288</v>
      </c>
      <c r="G911" s="142">
        <v>51913.094609204403</v>
      </c>
      <c r="H911" s="142">
        <v>159188.0173672933</v>
      </c>
      <c r="I911" s="142">
        <v>18.891137991860795</v>
      </c>
      <c r="J911" s="142">
        <v>51912.77827858401</v>
      </c>
      <c r="K911" s="142">
        <v>159186.73383940893</v>
      </c>
      <c r="L911" s="142">
        <v>18.876910681994985</v>
      </c>
      <c r="M911" s="145">
        <v>1.4227309865809445E-2</v>
      </c>
      <c r="N911" s="145">
        <v>1.322010328136964</v>
      </c>
      <c r="O911" s="145">
        <v>2.2204168702266713E-3</v>
      </c>
      <c r="P911" s="145">
        <v>2.9191254119922405E-3</v>
      </c>
      <c r="Q9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2.2078504748890282E-3</v>
      </c>
      <c r="R9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-0.2386542145709214</v>
      </c>
      <c r="S9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-0.25371548382224773</v>
      </c>
      <c r="T9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-0.52734372466645141</v>
      </c>
      <c r="U9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-7.7895754195367317E-4</v>
      </c>
      <c r="V9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-8.5318700657621704E-4</v>
      </c>
      <c r="W9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-1.0363427648414358E-3</v>
      </c>
      <c r="X9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-1.3077057717758578E-3</v>
      </c>
      <c r="Y911" s="162" t="str">
        <f>ReportSummary___Track[[#This Row],[Track ID]]&amp;"-"&amp;ReportSummary___Track[[#This Row],[Epoch]]</f>
        <v>250-RL-OP-0049-45792.2708333333</v>
      </c>
      <c r="Z911" s="126">
        <f>SUBTOTAL(103,ReportSummary___Track[[#This Row],[Track ID]])</f>
        <v>1</v>
      </c>
      <c r="AA911" s="114">
        <f>_xlfn.NUMBERVALUE(RIGHT(ReportSummary___Track[[#This Row],[Track ID]],4))</f>
        <v>49</v>
      </c>
      <c r="AB911" s="78"/>
    </row>
    <row r="912" spans="5:28" ht="14.25" customHeight="1" x14ac:dyDescent="0.2">
      <c r="E912" s="74">
        <v>45791.270833333336</v>
      </c>
      <c r="F912" s="107" t="s">
        <v>235</v>
      </c>
      <c r="G912" s="142">
        <v>51886.101888003854</v>
      </c>
      <c r="H912" s="142">
        <v>159195.44568170901</v>
      </c>
      <c r="I912" s="142">
        <v>18.870774640796562</v>
      </c>
      <c r="J912" s="142">
        <v>51885.742050780667</v>
      </c>
      <c r="K912" s="142">
        <v>159194.18695535802</v>
      </c>
      <c r="L912" s="142">
        <v>18.866068661183395</v>
      </c>
      <c r="M912" s="145">
        <v>4.7059796131669884E-3</v>
      </c>
      <c r="N912" s="145">
        <v>1.3091588903249132</v>
      </c>
      <c r="O912" s="145"/>
      <c r="P912" s="145"/>
      <c r="Q9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0.43721486717274161</v>
      </c>
      <c r="R9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-0.9592860624965116</v>
      </c>
      <c r="S91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1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7.1890852160549912E-4</v>
      </c>
      <c r="V9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-2.6775879057239216E-4</v>
      </c>
      <c r="W91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1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12" s="162" t="str">
        <f>ReportSummary___Track[[#This Row],[Track ID]]&amp;"-"&amp;ReportSummary___Track[[#This Row],[Epoch]]</f>
        <v>250-RL-OP-0021-45791.2708333333</v>
      </c>
      <c r="Z912" s="126">
        <f>SUBTOTAL(103,ReportSummary___Track[[#This Row],[Track ID]])</f>
        <v>1</v>
      </c>
      <c r="AA912" s="114">
        <f>_xlfn.NUMBERVALUE(RIGHT(ReportSummary___Track[[#This Row],[Track ID]],4))</f>
        <v>21</v>
      </c>
      <c r="AB912" s="78"/>
    </row>
    <row r="913" spans="5:28" ht="14.25" customHeight="1" x14ac:dyDescent="0.2">
      <c r="E913" s="74">
        <v>45791.270833333336</v>
      </c>
      <c r="F913" s="107" t="s">
        <v>236</v>
      </c>
      <c r="G913" s="142">
        <v>51887.0635346048</v>
      </c>
      <c r="H913" s="142">
        <v>159195.17139037082</v>
      </c>
      <c r="I913" s="142">
        <v>18.870497718698449</v>
      </c>
      <c r="J913" s="142">
        <v>51886.703169507433</v>
      </c>
      <c r="K913" s="142">
        <v>159193.910819971</v>
      </c>
      <c r="L913" s="142">
        <v>18.866271378951897</v>
      </c>
      <c r="M913" s="145">
        <v>4.2263397465518437E-3</v>
      </c>
      <c r="N913" s="145">
        <v>1.3110753594784181</v>
      </c>
      <c r="O913" s="145"/>
      <c r="P913" s="145"/>
      <c r="Q9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-0.24678151614665467</v>
      </c>
      <c r="R9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-0.95345361666798745</v>
      </c>
      <c r="S91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1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3.8105818699918359E-4</v>
      </c>
      <c r="V9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-5.9366708327734941E-4</v>
      </c>
      <c r="W91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1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13" s="162" t="str">
        <f>ReportSummary___Track[[#This Row],[Track ID]]&amp;"-"&amp;ReportSummary___Track[[#This Row],[Epoch]]</f>
        <v>250-RL-OP-0022-45791.2708333333</v>
      </c>
      <c r="Z913" s="126">
        <f>SUBTOTAL(103,ReportSummary___Track[[#This Row],[Track ID]])</f>
        <v>1</v>
      </c>
      <c r="AA913" s="114">
        <f>_xlfn.NUMBERVALUE(RIGHT(ReportSummary___Track[[#This Row],[Track ID]],4))</f>
        <v>22</v>
      </c>
      <c r="AB913" s="78"/>
    </row>
    <row r="914" spans="5:28" ht="14.25" customHeight="1" x14ac:dyDescent="0.2">
      <c r="E914" s="74">
        <v>45791.270833333336</v>
      </c>
      <c r="F914" s="107" t="s">
        <v>237</v>
      </c>
      <c r="G914" s="142">
        <v>51888.025181205747</v>
      </c>
      <c r="H914" s="142">
        <v>159194.89709903265</v>
      </c>
      <c r="I914" s="142">
        <v>18.870220796600339</v>
      </c>
      <c r="J914" s="142">
        <v>51887.664288234206</v>
      </c>
      <c r="K914" s="142">
        <v>159193.63468458402</v>
      </c>
      <c r="L914" s="142">
        <v>18.866474096720399</v>
      </c>
      <c r="M914" s="145">
        <v>3.7466998799402518E-3</v>
      </c>
      <c r="N914" s="145">
        <v>1.3129920086520424</v>
      </c>
      <c r="O914" s="145"/>
      <c r="P914" s="145"/>
      <c r="Q9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-0.93077789946249823</v>
      </c>
      <c r="R9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-0.94747095834524231</v>
      </c>
      <c r="S91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1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4.3207852392868062E-5</v>
      </c>
      <c r="V9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-9.1941216446578267E-4</v>
      </c>
      <c r="W91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1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14" s="162" t="str">
        <f>ReportSummary___Track[[#This Row],[Track ID]]&amp;"-"&amp;ReportSummary___Track[[#This Row],[Epoch]]</f>
        <v>250-RL-OP-0023-45791.2708333333</v>
      </c>
      <c r="Z914" s="126">
        <f>SUBTOTAL(103,ReportSummary___Track[[#This Row],[Track ID]])</f>
        <v>1</v>
      </c>
      <c r="AA914" s="114">
        <f>_xlfn.NUMBERVALUE(RIGHT(ReportSummary___Track[[#This Row],[Track ID]],4))</f>
        <v>23</v>
      </c>
      <c r="AB914" s="78"/>
    </row>
    <row r="915" spans="5:28" ht="14.25" customHeight="1" x14ac:dyDescent="0.2">
      <c r="E915" s="74">
        <v>45791.270833333336</v>
      </c>
      <c r="F915" s="107" t="s">
        <v>238</v>
      </c>
      <c r="G915" s="142">
        <v>51888.98628832103</v>
      </c>
      <c r="H915" s="142">
        <v>159194.62201573106</v>
      </c>
      <c r="I915" s="142">
        <v>18.869514730242752</v>
      </c>
      <c r="J915" s="142">
        <v>51888.624024107339</v>
      </c>
      <c r="K915" s="142">
        <v>159193.3577967032</v>
      </c>
      <c r="L915" s="142">
        <v>18.86545332152658</v>
      </c>
      <c r="M915" s="145">
        <v>4.0614087161721102E-3</v>
      </c>
      <c r="N915" s="145">
        <v>1.3151051691618987</v>
      </c>
      <c r="O915" s="145">
        <v>-6.4457089699487824E-4</v>
      </c>
      <c r="P915" s="145"/>
      <c r="Q9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9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9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-1.1382277100793203</v>
      </c>
      <c r="T91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9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9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-7.1900813517444817E-4</v>
      </c>
      <c r="X91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15" s="162" t="str">
        <f>ReportSummary___Track[[#This Row],[Track ID]]&amp;"-"&amp;ReportSummary___Track[[#This Row],[Epoch]]</f>
        <v>250-RL-OP-0024-45791.2708333333</v>
      </c>
      <c r="Z915" s="126">
        <f>SUBTOTAL(103,ReportSummary___Track[[#This Row],[Track ID]])</f>
        <v>1</v>
      </c>
      <c r="AA915" s="114">
        <f>_xlfn.NUMBERVALUE(RIGHT(ReportSummary___Track[[#This Row],[Track ID]],4))</f>
        <v>24</v>
      </c>
      <c r="AB915" s="78"/>
    </row>
    <row r="916" spans="5:28" ht="14.25" customHeight="1" x14ac:dyDescent="0.2">
      <c r="E916" s="74">
        <v>45791.270833333336</v>
      </c>
      <c r="F916" s="107" t="s">
        <v>239</v>
      </c>
      <c r="G916" s="142">
        <v>51889.947664398285</v>
      </c>
      <c r="H916" s="142">
        <v>159194.34677858101</v>
      </c>
      <c r="I916" s="142">
        <v>18.868773577574299</v>
      </c>
      <c r="J916" s="142">
        <v>51889.58479107709</v>
      </c>
      <c r="K916" s="142">
        <v>159193.08044244221</v>
      </c>
      <c r="L916" s="142">
        <v>18.864251762034648</v>
      </c>
      <c r="M916" s="145">
        <v>4.5218155396504756E-3</v>
      </c>
      <c r="N916" s="145">
        <v>1.3173096486680025</v>
      </c>
      <c r="O916" s="145">
        <v>2.9547579309863181E-4</v>
      </c>
      <c r="P916" s="145"/>
      <c r="Q9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9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9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-0.11099767334599164</v>
      </c>
      <c r="T91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9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9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-3.8127215433192418E-4</v>
      </c>
      <c r="X91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16" s="162" t="str">
        <f>ReportSummary___Track[[#This Row],[Track ID]]&amp;"-"&amp;ReportSummary___Track[[#This Row],[Epoch]]</f>
        <v>250-RL-OP-0025-45791.2708333333</v>
      </c>
      <c r="Z916" s="126">
        <f>SUBTOTAL(103,ReportSummary___Track[[#This Row],[Track ID]])</f>
        <v>1</v>
      </c>
      <c r="AA916" s="114">
        <f>_xlfn.NUMBERVALUE(RIGHT(ReportSummary___Track[[#This Row],[Track ID]],4))</f>
        <v>25</v>
      </c>
      <c r="AB916" s="78"/>
    </row>
    <row r="917" spans="5:28" ht="14.25" customHeight="1" x14ac:dyDescent="0.2">
      <c r="E917" s="74">
        <v>45791.270833333336</v>
      </c>
      <c r="F917" s="107" t="s">
        <v>240</v>
      </c>
      <c r="G917" s="142">
        <v>51890.909040475541</v>
      </c>
      <c r="H917" s="142">
        <v>159194.07154143095</v>
      </c>
      <c r="I917" s="142">
        <v>18.868032424905849</v>
      </c>
      <c r="J917" s="142">
        <v>51890.545558046833</v>
      </c>
      <c r="K917" s="142">
        <v>159192.80308818122</v>
      </c>
      <c r="L917" s="142">
        <v>18.86305020254272</v>
      </c>
      <c r="M917" s="145">
        <v>4.9822223631288409E-3</v>
      </c>
      <c r="N917" s="145">
        <v>1.3195142838510057</v>
      </c>
      <c r="O917" s="145">
        <v>1.2355224831885891E-3</v>
      </c>
      <c r="P917" s="145"/>
      <c r="Q9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9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9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0.91623236338378433</v>
      </c>
      <c r="T91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9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9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-4.3536173492952912E-5</v>
      </c>
      <c r="X91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17" s="162" t="str">
        <f>ReportSummary___Track[[#This Row],[Track ID]]&amp;"-"&amp;ReportSummary___Track[[#This Row],[Epoch]]</f>
        <v>250-RL-OP-0026-45791.2708333333</v>
      </c>
      <c r="Z917" s="126">
        <f>SUBTOTAL(103,ReportSummary___Track[[#This Row],[Track ID]])</f>
        <v>1</v>
      </c>
      <c r="AA917" s="114">
        <f>_xlfn.NUMBERVALUE(RIGHT(ReportSummary___Track[[#This Row],[Track ID]],4))</f>
        <v>26</v>
      </c>
      <c r="AB917" s="78"/>
    </row>
    <row r="918" spans="5:28" ht="14.25" customHeight="1" x14ac:dyDescent="0.2">
      <c r="E918" s="74">
        <v>45791.270833333336</v>
      </c>
      <c r="F918" s="107" t="s">
        <v>241</v>
      </c>
      <c r="G918" s="142">
        <v>51891.869997674046</v>
      </c>
      <c r="H918" s="142">
        <v>159193.79503821288</v>
      </c>
      <c r="I918" s="142">
        <v>18.865661670375356</v>
      </c>
      <c r="J918" s="142">
        <v>51891.504353461787</v>
      </c>
      <c r="K918" s="142">
        <v>159192.52690810763</v>
      </c>
      <c r="L918" s="142">
        <v>18.861283132921656</v>
      </c>
      <c r="M918" s="145">
        <v>4.3785374537002042E-3</v>
      </c>
      <c r="N918" s="145">
        <v>1.3197987821604347</v>
      </c>
      <c r="O918" s="145">
        <v>3.1712873752809401E-4</v>
      </c>
      <c r="P918" s="145">
        <v>-3.2744215946678423E-4</v>
      </c>
      <c r="Q9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9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-0.4021455565670351</v>
      </c>
      <c r="S9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0.37660397507366383</v>
      </c>
      <c r="T9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-0.7616237350056565</v>
      </c>
      <c r="U9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9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-3.1652276603999496E-4</v>
      </c>
      <c r="W9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3.2225710100419747E-7</v>
      </c>
      <c r="X9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-7.1868587807344397E-4</v>
      </c>
      <c r="Y918" s="162" t="str">
        <f>ReportSummary___Track[[#This Row],[Track ID]]&amp;"-"&amp;ReportSummary___Track[[#This Row],[Epoch]]</f>
        <v>250-RL-OP-0027-45791.2708333333</v>
      </c>
      <c r="Z918" s="126">
        <f>SUBTOTAL(103,ReportSummary___Track[[#This Row],[Track ID]])</f>
        <v>1</v>
      </c>
      <c r="AA918" s="114">
        <f>_xlfn.NUMBERVALUE(RIGHT(ReportSummary___Track[[#This Row],[Track ID]],4))</f>
        <v>27</v>
      </c>
      <c r="AB918" s="78"/>
    </row>
    <row r="919" spans="5:28" ht="14.25" customHeight="1" x14ac:dyDescent="0.2">
      <c r="E919" s="74">
        <v>45791.270833333336</v>
      </c>
      <c r="F919" s="107" t="s">
        <v>242</v>
      </c>
      <c r="G919" s="142">
        <v>51892.83098666594</v>
      </c>
      <c r="H919" s="142">
        <v>159193.51846240537</v>
      </c>
      <c r="I919" s="142">
        <v>18.863216230483452</v>
      </c>
      <c r="J919" s="142">
        <v>51892.465288045249</v>
      </c>
      <c r="K919" s="142">
        <v>159192.25013834573</v>
      </c>
      <c r="L919" s="142">
        <v>18.859487246856443</v>
      </c>
      <c r="M919" s="145">
        <v>3.7289836270097965E-3</v>
      </c>
      <c r="N919" s="145">
        <v>1.3199982222530113</v>
      </c>
      <c r="O919" s="145">
        <v>-7.9283191264067909E-4</v>
      </c>
      <c r="P919" s="145">
        <v>-4.9735611954204728E-4</v>
      </c>
      <c r="Q9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9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-0.82255889519977643</v>
      </c>
      <c r="S9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-0.30596949824968078</v>
      </c>
      <c r="T9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-0.41696717159567243</v>
      </c>
      <c r="U9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9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-6.475454728613883E-4</v>
      </c>
      <c r="W9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6.6945287713338075E-7</v>
      </c>
      <c r="X9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-3.806027014547908E-4</v>
      </c>
      <c r="Y919" s="162" t="str">
        <f>ReportSummary___Track[[#This Row],[Track ID]]&amp;"-"&amp;ReportSummary___Track[[#This Row],[Epoch]]</f>
        <v>250-RL-OP-0028-45791.2708333333</v>
      </c>
      <c r="Z919" s="126">
        <f>SUBTOTAL(103,ReportSummary___Track[[#This Row],[Track ID]])</f>
        <v>1</v>
      </c>
      <c r="AA919" s="114">
        <f>_xlfn.NUMBERVALUE(RIGHT(ReportSummary___Track[[#This Row],[Track ID]],4))</f>
        <v>28</v>
      </c>
      <c r="AB919" s="78"/>
    </row>
    <row r="920" spans="5:28" ht="14.25" customHeight="1" x14ac:dyDescent="0.2">
      <c r="E920" s="74">
        <v>45791.270833333336</v>
      </c>
      <c r="F920" s="107" t="s">
        <v>243</v>
      </c>
      <c r="G920" s="142">
        <v>51893.79183894024</v>
      </c>
      <c r="H920" s="142">
        <v>159193.24190592469</v>
      </c>
      <c r="I920" s="142">
        <v>18.86092641939771</v>
      </c>
      <c r="J920" s="142">
        <v>51893.426692097528</v>
      </c>
      <c r="K920" s="142">
        <v>159191.97323012177</v>
      </c>
      <c r="L920" s="142">
        <v>18.857700906325203</v>
      </c>
      <c r="M920" s="145">
        <v>3.2255130725076242E-3</v>
      </c>
      <c r="N920" s="145">
        <v>1.3201821516675407</v>
      </c>
      <c r="O920" s="145">
        <v>-1.7567092906212167E-3</v>
      </c>
      <c r="P920" s="145">
        <v>-5.2118680743262757E-4</v>
      </c>
      <c r="Q9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-0.98057706748377882</v>
      </c>
      <c r="R9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-1.2164580302218564</v>
      </c>
      <c r="S9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-0.96603153140506492</v>
      </c>
      <c r="T9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-4.9799168021280593E-2</v>
      </c>
      <c r="U9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1.8153541780918658E-6</v>
      </c>
      <c r="V9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-9.4234574258567072E-4</v>
      </c>
      <c r="W9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2.1436752781767154E-6</v>
      </c>
      <c r="X9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-4.1392498214776197E-5</v>
      </c>
      <c r="Y920" s="162" t="str">
        <f>ReportSummary___Track[[#This Row],[Track ID]]&amp;"-"&amp;ReportSummary___Track[[#This Row],[Epoch]]</f>
        <v>250-RL-OP-0029-45791.2708333333</v>
      </c>
      <c r="Z920" s="126">
        <f>SUBTOTAL(103,ReportSummary___Track[[#This Row],[Track ID]])</f>
        <v>1</v>
      </c>
      <c r="AA920" s="114">
        <f>_xlfn.NUMBERVALUE(RIGHT(ReportSummary___Track[[#This Row],[Track ID]],4))</f>
        <v>29</v>
      </c>
      <c r="AB920" s="78"/>
    </row>
    <row r="921" spans="5:28" ht="14.25" customHeight="1" x14ac:dyDescent="0.2">
      <c r="E921" s="74">
        <v>45791.270833333336</v>
      </c>
      <c r="F921" s="107" t="s">
        <v>269</v>
      </c>
      <c r="G921" s="142">
        <v>51894.752729646825</v>
      </c>
      <c r="H921" s="142">
        <v>159192.96497849975</v>
      </c>
      <c r="I921" s="142">
        <v>18.861427736242298</v>
      </c>
      <c r="J921" s="142">
        <v>51894.387465215557</v>
      </c>
      <c r="K921" s="142">
        <v>159191.69589460938</v>
      </c>
      <c r="L921" s="142">
        <v>18.857871911080654</v>
      </c>
      <c r="M921" s="145">
        <v>3.5558251616443215E-3</v>
      </c>
      <c r="N921" s="145">
        <v>1.320607689447205</v>
      </c>
      <c r="O921" s="145">
        <v>-8.227122920558827E-4</v>
      </c>
      <c r="P921" s="145">
        <v>-5.0558355452778869E-4</v>
      </c>
      <c r="Q9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-0.30451452929725065</v>
      </c>
      <c r="R9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-0.37742436578636074</v>
      </c>
      <c r="S9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1.9894338535664247E-2</v>
      </c>
      <c r="T9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0.39649831360932808</v>
      </c>
      <c r="U9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3.4391986163484489E-4</v>
      </c>
      <c r="V9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-2.9173548844485531E-4</v>
      </c>
      <c r="W9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3.4369721810278975E-4</v>
      </c>
      <c r="X9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3.4401947520379395E-4</v>
      </c>
      <c r="Y921" s="162" t="str">
        <f>ReportSummary___Track[[#This Row],[Track ID]]&amp;"-"&amp;ReportSummary___Track[[#This Row],[Epoch]]</f>
        <v>250-RL-OP-0030-45791.2708333333</v>
      </c>
      <c r="Z921" s="126">
        <f>SUBTOTAL(103,ReportSummary___Track[[#This Row],[Track ID]])</f>
        <v>1</v>
      </c>
      <c r="AA921" s="114">
        <f>_xlfn.NUMBERVALUE(RIGHT(ReportSummary___Track[[#This Row],[Track ID]],4))</f>
        <v>30</v>
      </c>
      <c r="AB921" s="78"/>
    </row>
    <row r="922" spans="5:28" ht="14.25" customHeight="1" x14ac:dyDescent="0.2">
      <c r="E922" s="74">
        <v>45791.270833333336</v>
      </c>
      <c r="F922" s="107" t="s">
        <v>270</v>
      </c>
      <c r="G922" s="142">
        <v>51895.713620353403</v>
      </c>
      <c r="H922" s="142">
        <v>159192.6880510748</v>
      </c>
      <c r="I922" s="142">
        <v>18.861929053086882</v>
      </c>
      <c r="J922" s="142">
        <v>51895.348238333587</v>
      </c>
      <c r="K922" s="142">
        <v>159191.41855909702</v>
      </c>
      <c r="L922" s="142">
        <v>18.858042915836105</v>
      </c>
      <c r="M922" s="145">
        <v>3.8861372507774661E-3</v>
      </c>
      <c r="N922" s="145">
        <v>1.321033309243353</v>
      </c>
      <c r="O922" s="145">
        <v>1.5715362376766961E-4</v>
      </c>
      <c r="P922" s="145">
        <v>-6.3567828887300948E-4</v>
      </c>
      <c r="Q9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0.37154800888572481</v>
      </c>
      <c r="R9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0.46160145010043507</v>
      </c>
      <c r="S9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1.0352966966280519</v>
      </c>
      <c r="T9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0.72932719837837112</v>
      </c>
      <c r="U9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6.860243690880452E-4</v>
      </c>
      <c r="V9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3.5895671238406202E-4</v>
      </c>
      <c r="W9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6.8556888354365242E-4</v>
      </c>
      <c r="X9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6.862383364207858E-4</v>
      </c>
      <c r="Y922" s="162" t="str">
        <f>ReportSummary___Track[[#This Row],[Track ID]]&amp;"-"&amp;ReportSummary___Track[[#This Row],[Epoch]]</f>
        <v>250-RL-OP-0031-45791.2708333333</v>
      </c>
      <c r="Z922" s="126">
        <f>SUBTOTAL(103,ReportSummary___Track[[#This Row],[Track ID]])</f>
        <v>1</v>
      </c>
      <c r="AA922" s="114">
        <f>_xlfn.NUMBERVALUE(RIGHT(ReportSummary___Track[[#This Row],[Track ID]],4))</f>
        <v>31</v>
      </c>
      <c r="AB922" s="78"/>
    </row>
    <row r="923" spans="5:28" ht="14.25" customHeight="1" x14ac:dyDescent="0.2">
      <c r="E923" s="74">
        <v>45791.270833333336</v>
      </c>
      <c r="F923" s="107" t="s">
        <v>271</v>
      </c>
      <c r="G923" s="142">
        <v>51896.675398681873</v>
      </c>
      <c r="H923" s="142">
        <v>159192.41088265969</v>
      </c>
      <c r="I923" s="142">
        <v>18.862477001539897</v>
      </c>
      <c r="J923" s="142">
        <v>51896.308528737987</v>
      </c>
      <c r="K923" s="142">
        <v>159191.14173461875</v>
      </c>
      <c r="L923" s="142">
        <v>18.85824734462722</v>
      </c>
      <c r="M923" s="145">
        <v>4.2296569126776262E-3</v>
      </c>
      <c r="N923" s="145">
        <v>1.3211162687475024</v>
      </c>
      <c r="O923" s="145">
        <v>1.004143840170002E-3</v>
      </c>
      <c r="P923" s="145">
        <v>-7.525654504512147E-4</v>
      </c>
      <c r="Q9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0.97863914660933915</v>
      </c>
      <c r="R9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1.2082520867053859</v>
      </c>
      <c r="S9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1.959216214093118</v>
      </c>
      <c r="T9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0.99318468268805304</v>
      </c>
      <c r="U9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9.7858112060933422E-4</v>
      </c>
      <c r="V9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9.2367338436827318E-4</v>
      </c>
      <c r="W9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9.7676576643124235E-4</v>
      </c>
      <c r="X9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9.7890944170941907E-4</v>
      </c>
      <c r="Y923" s="162" t="str">
        <f>ReportSummary___Track[[#This Row],[Track ID]]&amp;"-"&amp;ReportSummary___Track[[#This Row],[Epoch]]</f>
        <v>250-RL-OP-0032-45791.2708333333</v>
      </c>
      <c r="Z923" s="126">
        <f>SUBTOTAL(103,ReportSummary___Track[[#This Row],[Track ID]])</f>
        <v>1</v>
      </c>
      <c r="AA923" s="114">
        <f>_xlfn.NUMBERVALUE(RIGHT(ReportSummary___Track[[#This Row],[Track ID]],4))</f>
        <v>32</v>
      </c>
      <c r="AB923" s="78"/>
    </row>
    <row r="924" spans="5:28" ht="14.25" customHeight="1" x14ac:dyDescent="0.2">
      <c r="E924" s="74">
        <v>45791.270833333336</v>
      </c>
      <c r="F924" s="107" t="s">
        <v>272</v>
      </c>
      <c r="G924" s="142">
        <v>51897.636352858688</v>
      </c>
      <c r="H924" s="142">
        <v>159192.13417793906</v>
      </c>
      <c r="I924" s="142">
        <v>18.863729059099267</v>
      </c>
      <c r="J924" s="142">
        <v>51897.270518069447</v>
      </c>
      <c r="K924" s="142">
        <v>159190.86864821697</v>
      </c>
      <c r="L924" s="142">
        <v>18.858833292983896</v>
      </c>
      <c r="M924" s="145">
        <v>4.8957661153714582E-3</v>
      </c>
      <c r="N924" s="145">
        <v>1.317355130191864</v>
      </c>
      <c r="O924" s="145">
        <v>1.3399409537271367E-3</v>
      </c>
      <c r="P924" s="145">
        <v>5.1722866167125403E-4</v>
      </c>
      <c r="Q9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0.63132551391831271</v>
      </c>
      <c r="R9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0.77993682223409522</v>
      </c>
      <c r="S9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0.93584004321556336</v>
      </c>
      <c r="T9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0.9557343817512276</v>
      </c>
      <c r="U9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6.3038490998224006E-4</v>
      </c>
      <c r="V9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3.5150416853735322E-4</v>
      </c>
      <c r="W9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2.8646504834739517E-4</v>
      </c>
      <c r="X9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6.3016226645018492E-4</v>
      </c>
      <c r="Y924" s="162" t="str">
        <f>ReportSummary___Track[[#This Row],[Track ID]]&amp;"-"&amp;ReportSummary___Track[[#This Row],[Epoch]]</f>
        <v>250-RL-OP-0033-45791.2708333333</v>
      </c>
      <c r="Z924" s="126">
        <f>SUBTOTAL(103,ReportSummary___Track[[#This Row],[Track ID]])</f>
        <v>1</v>
      </c>
      <c r="AA924" s="114">
        <f>_xlfn.NUMBERVALUE(RIGHT(ReportSummary___Track[[#This Row],[Track ID]],4))</f>
        <v>33</v>
      </c>
      <c r="AB924" s="78"/>
    </row>
    <row r="925" spans="5:28" ht="14.25" customHeight="1" x14ac:dyDescent="0.2">
      <c r="E925" s="74">
        <v>45791.270833333336</v>
      </c>
      <c r="F925" s="107" t="s">
        <v>273</v>
      </c>
      <c r="G925" s="142">
        <v>51898.597307035503</v>
      </c>
      <c r="H925" s="142">
        <v>159191.85747321844</v>
      </c>
      <c r="I925" s="142">
        <v>18.864981116658633</v>
      </c>
      <c r="J925" s="142">
        <v>51898.232507400899</v>
      </c>
      <c r="K925" s="142">
        <v>159190.59556181522</v>
      </c>
      <c r="L925" s="142">
        <v>18.859419241340568</v>
      </c>
      <c r="M925" s="145">
        <v>5.5618753180652902E-3</v>
      </c>
      <c r="N925" s="145">
        <v>1.3135943427953649</v>
      </c>
      <c r="O925" s="145">
        <v>1.6757380672878242E-3</v>
      </c>
      <c r="P925" s="145">
        <v>1.8328916910554938E-3</v>
      </c>
      <c r="Q9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0.28401188122728627</v>
      </c>
      <c r="R9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0.3511758920196062</v>
      </c>
      <c r="S9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-8.7536127658438545E-2</v>
      </c>
      <c r="T9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0.94776056896961336</v>
      </c>
      <c r="U9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2.8218869935159319E-4</v>
      </c>
      <c r="V9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-2.2111115972500706E-4</v>
      </c>
      <c r="W9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-4.0383566973645202E-4</v>
      </c>
      <c r="X9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2.817332138072004E-4</v>
      </c>
      <c r="Y925" s="162" t="str">
        <f>ReportSummary___Track[[#This Row],[Track ID]]&amp;"-"&amp;ReportSummary___Track[[#This Row],[Epoch]]</f>
        <v>250-RL-OP-0034-45791.2708333333</v>
      </c>
      <c r="Z925" s="126">
        <f>SUBTOTAL(103,ReportSummary___Track[[#This Row],[Track ID]])</f>
        <v>1</v>
      </c>
      <c r="AA925" s="114">
        <f>_xlfn.NUMBERVALUE(RIGHT(ReportSummary___Track[[#This Row],[Track ID]],4))</f>
        <v>34</v>
      </c>
      <c r="AB925" s="78"/>
    </row>
    <row r="926" spans="5:28" ht="14.25" customHeight="1" x14ac:dyDescent="0.2">
      <c r="E926" s="74">
        <v>45791.270833333336</v>
      </c>
      <c r="F926" s="107" t="s">
        <v>274</v>
      </c>
      <c r="G926" s="142">
        <v>51899.557748431522</v>
      </c>
      <c r="H926" s="142">
        <v>159191.58237758733</v>
      </c>
      <c r="I926" s="142">
        <v>18.866</v>
      </c>
      <c r="J926" s="142">
        <v>51899.202472361336</v>
      </c>
      <c r="K926" s="142">
        <v>159190.32062001547</v>
      </c>
      <c r="L926" s="142">
        <v>18.859777427163273</v>
      </c>
      <c r="M926" s="145">
        <v>6.2225728367266697E-3</v>
      </c>
      <c r="N926" s="145">
        <v>1.3108363653061348</v>
      </c>
      <c r="O926" s="145">
        <v>1.9929159240490435E-3</v>
      </c>
      <c r="P926" s="145">
        <v>2.9970597642190455E-3</v>
      </c>
      <c r="Q9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9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3.6910825063074526E-4</v>
      </c>
      <c r="S9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-0.97862829283812403</v>
      </c>
      <c r="T9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0.98058792125499394</v>
      </c>
      <c r="U9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9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-6.4971259451507279E-4</v>
      </c>
      <c r="W9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-9.7826328102357252E-4</v>
      </c>
      <c r="X9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-1.4975145923301625E-6</v>
      </c>
      <c r="Y926" s="162" t="str">
        <f>ReportSummary___Track[[#This Row],[Track ID]]&amp;"-"&amp;ReportSummary___Track[[#This Row],[Epoch]]</f>
        <v>250-RL-OP-0035-45791.2708333333</v>
      </c>
      <c r="Z926" s="126">
        <f>SUBTOTAL(103,ReportSummary___Track[[#This Row],[Track ID]])</f>
        <v>1</v>
      </c>
      <c r="AA926" s="114">
        <f>_xlfn.NUMBERVALUE(RIGHT(ReportSummary___Track[[#This Row],[Track ID]],4))</f>
        <v>35</v>
      </c>
      <c r="AB926" s="78"/>
    </row>
    <row r="927" spans="5:28" ht="14.25" customHeight="1" x14ac:dyDescent="0.2">
      <c r="E927" s="74">
        <v>45791.270833333336</v>
      </c>
      <c r="F927" s="107" t="s">
        <v>275</v>
      </c>
      <c r="G927" s="142">
        <v>51900.520772886579</v>
      </c>
      <c r="H927" s="142">
        <v>159191.31296359556</v>
      </c>
      <c r="I927" s="142">
        <v>18.866</v>
      </c>
      <c r="J927" s="142">
        <v>51900.165031558645</v>
      </c>
      <c r="K927" s="142">
        <v>159190.04954924015</v>
      </c>
      <c r="L927" s="142">
        <v>18.859124401927648</v>
      </c>
      <c r="M927" s="145">
        <v>6.8755980723516075E-3</v>
      </c>
      <c r="N927" s="145">
        <v>1.3125604746775994</v>
      </c>
      <c r="O927" s="145">
        <v>1.9798319569801492E-3</v>
      </c>
      <c r="P927" s="145">
        <v>3.319772910707286E-3</v>
      </c>
      <c r="Q9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9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6.4312598746507632E-3</v>
      </c>
      <c r="S9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-0.63125683504239305</v>
      </c>
      <c r="T9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0.30458320817317031</v>
      </c>
      <c r="U9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9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-4.2495956612387253E-4</v>
      </c>
      <c r="W9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-6.241216995768184E-4</v>
      </c>
      <c r="X9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-3.3765665122942323E-4</v>
      </c>
      <c r="Y927" s="162" t="str">
        <f>ReportSummary___Track[[#This Row],[Track ID]]&amp;"-"&amp;ReportSummary___Track[[#This Row],[Epoch]]</f>
        <v>250-RL-OP-0036-45791.2708333333</v>
      </c>
      <c r="Z927" s="126">
        <f>SUBTOTAL(103,ReportSummary___Track[[#This Row],[Track ID]])</f>
        <v>1</v>
      </c>
      <c r="AA927" s="114">
        <f>_xlfn.NUMBERVALUE(RIGHT(ReportSummary___Track[[#This Row],[Track ID]],4))</f>
        <v>36</v>
      </c>
      <c r="AB927" s="78"/>
    </row>
    <row r="928" spans="5:28" ht="14.25" customHeight="1" x14ac:dyDescent="0.2">
      <c r="E928" s="74">
        <v>45791.270833333336</v>
      </c>
      <c r="F928" s="107" t="s">
        <v>276</v>
      </c>
      <c r="G928" s="142">
        <v>51901.483797341636</v>
      </c>
      <c r="H928" s="142">
        <v>159191.04354960378</v>
      </c>
      <c r="I928" s="142">
        <v>18.866</v>
      </c>
      <c r="J928" s="142">
        <v>51901.127590755961</v>
      </c>
      <c r="K928" s="142">
        <v>159189.77847846484</v>
      </c>
      <c r="L928" s="142">
        <v>18.858471376692023</v>
      </c>
      <c r="M928" s="145">
        <v>7.5286233079765452E-3</v>
      </c>
      <c r="N928" s="145">
        <v>1.314284900025277</v>
      </c>
      <c r="O928" s="145">
        <v>1.966747989911255E-3</v>
      </c>
      <c r="P928" s="145">
        <v>3.6424860571990791E-3</v>
      </c>
      <c r="Q9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1.2650398417690667E-4</v>
      </c>
      <c r="R9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1.249343231957134E-2</v>
      </c>
      <c r="S9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-0.28388537724310936</v>
      </c>
      <c r="T9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-0.37142150490154791</v>
      </c>
      <c r="U9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1.2208581232187043E-5</v>
      </c>
      <c r="V9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-2.0020175760859793E-4</v>
      </c>
      <c r="W9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-2.6998011811940614E-4</v>
      </c>
      <c r="X9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-6.7381578785585816E-4</v>
      </c>
      <c r="Y928" s="162" t="str">
        <f>ReportSummary___Track[[#This Row],[Track ID]]&amp;"-"&amp;ReportSummary___Track[[#This Row],[Epoch]]</f>
        <v>250-RL-OP-0037-45791.2708333333</v>
      </c>
      <c r="Z928" s="126">
        <f>SUBTOTAL(103,ReportSummary___Track[[#This Row],[Track ID]])</f>
        <v>1</v>
      </c>
      <c r="AA928" s="114">
        <f>_xlfn.NUMBERVALUE(RIGHT(ReportSummary___Track[[#This Row],[Track ID]],4))</f>
        <v>37</v>
      </c>
      <c r="AB928" s="78"/>
    </row>
    <row r="929" spans="5:28" ht="14.25" customHeight="1" x14ac:dyDescent="0.2">
      <c r="E929" s="74">
        <v>45791.270833333336</v>
      </c>
      <c r="F929" s="107" t="s">
        <v>277</v>
      </c>
      <c r="G929" s="142">
        <v>51902.446769943585</v>
      </c>
      <c r="H929" s="142">
        <v>159190.77524554107</v>
      </c>
      <c r="I929" s="142">
        <v>18.866124762962976</v>
      </c>
      <c r="J929" s="142">
        <v>51902.098875532785</v>
      </c>
      <c r="K929" s="142">
        <v>159189.50605873388</v>
      </c>
      <c r="L929" s="142">
        <v>18.857900000000001</v>
      </c>
      <c r="M929" s="145">
        <v>8.2247629629748076E-3</v>
      </c>
      <c r="N929" s="145">
        <v>1.3160293763149919</v>
      </c>
      <c r="O929" s="145">
        <v>2.0021901262481379E-3</v>
      </c>
      <c r="P929" s="145">
        <v>3.9951060502971814E-3</v>
      </c>
      <c r="Q9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9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3.9449151045811703E-3</v>
      </c>
      <c r="S9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-5.0854183086812554E-5</v>
      </c>
      <c r="T9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-0.97867914702121084</v>
      </c>
      <c r="U9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9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-5.338366272189532E-5</v>
      </c>
      <c r="W9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-3.6877807474411384E-7</v>
      </c>
      <c r="X9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-9.7863205909831663E-4</v>
      </c>
      <c r="Y929" s="162" t="str">
        <f>ReportSummary___Track[[#This Row],[Track ID]]&amp;"-"&amp;ReportSummary___Track[[#This Row],[Epoch]]</f>
        <v>250-RL-OP-0038-45791.2708333333</v>
      </c>
      <c r="Z929" s="126">
        <f>SUBTOTAL(103,ReportSummary___Track[[#This Row],[Track ID]])</f>
        <v>1</v>
      </c>
      <c r="AA929" s="114">
        <f>_xlfn.NUMBERVALUE(RIGHT(ReportSummary___Track[[#This Row],[Track ID]],4))</f>
        <v>38</v>
      </c>
      <c r="AB929" s="78"/>
    </row>
    <row r="930" spans="5:28" ht="14.25" customHeight="1" x14ac:dyDescent="0.2">
      <c r="E930" s="74">
        <v>45791.270833333336</v>
      </c>
      <c r="F930" s="107" t="s">
        <v>278</v>
      </c>
      <c r="G930" s="142">
        <v>51903.411366943481</v>
      </c>
      <c r="H930" s="142">
        <v>159190.51151814224</v>
      </c>
      <c r="I930" s="142">
        <v>18.866822542397969</v>
      </c>
      <c r="J930" s="142">
        <v>51903.063565613396</v>
      </c>
      <c r="K930" s="142">
        <v>159189.24267109489</v>
      </c>
      <c r="L930" s="142">
        <v>18.857900000000001</v>
      </c>
      <c r="M930" s="145">
        <v>8.9225423979684138E-3</v>
      </c>
      <c r="N930" s="145">
        <v>1.315681650910884</v>
      </c>
      <c r="O930" s="145">
        <v>2.0469443256168063E-3</v>
      </c>
      <c r="P930" s="145">
        <v>4.0267762825969555E-3</v>
      </c>
      <c r="Q9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-2.6371636607791515E-4</v>
      </c>
      <c r="R9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3.9482462121931405E-3</v>
      </c>
      <c r="S9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-3.3239524199757398E-4</v>
      </c>
      <c r="T9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-0.63158923028439062</v>
      </c>
      <c r="U9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-3.358293518829214E-7</v>
      </c>
      <c r="V9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-3.7400869759252053E-4</v>
      </c>
      <c r="W9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-6.5990397573045811E-6</v>
      </c>
      <c r="X9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-6.3072073933412298E-4</v>
      </c>
      <c r="Y930" s="162" t="str">
        <f>ReportSummary___Track[[#This Row],[Track ID]]&amp;"-"&amp;ReportSummary___Track[[#This Row],[Epoch]]</f>
        <v>250-RL-OP-0039-45791.2708333333</v>
      </c>
      <c r="Z930" s="126">
        <f>SUBTOTAL(103,ReportSummary___Track[[#This Row],[Track ID]])</f>
        <v>1</v>
      </c>
      <c r="AA930" s="114">
        <f>_xlfn.NUMBERVALUE(RIGHT(ReportSummary___Track[[#This Row],[Track ID]],4))</f>
        <v>39</v>
      </c>
      <c r="AB930" s="78"/>
    </row>
    <row r="931" spans="5:28" ht="14.25" customHeight="1" x14ac:dyDescent="0.2">
      <c r="E931" s="74">
        <v>45791.270833333336</v>
      </c>
      <c r="F931" s="107" t="s">
        <v>279</v>
      </c>
      <c r="G931" s="142">
        <v>51904.375963943377</v>
      </c>
      <c r="H931" s="142">
        <v>159190.24779074339</v>
      </c>
      <c r="I931" s="142">
        <v>18.867520321832963</v>
      </c>
      <c r="J931" s="142">
        <v>51904.028255694</v>
      </c>
      <c r="K931" s="142">
        <v>159188.9792834559</v>
      </c>
      <c r="L931" s="142">
        <v>18.857900000000001</v>
      </c>
      <c r="M931" s="145">
        <v>9.6203218329620199E-3</v>
      </c>
      <c r="N931" s="145">
        <v>1.3153342980733769</v>
      </c>
      <c r="O931" s="145">
        <v>2.0916985249854747E-3</v>
      </c>
      <c r="P931" s="145">
        <v>4.0584465148967297E-3</v>
      </c>
      <c r="Q9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-4.8743231673142873E-4</v>
      </c>
      <c r="R9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3.9512837357591479E-3</v>
      </c>
      <c r="S9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-6.139363009083354E-4</v>
      </c>
      <c r="T9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-0.2844993135440177</v>
      </c>
      <c r="U9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-6.2072021478343231E-7</v>
      </c>
      <c r="V9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-6.9463166912098195E-4</v>
      </c>
      <c r="W9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-1.2829301446970476E-5</v>
      </c>
      <c r="X9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-2.8280941956637662E-4</v>
      </c>
      <c r="Y931" s="162" t="str">
        <f>ReportSummary___Track[[#This Row],[Track ID]]&amp;"-"&amp;ReportSummary___Track[[#This Row],[Epoch]]</f>
        <v>250-RL-OP-0040-45791.2708333333</v>
      </c>
      <c r="Z931" s="126">
        <f>SUBTOTAL(103,ReportSummary___Track[[#This Row],[Track ID]])</f>
        <v>1</v>
      </c>
      <c r="AA931" s="114">
        <f>_xlfn.NUMBERVALUE(RIGHT(ReportSummary___Track[[#This Row],[Track ID]],4))</f>
        <v>40</v>
      </c>
      <c r="AB931" s="78"/>
    </row>
    <row r="932" spans="5:28" ht="14.25" customHeight="1" x14ac:dyDescent="0.2">
      <c r="E932" s="74">
        <v>45791.270833333336</v>
      </c>
      <c r="F932" s="107" t="s">
        <v>280</v>
      </c>
      <c r="G932" s="142">
        <v>51905.341841450259</v>
      </c>
      <c r="H932" s="142">
        <v>159189.98517913549</v>
      </c>
      <c r="I932" s="142">
        <v>18.868392406740742</v>
      </c>
      <c r="J932" s="142">
        <v>51905.003849006323</v>
      </c>
      <c r="K932" s="142">
        <v>159188.71394466935</v>
      </c>
      <c r="L932" s="142">
        <v>18.858104686160278</v>
      </c>
      <c r="M932" s="145">
        <v>1.0287720580464566E-2</v>
      </c>
      <c r="N932" s="145">
        <v>1.3154397733298733</v>
      </c>
      <c r="O932" s="145">
        <v>2.0629576174897579E-3</v>
      </c>
      <c r="P932" s="145">
        <v>4.0651477437378958E-3</v>
      </c>
      <c r="Q9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9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2.8125723972038941E-8</v>
      </c>
      <c r="S9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4.0000411871687902E-5</v>
      </c>
      <c r="T9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-1.0853771215124652E-5</v>
      </c>
      <c r="U9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-5.2204306655312394E-8</v>
      </c>
      <c r="V9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-9.0537885109154281E-4</v>
      </c>
      <c r="W9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-1.2658176729019033E-9</v>
      </c>
      <c r="X9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-3.7004389241701574E-7</v>
      </c>
      <c r="Y932" s="162" t="str">
        <f>ReportSummary___Track[[#This Row],[Track ID]]&amp;"-"&amp;ReportSummary___Track[[#This Row],[Epoch]]</f>
        <v>250-RL-OP-0041-45791.2708333333</v>
      </c>
      <c r="Z932" s="126">
        <f>SUBTOTAL(103,ReportSummary___Track[[#This Row],[Track ID]])</f>
        <v>1</v>
      </c>
      <c r="AA932" s="114">
        <f>_xlfn.NUMBERVALUE(RIGHT(ReportSummary___Track[[#This Row],[Track ID]],4))</f>
        <v>41</v>
      </c>
      <c r="AB932" s="78"/>
    </row>
    <row r="933" spans="5:28" ht="14.25" customHeight="1" x14ac:dyDescent="0.2">
      <c r="E933" s="74">
        <v>45791.270833333336</v>
      </c>
      <c r="F933" s="107" t="s">
        <v>281</v>
      </c>
      <c r="G933" s="142">
        <v>51906.308594977017</v>
      </c>
      <c r="H933" s="142">
        <v>159189.72947487878</v>
      </c>
      <c r="I933" s="142">
        <v>18.870110425193985</v>
      </c>
      <c r="J933" s="142">
        <v>51905.970388620146</v>
      </c>
      <c r="K933" s="142">
        <v>159188.45743149921</v>
      </c>
      <c r="L933" s="142">
        <v>18.859577248464422</v>
      </c>
      <c r="M933" s="145">
        <v>1.053317672956311E-2</v>
      </c>
      <c r="N933" s="145">
        <v>1.316278407923299</v>
      </c>
      <c r="O933" s="145">
        <v>1.6106343315946958E-3</v>
      </c>
      <c r="P933" s="145">
        <v>3.6575786572115021E-3</v>
      </c>
      <c r="Q9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-7.1054273576010019E-12</v>
      </c>
      <c r="R9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-1.8693935288638386E-9</v>
      </c>
      <c r="S9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2.637163589724878E-4</v>
      </c>
      <c r="T9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-6.8678883025086179E-5</v>
      </c>
      <c r="U9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-4.2777481823463859E-7</v>
      </c>
      <c r="V9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-4.6623291673530964E-4</v>
      </c>
      <c r="W9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-9.1945466351717187E-8</v>
      </c>
      <c r="X9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-6.6909852236562983E-6</v>
      </c>
      <c r="Y933" s="162" t="str">
        <f>ReportSummary___Track[[#This Row],[Track ID]]&amp;"-"&amp;ReportSummary___Track[[#This Row],[Epoch]]</f>
        <v>250-RL-OP-0042-45791.2708333333</v>
      </c>
      <c r="Z933" s="126">
        <f>SUBTOTAL(103,ReportSummary___Track[[#This Row],[Track ID]])</f>
        <v>1</v>
      </c>
      <c r="AA933" s="114">
        <f>_xlfn.NUMBERVALUE(RIGHT(ReportSummary___Track[[#This Row],[Track ID]],4))</f>
        <v>42</v>
      </c>
      <c r="AB933" s="78"/>
    </row>
    <row r="934" spans="5:28" ht="14.25" customHeight="1" x14ac:dyDescent="0.2">
      <c r="E934" s="74">
        <v>45791.270833333336</v>
      </c>
      <c r="F934" s="107" t="s">
        <v>282</v>
      </c>
      <c r="G934" s="142">
        <v>51907.275348503776</v>
      </c>
      <c r="H934" s="142">
        <v>159189.47377062205</v>
      </c>
      <c r="I934" s="142">
        <v>18.871828443647232</v>
      </c>
      <c r="J934" s="142">
        <v>51906.936928233976</v>
      </c>
      <c r="K934" s="142">
        <v>159188.20091832904</v>
      </c>
      <c r="L934" s="142">
        <v>18.861049810768563</v>
      </c>
      <c r="M934" s="145">
        <v>1.0778632878668759E-2</v>
      </c>
      <c r="N934" s="145">
        <v>1.3171170858218861</v>
      </c>
      <c r="O934" s="145">
        <v>1.1583110457067392E-3</v>
      </c>
      <c r="P934" s="145">
        <v>3.2500095706922139E-3</v>
      </c>
      <c r="Q9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-7.1054273576010019E-12</v>
      </c>
      <c r="R9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-3.7392311469375272E-9</v>
      </c>
      <c r="S9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4.8743230962600137E-4</v>
      </c>
      <c r="T9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-1.2650399128233403E-4</v>
      </c>
      <c r="U9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-8.033453262612511E-7</v>
      </c>
      <c r="V9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-2.7088387112073065E-5</v>
      </c>
      <c r="W9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-1.8262511147781879E-7</v>
      </c>
      <c r="X9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-1.3011926558448295E-5</v>
      </c>
      <c r="Y934" s="162" t="str">
        <f>ReportSummary___Track[[#This Row],[Track ID]]&amp;"-"&amp;ReportSummary___Track[[#This Row],[Epoch]]</f>
        <v>250-RL-OP-0043-45791.2708333333</v>
      </c>
      <c r="Z934" s="126">
        <f>SUBTOTAL(103,ReportSummary___Track[[#This Row],[Track ID]])</f>
        <v>1</v>
      </c>
      <c r="AA934" s="114">
        <f>_xlfn.NUMBERVALUE(RIGHT(ReportSummary___Track[[#This Row],[Track ID]],4))</f>
        <v>43</v>
      </c>
      <c r="AB934" s="78"/>
    </row>
    <row r="935" spans="5:28" ht="14.25" customHeight="1" x14ac:dyDescent="0.2">
      <c r="E935" s="74">
        <v>45791.270833333336</v>
      </c>
      <c r="F935" s="107" t="s">
        <v>283</v>
      </c>
      <c r="G935" s="142">
        <v>51908.24283118709</v>
      </c>
      <c r="H935" s="142">
        <v>159189.22159764636</v>
      </c>
      <c r="I935" s="142">
        <v>18.873859694515247</v>
      </c>
      <c r="J935" s="142">
        <v>51907.904524366677</v>
      </c>
      <c r="K935" s="142">
        <v>159187.94823131643</v>
      </c>
      <c r="L935" s="142">
        <v>18.862831033571712</v>
      </c>
      <c r="M935" s="145">
        <v>1.1028660943534163E-2</v>
      </c>
      <c r="N935" s="145">
        <v>1.3175867889055439</v>
      </c>
      <c r="O935" s="145">
        <v>7.4094036306959765E-4</v>
      </c>
      <c r="P935" s="145">
        <v>2.8038979805593556E-3</v>
      </c>
      <c r="Q9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2.5810718540242306E-4</v>
      </c>
      <c r="R9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-3.7252891878170047E-2</v>
      </c>
      <c r="S9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2.5810718540242306E-4</v>
      </c>
      <c r="T9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2.9810759727411096E-4</v>
      </c>
      <c r="U9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4.5860521424856415E-7</v>
      </c>
      <c r="V9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9.4904904549775182E-5</v>
      </c>
      <c r="W9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5.1080952090387655E-7</v>
      </c>
      <c r="X9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5.0954370323097464E-7</v>
      </c>
      <c r="Y935" s="162" t="str">
        <f>ReportSummary___Track[[#This Row],[Track ID]]&amp;"-"&amp;ReportSummary___Track[[#This Row],[Epoch]]</f>
        <v>250-RL-OP-0044-45791.2708333333</v>
      </c>
      <c r="Z935" s="126">
        <f>SUBTOTAL(103,ReportSummary___Track[[#This Row],[Track ID]])</f>
        <v>1</v>
      </c>
      <c r="AA935" s="114">
        <f>_xlfn.NUMBERVALUE(RIGHT(ReportSummary___Track[[#This Row],[Track ID]],4))</f>
        <v>44</v>
      </c>
      <c r="AB935" s="78"/>
    </row>
    <row r="936" spans="5:28" ht="14.25" customHeight="1" x14ac:dyDescent="0.2">
      <c r="E936" s="74">
        <v>45791.270833333336</v>
      </c>
      <c r="F936" s="107" t="s">
        <v>284</v>
      </c>
      <c r="G936" s="142">
        <v>51909.212416550698</v>
      </c>
      <c r="H936" s="142">
        <v>159188.97685919519</v>
      </c>
      <c r="I936" s="142">
        <v>18.876563986793464</v>
      </c>
      <c r="J936" s="142">
        <v>51908.873871510616</v>
      </c>
      <c r="K936" s="142">
        <v>159187.70254731542</v>
      </c>
      <c r="L936" s="142">
        <v>18.865173292792999</v>
      </c>
      <c r="M936" s="145">
        <v>1.1390694000464663E-2</v>
      </c>
      <c r="N936" s="145">
        <v>1.3185648482297345</v>
      </c>
      <c r="O936" s="145">
        <v>8.5751727090155327E-4</v>
      </c>
      <c r="P936" s="145">
        <v>2.4681516024962491E-3</v>
      </c>
      <c r="Q9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1.0077516456874491E-3</v>
      </c>
      <c r="R9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-0.10979088626994482</v>
      </c>
      <c r="S9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1.0077516527928765E-3</v>
      </c>
      <c r="T9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1.2714680117653643E-3</v>
      </c>
      <c r="U9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1.8389449571998284E-6</v>
      </c>
      <c r="V9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-3.6848764110830601E-4</v>
      </c>
      <c r="W9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2.266719775434467E-6</v>
      </c>
      <c r="X9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2.1747743090827498E-6</v>
      </c>
      <c r="Y936" s="162" t="str">
        <f>ReportSummary___Track[[#This Row],[Track ID]]&amp;"-"&amp;ReportSummary___Track[[#This Row],[Epoch]]</f>
        <v>250-RL-OP-0045-45791.2708333333</v>
      </c>
      <c r="Z936" s="126">
        <f>SUBTOTAL(103,ReportSummary___Track[[#This Row],[Track ID]])</f>
        <v>1</v>
      </c>
      <c r="AA936" s="114">
        <f>_xlfn.NUMBERVALUE(RIGHT(ReportSummary___Track[[#This Row],[Track ID]],4))</f>
        <v>45</v>
      </c>
      <c r="AB936" s="78"/>
    </row>
    <row r="937" spans="5:28" ht="14.25" customHeight="1" x14ac:dyDescent="0.2">
      <c r="E937" s="74">
        <v>45791.270833333336</v>
      </c>
      <c r="F937" s="107" t="s">
        <v>285</v>
      </c>
      <c r="G937" s="142">
        <v>51910.182001914305</v>
      </c>
      <c r="H937" s="142">
        <v>159188.73212074401</v>
      </c>
      <c r="I937" s="142">
        <v>18.879268279071681</v>
      </c>
      <c r="J937" s="142">
        <v>51909.843218654561</v>
      </c>
      <c r="K937" s="142">
        <v>159187.45686331441</v>
      </c>
      <c r="L937" s="142">
        <v>18.867515552014286</v>
      </c>
      <c r="M937" s="145">
        <v>1.1752727057395163E-2</v>
      </c>
      <c r="N937" s="145">
        <v>1.319543002494777</v>
      </c>
      <c r="O937" s="145">
        <v>9.7409417872640347E-4</v>
      </c>
      <c r="P937" s="145">
        <v>2.1324052244331426E-3</v>
      </c>
      <c r="Q9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1.7573961095251889E-3</v>
      </c>
      <c r="R9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-0.18232820471109079</v>
      </c>
      <c r="S9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1.7573961166306162E-3</v>
      </c>
      <c r="T9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2.2448284262566176E-3</v>
      </c>
      <c r="U9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3.2192847001510927E-6</v>
      </c>
      <c r="V9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-8.3187736668821621E-4</v>
      </c>
      <c r="W9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4.0226300264123438E-6</v>
      </c>
      <c r="X9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3.840004914934525E-6</v>
      </c>
      <c r="Y937" s="162" t="str">
        <f>ReportSummary___Track[[#This Row],[Track ID]]&amp;"-"&amp;ReportSummary___Track[[#This Row],[Epoch]]</f>
        <v>250-RL-OP-0046-45791.2708333333</v>
      </c>
      <c r="Z937" s="126">
        <f>SUBTOTAL(103,ReportSummary___Track[[#This Row],[Track ID]])</f>
        <v>1</v>
      </c>
      <c r="AA937" s="114">
        <f>_xlfn.NUMBERVALUE(RIGHT(ReportSummary___Track[[#This Row],[Track ID]],4))</f>
        <v>46</v>
      </c>
      <c r="AB937" s="78"/>
    </row>
    <row r="938" spans="5:28" ht="14.25" customHeight="1" x14ac:dyDescent="0.2">
      <c r="E938" s="74">
        <v>45791.270833333336</v>
      </c>
      <c r="F938" s="107" t="s">
        <v>286</v>
      </c>
      <c r="G938" s="142">
        <v>51911.151124583565</v>
      </c>
      <c r="H938" s="142">
        <v>159188.48937362182</v>
      </c>
      <c r="I938" s="142">
        <v>18.882328441829319</v>
      </c>
      <c r="J938" s="142">
        <v>51910.835170760911</v>
      </c>
      <c r="K938" s="142">
        <v>159187.20742803696</v>
      </c>
      <c r="L938" s="142">
        <v>18.870139055249297</v>
      </c>
      <c r="M938" s="145">
        <v>1.2189386580022443E-2</v>
      </c>
      <c r="N938" s="145">
        <v>1.3203635415109993</v>
      </c>
      <c r="O938" s="145">
        <v>1.1607256364882801E-3</v>
      </c>
      <c r="P938" s="145">
        <v>1.9016659995578777E-3</v>
      </c>
      <c r="Q9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2.5546288391353755E-3</v>
      </c>
      <c r="R9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-0.23655436007286035</v>
      </c>
      <c r="S9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2.2965216537329525E-3</v>
      </c>
      <c r="T9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2.5546288391353755E-3</v>
      </c>
      <c r="U9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-7.4296993574307635E-5</v>
      </c>
      <c r="V9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-1.1732268707347338E-3</v>
      </c>
      <c r="W9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-7.4755598788556199E-5</v>
      </c>
      <c r="X9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-7.4244789267652322E-5</v>
      </c>
      <c r="Y938" s="162" t="str">
        <f>ReportSummary___Track[[#This Row],[Track ID]]&amp;"-"&amp;ReportSummary___Track[[#This Row],[Epoch]]</f>
        <v>250-RL-OP-0047-45791.2708333333</v>
      </c>
      <c r="Z938" s="126">
        <f>SUBTOTAL(103,ReportSummary___Track[[#This Row],[Track ID]])</f>
        <v>1</v>
      </c>
      <c r="AA938" s="114">
        <f>_xlfn.NUMBERVALUE(RIGHT(ReportSummary___Track[[#This Row],[Track ID]],4))</f>
        <v>47</v>
      </c>
      <c r="AB938" s="78"/>
    </row>
    <row r="939" spans="5:28" ht="14.25" customHeight="1" x14ac:dyDescent="0.2">
      <c r="E939" s="74">
        <v>45791.270833333336</v>
      </c>
      <c r="F939" s="107" t="s">
        <v>287</v>
      </c>
      <c r="G939" s="142">
        <v>51912.122778205805</v>
      </c>
      <c r="H939" s="142">
        <v>159188.25300560394</v>
      </c>
      <c r="I939" s="142">
        <v>18.886732814833675</v>
      </c>
      <c r="J939" s="142">
        <v>51911.806635538363</v>
      </c>
      <c r="K939" s="142">
        <v>159186.97026833432</v>
      </c>
      <c r="L939" s="142">
        <v>18.873524557994575</v>
      </c>
      <c r="M939" s="145">
        <v>1.3208256839099874E-2</v>
      </c>
      <c r="N939" s="145">
        <v>1.3211871733770224</v>
      </c>
      <c r="O939" s="145">
        <v>1.8175628386352116E-3</v>
      </c>
      <c r="P939" s="145">
        <v>2.6750801095367649E-3</v>
      </c>
      <c r="Q9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2.2898558391659662E-3</v>
      </c>
      <c r="R9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-0.23697900312535936</v>
      </c>
      <c r="S9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1.2821041934785171E-3</v>
      </c>
      <c r="T9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2.2898558462713936E-3</v>
      </c>
      <c r="U9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-4.2671865157828393E-4</v>
      </c>
      <c r="V9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-1.0122642619501132E-3</v>
      </c>
      <c r="W9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-4.2855759653548375E-4</v>
      </c>
      <c r="X9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-4.2629087676004929E-4</v>
      </c>
      <c r="Y939" s="162" t="str">
        <f>ReportSummary___Track[[#This Row],[Track ID]]&amp;"-"&amp;ReportSummary___Track[[#This Row],[Epoch]]</f>
        <v>250-RL-OP-0048-45791.2708333333</v>
      </c>
      <c r="Z939" s="126">
        <f>SUBTOTAL(103,ReportSummary___Track[[#This Row],[Track ID]])</f>
        <v>1</v>
      </c>
      <c r="AA939" s="114">
        <f>_xlfn.NUMBERVALUE(RIGHT(ReportSummary___Track[[#This Row],[Track ID]],4))</f>
        <v>48</v>
      </c>
      <c r="AB939" s="78"/>
    </row>
    <row r="940" spans="5:28" ht="14.25" customHeight="1" x14ac:dyDescent="0.2">
      <c r="E940" s="74">
        <v>45791.270833333336</v>
      </c>
      <c r="F940" s="107" t="s">
        <v>288</v>
      </c>
      <c r="G940" s="142">
        <v>51913.094431828045</v>
      </c>
      <c r="H940" s="142">
        <v>159188.01663758603</v>
      </c>
      <c r="I940" s="142">
        <v>18.89113718783803</v>
      </c>
      <c r="J940" s="142">
        <v>51912.778100315809</v>
      </c>
      <c r="K940" s="142">
        <v>159186.73310863168</v>
      </c>
      <c r="L940" s="142">
        <v>18.876910060739853</v>
      </c>
      <c r="M940" s="145">
        <v>1.4227127098177306E-2</v>
      </c>
      <c r="N940" s="145">
        <v>1.3220115783977731</v>
      </c>
      <c r="O940" s="145">
        <v>2.4744000407821432E-3</v>
      </c>
      <c r="P940" s="145">
        <v>3.4484942195085466E-3</v>
      </c>
      <c r="Q9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2.0250828427492706E-3</v>
      </c>
      <c r="R9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-0.23740395376181667</v>
      </c>
      <c r="S9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2.6768673322408176E-4</v>
      </c>
      <c r="T9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2.025082849854698E-3</v>
      </c>
      <c r="U9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-7.7914030958581293E-4</v>
      </c>
      <c r="V9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-8.5193674576711231E-4</v>
      </c>
      <c r="W9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-7.8235959428596402E-4</v>
      </c>
      <c r="X9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-7.7833696425955168E-4</v>
      </c>
      <c r="Y940" s="162" t="str">
        <f>ReportSummary___Track[[#This Row],[Track ID]]&amp;"-"&amp;ReportSummary___Track[[#This Row],[Epoch]]</f>
        <v>250-RL-OP-0049-45791.2708333333</v>
      </c>
      <c r="Z940" s="126">
        <f>SUBTOTAL(103,ReportSummary___Track[[#This Row],[Track ID]])</f>
        <v>1</v>
      </c>
      <c r="AA940" s="114">
        <f>_xlfn.NUMBERVALUE(RIGHT(ReportSummary___Track[[#This Row],[Track ID]],4))</f>
        <v>49</v>
      </c>
      <c r="AB940" s="78"/>
    </row>
    <row r="941" spans="5:28" ht="14.25" customHeight="1" x14ac:dyDescent="0.2">
      <c r="E941" s="74">
        <v>45790.270833333336</v>
      </c>
      <c r="F941" s="107" t="s">
        <v>235</v>
      </c>
      <c r="G941" s="142">
        <v>51886.101888003854</v>
      </c>
      <c r="H941" s="142">
        <v>159195.44568170901</v>
      </c>
      <c r="I941" s="142">
        <v>18.870774640796562</v>
      </c>
      <c r="J941" s="142">
        <v>51885.741976141326</v>
      </c>
      <c r="K941" s="142">
        <v>159194.18669572662</v>
      </c>
      <c r="L941" s="142">
        <v>18.866068645440574</v>
      </c>
      <c r="M941" s="145">
        <v>4.7059953559873691E-3</v>
      </c>
      <c r="N941" s="145">
        <v>1.3094290355122273</v>
      </c>
      <c r="O941" s="145"/>
      <c r="P941" s="145"/>
      <c r="Q9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0.43723060999312224</v>
      </c>
      <c r="R9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-0.68914087518234801</v>
      </c>
      <c r="S94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4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7.1892426442587976E-4</v>
      </c>
      <c r="V9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2.3863967417714349E-6</v>
      </c>
      <c r="W94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4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41" s="162" t="str">
        <f>ReportSummary___Track[[#This Row],[Track ID]]&amp;"-"&amp;ReportSummary___Track[[#This Row],[Epoch]]</f>
        <v>250-RL-OP-0021-45790.2708333333</v>
      </c>
      <c r="Z941" s="126">
        <f>SUBTOTAL(103,ReportSummary___Track[[#This Row],[Track ID]])</f>
        <v>1</v>
      </c>
      <c r="AA941" s="114">
        <f>_xlfn.NUMBERVALUE(RIGHT(ReportSummary___Track[[#This Row],[Track ID]],4))</f>
        <v>21</v>
      </c>
      <c r="AB941" s="78"/>
    </row>
    <row r="942" spans="5:28" ht="14.25" customHeight="1" x14ac:dyDescent="0.2">
      <c r="E942" s="74">
        <v>45790.270833333336</v>
      </c>
      <c r="F942" s="107" t="s">
        <v>236</v>
      </c>
      <c r="G942" s="142">
        <v>51887.0635346048</v>
      </c>
      <c r="H942" s="142">
        <v>159195.17139037082</v>
      </c>
      <c r="I942" s="142">
        <v>18.870497718698449</v>
      </c>
      <c r="J942" s="142">
        <v>51886.703005157353</v>
      </c>
      <c r="K942" s="142">
        <v>159193.91024828269</v>
      </c>
      <c r="L942" s="142">
        <v>18.866271344287416</v>
      </c>
      <c r="M942" s="145">
        <v>4.2263744110329071E-3</v>
      </c>
      <c r="N942" s="145">
        <v>1.3116701990854145</v>
      </c>
      <c r="O942" s="145"/>
      <c r="P942" s="145"/>
      <c r="Q9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-0.24674685166559129</v>
      </c>
      <c r="R9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-0.35861400967163171</v>
      </c>
      <c r="S94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4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3.8109285148024696E-4</v>
      </c>
      <c r="V9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1.1725237190063353E-6</v>
      </c>
      <c r="W94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4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42" s="162" t="str">
        <f>ReportSummary___Track[[#This Row],[Track ID]]&amp;"-"&amp;ReportSummary___Track[[#This Row],[Epoch]]</f>
        <v>250-RL-OP-0022-45790.2708333333</v>
      </c>
      <c r="Z942" s="126">
        <f>SUBTOTAL(103,ReportSummary___Track[[#This Row],[Track ID]])</f>
        <v>1</v>
      </c>
      <c r="AA942" s="114">
        <f>_xlfn.NUMBERVALUE(RIGHT(ReportSummary___Track[[#This Row],[Track ID]],4))</f>
        <v>22</v>
      </c>
      <c r="AB942" s="78"/>
    </row>
    <row r="943" spans="5:28" ht="14.25" customHeight="1" x14ac:dyDescent="0.2">
      <c r="E943" s="74">
        <v>45790.270833333336</v>
      </c>
      <c r="F943" s="107" t="s">
        <v>237</v>
      </c>
      <c r="G943" s="142">
        <v>51888.025181205747</v>
      </c>
      <c r="H943" s="142">
        <v>159194.89709903265</v>
      </c>
      <c r="I943" s="142">
        <v>18.870220796600339</v>
      </c>
      <c r="J943" s="142">
        <v>51887.664034173373</v>
      </c>
      <c r="K943" s="142">
        <v>159193.63380083872</v>
      </c>
      <c r="L943" s="142">
        <v>18.866474043134257</v>
      </c>
      <c r="M943" s="145">
        <v>3.7467534660819979E-3</v>
      </c>
      <c r="N943" s="145">
        <v>1.313911543417609</v>
      </c>
      <c r="O943" s="145"/>
      <c r="P943" s="145"/>
      <c r="Q9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-0.93072431332075212</v>
      </c>
      <c r="R9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-2.7936192778632574E-2</v>
      </c>
      <c r="S94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4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4.3261438534614172E-5</v>
      </c>
      <c r="V9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1.2260110082706888E-7</v>
      </c>
      <c r="W94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4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43" s="162" t="str">
        <f>ReportSummary___Track[[#This Row],[Track ID]]&amp;"-"&amp;ReportSummary___Track[[#This Row],[Epoch]]</f>
        <v>250-RL-OP-0023-45790.2708333333</v>
      </c>
      <c r="Z943" s="126">
        <f>SUBTOTAL(103,ReportSummary___Track[[#This Row],[Track ID]])</f>
        <v>1</v>
      </c>
      <c r="AA943" s="114">
        <f>_xlfn.NUMBERVALUE(RIGHT(ReportSummary___Track[[#This Row],[Track ID]],4))</f>
        <v>23</v>
      </c>
      <c r="AB943" s="78"/>
    </row>
    <row r="944" spans="5:28" ht="14.25" customHeight="1" x14ac:dyDescent="0.2">
      <c r="E944" s="74">
        <v>45790.270833333336</v>
      </c>
      <c r="F944" s="107" t="s">
        <v>238</v>
      </c>
      <c r="G944" s="142">
        <v>51888.98628832103</v>
      </c>
      <c r="H944" s="142">
        <v>159194.62201573106</v>
      </c>
      <c r="I944" s="142">
        <v>18.869514730242752</v>
      </c>
      <c r="J944" s="142">
        <v>51888.624103758353</v>
      </c>
      <c r="K944" s="142">
        <v>159193.35707278902</v>
      </c>
      <c r="L944" s="142">
        <v>18.865453221913011</v>
      </c>
      <c r="M944" s="145">
        <v>4.0615083297410592E-3</v>
      </c>
      <c r="N944" s="145">
        <v>1.3157791607683504</v>
      </c>
      <c r="O944" s="145">
        <v>-6.4448702624630982E-4</v>
      </c>
      <c r="P944" s="145"/>
      <c r="Q9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-0.70091322933762967</v>
      </c>
      <c r="R9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9.7314365345990694E-3</v>
      </c>
      <c r="S9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-1.1381438393307519</v>
      </c>
      <c r="T94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9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9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-7.1892426442587976E-4</v>
      </c>
      <c r="X94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44" s="162" t="str">
        <f>ReportSummary___Track[[#This Row],[Track ID]]&amp;"-"&amp;ReportSummary___Track[[#This Row],[Epoch]]</f>
        <v>250-RL-OP-0024-45790.2708333333</v>
      </c>
      <c r="Z944" s="126">
        <f>SUBTOTAL(103,ReportSummary___Track[[#This Row],[Track ID]])</f>
        <v>1</v>
      </c>
      <c r="AA944" s="114">
        <f>_xlfn.NUMBERVALUE(RIGHT(ReportSummary___Track[[#This Row],[Track ID]],4))</f>
        <v>24</v>
      </c>
      <c r="AB944" s="78"/>
    </row>
    <row r="945" spans="5:28" ht="14.25" customHeight="1" x14ac:dyDescent="0.2">
      <c r="E945" s="74">
        <v>45790.270833333336</v>
      </c>
      <c r="F945" s="107" t="s">
        <v>239</v>
      </c>
      <c r="G945" s="142">
        <v>51889.947664398285</v>
      </c>
      <c r="H945" s="142">
        <v>159194.34677858101</v>
      </c>
      <c r="I945" s="142">
        <v>18.868773577574299</v>
      </c>
      <c r="J945" s="142">
        <v>51889.584962165369</v>
      </c>
      <c r="K945" s="142">
        <v>159193.08003546728</v>
      </c>
      <c r="L945" s="142">
        <v>18.864251548067312</v>
      </c>
      <c r="M945" s="145">
        <v>4.5220295069867689E-3</v>
      </c>
      <c r="N945" s="145">
        <v>1.3176537764826539</v>
      </c>
      <c r="O945" s="145">
        <v>2.9565509595386175E-4</v>
      </c>
      <c r="P945" s="145"/>
      <c r="Q9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-0.357565222156353</v>
      </c>
      <c r="R9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4.7861656904402139E-3</v>
      </c>
      <c r="S9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-0.11081837049076171</v>
      </c>
      <c r="T94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9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9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-3.8109285147669425E-4</v>
      </c>
      <c r="X94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45" s="162" t="str">
        <f>ReportSummary___Track[[#This Row],[Track ID]]&amp;"-"&amp;ReportSummary___Track[[#This Row],[Epoch]]</f>
        <v>250-RL-OP-0025-45790.2708333333</v>
      </c>
      <c r="Z945" s="126">
        <f>SUBTOTAL(103,ReportSummary___Track[[#This Row],[Track ID]])</f>
        <v>1</v>
      </c>
      <c r="AA945" s="114">
        <f>_xlfn.NUMBERVALUE(RIGHT(ReportSummary___Track[[#This Row],[Track ID]],4))</f>
        <v>25</v>
      </c>
      <c r="AB945" s="78"/>
    </row>
    <row r="946" spans="5:28" ht="14.25" customHeight="1" x14ac:dyDescent="0.2">
      <c r="E946" s="74">
        <v>45790.270833333336</v>
      </c>
      <c r="F946" s="107" t="s">
        <v>240</v>
      </c>
      <c r="G946" s="142">
        <v>51890.909040475541</v>
      </c>
      <c r="H946" s="142">
        <v>159194.07154143095</v>
      </c>
      <c r="I946" s="142">
        <v>18.868032424905849</v>
      </c>
      <c r="J946" s="142">
        <v>51890.545820572392</v>
      </c>
      <c r="K946" s="142">
        <v>159192.80299814555</v>
      </c>
      <c r="L946" s="142">
        <v>18.863049874221616</v>
      </c>
      <c r="M946" s="145">
        <v>4.9825506842324785E-3</v>
      </c>
      <c r="N946" s="145">
        <v>1.3195285486874013</v>
      </c>
      <c r="O946" s="145">
        <v>1.2357972181504806E-3</v>
      </c>
      <c r="P946" s="145"/>
      <c r="Q9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-1.4217214975076331E-2</v>
      </c>
      <c r="R9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-1.1861806870072655E-5</v>
      </c>
      <c r="S9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0.91650709834567579</v>
      </c>
      <c r="T94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9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9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-4.3261438531061458E-5</v>
      </c>
      <c r="X94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46" s="162" t="str">
        <f>ReportSummary___Track[[#This Row],[Track ID]]&amp;"-"&amp;ReportSummary___Track[[#This Row],[Epoch]]</f>
        <v>250-RL-OP-0026-45790.2708333333</v>
      </c>
      <c r="Z946" s="126">
        <f>SUBTOTAL(103,ReportSummary___Track[[#This Row],[Track ID]])</f>
        <v>1</v>
      </c>
      <c r="AA946" s="114">
        <f>_xlfn.NUMBERVALUE(RIGHT(ReportSummary___Track[[#This Row],[Track ID]],4))</f>
        <v>26</v>
      </c>
      <c r="AB946" s="78"/>
    </row>
    <row r="947" spans="5:28" ht="14.25" customHeight="1" x14ac:dyDescent="0.2">
      <c r="E947" s="74">
        <v>45790.270833333336</v>
      </c>
      <c r="F947" s="107" t="s">
        <v>241</v>
      </c>
      <c r="G947" s="142">
        <v>51891.869997674046</v>
      </c>
      <c r="H947" s="142">
        <v>159193.79503821288</v>
      </c>
      <c r="I947" s="142">
        <v>18.865661670375356</v>
      </c>
      <c r="J947" s="142">
        <v>51891.504267267614</v>
      </c>
      <c r="K947" s="142">
        <v>159192.52660902659</v>
      </c>
      <c r="L947" s="142">
        <v>18.861283294009535</v>
      </c>
      <c r="M947" s="145">
        <v>4.3783763658211683E-3</v>
      </c>
      <c r="N947" s="145">
        <v>1.3201100336646869</v>
      </c>
      <c r="O947" s="145">
        <v>3.1686803608010905E-4</v>
      </c>
      <c r="P947" s="145">
        <v>-3.2761899016620077E-4</v>
      </c>
      <c r="Q9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9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9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0.37634327362567888</v>
      </c>
      <c r="T9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-0.76180056570507304</v>
      </c>
      <c r="U9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9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9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6.1555653019240708E-8</v>
      </c>
      <c r="X9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-7.1886270877286051E-4</v>
      </c>
      <c r="Y947" s="162" t="str">
        <f>ReportSummary___Track[[#This Row],[Track ID]]&amp;"-"&amp;ReportSummary___Track[[#This Row],[Epoch]]</f>
        <v>250-RL-OP-0027-45790.2708333333</v>
      </c>
      <c r="Z947" s="126">
        <f>SUBTOTAL(103,ReportSummary___Track[[#This Row],[Track ID]])</f>
        <v>1</v>
      </c>
      <c r="AA947" s="114">
        <f>_xlfn.NUMBERVALUE(RIGHT(ReportSummary___Track[[#This Row],[Track ID]],4))</f>
        <v>27</v>
      </c>
      <c r="AB947" s="78"/>
    </row>
    <row r="948" spans="5:28" ht="14.25" customHeight="1" x14ac:dyDescent="0.2">
      <c r="E948" s="74">
        <v>45790.270833333336</v>
      </c>
      <c r="F948" s="107" t="s">
        <v>242</v>
      </c>
      <c r="G948" s="142">
        <v>51892.83098666594</v>
      </c>
      <c r="H948" s="142">
        <v>159193.51846240537</v>
      </c>
      <c r="I948" s="142">
        <v>18.863216230483452</v>
      </c>
      <c r="J948" s="142">
        <v>51892.465111689802</v>
      </c>
      <c r="K948" s="142">
        <v>159192.24952641845</v>
      </c>
      <c r="L948" s="142">
        <v>18.859487576446288</v>
      </c>
      <c r="M948" s="145">
        <v>3.7286540371646026E-3</v>
      </c>
      <c r="N948" s="145">
        <v>1.3206350517469128</v>
      </c>
      <c r="O948" s="145">
        <v>-7.9337546982216622E-4</v>
      </c>
      <c r="P948" s="145">
        <v>-4.9772037386830448E-4</v>
      </c>
      <c r="Q9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9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9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-0.30651305543116791</v>
      </c>
      <c r="T9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-0.41733142592192962</v>
      </c>
      <c r="U9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9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9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1.2589569564624981E-7</v>
      </c>
      <c r="X9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-3.80966955781048E-4</v>
      </c>
      <c r="Y948" s="162" t="str">
        <f>ReportSummary___Track[[#This Row],[Track ID]]&amp;"-"&amp;ReportSummary___Track[[#This Row],[Epoch]]</f>
        <v>250-RL-OP-0028-45790.2708333333</v>
      </c>
      <c r="Z948" s="126">
        <f>SUBTOTAL(103,ReportSummary___Track[[#This Row],[Track ID]])</f>
        <v>1</v>
      </c>
      <c r="AA948" s="114">
        <f>_xlfn.NUMBERVALUE(RIGHT(ReportSummary___Track[[#This Row],[Track ID]],4))</f>
        <v>28</v>
      </c>
      <c r="AB948" s="78"/>
    </row>
    <row r="949" spans="5:28" ht="14.25" customHeight="1" x14ac:dyDescent="0.2">
      <c r="E949" s="74">
        <v>45790.270833333336</v>
      </c>
      <c r="F949" s="107" t="s">
        <v>243</v>
      </c>
      <c r="G949" s="142">
        <v>51893.79183894024</v>
      </c>
      <c r="H949" s="142">
        <v>159193.24190592469</v>
      </c>
      <c r="I949" s="142">
        <v>18.86092641939771</v>
      </c>
      <c r="J949" s="142">
        <v>51893.426692580288</v>
      </c>
      <c r="K949" s="142">
        <v>159191.97223179525</v>
      </c>
      <c r="L949" s="142">
        <v>18.857700906411129</v>
      </c>
      <c r="M949" s="145">
        <v>3.2255129865816912E-3</v>
      </c>
      <c r="N949" s="145">
        <v>1.3211414243285451</v>
      </c>
      <c r="O949" s="145">
        <v>-1.7570376976507873E-3</v>
      </c>
      <c r="P949" s="145">
        <v>-5.2124047950030672E-4</v>
      </c>
      <c r="Q9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-0.98057715340971185</v>
      </c>
      <c r="R9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-0.25718536921748303</v>
      </c>
      <c r="S9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-0.96635993843463552</v>
      </c>
      <c r="T9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-4.9852840088959738E-2</v>
      </c>
      <c r="U9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1.8152682521588304E-6</v>
      </c>
      <c r="V9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1.6926918418702641E-5</v>
      </c>
      <c r="W9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1.8152682486061167E-6</v>
      </c>
      <c r="X9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-4.1446170282455341E-5</v>
      </c>
      <c r="Y949" s="162" t="str">
        <f>ReportSummary___Track[[#This Row],[Track ID]]&amp;"-"&amp;ReportSummary___Track[[#This Row],[Epoch]]</f>
        <v>250-RL-OP-0029-45790.2708333333</v>
      </c>
      <c r="Z949" s="126">
        <f>SUBTOTAL(103,ReportSummary___Track[[#This Row],[Track ID]])</f>
        <v>1</v>
      </c>
      <c r="AA949" s="114">
        <f>_xlfn.NUMBERVALUE(RIGHT(ReportSummary___Track[[#This Row],[Track ID]],4))</f>
        <v>29</v>
      </c>
      <c r="AB949" s="78"/>
    </row>
    <row r="950" spans="5:28" ht="14.25" customHeight="1" x14ac:dyDescent="0.2">
      <c r="E950" s="74">
        <v>45790.270833333336</v>
      </c>
      <c r="F950" s="107" t="s">
        <v>269</v>
      </c>
      <c r="G950" s="142">
        <v>51894.752729646825</v>
      </c>
      <c r="H950" s="142">
        <v>159192.96497849975</v>
      </c>
      <c r="I950" s="142">
        <v>18.861427736242298</v>
      </c>
      <c r="J950" s="142">
        <v>51894.387556785739</v>
      </c>
      <c r="K950" s="142">
        <v>159191.69521203163</v>
      </c>
      <c r="L950" s="142">
        <v>18.85787192737892</v>
      </c>
      <c r="M950" s="145">
        <v>3.5558088633784735E-3</v>
      </c>
      <c r="N950" s="145">
        <v>1.3212383380024699</v>
      </c>
      <c r="O950" s="145">
        <v>-8.2256750244269483E-4</v>
      </c>
      <c r="P950" s="145">
        <v>-5.0569946636258578E-4</v>
      </c>
      <c r="Q9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-0.30453082756309868</v>
      </c>
      <c r="R9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0.25322418947859582</v>
      </c>
      <c r="S9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2.0039128148852114E-2</v>
      </c>
      <c r="T9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0.39638240177453099</v>
      </c>
      <c r="U9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3.4390356336899686E-4</v>
      </c>
      <c r="V9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3.3891306682010125E-4</v>
      </c>
      <c r="W9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3.4384200771597762E-4</v>
      </c>
      <c r="X9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3.4390356336899686E-4</v>
      </c>
      <c r="Y950" s="162" t="str">
        <f>ReportSummary___Track[[#This Row],[Track ID]]&amp;"-"&amp;ReportSummary___Track[[#This Row],[Epoch]]</f>
        <v>250-RL-OP-0030-45790.2708333333</v>
      </c>
      <c r="Z950" s="126">
        <f>SUBTOTAL(103,ReportSummary___Track[[#This Row],[Track ID]])</f>
        <v>1</v>
      </c>
      <c r="AA950" s="114">
        <f>_xlfn.NUMBERVALUE(RIGHT(ReportSummary___Track[[#This Row],[Track ID]],4))</f>
        <v>30</v>
      </c>
      <c r="AB950" s="78"/>
    </row>
    <row r="951" spans="5:28" ht="14.25" customHeight="1" x14ac:dyDescent="0.2">
      <c r="E951" s="74">
        <v>45790.270833333336</v>
      </c>
      <c r="F951" s="107" t="s">
        <v>270</v>
      </c>
      <c r="G951" s="142">
        <v>51895.713620353403</v>
      </c>
      <c r="H951" s="142">
        <v>159192.6880510748</v>
      </c>
      <c r="I951" s="142">
        <v>18.861929053086882</v>
      </c>
      <c r="J951" s="142">
        <v>51895.348420991184</v>
      </c>
      <c r="K951" s="142">
        <v>159191.418192268</v>
      </c>
      <c r="L951" s="142">
        <v>18.858042948346714</v>
      </c>
      <c r="M951" s="145">
        <v>3.8861047401681503E-3</v>
      </c>
      <c r="N951" s="145">
        <v>1.3213353341171263</v>
      </c>
      <c r="O951" s="145">
        <v>1.5745070300354769E-4</v>
      </c>
      <c r="P951" s="145">
        <v>-6.3592476681861854E-4</v>
      </c>
      <c r="Q9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0.37151549827640906</v>
      </c>
      <c r="R9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0.76362632387372287</v>
      </c>
      <c r="S9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1.03559377586393</v>
      </c>
      <c r="T9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0.72908072043276206</v>
      </c>
      <c r="U9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6.8599185847872945E-4</v>
      </c>
      <c r="V9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6.6098158615734981E-4</v>
      </c>
      <c r="W9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6.8586596277953049E-4</v>
      </c>
      <c r="X9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6.8599185847517674E-4</v>
      </c>
      <c r="Y951" s="162" t="str">
        <f>ReportSummary___Track[[#This Row],[Track ID]]&amp;"-"&amp;ReportSummary___Track[[#This Row],[Epoch]]</f>
        <v>250-RL-OP-0031-45790.2708333333</v>
      </c>
      <c r="Z951" s="126">
        <f>SUBTOTAL(103,ReportSummary___Track[[#This Row],[Track ID]])</f>
        <v>1</v>
      </c>
      <c r="AA951" s="114">
        <f>_xlfn.NUMBERVALUE(RIGHT(ReportSummary___Track[[#This Row],[Track ID]],4))</f>
        <v>31</v>
      </c>
      <c r="AB951" s="78"/>
    </row>
    <row r="952" spans="5:28" ht="14.25" customHeight="1" x14ac:dyDescent="0.2">
      <c r="E952" s="74">
        <v>45790.270833333336</v>
      </c>
      <c r="F952" s="107" t="s">
        <v>271</v>
      </c>
      <c r="G952" s="142">
        <v>51896.675398681873</v>
      </c>
      <c r="H952" s="142">
        <v>159192.41088265969</v>
      </c>
      <c r="I952" s="142">
        <v>18.862477001539897</v>
      </c>
      <c r="J952" s="142">
        <v>51896.30852141809</v>
      </c>
      <c r="K952" s="142">
        <v>159191.14170884955</v>
      </c>
      <c r="L952" s="142">
        <v>18.858247340168667</v>
      </c>
      <c r="M952" s="145">
        <v>4.2296613712302644E-3</v>
      </c>
      <c r="N952" s="145">
        <v>1.3211430570028282</v>
      </c>
      <c r="O952" s="145">
        <v>1.0041483846485733E-3</v>
      </c>
      <c r="P952" s="145">
        <v>-7.5288931300221407E-4</v>
      </c>
      <c r="Q9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0.97864360516197735</v>
      </c>
      <c r="R9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1.2350403420311462</v>
      </c>
      <c r="S9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1.9592207585716892</v>
      </c>
      <c r="T9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0.99286082013705368</v>
      </c>
      <c r="U9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9.7858557916197242E-4</v>
      </c>
      <c r="V9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9.5046163969403352E-4</v>
      </c>
      <c r="W9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9.7677031090981359E-4</v>
      </c>
      <c r="X9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9.785855791584197E-4</v>
      </c>
      <c r="Y952" s="162" t="str">
        <f>ReportSummary___Track[[#This Row],[Track ID]]&amp;"-"&amp;ReportSummary___Track[[#This Row],[Epoch]]</f>
        <v>250-RL-OP-0032-45790.2708333333</v>
      </c>
      <c r="Z952" s="126">
        <f>SUBTOTAL(103,ReportSummary___Track[[#This Row],[Track ID]])</f>
        <v>1</v>
      </c>
      <c r="AA952" s="114">
        <f>_xlfn.NUMBERVALUE(RIGHT(ReportSummary___Track[[#This Row],[Track ID]],4))</f>
        <v>32</v>
      </c>
      <c r="AB952" s="78"/>
    </row>
    <row r="953" spans="5:28" ht="14.25" customHeight="1" x14ac:dyDescent="0.2">
      <c r="E953" s="74">
        <v>45790.270833333336</v>
      </c>
      <c r="F953" s="107" t="s">
        <v>272</v>
      </c>
      <c r="G953" s="142">
        <v>51897.636352858688</v>
      </c>
      <c r="H953" s="142">
        <v>159192.13417793906</v>
      </c>
      <c r="I953" s="142">
        <v>18.863729059099267</v>
      </c>
      <c r="J953" s="142">
        <v>51897.270420156812</v>
      </c>
      <c r="K953" s="142">
        <v>159190.86830352191</v>
      </c>
      <c r="L953" s="142">
        <v>18.858833233345244</v>
      </c>
      <c r="M953" s="145">
        <v>4.895825754022809E-3</v>
      </c>
      <c r="N953" s="145">
        <v>1.3177134557275618</v>
      </c>
      <c r="O953" s="145">
        <v>1.3400168906443355E-3</v>
      </c>
      <c r="P953" s="145">
        <v>5.1744938820164066E-4</v>
      </c>
      <c r="Q9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0.63138515256966343</v>
      </c>
      <c r="R9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1.1382623579319073</v>
      </c>
      <c r="S9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0.93591598013276212</v>
      </c>
      <c r="T9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0.95595510828161423</v>
      </c>
      <c r="U9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6.3044454863359078E-4</v>
      </c>
      <c r="V9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7.0982970423516534E-4</v>
      </c>
      <c r="W9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2.8654098526459393E-4</v>
      </c>
      <c r="X9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6.3038299298057154E-4</v>
      </c>
      <c r="Y953" s="162" t="str">
        <f>ReportSummary___Track[[#This Row],[Track ID]]&amp;"-"&amp;ReportSummary___Track[[#This Row],[Epoch]]</f>
        <v>250-RL-OP-0033-45790.2708333333</v>
      </c>
      <c r="Z953" s="126">
        <f>SUBTOTAL(103,ReportSummary___Track[[#This Row],[Track ID]])</f>
        <v>1</v>
      </c>
      <c r="AA953" s="114">
        <f>_xlfn.NUMBERVALUE(RIGHT(ReportSummary___Track[[#This Row],[Track ID]],4))</f>
        <v>33</v>
      </c>
      <c r="AB953" s="78"/>
    </row>
    <row r="954" spans="5:28" ht="14.25" customHeight="1" x14ac:dyDescent="0.2">
      <c r="E954" s="74">
        <v>45790.270833333336</v>
      </c>
      <c r="F954" s="107" t="s">
        <v>273</v>
      </c>
      <c r="G954" s="142">
        <v>51898.597307035503</v>
      </c>
      <c r="H954" s="142">
        <v>159191.85747321844</v>
      </c>
      <c r="I954" s="142">
        <v>18.864981116658633</v>
      </c>
      <c r="J954" s="142">
        <v>51898.232318895534</v>
      </c>
      <c r="K954" s="142">
        <v>159190.59489819428</v>
      </c>
      <c r="L954" s="142">
        <v>18.859419126521821</v>
      </c>
      <c r="M954" s="145">
        <v>5.5619901368118008E-3</v>
      </c>
      <c r="N954" s="145">
        <v>1.3142842043016303</v>
      </c>
      <c r="O954" s="145">
        <v>1.6758853966436504E-3</v>
      </c>
      <c r="P954" s="145">
        <v>1.8333360996471981E-3</v>
      </c>
      <c r="Q9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0.2841266999737968</v>
      </c>
      <c r="R9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1.041037398284983</v>
      </c>
      <c r="S9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-8.7388798302612258E-2</v>
      </c>
      <c r="T9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0.94820497756131772</v>
      </c>
      <c r="U9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2.8230351809810372E-4</v>
      </c>
      <c r="V9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4.6875034654036973E-4</v>
      </c>
      <c r="W9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-4.0368834038062573E-4</v>
      </c>
      <c r="X9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2.8217762239890476E-4</v>
      </c>
      <c r="Y954" s="162" t="str">
        <f>ReportSummary___Track[[#This Row],[Track ID]]&amp;"-"&amp;ReportSummary___Track[[#This Row],[Epoch]]</f>
        <v>250-RL-OP-0034-45790.2708333333</v>
      </c>
      <c r="Z954" s="126">
        <f>SUBTOTAL(103,ReportSummary___Track[[#This Row],[Track ID]])</f>
        <v>1</v>
      </c>
      <c r="AA954" s="114">
        <f>_xlfn.NUMBERVALUE(RIGHT(ReportSummary___Track[[#This Row],[Track ID]],4))</f>
        <v>34</v>
      </c>
      <c r="AB954" s="78"/>
    </row>
    <row r="955" spans="5:28" ht="14.25" customHeight="1" x14ac:dyDescent="0.2">
      <c r="E955" s="74">
        <v>45790.270833333336</v>
      </c>
      <c r="F955" s="107" t="s">
        <v>274</v>
      </c>
      <c r="G955" s="142">
        <v>51899.557748431522</v>
      </c>
      <c r="H955" s="142">
        <v>159191.58237758733</v>
      </c>
      <c r="I955" s="142">
        <v>18.866</v>
      </c>
      <c r="J955" s="142">
        <v>51899.202472361336</v>
      </c>
      <c r="K955" s="142">
        <v>159190.31962001548</v>
      </c>
      <c r="L955" s="142">
        <v>18.859777427163273</v>
      </c>
      <c r="M955" s="145">
        <v>6.2225728367266697E-3</v>
      </c>
      <c r="N955" s="145">
        <v>1.3117989524792557</v>
      </c>
      <c r="O955" s="145">
        <v>1.9929114654964053E-3</v>
      </c>
      <c r="P955" s="145">
        <v>2.9970598501449786E-3</v>
      </c>
      <c r="Q9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9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0.96295628137155198</v>
      </c>
      <c r="S9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-0.97863275139076222</v>
      </c>
      <c r="T9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0.98058800718092698</v>
      </c>
      <c r="U9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9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3.1287457860584844E-4</v>
      </c>
      <c r="W9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-9.7826773957621072E-4</v>
      </c>
      <c r="X9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-1.497428666397127E-6</v>
      </c>
      <c r="Y955" s="162" t="str">
        <f>ReportSummary___Track[[#This Row],[Track ID]]&amp;"-"&amp;ReportSummary___Track[[#This Row],[Epoch]]</f>
        <v>250-RL-OP-0035-45790.2708333333</v>
      </c>
      <c r="Z955" s="126">
        <f>SUBTOTAL(103,ReportSummary___Track[[#This Row],[Track ID]])</f>
        <v>1</v>
      </c>
      <c r="AA955" s="114">
        <f>_xlfn.NUMBERVALUE(RIGHT(ReportSummary___Track[[#This Row],[Track ID]],4))</f>
        <v>35</v>
      </c>
      <c r="AB955" s="78"/>
    </row>
    <row r="956" spans="5:28" ht="14.25" customHeight="1" x14ac:dyDescent="0.2">
      <c r="E956" s="74">
        <v>45790.270833333336</v>
      </c>
      <c r="F956" s="107" t="s">
        <v>275</v>
      </c>
      <c r="G956" s="142">
        <v>51900.520772886579</v>
      </c>
      <c r="H956" s="142">
        <v>159191.31296359556</v>
      </c>
      <c r="I956" s="142">
        <v>18.866</v>
      </c>
      <c r="J956" s="142">
        <v>51900.165031558645</v>
      </c>
      <c r="K956" s="142">
        <v>159190.04854924016</v>
      </c>
      <c r="L956" s="142">
        <v>18.859124401927648</v>
      </c>
      <c r="M956" s="145">
        <v>6.8755980723516075E-3</v>
      </c>
      <c r="N956" s="145">
        <v>1.3135230597022669</v>
      </c>
      <c r="O956" s="145">
        <v>1.9797723183287985E-3</v>
      </c>
      <c r="P956" s="145">
        <v>3.319789208973134E-3</v>
      </c>
      <c r="Q9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9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0.96901628454215682</v>
      </c>
      <c r="S9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-0.63131647369374377</v>
      </c>
      <c r="T9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0.30459950643901834</v>
      </c>
      <c r="U9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9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5.3762545854363353E-4</v>
      </c>
      <c r="W9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-6.2418133822816912E-4</v>
      </c>
      <c r="X9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-3.376403529635752E-4</v>
      </c>
      <c r="Y956" s="162" t="str">
        <f>ReportSummary___Track[[#This Row],[Track ID]]&amp;"-"&amp;ReportSummary___Track[[#This Row],[Epoch]]</f>
        <v>250-RL-OP-0036-45790.2708333333</v>
      </c>
      <c r="Z956" s="126">
        <f>SUBTOTAL(103,ReportSummary___Track[[#This Row],[Track ID]])</f>
        <v>1</v>
      </c>
      <c r="AA956" s="114">
        <f>_xlfn.NUMBERVALUE(RIGHT(ReportSummary___Track[[#This Row],[Track ID]],4))</f>
        <v>36</v>
      </c>
      <c r="AB956" s="78"/>
    </row>
    <row r="957" spans="5:28" ht="14.25" customHeight="1" x14ac:dyDescent="0.2">
      <c r="E957" s="74">
        <v>45790.270833333336</v>
      </c>
      <c r="F957" s="107" t="s">
        <v>276</v>
      </c>
      <c r="G957" s="142">
        <v>51901.483797341636</v>
      </c>
      <c r="H957" s="142">
        <v>159191.04354960378</v>
      </c>
      <c r="I957" s="142">
        <v>18.866</v>
      </c>
      <c r="J957" s="142">
        <v>51901.127590755961</v>
      </c>
      <c r="K957" s="142">
        <v>159189.77747846485</v>
      </c>
      <c r="L957" s="142">
        <v>18.858471376692023</v>
      </c>
      <c r="M957" s="145">
        <v>7.5286233079765452E-3</v>
      </c>
      <c r="N957" s="145">
        <v>1.3152474826758724</v>
      </c>
      <c r="O957" s="145">
        <v>1.9666331711647445E-3</v>
      </c>
      <c r="P957" s="145">
        <v>3.6425185678083949E-3</v>
      </c>
      <c r="Q9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1.2650398417690667E-4</v>
      </c>
      <c r="R9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0.97507608291502734</v>
      </c>
      <c r="S9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-0.2840001959896199</v>
      </c>
      <c r="T9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-0.37138899429223216</v>
      </c>
      <c r="U9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1.2208581232187043E-5</v>
      </c>
      <c r="V9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7.6238089298685807E-4</v>
      </c>
      <c r="W9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-2.7009493686591668E-4</v>
      </c>
      <c r="X9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-6.7378327724654241E-4</v>
      </c>
      <c r="Y957" s="162" t="str">
        <f>ReportSummary___Track[[#This Row],[Track ID]]&amp;"-"&amp;ReportSummary___Track[[#This Row],[Epoch]]</f>
        <v>250-RL-OP-0037-45790.2708333333</v>
      </c>
      <c r="Z957" s="126">
        <f>SUBTOTAL(103,ReportSummary___Track[[#This Row],[Track ID]])</f>
        <v>1</v>
      </c>
      <c r="AA957" s="114">
        <f>_xlfn.NUMBERVALUE(RIGHT(ReportSummary___Track[[#This Row],[Track ID]],4))</f>
        <v>37</v>
      </c>
      <c r="AB957" s="78"/>
    </row>
    <row r="958" spans="5:28" ht="14.25" customHeight="1" x14ac:dyDescent="0.2">
      <c r="E958" s="74">
        <v>45790.270833333336</v>
      </c>
      <c r="F958" s="107" t="s">
        <v>277</v>
      </c>
      <c r="G958" s="142">
        <v>51902.446769943585</v>
      </c>
      <c r="H958" s="142">
        <v>159190.77524554107</v>
      </c>
      <c r="I958" s="142">
        <v>18.866124762962976</v>
      </c>
      <c r="J958" s="142">
        <v>51902.098875532785</v>
      </c>
      <c r="K958" s="142">
        <v>159189.50505873389</v>
      </c>
      <c r="L958" s="142">
        <v>18.857900000000001</v>
      </c>
      <c r="M958" s="145">
        <v>8.2247629629748076E-3</v>
      </c>
      <c r="N958" s="145">
        <v>1.3169938089874187</v>
      </c>
      <c r="O958" s="145">
        <v>2.0021901262481379E-3</v>
      </c>
      <c r="P958" s="145">
        <v>3.9951015917445432E-3</v>
      </c>
      <c r="Q9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9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0.96837758753132164</v>
      </c>
      <c r="S9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-5.0854183086812554E-5</v>
      </c>
      <c r="T9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-0.97868360557384904</v>
      </c>
      <c r="U9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9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9.1104900970484515E-4</v>
      </c>
      <c r="W9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-3.6877807474411384E-7</v>
      </c>
      <c r="X9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-9.7863651765095483E-4</v>
      </c>
      <c r="Y958" s="162" t="str">
        <f>ReportSummary___Track[[#This Row],[Track ID]]&amp;"-"&amp;ReportSummary___Track[[#This Row],[Epoch]]</f>
        <v>250-RL-OP-0038-45790.2708333333</v>
      </c>
      <c r="Z958" s="126">
        <f>SUBTOTAL(103,ReportSummary___Track[[#This Row],[Track ID]])</f>
        <v>1</v>
      </c>
      <c r="AA958" s="114">
        <f>_xlfn.NUMBERVALUE(RIGHT(ReportSummary___Track[[#This Row],[Track ID]],4))</f>
        <v>38</v>
      </c>
      <c r="AB958" s="78"/>
    </row>
    <row r="959" spans="5:28" ht="14.25" customHeight="1" x14ac:dyDescent="0.2">
      <c r="E959" s="74">
        <v>45790.270833333336</v>
      </c>
      <c r="F959" s="107" t="s">
        <v>278</v>
      </c>
      <c r="G959" s="142">
        <v>51903.411366943481</v>
      </c>
      <c r="H959" s="142">
        <v>159190.51151814224</v>
      </c>
      <c r="I959" s="142">
        <v>18.866822542397969</v>
      </c>
      <c r="J959" s="142">
        <v>51903.063565613396</v>
      </c>
      <c r="K959" s="142">
        <v>159189.2416710949</v>
      </c>
      <c r="L959" s="142">
        <v>18.857900000000001</v>
      </c>
      <c r="M959" s="145">
        <v>8.9225423979684138E-3</v>
      </c>
      <c r="N959" s="145">
        <v>1.3166460802398992</v>
      </c>
      <c r="O959" s="145">
        <v>2.0469443256168063E-3</v>
      </c>
      <c r="P959" s="145">
        <v>4.0267166439456048E-3</v>
      </c>
      <c r="Q9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-2.6371636607791515E-4</v>
      </c>
      <c r="R9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0.96837757522738599</v>
      </c>
      <c r="S9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-3.3239524199757398E-4</v>
      </c>
      <c r="T9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-0.63164886893574135</v>
      </c>
      <c r="U9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-3.358293518829214E-7</v>
      </c>
      <c r="V9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5.9042063142267232E-4</v>
      </c>
      <c r="W9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-6.5990397573045811E-6</v>
      </c>
      <c r="X9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-6.3078037798547371E-4</v>
      </c>
      <c r="Y959" s="162" t="str">
        <f>ReportSummary___Track[[#This Row],[Track ID]]&amp;"-"&amp;ReportSummary___Track[[#This Row],[Epoch]]</f>
        <v>250-RL-OP-0039-45790.2708333333</v>
      </c>
      <c r="Z959" s="126">
        <f>SUBTOTAL(103,ReportSummary___Track[[#This Row],[Track ID]])</f>
        <v>1</v>
      </c>
      <c r="AA959" s="114">
        <f>_xlfn.NUMBERVALUE(RIGHT(ReportSummary___Track[[#This Row],[Track ID]],4))</f>
        <v>39</v>
      </c>
      <c r="AB959" s="78"/>
    </row>
    <row r="960" spans="5:28" ht="14.25" customHeight="1" x14ac:dyDescent="0.2">
      <c r="E960" s="74">
        <v>45790.270833333336</v>
      </c>
      <c r="F960" s="107" t="s">
        <v>279</v>
      </c>
      <c r="G960" s="142">
        <v>51904.375963943377</v>
      </c>
      <c r="H960" s="142">
        <v>159190.24779074339</v>
      </c>
      <c r="I960" s="142">
        <v>18.867520321832963</v>
      </c>
      <c r="J960" s="142">
        <v>51904.028255694</v>
      </c>
      <c r="K960" s="142">
        <v>159188.97828345592</v>
      </c>
      <c r="L960" s="142">
        <v>18.857900000000001</v>
      </c>
      <c r="M960" s="145">
        <v>9.6203218329620199E-3</v>
      </c>
      <c r="N960" s="145">
        <v>1.3162987237842199</v>
      </c>
      <c r="O960" s="145">
        <v>2.0916985249854747E-3</v>
      </c>
      <c r="P960" s="145">
        <v>4.0583316961502192E-3</v>
      </c>
      <c r="Q9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-4.8743231673142873E-4</v>
      </c>
      <c r="R9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0.96837699457874571</v>
      </c>
      <c r="S9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-6.139363009083354E-4</v>
      </c>
      <c r="T9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-0.28461413229052823</v>
      </c>
      <c r="U9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-6.2072021478343231E-7</v>
      </c>
      <c r="V9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2.6979404172200461E-4</v>
      </c>
      <c r="W9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-1.2829301446970476E-5</v>
      </c>
      <c r="X9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-2.8292423831288716E-4</v>
      </c>
      <c r="Y960" s="162" t="str">
        <f>ReportSummary___Track[[#This Row],[Track ID]]&amp;"-"&amp;ReportSummary___Track[[#This Row],[Epoch]]</f>
        <v>250-RL-OP-0040-45790.2708333333</v>
      </c>
      <c r="Z960" s="126">
        <f>SUBTOTAL(103,ReportSummary___Track[[#This Row],[Track ID]])</f>
        <v>1</v>
      </c>
      <c r="AA960" s="114">
        <f>_xlfn.NUMBERVALUE(RIGHT(ReportSummary___Track[[#This Row],[Track ID]],4))</f>
        <v>40</v>
      </c>
      <c r="AB960" s="78"/>
    </row>
    <row r="961" spans="5:28" ht="14.25" customHeight="1" x14ac:dyDescent="0.2">
      <c r="E961" s="74">
        <v>45790.270833333336</v>
      </c>
      <c r="F961" s="107" t="s">
        <v>280</v>
      </c>
      <c r="G961" s="142">
        <v>51905.341841450259</v>
      </c>
      <c r="H961" s="142">
        <v>159189.98517913549</v>
      </c>
      <c r="I961" s="142">
        <v>18.868392406740742</v>
      </c>
      <c r="J961" s="142">
        <v>51905.003861376892</v>
      </c>
      <c r="K961" s="142">
        <v>159188.71299131436</v>
      </c>
      <c r="L961" s="142">
        <v>18.858104705007346</v>
      </c>
      <c r="M961" s="145">
        <v>1.0287701733396659E-2</v>
      </c>
      <c r="N961" s="145">
        <v>1.3163579372773708</v>
      </c>
      <c r="O961" s="145">
        <v>2.0629387704218516E-3</v>
      </c>
      <c r="P961" s="145">
        <v>4.0651288966699894E-3</v>
      </c>
      <c r="Q9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-1.8847067906335724E-5</v>
      </c>
      <c r="R9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0.91816397562327623</v>
      </c>
      <c r="S9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2.1153343965352178E-5</v>
      </c>
      <c r="T9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-2.9700839121460376E-5</v>
      </c>
      <c r="U9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-7.1051374561648117E-8</v>
      </c>
      <c r="V9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1.2785096406009444E-5</v>
      </c>
      <c r="W9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-2.0112885579237627E-8</v>
      </c>
      <c r="X9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-3.8889096032335146E-7</v>
      </c>
      <c r="Y961" s="162" t="str">
        <f>ReportSummary___Track[[#This Row],[Track ID]]&amp;"-"&amp;ReportSummary___Track[[#This Row],[Epoch]]</f>
        <v>250-RL-OP-0041-45790.2708333333</v>
      </c>
      <c r="Z961" s="126">
        <f>SUBTOTAL(103,ReportSummary___Track[[#This Row],[Track ID]])</f>
        <v>1</v>
      </c>
      <c r="AA961" s="114">
        <f>_xlfn.NUMBERVALUE(RIGHT(ReportSummary___Track[[#This Row],[Track ID]],4))</f>
        <v>41</v>
      </c>
      <c r="AB961" s="78"/>
    </row>
    <row r="962" spans="5:28" ht="14.25" customHeight="1" x14ac:dyDescent="0.2">
      <c r="E962" s="74">
        <v>45790.270833333336</v>
      </c>
      <c r="F962" s="107" t="s">
        <v>281</v>
      </c>
      <c r="G962" s="142">
        <v>51906.308594977017</v>
      </c>
      <c r="H962" s="142">
        <v>159189.72947487878</v>
      </c>
      <c r="I962" s="142">
        <v>18.870110425193985</v>
      </c>
      <c r="J962" s="142">
        <v>51905.970489987638</v>
      </c>
      <c r="K962" s="142">
        <v>159188.45681371962</v>
      </c>
      <c r="L962" s="142">
        <v>18.859577402901905</v>
      </c>
      <c r="M962" s="145">
        <v>1.0533022292079863E-2</v>
      </c>
      <c r="N962" s="145">
        <v>1.3168494046197401</v>
      </c>
      <c r="O962" s="145">
        <v>1.6104798941114495E-3</v>
      </c>
      <c r="P962" s="145">
        <v>3.6574242197282558E-3</v>
      </c>
      <c r="Q9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-1.5443749035171095E-4</v>
      </c>
      <c r="R9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0.57099669457172375</v>
      </c>
      <c r="S9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1.0927887572620421E-4</v>
      </c>
      <c r="T9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-2.2311636627136977E-4</v>
      </c>
      <c r="U9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-5.8221230148092218E-7</v>
      </c>
      <c r="V9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1.0476377970580764E-4</v>
      </c>
      <c r="W9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-2.4638294959800078E-7</v>
      </c>
      <c r="X9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-6.8454227069025819E-6</v>
      </c>
      <c r="Y962" s="162" t="str">
        <f>ReportSummary___Track[[#This Row],[Track ID]]&amp;"-"&amp;ReportSummary___Track[[#This Row],[Epoch]]</f>
        <v>250-RL-OP-0042-45790.2708333333</v>
      </c>
      <c r="Z962" s="126">
        <f>SUBTOTAL(103,ReportSummary___Track[[#This Row],[Track ID]])</f>
        <v>1</v>
      </c>
      <c r="AA962" s="114">
        <f>_xlfn.NUMBERVALUE(RIGHT(ReportSummary___Track[[#This Row],[Track ID]],4))</f>
        <v>42</v>
      </c>
      <c r="AB962" s="78"/>
    </row>
    <row r="963" spans="5:28" ht="14.25" customHeight="1" x14ac:dyDescent="0.2">
      <c r="E963" s="74">
        <v>45790.270833333336</v>
      </c>
      <c r="F963" s="107" t="s">
        <v>282</v>
      </c>
      <c r="G963" s="142">
        <v>51907.275348503776</v>
      </c>
      <c r="H963" s="142">
        <v>159189.47377062205</v>
      </c>
      <c r="I963" s="142">
        <v>18.871828443647232</v>
      </c>
      <c r="J963" s="142">
        <v>51906.937118598384</v>
      </c>
      <c r="K963" s="142">
        <v>159188.20063612488</v>
      </c>
      <c r="L963" s="142">
        <v>18.861050100796465</v>
      </c>
      <c r="M963" s="145">
        <v>1.077834285076662E-2</v>
      </c>
      <c r="N963" s="145">
        <v>1.3173409161859542</v>
      </c>
      <c r="O963" s="145">
        <v>1.1580210178046002E-3</v>
      </c>
      <c r="P963" s="145">
        <v>3.2497195427900749E-3</v>
      </c>
      <c r="Q9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-2.9002790924437249E-4</v>
      </c>
      <c r="R9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0.22383036032880277</v>
      </c>
      <c r="S9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1.9740440748705623E-4</v>
      </c>
      <c r="T9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-4.1653189342127916E-4</v>
      </c>
      <c r="U9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-1.0933732284001962E-6</v>
      </c>
      <c r="V9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1.9674197695596085E-4</v>
      </c>
      <c r="W9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-4.7265301361676393E-7</v>
      </c>
      <c r="X9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-1.330195446058724E-5</v>
      </c>
      <c r="Y963" s="162" t="str">
        <f>ReportSummary___Track[[#This Row],[Track ID]]&amp;"-"&amp;ReportSummary___Track[[#This Row],[Epoch]]</f>
        <v>250-RL-OP-0043-45790.2708333333</v>
      </c>
      <c r="Z963" s="126">
        <f>SUBTOTAL(103,ReportSummary___Track[[#This Row],[Track ID]])</f>
        <v>1</v>
      </c>
      <c r="AA963" s="114">
        <f>_xlfn.NUMBERVALUE(RIGHT(ReportSummary___Track[[#This Row],[Track ID]],4))</f>
        <v>43</v>
      </c>
      <c r="AB963" s="78"/>
    </row>
    <row r="964" spans="5:28" ht="14.25" customHeight="1" x14ac:dyDescent="0.2">
      <c r="E964" s="74">
        <v>45790.270833333336</v>
      </c>
      <c r="F964" s="107" t="s">
        <v>283</v>
      </c>
      <c r="G964" s="142">
        <v>51908.242806888149</v>
      </c>
      <c r="H964" s="142">
        <v>159189.22150144327</v>
      </c>
      <c r="I964" s="142">
        <v>18.873859626742529</v>
      </c>
      <c r="J964" s="142">
        <v>51907.904497607546</v>
      </c>
      <c r="K964" s="142">
        <v>159187.94812580553</v>
      </c>
      <c r="L964" s="142">
        <v>18.86283096891291</v>
      </c>
      <c r="M964" s="145">
        <v>1.1028657829619704E-2</v>
      </c>
      <c r="N964" s="145">
        <v>1.3175964159904032</v>
      </c>
      <c r="O964" s="145">
        <v>7.4095609622304437E-4</v>
      </c>
      <c r="P964" s="145">
        <v>2.803894866644896E-3</v>
      </c>
      <c r="Q9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2.5499327094280488E-4</v>
      </c>
      <c r="R9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-2.762580701887174E-2</v>
      </c>
      <c r="S9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2.7384033884914061E-4</v>
      </c>
      <c r="T9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2.9499368281449279E-4</v>
      </c>
      <c r="U9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4.5549129978894598E-7</v>
      </c>
      <c r="V9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1.0453198940907349E-4</v>
      </c>
      <c r="W9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5.265426743505941E-7</v>
      </c>
      <c r="X9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5.0642978877135647E-7</v>
      </c>
      <c r="Y964" s="162" t="str">
        <f>ReportSummary___Track[[#This Row],[Track ID]]&amp;"-"&amp;ReportSummary___Track[[#This Row],[Epoch]]</f>
        <v>250-RL-OP-0044-45790.2708333333</v>
      </c>
      <c r="Z964" s="126">
        <f>SUBTOTAL(103,ReportSummary___Track[[#This Row],[Track ID]])</f>
        <v>1</v>
      </c>
      <c r="AA964" s="114">
        <f>_xlfn.NUMBERVALUE(RIGHT(ReportSummary___Track[[#This Row],[Track ID]],4))</f>
        <v>44</v>
      </c>
      <c r="AB964" s="78"/>
    </row>
    <row r="965" spans="5:28" ht="14.25" customHeight="1" x14ac:dyDescent="0.2">
      <c r="E965" s="74">
        <v>45790.270833333336</v>
      </c>
      <c r="F965" s="107" t="s">
        <v>284</v>
      </c>
      <c r="G965" s="142">
        <v>51909.212315815959</v>
      </c>
      <c r="H965" s="142">
        <v>159188.97646037152</v>
      </c>
      <c r="I965" s="142">
        <v>18.876563705831956</v>
      </c>
      <c r="J965" s="142">
        <v>51908.873769331156</v>
      </c>
      <c r="K965" s="142">
        <v>159187.70214442315</v>
      </c>
      <c r="L965" s="142">
        <v>18.865173045894053</v>
      </c>
      <c r="M965" s="145">
        <v>1.1390659937902115E-2</v>
      </c>
      <c r="N965" s="145">
        <v>1.3185691509225383</v>
      </c>
      <c r="O965" s="145">
        <v>8.5763764582225122E-4</v>
      </c>
      <c r="P965" s="145">
        <v>2.4681175399337008E-3</v>
      </c>
      <c r="Q9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9.7368908313910651E-4</v>
      </c>
      <c r="R9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-0.10548819346611893</v>
      </c>
      <c r="S9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1.1281265734908175E-3</v>
      </c>
      <c r="T9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1.2374054492170217E-3</v>
      </c>
      <c r="U9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1.8048823946514858E-6</v>
      </c>
      <c r="V9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-3.6418494830448012E-4</v>
      </c>
      <c r="W9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2.387094696132408E-6</v>
      </c>
      <c r="X9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2.1407117465344072E-6</v>
      </c>
      <c r="Y965" s="162" t="str">
        <f>ReportSummary___Track[[#This Row],[Track ID]]&amp;"-"&amp;ReportSummary___Track[[#This Row],[Epoch]]</f>
        <v>250-RL-OP-0045-45790.2708333333</v>
      </c>
      <c r="Z965" s="126">
        <f>SUBTOTAL(103,ReportSummary___Track[[#This Row],[Track ID]])</f>
        <v>1</v>
      </c>
      <c r="AA965" s="114">
        <f>_xlfn.NUMBERVALUE(RIGHT(ReportSummary___Track[[#This Row],[Track ID]],4))</f>
        <v>45</v>
      </c>
      <c r="AB965" s="78"/>
    </row>
    <row r="966" spans="5:28" ht="14.25" customHeight="1" x14ac:dyDescent="0.2">
      <c r="E966" s="74">
        <v>45790.270833333336</v>
      </c>
      <c r="F966" s="107" t="s">
        <v>285</v>
      </c>
      <c r="G966" s="142">
        <v>51910.181824743777</v>
      </c>
      <c r="H966" s="142">
        <v>159188.73141929976</v>
      </c>
      <c r="I966" s="142">
        <v>18.879267784921382</v>
      </c>
      <c r="J966" s="142">
        <v>51909.843041054766</v>
      </c>
      <c r="K966" s="142">
        <v>159187.45616304077</v>
      </c>
      <c r="L966" s="142">
        <v>18.867515122875201</v>
      </c>
      <c r="M966" s="145">
        <v>1.1752662046180973E-2</v>
      </c>
      <c r="N966" s="145">
        <v>1.3195419808002307</v>
      </c>
      <c r="O966" s="145">
        <v>9.7431919541435263E-4</v>
      </c>
      <c r="P966" s="145">
        <v>2.1323402132189528E-3</v>
      </c>
      <c r="Q9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1.6923848953354081E-3</v>
      </c>
      <c r="R9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-0.18334989925739009</v>
      </c>
      <c r="S9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1.9824128045797806E-3</v>
      </c>
      <c r="T9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2.1798172120668369E-3</v>
      </c>
      <c r="U9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3.154273485961312E-6</v>
      </c>
      <c r="V9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-8.3289906123451551E-4</v>
      </c>
      <c r="W9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4.2476467143615082E-6</v>
      </c>
      <c r="X9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3.7749937007447443E-6</v>
      </c>
      <c r="Y966" s="162" t="str">
        <f>ReportSummary___Track[[#This Row],[Track ID]]&amp;"-"&amp;ReportSummary___Track[[#This Row],[Epoch]]</f>
        <v>250-RL-OP-0046-45790.2708333333</v>
      </c>
      <c r="Z966" s="126">
        <f>SUBTOTAL(103,ReportSummary___Track[[#This Row],[Track ID]])</f>
        <v>1</v>
      </c>
      <c r="AA966" s="114">
        <f>_xlfn.NUMBERVALUE(RIGHT(ReportSummary___Track[[#This Row],[Track ID]],4))</f>
        <v>46</v>
      </c>
      <c r="AB966" s="78"/>
    </row>
    <row r="967" spans="5:28" ht="14.25" customHeight="1" x14ac:dyDescent="0.2">
      <c r="E967" s="74">
        <v>45790.270833333336</v>
      </c>
      <c r="F967" s="107" t="s">
        <v>286</v>
      </c>
      <c r="G967" s="142">
        <v>51911.151141496419</v>
      </c>
      <c r="H967" s="142">
        <v>159188.48844319949</v>
      </c>
      <c r="I967" s="142">
        <v>18.882328518492972</v>
      </c>
      <c r="J967" s="142">
        <v>51910.835188304052</v>
      </c>
      <c r="K967" s="142">
        <v>159187.20649995178</v>
      </c>
      <c r="L967" s="142">
        <v>18.870139116386198</v>
      </c>
      <c r="M967" s="145">
        <v>1.2189402106773883E-2</v>
      </c>
      <c r="N967" s="145">
        <v>1.3203611216800144</v>
      </c>
      <c r="O967" s="145">
        <v>1.1607442771541798E-3</v>
      </c>
      <c r="P967" s="145">
        <v>1.9017003733772242E-3</v>
      </c>
      <c r="Q9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2.5701555905754958E-3</v>
      </c>
      <c r="R9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-0.23897419105778361</v>
      </c>
      <c r="S9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2.3151623196326909E-3</v>
      </c>
      <c r="T9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2.5890026584818315E-3</v>
      </c>
      <c r="U9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-7.4281466822867515E-5</v>
      </c>
      <c r="V9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-1.175646701719657E-3</v>
      </c>
      <c r="W9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-7.4736958122656461E-5</v>
      </c>
      <c r="X9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-7.4210415448305866E-5</v>
      </c>
      <c r="Y967" s="162" t="str">
        <f>ReportSummary___Track[[#This Row],[Track ID]]&amp;"-"&amp;ReportSummary___Track[[#This Row],[Epoch]]</f>
        <v>250-RL-OP-0047-45790.2708333333</v>
      </c>
      <c r="Z967" s="126">
        <f>SUBTOTAL(103,ReportSummary___Track[[#This Row],[Track ID]])</f>
        <v>1</v>
      </c>
      <c r="AA967" s="114">
        <f>_xlfn.NUMBERVALUE(RIGHT(ReportSummary___Track[[#This Row],[Track ID]],4))</f>
        <v>47</v>
      </c>
      <c r="AB967" s="78"/>
    </row>
    <row r="968" spans="5:28" ht="14.25" customHeight="1" x14ac:dyDescent="0.2">
      <c r="E968" s="74">
        <v>45790.270833333336</v>
      </c>
      <c r="F968" s="107" t="s">
        <v>287</v>
      </c>
      <c r="G968" s="142">
        <v>51912.122875350411</v>
      </c>
      <c r="H968" s="142">
        <v>159188.2524052464</v>
      </c>
      <c r="I968" s="142">
        <v>18.886733255176882</v>
      </c>
      <c r="J968" s="142">
        <v>51911.806733444027</v>
      </c>
      <c r="K968" s="142">
        <v>159186.96966968034</v>
      </c>
      <c r="L968" s="142">
        <v>18.873524899190585</v>
      </c>
      <c r="M968" s="145">
        <v>1.3208355986296993E-2</v>
      </c>
      <c r="N968" s="145">
        <v>1.3211853382715708</v>
      </c>
      <c r="O968" s="145">
        <v>1.817696048394879E-3</v>
      </c>
      <c r="P968" s="145">
        <v>2.6753336942171302E-3</v>
      </c>
      <c r="Q9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2.3890030362849757E-3</v>
      </c>
      <c r="R9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-0.23881410857695684</v>
      </c>
      <c r="S9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1.4153139531458692E-3</v>
      </c>
      <c r="T9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2.5434405266366866E-3</v>
      </c>
      <c r="U9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-4.2661950438116492E-4</v>
      </c>
      <c r="V9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-1.0140993674017107E-3</v>
      </c>
      <c r="W9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-4.284243867758164E-4</v>
      </c>
      <c r="X9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-4.2603729207968399E-4</v>
      </c>
      <c r="Y968" s="162" t="str">
        <f>ReportSummary___Track[[#This Row],[Track ID]]&amp;"-"&amp;ReportSummary___Track[[#This Row],[Epoch]]</f>
        <v>250-RL-OP-0048-45790.2708333333</v>
      </c>
      <c r="Z968" s="126">
        <f>SUBTOTAL(103,ReportSummary___Track[[#This Row],[Track ID]])</f>
        <v>1</v>
      </c>
      <c r="AA968" s="114">
        <f>_xlfn.NUMBERVALUE(RIGHT(ReportSummary___Track[[#This Row],[Track ID]],4))</f>
        <v>48</v>
      </c>
      <c r="AB968" s="78"/>
    </row>
    <row r="969" spans="5:28" ht="14.25" customHeight="1" x14ac:dyDescent="0.2">
      <c r="E969" s="74">
        <v>45790.270833333336</v>
      </c>
      <c r="F969" s="107" t="s">
        <v>288</v>
      </c>
      <c r="G969" s="142">
        <v>51913.094609204403</v>
      </c>
      <c r="H969" s="142">
        <v>159188.01636729331</v>
      </c>
      <c r="I969" s="142">
        <v>18.891137991860795</v>
      </c>
      <c r="J969" s="142">
        <v>51912.778278584003</v>
      </c>
      <c r="K969" s="142">
        <v>159186.73283940891</v>
      </c>
      <c r="L969" s="142">
        <v>18.876910681994968</v>
      </c>
      <c r="M969" s="145">
        <v>1.4227309865827209E-2</v>
      </c>
      <c r="N969" s="145">
        <v>1.322010328166962</v>
      </c>
      <c r="O969" s="145">
        <v>2.4746478196462363E-3</v>
      </c>
      <c r="P969" s="145">
        <v>3.4489670150605889E-3</v>
      </c>
      <c r="Q9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2.2078504926525966E-3</v>
      </c>
      <c r="R9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-0.23865418457291732</v>
      </c>
      <c r="S9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5.1546559731718844E-4</v>
      </c>
      <c r="T9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2.4978784018969691E-3</v>
      </c>
      <c r="U9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-7.789575419359096E-4</v>
      </c>
      <c r="V9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-8.5318697657821296E-4</v>
      </c>
      <c r="W9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-7.8211181542187092E-4</v>
      </c>
      <c r="X9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-7.7786416870750941E-4</v>
      </c>
      <c r="Y969" s="162" t="str">
        <f>ReportSummary___Track[[#This Row],[Track ID]]&amp;"-"&amp;ReportSummary___Track[[#This Row],[Epoch]]</f>
        <v>250-RL-OP-0049-45790.2708333333</v>
      </c>
      <c r="Z969" s="126">
        <f>SUBTOTAL(103,ReportSummary___Track[[#This Row],[Track ID]])</f>
        <v>1</v>
      </c>
      <c r="AA969" s="114">
        <f>_xlfn.NUMBERVALUE(RIGHT(ReportSummary___Track[[#This Row],[Track ID]],4))</f>
        <v>49</v>
      </c>
      <c r="AB969" s="78"/>
    </row>
    <row r="970" spans="5:28" ht="14.25" customHeight="1" x14ac:dyDescent="0.2">
      <c r="E970" s="74">
        <v>45789.263888888891</v>
      </c>
      <c r="F970" s="107" t="s">
        <v>235</v>
      </c>
      <c r="G970" s="142">
        <v>51886.101813691566</v>
      </c>
      <c r="H970" s="142">
        <v>159195.44642123292</v>
      </c>
      <c r="I970" s="142">
        <v>18.870056334450997</v>
      </c>
      <c r="J970" s="142">
        <v>51885.742050780667</v>
      </c>
      <c r="K970" s="142">
        <v>159194.18695535802</v>
      </c>
      <c r="L970" s="142">
        <v>18.866068661183395</v>
      </c>
      <c r="M970" s="145">
        <v>3.9876732676020765E-3</v>
      </c>
      <c r="N970" s="145">
        <v>1.3098471451414102</v>
      </c>
      <c r="O970" s="145"/>
      <c r="P970" s="145"/>
      <c r="Q9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-0.2810914783921703</v>
      </c>
      <c r="R9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-0.2710312459994757</v>
      </c>
      <c r="S97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7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6.0217604058721008E-7</v>
      </c>
      <c r="V9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4.2049602592464375E-4</v>
      </c>
      <c r="W97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7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70" s="162" t="str">
        <f>ReportSummary___Track[[#This Row],[Track ID]]&amp;"-"&amp;ReportSummary___Track[[#This Row],[Epoch]]</f>
        <v>250-RL-OP-0021-45789.2638888889</v>
      </c>
      <c r="Z970" s="126">
        <f>SUBTOTAL(103,ReportSummary___Track[[#This Row],[Track ID]])</f>
        <v>1</v>
      </c>
      <c r="AA970" s="114">
        <f>_xlfn.NUMBERVALUE(RIGHT(ReportSummary___Track[[#This Row],[Track ID]],4))</f>
        <v>21</v>
      </c>
      <c r="AB970" s="78"/>
    </row>
    <row r="971" spans="5:28" ht="14.25" customHeight="1" x14ac:dyDescent="0.2">
      <c r="E971" s="74">
        <v>45789.263888888891</v>
      </c>
      <c r="F971" s="107" t="s">
        <v>236</v>
      </c>
      <c r="G971" s="142">
        <v>51887.063368977339</v>
      </c>
      <c r="H971" s="142">
        <v>159195.17180982089</v>
      </c>
      <c r="I971" s="142">
        <v>18.870125558401593</v>
      </c>
      <c r="J971" s="142">
        <v>51886.703169507433</v>
      </c>
      <c r="K971" s="142">
        <v>159193.910819971</v>
      </c>
      <c r="L971" s="142">
        <v>18.866271378951897</v>
      </c>
      <c r="M971" s="145">
        <v>3.8541794496964599E-3</v>
      </c>
      <c r="N971" s="145">
        <v>1.31143200904611</v>
      </c>
      <c r="O971" s="145"/>
      <c r="P971" s="145"/>
      <c r="Q9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-0.61894181300203854</v>
      </c>
      <c r="R9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-0.59680404897610728</v>
      </c>
      <c r="S97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7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8.8978901437997138E-6</v>
      </c>
      <c r="V9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-2.3701751558546924E-4</v>
      </c>
      <c r="W97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7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71" s="162" t="str">
        <f>ReportSummary___Track[[#This Row],[Track ID]]&amp;"-"&amp;ReportSummary___Track[[#This Row],[Epoch]]</f>
        <v>250-RL-OP-0022-45789.2638888889</v>
      </c>
      <c r="Z971" s="126">
        <f>SUBTOTAL(103,ReportSummary___Track[[#This Row],[Track ID]])</f>
        <v>1</v>
      </c>
      <c r="AA971" s="114">
        <f>_xlfn.NUMBERVALUE(RIGHT(ReportSummary___Track[[#This Row],[Track ID]],4))</f>
        <v>22</v>
      </c>
      <c r="AB971" s="78"/>
    </row>
    <row r="972" spans="5:28" ht="14.25" customHeight="1" x14ac:dyDescent="0.2">
      <c r="E972" s="74">
        <v>45789.263888888891</v>
      </c>
      <c r="F972" s="107" t="s">
        <v>237</v>
      </c>
      <c r="G972" s="142">
        <v>51888.024924263111</v>
      </c>
      <c r="H972" s="142">
        <v>159194.89719840887</v>
      </c>
      <c r="I972" s="142">
        <v>18.870194782352193</v>
      </c>
      <c r="J972" s="142">
        <v>51887.664288234206</v>
      </c>
      <c r="K972" s="142">
        <v>159193.63468458402</v>
      </c>
      <c r="L972" s="142">
        <v>18.866474096720399</v>
      </c>
      <c r="M972" s="145">
        <v>3.7206856317943959E-3</v>
      </c>
      <c r="N972" s="145">
        <v>1.3130168874755106</v>
      </c>
      <c r="O972" s="145"/>
      <c r="P972" s="145"/>
      <c r="Q9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-0.95679214760835407</v>
      </c>
      <c r="R9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-0.92259213487699832</v>
      </c>
      <c r="S97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7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1.7193604247012217E-5</v>
      </c>
      <c r="V9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-8.9453334099753867E-4</v>
      </c>
      <c r="W97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7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72" s="162" t="str">
        <f>ReportSummary___Track[[#This Row],[Track ID]]&amp;"-"&amp;ReportSummary___Track[[#This Row],[Epoch]]</f>
        <v>250-RL-OP-0023-45789.2638888889</v>
      </c>
      <c r="Z972" s="126">
        <f>SUBTOTAL(103,ReportSummary___Track[[#This Row],[Track ID]])</f>
        <v>1</v>
      </c>
      <c r="AA972" s="114">
        <f>_xlfn.NUMBERVALUE(RIGHT(ReportSummary___Track[[#This Row],[Track ID]],4))</f>
        <v>23</v>
      </c>
      <c r="AB972" s="78"/>
    </row>
    <row r="973" spans="5:28" ht="14.25" customHeight="1" x14ac:dyDescent="0.2">
      <c r="E973" s="74">
        <v>45789.263888888891</v>
      </c>
      <c r="F973" s="107" t="s">
        <v>238</v>
      </c>
      <c r="G973" s="142">
        <v>51888.98628832103</v>
      </c>
      <c r="H973" s="142">
        <v>159194.62201573106</v>
      </c>
      <c r="I973" s="142">
        <v>18.869514730242752</v>
      </c>
      <c r="J973" s="142">
        <v>51888.624024107339</v>
      </c>
      <c r="K973" s="142">
        <v>159193.3577967032</v>
      </c>
      <c r="L973" s="142">
        <v>18.86545332152658</v>
      </c>
      <c r="M973" s="145">
        <v>4.0614087161721102E-3</v>
      </c>
      <c r="N973" s="145">
        <v>1.3151051691618987</v>
      </c>
      <c r="O973" s="145">
        <v>7.3735448570033668E-5</v>
      </c>
      <c r="P973" s="145"/>
      <c r="Q9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9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9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-0.41992136451440842</v>
      </c>
      <c r="T97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9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9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-7.0178960953626301E-7</v>
      </c>
      <c r="X97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73" s="162" t="str">
        <f>ReportSummary___Track[[#This Row],[Track ID]]&amp;"-"&amp;ReportSummary___Track[[#This Row],[Epoch]]</f>
        <v>250-RL-OP-0024-45789.2638888889</v>
      </c>
      <c r="Z973" s="126">
        <f>SUBTOTAL(103,ReportSummary___Track[[#This Row],[Track ID]])</f>
        <v>1</v>
      </c>
      <c r="AA973" s="114">
        <f>_xlfn.NUMBERVALUE(RIGHT(ReportSummary___Track[[#This Row],[Track ID]],4))</f>
        <v>24</v>
      </c>
      <c r="AB973" s="78"/>
    </row>
    <row r="974" spans="5:28" ht="14.25" customHeight="1" x14ac:dyDescent="0.2">
      <c r="E974" s="74">
        <v>45789.263888888891</v>
      </c>
      <c r="F974" s="107" t="s">
        <v>239</v>
      </c>
      <c r="G974" s="142">
        <v>51889.947664398285</v>
      </c>
      <c r="H974" s="142">
        <v>159194.34677858101</v>
      </c>
      <c r="I974" s="142">
        <v>18.868773577574299</v>
      </c>
      <c r="J974" s="142">
        <v>51889.58479107709</v>
      </c>
      <c r="K974" s="142">
        <v>159193.08044244221</v>
      </c>
      <c r="L974" s="142">
        <v>18.864251762034648</v>
      </c>
      <c r="M974" s="145">
        <v>4.5218155396504756E-3</v>
      </c>
      <c r="N974" s="145">
        <v>1.3173096486680025</v>
      </c>
      <c r="O974" s="145">
        <v>6.6763608995401569E-4</v>
      </c>
      <c r="P974" s="145"/>
      <c r="Q9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9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9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0.26116262350939223</v>
      </c>
      <c r="T97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9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9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-9.1118574765403082E-6</v>
      </c>
      <c r="X97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74" s="162" t="str">
        <f>ReportSummary___Track[[#This Row],[Track ID]]&amp;"-"&amp;ReportSummary___Track[[#This Row],[Epoch]]</f>
        <v>250-RL-OP-0025-45789.2638888889</v>
      </c>
      <c r="Z974" s="126">
        <f>SUBTOTAL(103,ReportSummary___Track[[#This Row],[Track ID]])</f>
        <v>1</v>
      </c>
      <c r="AA974" s="114">
        <f>_xlfn.NUMBERVALUE(RIGHT(ReportSummary___Track[[#This Row],[Track ID]],4))</f>
        <v>25</v>
      </c>
      <c r="AB974" s="78"/>
    </row>
    <row r="975" spans="5:28" ht="14.25" customHeight="1" x14ac:dyDescent="0.2">
      <c r="E975" s="74">
        <v>45789.263888888891</v>
      </c>
      <c r="F975" s="107" t="s">
        <v>240</v>
      </c>
      <c r="G975" s="142">
        <v>51890.909040475541</v>
      </c>
      <c r="H975" s="142">
        <v>159194.07154143095</v>
      </c>
      <c r="I975" s="142">
        <v>18.868032424905849</v>
      </c>
      <c r="J975" s="142">
        <v>51890.545558046833</v>
      </c>
      <c r="K975" s="142">
        <v>159192.80308818122</v>
      </c>
      <c r="L975" s="142">
        <v>18.86305020254272</v>
      </c>
      <c r="M975" s="145">
        <v>4.9822223631288409E-3</v>
      </c>
      <c r="N975" s="145">
        <v>1.3195142838510057</v>
      </c>
      <c r="O975" s="145">
        <v>1.261536731334445E-3</v>
      </c>
      <c r="P975" s="145"/>
      <c r="Q9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9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9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0.94224661152964018</v>
      </c>
      <c r="T97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9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9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-1.7521925347097067E-5</v>
      </c>
      <c r="X97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75" s="162" t="str">
        <f>ReportSummary___Track[[#This Row],[Track ID]]&amp;"-"&amp;ReportSummary___Track[[#This Row],[Epoch]]</f>
        <v>250-RL-OP-0026-45789.2638888889</v>
      </c>
      <c r="Z975" s="126">
        <f>SUBTOTAL(103,ReportSummary___Track[[#This Row],[Track ID]])</f>
        <v>1</v>
      </c>
      <c r="AA975" s="114">
        <f>_xlfn.NUMBERVALUE(RIGHT(ReportSummary___Track[[#This Row],[Track ID]],4))</f>
        <v>26</v>
      </c>
      <c r="AB975" s="78"/>
    </row>
    <row r="976" spans="5:28" ht="14.25" customHeight="1" x14ac:dyDescent="0.2">
      <c r="E976" s="74">
        <v>45789.263888888891</v>
      </c>
      <c r="F976" s="107" t="s">
        <v>241</v>
      </c>
      <c r="G976" s="142">
        <v>51891.869997674046</v>
      </c>
      <c r="H976" s="142">
        <v>159193.79503821288</v>
      </c>
      <c r="I976" s="142">
        <v>18.865661670375356</v>
      </c>
      <c r="J976" s="142">
        <v>51891.504328634539</v>
      </c>
      <c r="K976" s="142">
        <v>159192.52682192714</v>
      </c>
      <c r="L976" s="142">
        <v>18.861282573719329</v>
      </c>
      <c r="M976" s="145">
        <v>4.3790966560273148E-3</v>
      </c>
      <c r="N976" s="145">
        <v>1.3198884689068404</v>
      </c>
      <c r="O976" s="145">
        <v>3.176879398552046E-4</v>
      </c>
      <c r="P976" s="145">
        <v>3.9142338842523827E-4</v>
      </c>
      <c r="Q9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-0.3238496655058043</v>
      </c>
      <c r="R9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-0.31245881016128685</v>
      </c>
      <c r="S9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0.37716317740077443</v>
      </c>
      <c r="T9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-4.2758187113633994E-2</v>
      </c>
      <c r="U9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7.8184585916574179E-7</v>
      </c>
      <c r="V9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-2.2683601963424671E-4</v>
      </c>
      <c r="W9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8.8145942811479472E-7</v>
      </c>
      <c r="X9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1.796698185785317E-7</v>
      </c>
      <c r="Y976" s="162" t="str">
        <f>ReportSummary___Track[[#This Row],[Track ID]]&amp;"-"&amp;ReportSummary___Track[[#This Row],[Epoch]]</f>
        <v>250-RL-OP-0027-45789.2638888889</v>
      </c>
      <c r="Z976" s="126">
        <f>SUBTOTAL(103,ReportSummary___Track[[#This Row],[Track ID]])</f>
        <v>1</v>
      </c>
      <c r="AA976" s="114">
        <f>_xlfn.NUMBERVALUE(RIGHT(ReportSummary___Track[[#This Row],[Track ID]],4))</f>
        <v>27</v>
      </c>
      <c r="AB976" s="78"/>
    </row>
    <row r="977" spans="5:28" ht="14.25" customHeight="1" x14ac:dyDescent="0.2">
      <c r="E977" s="74">
        <v>45789.263888888891</v>
      </c>
      <c r="F977" s="107" t="s">
        <v>242</v>
      </c>
      <c r="G977" s="142">
        <v>51892.83098666594</v>
      </c>
      <c r="H977" s="142">
        <v>159193.51846240537</v>
      </c>
      <c r="I977" s="142">
        <v>18.863216230483452</v>
      </c>
      <c r="J977" s="142">
        <v>51892.465237248078</v>
      </c>
      <c r="K977" s="142">
        <v>159192.24996201834</v>
      </c>
      <c r="L977" s="142">
        <v>18.859486102714445</v>
      </c>
      <c r="M977" s="145">
        <v>3.7301277690069412E-3</v>
      </c>
      <c r="N977" s="145">
        <v>1.3201817232528485</v>
      </c>
      <c r="O977" s="145">
        <v>-7.9168777064353435E-4</v>
      </c>
      <c r="P977" s="145">
        <v>-1.2405168068951866E-4</v>
      </c>
      <c r="Q9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-0.66260454574518235</v>
      </c>
      <c r="R9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-0.6390578953625603</v>
      </c>
      <c r="S9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-0.30482535625253604</v>
      </c>
      <c r="T9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-4.3662732743143806E-2</v>
      </c>
      <c r="U9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1.5996275415375294E-6</v>
      </c>
      <c r="V9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-4.6404447302417218E-4</v>
      </c>
      <c r="W9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1.8135948742781238E-6</v>
      </c>
      <c r="X9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-7.2982626022621844E-6</v>
      </c>
      <c r="Y977" s="162" t="str">
        <f>ReportSummary___Track[[#This Row],[Track ID]]&amp;"-"&amp;ReportSummary___Track[[#This Row],[Epoch]]</f>
        <v>250-RL-OP-0028-45789.2638888889</v>
      </c>
      <c r="Z977" s="126">
        <f>SUBTOTAL(103,ReportSummary___Track[[#This Row],[Track ID]])</f>
        <v>1</v>
      </c>
      <c r="AA977" s="114">
        <f>_xlfn.NUMBERVALUE(RIGHT(ReportSummary___Track[[#This Row],[Track ID]],4))</f>
        <v>28</v>
      </c>
      <c r="AB977" s="78"/>
    </row>
    <row r="978" spans="5:28" ht="14.25" customHeight="1" x14ac:dyDescent="0.2">
      <c r="E978" s="74">
        <v>45789.263888888891</v>
      </c>
      <c r="F978" s="107" t="s">
        <v>243</v>
      </c>
      <c r="G978" s="142">
        <v>51893.79183759453</v>
      </c>
      <c r="H978" s="142">
        <v>159193.24190123487</v>
      </c>
      <c r="I978" s="142">
        <v>18.860908809295871</v>
      </c>
      <c r="J978" s="142">
        <v>51893.42569223688</v>
      </c>
      <c r="K978" s="142">
        <v>159191.97323060461</v>
      </c>
      <c r="L978" s="142">
        <v>18.857700906027482</v>
      </c>
      <c r="M978" s="145">
        <v>3.2079032683896003E-3</v>
      </c>
      <c r="N978" s="145">
        <v>1.3204536650952654</v>
      </c>
      <c r="O978" s="145">
        <v>-1.7743190947392407E-3</v>
      </c>
      <c r="P978" s="145">
        <v>-5.1278236340479566E-4</v>
      </c>
      <c r="Q9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-0.99818687160180275</v>
      </c>
      <c r="R9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-0.94494460249716639</v>
      </c>
      <c r="S9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-0.98364133552308886</v>
      </c>
      <c r="T9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-4.1394723993448679E-2</v>
      </c>
      <c r="U9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-1.5794449939932065E-5</v>
      </c>
      <c r="V9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-6.7083231486098072E-4</v>
      </c>
      <c r="W9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-1.5466128839847215E-5</v>
      </c>
      <c r="X9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-3.2988054186944282E-5</v>
      </c>
      <c r="Y978" s="162" t="str">
        <f>ReportSummary___Track[[#This Row],[Track ID]]&amp;"-"&amp;ReportSummary___Track[[#This Row],[Epoch]]</f>
        <v>250-RL-OP-0029-45789.2638888889</v>
      </c>
      <c r="Z978" s="126">
        <f>SUBTOTAL(103,ReportSummary___Track[[#This Row],[Track ID]])</f>
        <v>1</v>
      </c>
      <c r="AA978" s="114">
        <f>_xlfn.NUMBERVALUE(RIGHT(ReportSummary___Track[[#This Row],[Track ID]],4))</f>
        <v>29</v>
      </c>
      <c r="AB978" s="78"/>
    </row>
    <row r="979" spans="5:28" ht="14.25" customHeight="1" x14ac:dyDescent="0.2">
      <c r="E979" s="74">
        <v>45789.263888888891</v>
      </c>
      <c r="F979" s="107" t="s">
        <v>269</v>
      </c>
      <c r="G979" s="142">
        <v>51894.752702765814</v>
      </c>
      <c r="H979" s="142">
        <v>159192.96488481897</v>
      </c>
      <c r="I979" s="142">
        <v>18.861075968610315</v>
      </c>
      <c r="J979" s="142">
        <v>51894.386491647616</v>
      </c>
      <c r="K979" s="142">
        <v>159191.69598619419</v>
      </c>
      <c r="L979" s="142">
        <v>18.857871854609566</v>
      </c>
      <c r="M979" s="145">
        <v>3.2041140007486035E-3</v>
      </c>
      <c r="N979" s="145">
        <v>1.3206909439420327</v>
      </c>
      <c r="O979" s="145">
        <v>-1.1749826552787113E-3</v>
      </c>
      <c r="P979" s="145">
        <v>-8.5729471542350666E-4</v>
      </c>
      <c r="Q9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-0.65622569019296861</v>
      </c>
      <c r="R9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-0.29416987095864933</v>
      </c>
      <c r="S9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-0.33237602468716432</v>
      </c>
      <c r="T9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4.4787152713610112E-2</v>
      </c>
      <c r="U9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-7.7912992608730747E-6</v>
      </c>
      <c r="V9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-2.0848099361714389E-4</v>
      </c>
      <c r="W9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-8.5731451200388165E-6</v>
      </c>
      <c r="X9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-7.6916856919240217E-6</v>
      </c>
      <c r="Y979" s="162" t="str">
        <f>ReportSummary___Track[[#This Row],[Track ID]]&amp;"-"&amp;ReportSummary___Track[[#This Row],[Epoch]]</f>
        <v>250-RL-OP-0030-45789.2638888889</v>
      </c>
      <c r="Z979" s="126">
        <f>SUBTOTAL(103,ReportSummary___Track[[#This Row],[Track ID]])</f>
        <v>1</v>
      </c>
      <c r="AA979" s="114">
        <f>_xlfn.NUMBERVALUE(RIGHT(ReportSummary___Track[[#This Row],[Track ID]],4))</f>
        <v>30</v>
      </c>
      <c r="AB979" s="78"/>
    </row>
    <row r="980" spans="5:28" ht="14.25" customHeight="1" x14ac:dyDescent="0.2">
      <c r="E980" s="74">
        <v>45789.263888888891</v>
      </c>
      <c r="F980" s="107" t="s">
        <v>270</v>
      </c>
      <c r="G980" s="142">
        <v>51895.713567937099</v>
      </c>
      <c r="H980" s="142">
        <v>159192.6878684031</v>
      </c>
      <c r="I980" s="142">
        <v>18.861243127924759</v>
      </c>
      <c r="J980" s="142">
        <v>51895.347291058351</v>
      </c>
      <c r="K980" s="142">
        <v>159191.4187417838</v>
      </c>
      <c r="L980" s="142">
        <v>18.858042803191648</v>
      </c>
      <c r="M980" s="145">
        <v>3.2003247331111595E-3</v>
      </c>
      <c r="N980" s="145">
        <v>1.3209282228032275</v>
      </c>
      <c r="O980" s="145">
        <v>-5.298030358957817E-4</v>
      </c>
      <c r="P980" s="145">
        <v>-1.3214908065393161E-3</v>
      </c>
      <c r="Q9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-0.31426450878058176</v>
      </c>
      <c r="R9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0.35651500997491148</v>
      </c>
      <c r="S9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0.34834003696460059</v>
      </c>
      <c r="T9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4.3514680712064546E-2</v>
      </c>
      <c r="U9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2.1185142173862914E-7</v>
      </c>
      <c r="V9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2.5387027225853842E-4</v>
      </c>
      <c r="W9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-1.3877761197989003E-6</v>
      </c>
      <c r="X9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4.2581875447922357E-7</v>
      </c>
      <c r="Y980" s="162" t="str">
        <f>ReportSummary___Track[[#This Row],[Track ID]]&amp;"-"&amp;ReportSummary___Track[[#This Row],[Epoch]]</f>
        <v>250-RL-OP-0031-45789.2638888889</v>
      </c>
      <c r="Z980" s="126">
        <f>SUBTOTAL(103,ReportSummary___Track[[#This Row],[Track ID]])</f>
        <v>1</v>
      </c>
      <c r="AA980" s="114">
        <f>_xlfn.NUMBERVALUE(RIGHT(ReportSummary___Track[[#This Row],[Track ID]],4))</f>
        <v>31</v>
      </c>
      <c r="AB980" s="78"/>
    </row>
    <row r="981" spans="5:28" ht="14.25" customHeight="1" x14ac:dyDescent="0.2">
      <c r="E981" s="74">
        <v>45789.263888888891</v>
      </c>
      <c r="F981" s="107" t="s">
        <v>271</v>
      </c>
      <c r="G981" s="142">
        <v>51896.674400289477</v>
      </c>
      <c r="H981" s="142">
        <v>159192.41088835374</v>
      </c>
      <c r="I981" s="142">
        <v>18.861498357934735</v>
      </c>
      <c r="J981" s="142">
        <v>51896.30852141809</v>
      </c>
      <c r="K981" s="142">
        <v>159191.14170884955</v>
      </c>
      <c r="L981" s="142">
        <v>18.858247340168667</v>
      </c>
      <c r="M981" s="145">
        <v>3.2510177660682871E-3</v>
      </c>
      <c r="N981" s="145">
        <v>1.3208688547696443</v>
      </c>
      <c r="O981" s="145">
        <v>4.3114497678686803E-5</v>
      </c>
      <c r="P981" s="145">
        <v>-1.7312045970605539E-3</v>
      </c>
      <c r="Q9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9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0.96083810884728393</v>
      </c>
      <c r="S9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0.99818687160180275</v>
      </c>
      <c r="T9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1.4545536078713894E-2</v>
      </c>
      <c r="U9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-5.8026000004929301E-8</v>
      </c>
      <c r="V9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6.7625940651017125E-4</v>
      </c>
      <c r="W9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1.5736423939927136E-5</v>
      </c>
      <c r="X9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2.702951000799203E-7</v>
      </c>
      <c r="Y981" s="162" t="str">
        <f>ReportSummary___Track[[#This Row],[Track ID]]&amp;"-"&amp;ReportSummary___Track[[#This Row],[Epoch]]</f>
        <v>250-RL-OP-0032-45789.2638888889</v>
      </c>
      <c r="Z981" s="126">
        <f>SUBTOTAL(103,ReportSummary___Track[[#This Row],[Track ID]])</f>
        <v>1</v>
      </c>
      <c r="AA981" s="114">
        <f>_xlfn.NUMBERVALUE(RIGHT(ReportSummary___Track[[#This Row],[Track ID]],4))</f>
        <v>32</v>
      </c>
      <c r="AB981" s="78"/>
    </row>
    <row r="982" spans="5:28" ht="14.25" customHeight="1" x14ac:dyDescent="0.2">
      <c r="E982" s="74">
        <v>45789.263888888891</v>
      </c>
      <c r="F982" s="107" t="s">
        <v>272</v>
      </c>
      <c r="G982" s="142">
        <v>51897.635380606233</v>
      </c>
      <c r="H982" s="142">
        <v>159192.13427621915</v>
      </c>
      <c r="I982" s="142">
        <v>18.863097673946694</v>
      </c>
      <c r="J982" s="142">
        <v>51897.270420156812</v>
      </c>
      <c r="K982" s="142">
        <v>159190.86830352191</v>
      </c>
      <c r="L982" s="142">
        <v>18.858833233345244</v>
      </c>
      <c r="M982" s="145">
        <v>4.2644406014495928E-3</v>
      </c>
      <c r="N982" s="145">
        <v>1.3175360280604402</v>
      </c>
      <c r="O982" s="145">
        <v>1.0603266007009893E-3</v>
      </c>
      <c r="P982" s="145">
        <v>-1.1465605457772199E-4</v>
      </c>
      <c r="Q9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9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0.96083469081031936</v>
      </c>
      <c r="S9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0.6562256901894159</v>
      </c>
      <c r="T9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0.32384966550225158</v>
      </c>
      <c r="U9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-9.4060393962536182E-7</v>
      </c>
      <c r="V9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5.3240203711357736E-4</v>
      </c>
      <c r="W9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6.8506953212477129E-6</v>
      </c>
      <c r="X9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-1.7224497987911036E-6</v>
      </c>
      <c r="Y982" s="162" t="str">
        <f>ReportSummary___Track[[#This Row],[Track ID]]&amp;"-"&amp;ReportSummary___Track[[#This Row],[Epoch]]</f>
        <v>250-RL-OP-0033-45789.2638888889</v>
      </c>
      <c r="Z982" s="126">
        <f>SUBTOTAL(103,ReportSummary___Track[[#This Row],[Track ID]])</f>
        <v>1</v>
      </c>
      <c r="AA982" s="114">
        <f>_xlfn.NUMBERVALUE(RIGHT(ReportSummary___Track[[#This Row],[Track ID]],4))</f>
        <v>33</v>
      </c>
      <c r="AB982" s="78"/>
    </row>
    <row r="983" spans="5:28" ht="14.25" customHeight="1" x14ac:dyDescent="0.2">
      <c r="E983" s="74">
        <v>45789.263888888891</v>
      </c>
      <c r="F983" s="107" t="s">
        <v>273</v>
      </c>
      <c r="G983" s="142">
        <v>51898.59636092298</v>
      </c>
      <c r="H983" s="142">
        <v>159191.85766408456</v>
      </c>
      <c r="I983" s="142">
        <v>18.864696989958652</v>
      </c>
      <c r="J983" s="142">
        <v>51898.232318895534</v>
      </c>
      <c r="K983" s="142">
        <v>159190.59489819428</v>
      </c>
      <c r="L983" s="142">
        <v>18.859419126521821</v>
      </c>
      <c r="M983" s="145">
        <v>5.2778634368308985E-3</v>
      </c>
      <c r="N983" s="145">
        <v>1.3142039975741984</v>
      </c>
      <c r="O983" s="145">
        <v>2.077538703719739E-3</v>
      </c>
      <c r="P983" s="145">
        <v>1.5477356678239573E-3</v>
      </c>
      <c r="Q9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-7.1054273576010019E-12</v>
      </c>
      <c r="R9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0.9608306708530634</v>
      </c>
      <c r="S9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0.31426450877347634</v>
      </c>
      <c r="T9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0.66260454573807692</v>
      </c>
      <c r="U9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-1.823181882798508E-6</v>
      </c>
      <c r="V9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3.8854361910845014E-4</v>
      </c>
      <c r="W9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-2.0350333045371372E-6</v>
      </c>
      <c r="X9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-3.4228094243360374E-6</v>
      </c>
      <c r="Y983" s="162" t="str">
        <f>ReportSummary___Track[[#This Row],[Track ID]]&amp;"-"&amp;ReportSummary___Track[[#This Row],[Epoch]]</f>
        <v>250-RL-OP-0034-45789.2638888889</v>
      </c>
      <c r="Z983" s="126">
        <f>SUBTOTAL(103,ReportSummary___Track[[#This Row],[Track ID]])</f>
        <v>1</v>
      </c>
      <c r="AA983" s="114">
        <f>_xlfn.NUMBERVALUE(RIGHT(ReportSummary___Track[[#This Row],[Track ID]],4))</f>
        <v>34</v>
      </c>
      <c r="AB983" s="78"/>
    </row>
    <row r="984" spans="5:28" ht="14.25" customHeight="1" x14ac:dyDescent="0.2">
      <c r="E984" s="74">
        <v>45789.263888888891</v>
      </c>
      <c r="F984" s="107" t="s">
        <v>274</v>
      </c>
      <c r="G984" s="142">
        <v>51899.557748431522</v>
      </c>
      <c r="H984" s="142">
        <v>159191.58237758733</v>
      </c>
      <c r="I984" s="142">
        <v>18.866</v>
      </c>
      <c r="J984" s="142">
        <v>51899.202488344781</v>
      </c>
      <c r="K984" s="142">
        <v>159190.31967680616</v>
      </c>
      <c r="L984" s="142">
        <v>18.859777416319687</v>
      </c>
      <c r="M984" s="145">
        <v>6.2225836803122547E-3</v>
      </c>
      <c r="N984" s="145">
        <v>1.3117399561425083</v>
      </c>
      <c r="O984" s="145">
        <v>2.9715659142439677E-3</v>
      </c>
      <c r="P984" s="145">
        <v>3.0146804119226545E-3</v>
      </c>
      <c r="Q9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9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0.90395994462411089</v>
      </c>
      <c r="S9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2.1697356800132184E-5</v>
      </c>
      <c r="T9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0.99820856895860288</v>
      </c>
      <c r="U9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9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2.5387824185840735E-4</v>
      </c>
      <c r="W9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3.8670917135164018E-7</v>
      </c>
      <c r="X9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1.6123133111278776E-5</v>
      </c>
      <c r="Y984" s="162" t="str">
        <f>ReportSummary___Track[[#This Row],[Track ID]]&amp;"-"&amp;ReportSummary___Track[[#This Row],[Epoch]]</f>
        <v>250-RL-OP-0035-45789.2638888889</v>
      </c>
      <c r="Z984" s="126">
        <f>SUBTOTAL(103,ReportSummary___Track[[#This Row],[Track ID]])</f>
        <v>1</v>
      </c>
      <c r="AA984" s="114">
        <f>_xlfn.NUMBERVALUE(RIGHT(ReportSummary___Track[[#This Row],[Track ID]],4))</f>
        <v>35</v>
      </c>
      <c r="AB984" s="78"/>
    </row>
    <row r="985" spans="5:28" ht="14.25" customHeight="1" x14ac:dyDescent="0.2">
      <c r="E985" s="74">
        <v>45789.263888888891</v>
      </c>
      <c r="F985" s="107" t="s">
        <v>275</v>
      </c>
      <c r="G985" s="142">
        <v>51900.520772886579</v>
      </c>
      <c r="H985" s="142">
        <v>159191.31296359556</v>
      </c>
      <c r="I985" s="142">
        <v>18.866</v>
      </c>
      <c r="J985" s="142">
        <v>51900.165132696296</v>
      </c>
      <c r="K985" s="142">
        <v>159190.04890859168</v>
      </c>
      <c r="L985" s="142">
        <v>18.859124333313233</v>
      </c>
      <c r="M985" s="145">
        <v>6.8756666867670901E-3</v>
      </c>
      <c r="N985" s="145">
        <v>1.3131497525281857</v>
      </c>
      <c r="O985" s="145">
        <v>2.6112260853174973E-3</v>
      </c>
      <c r="P985" s="145">
        <v>3.6715526860184866E-3</v>
      </c>
      <c r="Q9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9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0.59570911046091801</v>
      </c>
      <c r="S9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1.3729329495504317E-4</v>
      </c>
      <c r="T9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0.65636298348437094</v>
      </c>
      <c r="U9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9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1.6431828446239471E-4</v>
      </c>
      <c r="W9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7.2724287605296922E-6</v>
      </c>
      <c r="X9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1.4123124081777405E-5</v>
      </c>
      <c r="Y985" s="162" t="str">
        <f>ReportSummary___Track[[#This Row],[Track ID]]&amp;"-"&amp;ReportSummary___Track[[#This Row],[Epoch]]</f>
        <v>250-RL-OP-0036-45789.2638888889</v>
      </c>
      <c r="Z985" s="126">
        <f>SUBTOTAL(103,ReportSummary___Track[[#This Row],[Track ID]])</f>
        <v>1</v>
      </c>
      <c r="AA985" s="114">
        <f>_xlfn.NUMBERVALUE(RIGHT(ReportSummary___Track[[#This Row],[Track ID]],4))</f>
        <v>36</v>
      </c>
      <c r="AB985" s="78"/>
    </row>
    <row r="986" spans="5:28" ht="14.25" customHeight="1" x14ac:dyDescent="0.2">
      <c r="E986" s="74">
        <v>45789.263888888891</v>
      </c>
      <c r="F986" s="107" t="s">
        <v>276</v>
      </c>
      <c r="G986" s="142">
        <v>51901.483797341636</v>
      </c>
      <c r="H986" s="142">
        <v>159191.04354960378</v>
      </c>
      <c r="I986" s="142">
        <v>18.866</v>
      </c>
      <c r="J986" s="142">
        <v>51901.127777047812</v>
      </c>
      <c r="K986" s="142">
        <v>159189.7781403772</v>
      </c>
      <c r="L986" s="142">
        <v>18.858471250306774</v>
      </c>
      <c r="M986" s="145">
        <v>7.5287496932254783E-3</v>
      </c>
      <c r="N986" s="145">
        <v>1.314559866426573</v>
      </c>
      <c r="O986" s="145">
        <v>2.2508862563945797E-3</v>
      </c>
      <c r="P986" s="145">
        <v>4.3284249601143188E-3</v>
      </c>
      <c r="Q9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2.5288923310995415E-4</v>
      </c>
      <c r="R9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0.28745983361555538</v>
      </c>
      <c r="S9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2.5288924021538151E-4</v>
      </c>
      <c r="T9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0.31451739801369172</v>
      </c>
      <c r="U9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1.2334966481120091E-5</v>
      </c>
      <c r="V9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7.4764643687386112E-5</v>
      </c>
      <c r="W9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1.4158148363918599E-5</v>
      </c>
      <c r="X9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1.2123115059381462E-5</v>
      </c>
      <c r="Y986" s="162" t="str">
        <f>ReportSummary___Track[[#This Row],[Track ID]]&amp;"-"&amp;ReportSummary___Track[[#This Row],[Epoch]]</f>
        <v>250-RL-OP-0037-45789.2638888889</v>
      </c>
      <c r="Z986" s="126">
        <f>SUBTOTAL(103,ReportSummary___Track[[#This Row],[Track ID]])</f>
        <v>1</v>
      </c>
      <c r="AA986" s="114">
        <f>_xlfn.NUMBERVALUE(RIGHT(ReportSummary___Track[[#This Row],[Track ID]],4))</f>
        <v>37</v>
      </c>
      <c r="AB986" s="78"/>
    </row>
    <row r="987" spans="5:28" ht="14.25" customHeight="1" x14ac:dyDescent="0.2">
      <c r="E987" s="74">
        <v>45789.263888888891</v>
      </c>
      <c r="F987" s="107" t="s">
        <v>277</v>
      </c>
      <c r="G987" s="142">
        <v>51902.446769974056</v>
      </c>
      <c r="H987" s="142">
        <v>159190.77524553274</v>
      </c>
      <c r="I987" s="142">
        <v>18.866065352039769</v>
      </c>
      <c r="J987" s="142">
        <v>51902.098861120321</v>
      </c>
      <c r="K987" s="142">
        <v>159189.50600598883</v>
      </c>
      <c r="L987" s="142">
        <v>18.857900000000001</v>
      </c>
      <c r="M987" s="145">
        <v>8.1653520397679813E-3</v>
      </c>
      <c r="N987" s="145">
        <v>1.3160836840038421</v>
      </c>
      <c r="O987" s="145">
        <v>1.9427683594557266E-3</v>
      </c>
      <c r="P987" s="145">
        <v>4.9143342736996942E-3</v>
      </c>
      <c r="Q9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9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5.8252603954755955E-2</v>
      </c>
      <c r="S9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-5.9472620975498103E-2</v>
      </c>
      <c r="T9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-5.9450923618697971E-2</v>
      </c>
      <c r="U9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9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9.2402612827946484E-7</v>
      </c>
      <c r="W9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-5.9790544867155404E-5</v>
      </c>
      <c r="X9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-5.9403835695803764E-5</v>
      </c>
      <c r="Y987" s="162" t="str">
        <f>ReportSummary___Track[[#This Row],[Track ID]]&amp;"-"&amp;ReportSummary___Track[[#This Row],[Epoch]]</f>
        <v>250-RL-OP-0038-45789.2638888889</v>
      </c>
      <c r="Z987" s="126">
        <f>SUBTOTAL(103,ReportSummary___Track[[#This Row],[Track ID]])</f>
        <v>1</v>
      </c>
      <c r="AA987" s="114">
        <f>_xlfn.NUMBERVALUE(RIGHT(ReportSummary___Track[[#This Row],[Track ID]],4))</f>
        <v>38</v>
      </c>
      <c r="AB987" s="78"/>
    </row>
    <row r="988" spans="5:28" ht="14.25" customHeight="1" x14ac:dyDescent="0.2">
      <c r="E988" s="74">
        <v>45789.263888888891</v>
      </c>
      <c r="F988" s="107" t="s">
        <v>278</v>
      </c>
      <c r="G988" s="142">
        <v>51903.411367144348</v>
      </c>
      <c r="H988" s="142">
        <v>159190.51151808733</v>
      </c>
      <c r="I988" s="142">
        <v>18.866430855617907</v>
      </c>
      <c r="J988" s="142">
        <v>51903.06344348444</v>
      </c>
      <c r="K988" s="142">
        <v>159189.24222414181</v>
      </c>
      <c r="L988" s="142">
        <v>18.857900000000001</v>
      </c>
      <c r="M988" s="145">
        <v>8.5308556179057859E-3</v>
      </c>
      <c r="N988" s="145">
        <v>1.3161423816381783</v>
      </c>
      <c r="O988" s="145">
        <v>1.6551889311386958E-3</v>
      </c>
      <c r="P988" s="145">
        <v>4.2664150164561931E-3</v>
      </c>
      <c r="Q9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-0.39195049642870572</v>
      </c>
      <c r="R9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0.4646789735065493</v>
      </c>
      <c r="S9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-0.39208778972010805</v>
      </c>
      <c r="T9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-0.39195049642515301</v>
      </c>
      <c r="U9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-3.9202260941451073E-4</v>
      </c>
      <c r="V9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8.6722029701835623E-5</v>
      </c>
      <c r="W9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-3.9835443423541506E-4</v>
      </c>
      <c r="X9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-3.9108200547488536E-4</v>
      </c>
      <c r="Y988" s="162" t="str">
        <f>ReportSummary___Track[[#This Row],[Track ID]]&amp;"-"&amp;ReportSummary___Track[[#This Row],[Epoch]]</f>
        <v>250-RL-OP-0039-45789.2638888889</v>
      </c>
      <c r="Z988" s="126">
        <f>SUBTOTAL(103,ReportSummary___Track[[#This Row],[Track ID]])</f>
        <v>1</v>
      </c>
      <c r="AA988" s="114">
        <f>_xlfn.NUMBERVALUE(RIGHT(ReportSummary___Track[[#This Row],[Track ID]],4))</f>
        <v>39</v>
      </c>
      <c r="AB988" s="78"/>
    </row>
    <row r="989" spans="5:28" ht="14.25" customHeight="1" x14ac:dyDescent="0.2">
      <c r="E989" s="74">
        <v>45789.263888888891</v>
      </c>
      <c r="F989" s="107" t="s">
        <v>279</v>
      </c>
      <c r="G989" s="142">
        <v>51904.37596431464</v>
      </c>
      <c r="H989" s="142">
        <v>159190.24779064191</v>
      </c>
      <c r="I989" s="142">
        <v>18.866796359196041</v>
      </c>
      <c r="J989" s="142">
        <v>51904.028025848558</v>
      </c>
      <c r="K989" s="142">
        <v>159188.97844229479</v>
      </c>
      <c r="L989" s="142">
        <v>18.857900000000001</v>
      </c>
      <c r="M989" s="145">
        <v>8.8963591960400379E-3</v>
      </c>
      <c r="N989" s="145">
        <v>1.3162011805687437</v>
      </c>
      <c r="O989" s="145">
        <v>1.3676095028145596E-3</v>
      </c>
      <c r="P989" s="145">
        <v>3.6184957592091394E-3</v>
      </c>
      <c r="Q9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-0.72445006923871347</v>
      </c>
      <c r="R9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0.87083377910257553</v>
      </c>
      <c r="S9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-0.72470295847182342</v>
      </c>
      <c r="T9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-0.72445006923160804</v>
      </c>
      <c r="U9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-7.2458335713676547E-4</v>
      </c>
      <c r="V9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1.7225082624583443E-4</v>
      </c>
      <c r="W9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-7.3691832361788556E-4</v>
      </c>
      <c r="X9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-7.2276017525396696E-4</v>
      </c>
      <c r="Y989" s="162" t="str">
        <f>ReportSummary___Track[[#This Row],[Track ID]]&amp;"-"&amp;ReportSummary___Track[[#This Row],[Epoch]]</f>
        <v>250-RL-OP-0040-45789.2638888889</v>
      </c>
      <c r="Z989" s="126">
        <f>SUBTOTAL(103,ReportSummary___Track[[#This Row],[Track ID]])</f>
        <v>1</v>
      </c>
      <c r="AA989" s="114">
        <f>_xlfn.NUMBERVALUE(RIGHT(ReportSummary___Track[[#This Row],[Track ID]],4))</f>
        <v>40</v>
      </c>
      <c r="AB989" s="78"/>
    </row>
    <row r="990" spans="5:28" ht="14.25" customHeight="1" x14ac:dyDescent="0.2">
      <c r="E990" s="74">
        <v>45789.263888888891</v>
      </c>
      <c r="F990" s="107" t="s">
        <v>280</v>
      </c>
      <c r="G990" s="142">
        <v>51905.341841341033</v>
      </c>
      <c r="H990" s="142">
        <v>159189.98517916439</v>
      </c>
      <c r="I990" s="142">
        <v>18.86745208135207</v>
      </c>
      <c r="J990" s="142">
        <v>51905.00286465192</v>
      </c>
      <c r="K990" s="142">
        <v>159188.71300367382</v>
      </c>
      <c r="L990" s="142">
        <v>18.858104633955975</v>
      </c>
      <c r="M990" s="145">
        <v>9.3474473960952764E-3</v>
      </c>
      <c r="N990" s="145">
        <v>1.3165952488631443</v>
      </c>
      <c r="O990" s="145">
        <v>1.1820953563272951E-3</v>
      </c>
      <c r="P990" s="145">
        <v>3.1248637157830217E-3</v>
      </c>
      <c r="Q9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-0.94027318436928908</v>
      </c>
      <c r="R9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1.1554755613967238</v>
      </c>
      <c r="S9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-0.88082226075059111</v>
      </c>
      <c r="T9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-0.94029488172608922</v>
      </c>
      <c r="U9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-9.403253886759444E-4</v>
      </c>
      <c r="V9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2.5009668217945702E-4</v>
      </c>
      <c r="W9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-8.808635269801357E-4</v>
      </c>
      <c r="X9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-9.4065407184729111E-4</v>
      </c>
      <c r="Y990" s="162" t="str">
        <f>ReportSummary___Track[[#This Row],[Track ID]]&amp;"-"&amp;ReportSummary___Track[[#This Row],[Epoch]]</f>
        <v>250-RL-OP-0041-45789.2638888889</v>
      </c>
      <c r="Z990" s="126">
        <f>SUBTOTAL(103,ReportSummary___Track[[#This Row],[Track ID]])</f>
        <v>1</v>
      </c>
      <c r="AA990" s="114">
        <f>_xlfn.NUMBERVALUE(RIGHT(ReportSummary___Track[[#This Row],[Track ID]],4))</f>
        <v>41</v>
      </c>
      <c r="AB990" s="78"/>
    </row>
    <row r="991" spans="5:28" ht="14.25" customHeight="1" x14ac:dyDescent="0.2">
      <c r="E991" s="74">
        <v>45789.263888888891</v>
      </c>
      <c r="F991" s="107" t="s">
        <v>281</v>
      </c>
      <c r="G991" s="142">
        <v>51906.30859422603</v>
      </c>
      <c r="H991" s="142">
        <v>159189.72947507742</v>
      </c>
      <c r="I991" s="142">
        <v>18.86952071444296</v>
      </c>
      <c r="J991" s="142">
        <v>51905.969516824021</v>
      </c>
      <c r="K991" s="142">
        <v>159188.45691499615</v>
      </c>
      <c r="L991" s="142">
        <v>18.859576820689608</v>
      </c>
      <c r="M991" s="145">
        <v>9.9438937533520289E-3</v>
      </c>
      <c r="N991" s="145">
        <v>1.3169971624941366</v>
      </c>
      <c r="O991" s="145">
        <v>1.4130381354462429E-3</v>
      </c>
      <c r="P991" s="145">
        <v>3.0682270665849387E-3</v>
      </c>
      <c r="Q9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-0.58928297621818615</v>
      </c>
      <c r="R9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0.71875456896819401</v>
      </c>
      <c r="S9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-0.19733247978948043</v>
      </c>
      <c r="T9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-0.58942026950958848</v>
      </c>
      <c r="U9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-5.8971075102931536E-4</v>
      </c>
      <c r="V9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2.5252165410227789E-4</v>
      </c>
      <c r="W9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-1.9768814161480464E-4</v>
      </c>
      <c r="X9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-5.9604257585021969E-4</v>
      </c>
      <c r="Y991" s="162" t="str">
        <f>ReportSummary___Track[[#This Row],[Track ID]]&amp;"-"&amp;ReportSummary___Track[[#This Row],[Epoch]]</f>
        <v>250-RL-OP-0042-45789.2638888889</v>
      </c>
      <c r="Z991" s="126">
        <f>SUBTOTAL(103,ReportSummary___Track[[#This Row],[Track ID]])</f>
        <v>1</v>
      </c>
      <c r="AA991" s="114">
        <f>_xlfn.NUMBERVALUE(RIGHT(ReportSummary___Track[[#This Row],[Track ID]],4))</f>
        <v>42</v>
      </c>
      <c r="AB991" s="78"/>
    </row>
    <row r="992" spans="5:28" ht="14.25" customHeight="1" x14ac:dyDescent="0.2">
      <c r="E992" s="74">
        <v>45789.263888888891</v>
      </c>
      <c r="F992" s="107" t="s">
        <v>282</v>
      </c>
      <c r="G992" s="142">
        <v>51907.275347111034</v>
      </c>
      <c r="H992" s="142">
        <v>159189.47377099041</v>
      </c>
      <c r="I992" s="142">
        <v>18.871589347533849</v>
      </c>
      <c r="J992" s="142">
        <v>51906.93616899613</v>
      </c>
      <c r="K992" s="142">
        <v>159188.20082631847</v>
      </c>
      <c r="L992" s="142">
        <v>18.86104900742324</v>
      </c>
      <c r="M992" s="145">
        <v>1.0540340110608781E-2</v>
      </c>
      <c r="N992" s="145">
        <v>1.3173993434926341</v>
      </c>
      <c r="O992" s="145">
        <v>1.6439809145687434E-3</v>
      </c>
      <c r="P992" s="145">
        <v>3.011590417383303E-3</v>
      </c>
      <c r="Q9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-0.23829276806708322</v>
      </c>
      <c r="R9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0.282257667008734</v>
      </c>
      <c r="S9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0.48615730117163025</v>
      </c>
      <c r="T9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-0.23854565730019317</v>
      </c>
      <c r="U9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-2.3909611338623904E-4</v>
      </c>
      <c r="V9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2.5516928363589209E-4</v>
      </c>
      <c r="W9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4.8548724375052643E-4</v>
      </c>
      <c r="X9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-2.5143107986735913E-4</v>
      </c>
      <c r="Y992" s="162" t="str">
        <f>ReportSummary___Track[[#This Row],[Track ID]]&amp;"-"&amp;ReportSummary___Track[[#This Row],[Epoch]]</f>
        <v>250-RL-OP-0043-45789.2638888889</v>
      </c>
      <c r="Z992" s="126">
        <f>SUBTOTAL(103,ReportSummary___Track[[#This Row],[Track ID]])</f>
        <v>1</v>
      </c>
      <c r="AA992" s="114">
        <f>_xlfn.NUMBERVALUE(RIGHT(ReportSummary___Track[[#This Row],[Track ID]],4))</f>
        <v>43</v>
      </c>
      <c r="AB992" s="78"/>
    </row>
    <row r="993" spans="5:28" ht="14.25" customHeight="1" x14ac:dyDescent="0.2">
      <c r="E993" s="74">
        <v>45789.263888888891</v>
      </c>
      <c r="F993" s="107" t="s">
        <v>283</v>
      </c>
      <c r="G993" s="142">
        <v>51908.242806888149</v>
      </c>
      <c r="H993" s="142">
        <v>159189.22150144327</v>
      </c>
      <c r="I993" s="142">
        <v>18.873859626742529</v>
      </c>
      <c r="J993" s="142">
        <v>51907.904497607546</v>
      </c>
      <c r="K993" s="142">
        <v>159187.94812580553</v>
      </c>
      <c r="L993" s="142">
        <v>18.86283096891291</v>
      </c>
      <c r="M993" s="145">
        <v>1.1028657829619704E-2</v>
      </c>
      <c r="N993" s="145">
        <v>1.3175964159904032</v>
      </c>
      <c r="O993" s="145">
        <v>1.6812104335244271E-3</v>
      </c>
      <c r="P993" s="145">
        <v>2.8633057898517222E-3</v>
      </c>
      <c r="Q9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2.5499327094280488E-4</v>
      </c>
      <c r="R9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-2.762580701887174E-2</v>
      </c>
      <c r="S9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0.94052817764023189</v>
      </c>
      <c r="T9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5.9705916889640775E-2</v>
      </c>
      <c r="U9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4.5549129978894598E-7</v>
      </c>
      <c r="V9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1.0453198940907349E-4</v>
      </c>
      <c r="W9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9.4078087997573334E-4</v>
      </c>
      <c r="X9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5.9917352995597639E-5</v>
      </c>
      <c r="Y993" s="162" t="str">
        <f>ReportSummary___Track[[#This Row],[Track ID]]&amp;"-"&amp;ReportSummary___Track[[#This Row],[Epoch]]</f>
        <v>250-RL-OP-0044-45789.2638888889</v>
      </c>
      <c r="Z993" s="126">
        <f>SUBTOTAL(103,ReportSummary___Track[[#This Row],[Track ID]])</f>
        <v>1</v>
      </c>
      <c r="AA993" s="114">
        <f>_xlfn.NUMBERVALUE(RIGHT(ReportSummary___Track[[#This Row],[Track ID]],4))</f>
        <v>44</v>
      </c>
      <c r="AB993" s="78"/>
    </row>
    <row r="994" spans="5:28" ht="14.25" customHeight="1" x14ac:dyDescent="0.2">
      <c r="E994" s="74">
        <v>45789.263888888891</v>
      </c>
      <c r="F994" s="107" t="s">
        <v>284</v>
      </c>
      <c r="G994" s="142">
        <v>51909.212315815959</v>
      </c>
      <c r="H994" s="142">
        <v>159188.97646037152</v>
      </c>
      <c r="I994" s="142">
        <v>18.876563705831956</v>
      </c>
      <c r="J994" s="142">
        <v>51908.873769331156</v>
      </c>
      <c r="K994" s="142">
        <v>159187.70214442315</v>
      </c>
      <c r="L994" s="142">
        <v>18.865173045894053</v>
      </c>
      <c r="M994" s="145">
        <v>1.1390659937902115E-2</v>
      </c>
      <c r="N994" s="145">
        <v>1.3185691509225383</v>
      </c>
      <c r="O994" s="145">
        <v>1.4467661845500857E-3</v>
      </c>
      <c r="P994" s="145">
        <v>2.8598043199963286E-3</v>
      </c>
      <c r="Q9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9.7368908313910651E-4</v>
      </c>
      <c r="R9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-0.10548819346611893</v>
      </c>
      <c r="S9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0.59025666530132526</v>
      </c>
      <c r="T9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0.39292418551184483</v>
      </c>
      <c r="U9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1.8048823946514858E-6</v>
      </c>
      <c r="V9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-3.6418494830448012E-4</v>
      </c>
      <c r="W9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5.9151563342396685E-4</v>
      </c>
      <c r="X9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3.9382749180916221E-4</v>
      </c>
      <c r="Y994" s="162" t="str">
        <f>ReportSummary___Track[[#This Row],[Track ID]]&amp;"-"&amp;ReportSummary___Track[[#This Row],[Epoch]]</f>
        <v>250-RL-OP-0045-45789.2638888889</v>
      </c>
      <c r="Z994" s="126">
        <f>SUBTOTAL(103,ReportSummary___Track[[#This Row],[Track ID]])</f>
        <v>1</v>
      </c>
      <c r="AA994" s="114">
        <f>_xlfn.NUMBERVALUE(RIGHT(ReportSummary___Track[[#This Row],[Track ID]],4))</f>
        <v>45</v>
      </c>
      <c r="AB994" s="78"/>
    </row>
    <row r="995" spans="5:28" ht="14.25" customHeight="1" x14ac:dyDescent="0.2">
      <c r="E995" s="74">
        <v>45789.263888888891</v>
      </c>
      <c r="F995" s="107" t="s">
        <v>285</v>
      </c>
      <c r="G995" s="142">
        <v>51910.181824743777</v>
      </c>
      <c r="H995" s="142">
        <v>159188.73141929976</v>
      </c>
      <c r="I995" s="142">
        <v>18.879267784921382</v>
      </c>
      <c r="J995" s="142">
        <v>51909.843041054766</v>
      </c>
      <c r="K995" s="142">
        <v>159187.45616304077</v>
      </c>
      <c r="L995" s="142">
        <v>18.867515122875201</v>
      </c>
      <c r="M995" s="145">
        <v>1.1752662046180973E-2</v>
      </c>
      <c r="N995" s="145">
        <v>1.3195419808002307</v>
      </c>
      <c r="O995" s="145">
        <v>1.2123219355721915E-3</v>
      </c>
      <c r="P995" s="145">
        <v>2.8563028501409349E-3</v>
      </c>
      <c r="Q9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1.6923848953354081E-3</v>
      </c>
      <c r="R9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-0.18334989925739009</v>
      </c>
      <c r="S9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0.23998515296241862</v>
      </c>
      <c r="T9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0.72614245413404888</v>
      </c>
      <c r="U9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3.154273485961312E-6</v>
      </c>
      <c r="V9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-8.3289906123451551E-4</v>
      </c>
      <c r="W9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2.4225038687220035E-4</v>
      </c>
      <c r="X9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7.2773763062272678E-4</v>
      </c>
      <c r="Y995" s="162" t="str">
        <f>ReportSummary___Track[[#This Row],[Track ID]]&amp;"-"&amp;ReportSummary___Track[[#This Row],[Epoch]]</f>
        <v>250-RL-OP-0046-45789.2638888889</v>
      </c>
      <c r="Z995" s="126">
        <f>SUBTOTAL(103,ReportSummary___Track[[#This Row],[Track ID]])</f>
        <v>1</v>
      </c>
      <c r="AA995" s="114">
        <f>_xlfn.NUMBERVALUE(RIGHT(ReportSummary___Track[[#This Row],[Track ID]],4))</f>
        <v>46</v>
      </c>
      <c r="AB995" s="78"/>
    </row>
    <row r="996" spans="5:28" ht="14.25" customHeight="1" x14ac:dyDescent="0.2">
      <c r="E996" s="74">
        <v>45789.263888888891</v>
      </c>
      <c r="F996" s="107" t="s">
        <v>286</v>
      </c>
      <c r="G996" s="142">
        <v>51911.151141496419</v>
      </c>
      <c r="H996" s="142">
        <v>159188.48844319949</v>
      </c>
      <c r="I996" s="142">
        <v>18.882328518492972</v>
      </c>
      <c r="J996" s="142">
        <v>51910.835188304052</v>
      </c>
      <c r="K996" s="142">
        <v>159187.20649995178</v>
      </c>
      <c r="L996" s="142">
        <v>18.870139116386198</v>
      </c>
      <c r="M996" s="145">
        <v>1.2189402106773883E-2</v>
      </c>
      <c r="N996" s="145">
        <v>1.3203611216800144</v>
      </c>
      <c r="O996" s="145">
        <v>1.1607442771541798E-3</v>
      </c>
      <c r="P996" s="145">
        <v>2.8419547106786069E-3</v>
      </c>
      <c r="Q9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2.5701555905754958E-3</v>
      </c>
      <c r="R9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-0.23897419105778361</v>
      </c>
      <c r="S9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2.3151623196326909E-3</v>
      </c>
      <c r="T9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0.94284333995986458</v>
      </c>
      <c r="U9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-7.4281466822867515E-5</v>
      </c>
      <c r="V9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-1.175646701719657E-3</v>
      </c>
      <c r="W9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-7.4736958122656461E-5</v>
      </c>
      <c r="X9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8.6604392185307688E-4</v>
      </c>
      <c r="Y996" s="162" t="str">
        <f>ReportSummary___Track[[#This Row],[Track ID]]&amp;"-"&amp;ReportSummary___Track[[#This Row],[Epoch]]</f>
        <v>250-RL-OP-0047-45789.2638888889</v>
      </c>
      <c r="Z996" s="126">
        <f>SUBTOTAL(103,ReportSummary___Track[[#This Row],[Track ID]])</f>
        <v>1</v>
      </c>
      <c r="AA996" s="114">
        <f>_xlfn.NUMBERVALUE(RIGHT(ReportSummary___Track[[#This Row],[Track ID]],4))</f>
        <v>47</v>
      </c>
      <c r="AB996" s="78"/>
    </row>
    <row r="997" spans="5:28" ht="14.25" customHeight="1" x14ac:dyDescent="0.2">
      <c r="E997" s="74">
        <v>45789.263888888891</v>
      </c>
      <c r="F997" s="107" t="s">
        <v>287</v>
      </c>
      <c r="G997" s="142">
        <v>51912.122875350411</v>
      </c>
      <c r="H997" s="142">
        <v>159188.2524052464</v>
      </c>
      <c r="I997" s="142">
        <v>18.886733255176882</v>
      </c>
      <c r="J997" s="142">
        <v>51911.806733444027</v>
      </c>
      <c r="K997" s="142">
        <v>159186.96966968034</v>
      </c>
      <c r="L997" s="142">
        <v>18.873524899190585</v>
      </c>
      <c r="M997" s="145">
        <v>1.3208355986296993E-2</v>
      </c>
      <c r="N997" s="145">
        <v>1.3211853382715708</v>
      </c>
      <c r="O997" s="145">
        <v>1.817696048394879E-3</v>
      </c>
      <c r="P997" s="145">
        <v>3.2644622329449646E-3</v>
      </c>
      <c r="Q9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2.3890030362849757E-3</v>
      </c>
      <c r="R9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-0.23881410857695684</v>
      </c>
      <c r="S9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1.4153139531458692E-3</v>
      </c>
      <c r="T9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0.59167197925447113</v>
      </c>
      <c r="U9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-4.2661950438116492E-4</v>
      </c>
      <c r="V9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-1.0140993674017107E-3</v>
      </c>
      <c r="W9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-4.284243867758164E-4</v>
      </c>
      <c r="X9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1.6309124664815045E-4</v>
      </c>
      <c r="Y997" s="162" t="str">
        <f>ReportSummary___Track[[#This Row],[Track ID]]&amp;"-"&amp;ReportSummary___Track[[#This Row],[Epoch]]</f>
        <v>250-RL-OP-0048-45789.2638888889</v>
      </c>
      <c r="Z997" s="126">
        <f>SUBTOTAL(103,ReportSummary___Track[[#This Row],[Track ID]])</f>
        <v>1</v>
      </c>
      <c r="AA997" s="114">
        <f>_xlfn.NUMBERVALUE(RIGHT(ReportSummary___Track[[#This Row],[Track ID]],4))</f>
        <v>48</v>
      </c>
      <c r="AB997" s="78"/>
    </row>
    <row r="998" spans="5:28" ht="14.25" customHeight="1" x14ac:dyDescent="0.2">
      <c r="E998" s="74">
        <v>45789.263888888891</v>
      </c>
      <c r="F998" s="107" t="s">
        <v>288</v>
      </c>
      <c r="G998" s="142">
        <v>51913.094609204403</v>
      </c>
      <c r="H998" s="142">
        <v>159188.01636729331</v>
      </c>
      <c r="I998" s="142">
        <v>18.891137991860795</v>
      </c>
      <c r="J998" s="142">
        <v>51912.778278584003</v>
      </c>
      <c r="K998" s="142">
        <v>159186.73283940891</v>
      </c>
      <c r="L998" s="142">
        <v>18.876910681994968</v>
      </c>
      <c r="M998" s="145">
        <v>1.4227309865827209E-2</v>
      </c>
      <c r="N998" s="145">
        <v>1.322010328166962</v>
      </c>
      <c r="O998" s="145">
        <v>2.4746478196462363E-3</v>
      </c>
      <c r="P998" s="145">
        <v>3.6869697552184277E-3</v>
      </c>
      <c r="Q9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2.2078504926525966E-3</v>
      </c>
      <c r="R9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-0.23865418457291732</v>
      </c>
      <c r="S9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5.1546559731718844E-4</v>
      </c>
      <c r="T9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0.24050061855973581</v>
      </c>
      <c r="U9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-7.789575419359096E-4</v>
      </c>
      <c r="V9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-8.5318697657821296E-4</v>
      </c>
      <c r="W9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-7.8211181542187092E-4</v>
      </c>
      <c r="X9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-5.3986142854967056E-4</v>
      </c>
      <c r="Y998" s="162" t="str">
        <f>ReportSummary___Track[[#This Row],[Track ID]]&amp;"-"&amp;ReportSummary___Track[[#This Row],[Epoch]]</f>
        <v>250-RL-OP-0049-45789.2638888889</v>
      </c>
      <c r="Z998" s="126">
        <f>SUBTOTAL(103,ReportSummary___Track[[#This Row],[Track ID]])</f>
        <v>1</v>
      </c>
      <c r="AA998" s="114">
        <f>_xlfn.NUMBERVALUE(RIGHT(ReportSummary___Track[[#This Row],[Track ID]],4))</f>
        <v>49</v>
      </c>
      <c r="AB998" s="78"/>
    </row>
    <row r="999" spans="5:28" ht="14.25" customHeight="1" x14ac:dyDescent="0.2">
      <c r="E999" s="74">
        <v>45786.284722222219</v>
      </c>
      <c r="F999" s="107" t="s">
        <v>235</v>
      </c>
      <c r="G999" s="142">
        <v>51886.101888003854</v>
      </c>
      <c r="H999" s="142">
        <v>159195.446681709</v>
      </c>
      <c r="I999" s="142">
        <v>18.870774640796562</v>
      </c>
      <c r="J999" s="142">
        <v>51885.743029335979</v>
      </c>
      <c r="K999" s="142">
        <v>159194.18688073062</v>
      </c>
      <c r="L999" s="142">
        <v>18.866068715969192</v>
      </c>
      <c r="M999" s="145">
        <v>4.7059248273697563E-3</v>
      </c>
      <c r="N999" s="145">
        <v>1.309923736090187</v>
      </c>
      <c r="O999" s="145"/>
      <c r="P999" s="145"/>
      <c r="Q9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0.43716008137550944</v>
      </c>
      <c r="R9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-0.19444029722270884</v>
      </c>
      <c r="S99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99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9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7.1885373580826695E-4</v>
      </c>
      <c r="V9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4.9708697470141061E-4</v>
      </c>
      <c r="W99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99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999" s="162" t="str">
        <f>ReportSummary___Track[[#This Row],[Track ID]]&amp;"-"&amp;ReportSummary___Track[[#This Row],[Epoch]]</f>
        <v>250-RL-OP-0021-45786.2847222222</v>
      </c>
      <c r="Z999" s="126">
        <f>SUBTOTAL(103,ReportSummary___Track[[#This Row],[Track ID]])</f>
        <v>1</v>
      </c>
      <c r="AA999" s="114">
        <f>_xlfn.NUMBERVALUE(RIGHT(ReportSummary___Track[[#This Row],[Track ID]],4))</f>
        <v>21</v>
      </c>
      <c r="AB999" s="78"/>
    </row>
    <row r="1000" spans="5:28" ht="14.25" customHeight="1" x14ac:dyDescent="0.2">
      <c r="E1000" s="74">
        <v>45786.284722222219</v>
      </c>
      <c r="F1000" s="107" t="s">
        <v>236</v>
      </c>
      <c r="G1000" s="142">
        <v>51887.0635346048</v>
      </c>
      <c r="H1000" s="142">
        <v>159195.1723903708</v>
      </c>
      <c r="I1000" s="142">
        <v>18.870497718698449</v>
      </c>
      <c r="J1000" s="142">
        <v>51886.704122287876</v>
      </c>
      <c r="K1000" s="142">
        <v>159193.91065564725</v>
      </c>
      <c r="L1000" s="142">
        <v>18.866271499586006</v>
      </c>
      <c r="M1000" s="145">
        <v>4.2262191124429194E-3</v>
      </c>
      <c r="N1000" s="145">
        <v>1.3119335299841393</v>
      </c>
      <c r="O1000" s="145"/>
      <c r="P1000" s="145"/>
      <c r="Q10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-0.24690215025557904</v>
      </c>
      <c r="R10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-9.5283110946864369E-2</v>
      </c>
      <c r="S100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0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3.8093755289025921E-4</v>
      </c>
      <c r="V10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2.6450342244377367E-4</v>
      </c>
      <c r="W100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0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00" s="162" t="str">
        <f>ReportSummary___Track[[#This Row],[Track ID]]&amp;"-"&amp;ReportSummary___Track[[#This Row],[Epoch]]</f>
        <v>250-RL-OP-0022-45786.2847222222</v>
      </c>
      <c r="Z1000" s="126">
        <f>SUBTOTAL(103,ReportSummary___Track[[#This Row],[Track ID]])</f>
        <v>1</v>
      </c>
      <c r="AA1000" s="114">
        <f>_xlfn.NUMBERVALUE(RIGHT(ReportSummary___Track[[#This Row],[Track ID]],4))</f>
        <v>22</v>
      </c>
      <c r="AB1000" s="78"/>
    </row>
    <row r="1001" spans="5:28" ht="14.25" customHeight="1" x14ac:dyDescent="0.2">
      <c r="E1001" s="74">
        <v>45786.284722222219</v>
      </c>
      <c r="F1001" s="107" t="s">
        <v>237</v>
      </c>
      <c r="G1001" s="142">
        <v>51888.025181205747</v>
      </c>
      <c r="H1001" s="142">
        <v>159194.89809903264</v>
      </c>
      <c r="I1001" s="142">
        <v>18.870220796600339</v>
      </c>
      <c r="J1001" s="142">
        <v>51887.665215239773</v>
      </c>
      <c r="K1001" s="142">
        <v>159193.63443056386</v>
      </c>
      <c r="L1001" s="142">
        <v>18.866474283202823</v>
      </c>
      <c r="M1001" s="145">
        <v>3.7465133975160825E-3</v>
      </c>
      <c r="N1001" s="145">
        <v>1.3139435041120875</v>
      </c>
      <c r="O1001" s="145"/>
      <c r="P1001" s="145"/>
      <c r="Q10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-0.93096438188666752</v>
      </c>
      <c r="R10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4.024501699895211E-3</v>
      </c>
      <c r="S100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0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4.3021369968698764E-5</v>
      </c>
      <c r="V10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3.2083295579354854E-5</v>
      </c>
      <c r="W100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0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01" s="162" t="str">
        <f>ReportSummary___Track[[#This Row],[Track ID]]&amp;"-"&amp;ReportSummary___Track[[#This Row],[Epoch]]</f>
        <v>250-RL-OP-0023-45786.2847222222</v>
      </c>
      <c r="Z1001" s="126">
        <f>SUBTOTAL(103,ReportSummary___Track[[#This Row],[Track ID]])</f>
        <v>1</v>
      </c>
      <c r="AA1001" s="114">
        <f>_xlfn.NUMBERVALUE(RIGHT(ReportSummary___Track[[#This Row],[Track ID]],4))</f>
        <v>23</v>
      </c>
      <c r="AB1001" s="78"/>
    </row>
    <row r="1002" spans="5:28" ht="14.25" customHeight="1" x14ac:dyDescent="0.2">
      <c r="E1002" s="74">
        <v>45786.284722222219</v>
      </c>
      <c r="F1002" s="107" t="s">
        <v>238</v>
      </c>
      <c r="G1002" s="142">
        <v>51888.986205860805</v>
      </c>
      <c r="H1002" s="142">
        <v>159194.62272788165</v>
      </c>
      <c r="I1002" s="142">
        <v>18.869514793813725</v>
      </c>
      <c r="J1002" s="142">
        <v>51888.624024107339</v>
      </c>
      <c r="K1002" s="142">
        <v>159193.3577967032</v>
      </c>
      <c r="L1002" s="142">
        <v>18.86545332152658</v>
      </c>
      <c r="M1002" s="145">
        <v>4.0614722871445963E-3</v>
      </c>
      <c r="N1002" s="145">
        <v>1.3157670782895583</v>
      </c>
      <c r="O1002" s="145">
        <v>-6.4445254022515996E-4</v>
      </c>
      <c r="P1002" s="145"/>
      <c r="Q10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-0.70094927193409262</v>
      </c>
      <c r="R10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-2.3510422575423462E-3</v>
      </c>
      <c r="S10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-1.1381093533096021</v>
      </c>
      <c r="T100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-3.6042596462948495E-8</v>
      </c>
      <c r="V10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-1.2082478792141416E-5</v>
      </c>
      <c r="W10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-7.188897784047299E-4</v>
      </c>
      <c r="X100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02" s="162" t="str">
        <f>ReportSummary___Track[[#This Row],[Track ID]]&amp;"-"&amp;ReportSummary___Track[[#This Row],[Epoch]]</f>
        <v>250-RL-OP-0024-45786.2847222222</v>
      </c>
      <c r="Z1002" s="126">
        <f>SUBTOTAL(103,ReportSummary___Track[[#This Row],[Track ID]])</f>
        <v>1</v>
      </c>
      <c r="AA1002" s="114">
        <f>_xlfn.NUMBERVALUE(RIGHT(ReportSummary___Track[[#This Row],[Track ID]],4))</f>
        <v>24</v>
      </c>
      <c r="AB1002" s="78"/>
    </row>
    <row r="1003" spans="5:28" ht="14.25" customHeight="1" x14ac:dyDescent="0.2">
      <c r="E1003" s="74">
        <v>45786.284722222219</v>
      </c>
      <c r="F1003" s="107" t="s">
        <v>239</v>
      </c>
      <c r="G1003" s="142">
        <v>51889.947492753308</v>
      </c>
      <c r="H1003" s="142">
        <v>159194.34717940842</v>
      </c>
      <c r="I1003" s="142">
        <v>18.868773709900385</v>
      </c>
      <c r="J1003" s="142">
        <v>51889.58479107709</v>
      </c>
      <c r="K1003" s="142">
        <v>159193.08044244221</v>
      </c>
      <c r="L1003" s="142">
        <v>18.864251762034648</v>
      </c>
      <c r="M1003" s="145">
        <v>4.5219478657365642E-3</v>
      </c>
      <c r="N1003" s="145">
        <v>1.3176477129731627</v>
      </c>
      <c r="O1003" s="145">
        <v>2.9572875329364479E-4</v>
      </c>
      <c r="P1003" s="145"/>
      <c r="Q10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-0.35764686340655771</v>
      </c>
      <c r="R10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-1.277343800731856E-3</v>
      </c>
      <c r="S10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-0.11074471315097867</v>
      </c>
      <c r="T100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-8.164124665199779E-8</v>
      </c>
      <c r="V10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-6.0635094911720699E-6</v>
      </c>
      <c r="W10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-3.8101919413691121E-4</v>
      </c>
      <c r="X100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03" s="162" t="str">
        <f>ReportSummary___Track[[#This Row],[Track ID]]&amp;"-"&amp;ReportSummary___Track[[#This Row],[Epoch]]</f>
        <v>250-RL-OP-0025-45786.2847222222</v>
      </c>
      <c r="Z1003" s="126">
        <f>SUBTOTAL(103,ReportSummary___Track[[#This Row],[Track ID]])</f>
        <v>1</v>
      </c>
      <c r="AA1003" s="114">
        <f>_xlfn.NUMBERVALUE(RIGHT(ReportSummary___Track[[#This Row],[Track ID]],4))</f>
        <v>25</v>
      </c>
      <c r="AB1003" s="78"/>
    </row>
    <row r="1004" spans="5:28" ht="14.25" customHeight="1" x14ac:dyDescent="0.2">
      <c r="E1004" s="74">
        <v>45786.284722222219</v>
      </c>
      <c r="F1004" s="107" t="s">
        <v>240</v>
      </c>
      <c r="G1004" s="142">
        <v>51890.908779645804</v>
      </c>
      <c r="H1004" s="142">
        <v>159194.07163093518</v>
      </c>
      <c r="I1004" s="142">
        <v>18.868032625987045</v>
      </c>
      <c r="J1004" s="142">
        <v>51890.545558046833</v>
      </c>
      <c r="K1004" s="142">
        <v>159192.80308818122</v>
      </c>
      <c r="L1004" s="142">
        <v>18.86305020254272</v>
      </c>
      <c r="M1004" s="145">
        <v>4.9824234443249793E-3</v>
      </c>
      <c r="N1004" s="145">
        <v>1.3195285041066367</v>
      </c>
      <c r="O1004" s="145">
        <v>1.2359100468088968E-3</v>
      </c>
      <c r="P1004" s="145"/>
      <c r="Q10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-1.4344454882575519E-2</v>
      </c>
      <c r="R10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-5.6442571505499473E-5</v>
      </c>
      <c r="S10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0.91661992700409201</v>
      </c>
      <c r="T100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-1.2723990394647444E-7</v>
      </c>
      <c r="V10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-4.4580764635426817E-8</v>
      </c>
      <c r="W10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-4.3148609872645238E-5</v>
      </c>
      <c r="X100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04" s="162" t="str">
        <f>ReportSummary___Track[[#This Row],[Track ID]]&amp;"-"&amp;ReportSummary___Track[[#This Row],[Epoch]]</f>
        <v>250-RL-OP-0026-45786.2847222222</v>
      </c>
      <c r="Z1004" s="126">
        <f>SUBTOTAL(103,ReportSummary___Track[[#This Row],[Track ID]])</f>
        <v>1</v>
      </c>
      <c r="AA1004" s="114">
        <f>_xlfn.NUMBERVALUE(RIGHT(ReportSummary___Track[[#This Row],[Track ID]],4))</f>
        <v>26</v>
      </c>
      <c r="AB1004" s="78"/>
    </row>
    <row r="1005" spans="5:28" ht="14.25" customHeight="1" x14ac:dyDescent="0.2">
      <c r="E1005" s="74">
        <v>45786.284722222219</v>
      </c>
      <c r="F1005" s="107" t="s">
        <v>241</v>
      </c>
      <c r="G1005" s="142">
        <v>51891.870085166687</v>
      </c>
      <c r="H1005" s="142">
        <v>159193.79534240576</v>
      </c>
      <c r="I1005" s="142">
        <v>18.865661447731828</v>
      </c>
      <c r="J1005" s="142">
        <v>51891.504353461787</v>
      </c>
      <c r="K1005" s="142">
        <v>159192.52690810763</v>
      </c>
      <c r="L1005" s="142">
        <v>18.861283132921656</v>
      </c>
      <c r="M1005" s="145">
        <v>4.3783148101717018E-3</v>
      </c>
      <c r="N1005" s="145">
        <v>1.3201153049264747</v>
      </c>
      <c r="O1005" s="145">
        <v>3.1684252302710547E-4</v>
      </c>
      <c r="P1005" s="145">
        <v>-3.2761001719805449E-4</v>
      </c>
      <c r="Q10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-0.32463151136141732</v>
      </c>
      <c r="R10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-8.5622790527040138E-2</v>
      </c>
      <c r="S10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0.3763177605726753</v>
      </c>
      <c r="T10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-0.76179159273692676</v>
      </c>
      <c r="U10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10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0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3.6042600015662174E-8</v>
      </c>
      <c r="X10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-7.1885373580471423E-4</v>
      </c>
      <c r="Y1005" s="162" t="str">
        <f>ReportSummary___Track[[#This Row],[Track ID]]&amp;"-"&amp;ReportSummary___Track[[#This Row],[Epoch]]</f>
        <v>250-RL-OP-0027-45786.2847222222</v>
      </c>
      <c r="Z1005" s="126">
        <f>SUBTOTAL(103,ReportSummary___Track[[#This Row],[Track ID]])</f>
        <v>1</v>
      </c>
      <c r="AA1005" s="114">
        <f>_xlfn.NUMBERVALUE(RIGHT(ReportSummary___Track[[#This Row],[Track ID]],4))</f>
        <v>27</v>
      </c>
      <c r="AB1005" s="78"/>
    </row>
    <row r="1006" spans="5:28" ht="14.25" customHeight="1" x14ac:dyDescent="0.2">
      <c r="E1006" s="74">
        <v>45786.284722222219</v>
      </c>
      <c r="F1006" s="107" t="s">
        <v>242</v>
      </c>
      <c r="G1006" s="142">
        <v>51892.831165658921</v>
      </c>
      <c r="H1006" s="142">
        <v>159193.51908472509</v>
      </c>
      <c r="I1006" s="142">
        <v>18.863215774997911</v>
      </c>
      <c r="J1006" s="142">
        <v>51892.465288045249</v>
      </c>
      <c r="K1006" s="142">
        <v>159192.25013834573</v>
      </c>
      <c r="L1006" s="142">
        <v>18.859487246856443</v>
      </c>
      <c r="M1006" s="145">
        <v>3.7285281414689564E-3</v>
      </c>
      <c r="N1006" s="145">
        <v>1.3206457677258727</v>
      </c>
      <c r="O1006" s="145">
        <v>-7.9341972426760776E-4</v>
      </c>
      <c r="P1006" s="145">
        <v>-4.9769097097396298E-4</v>
      </c>
      <c r="Q10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-0.66420417328316717</v>
      </c>
      <c r="R10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-0.17501342233838812</v>
      </c>
      <c r="S10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-0.30655730987660945</v>
      </c>
      <c r="T10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-0.41730202302758812</v>
      </c>
      <c r="U10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10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0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8.1641250204711469E-8</v>
      </c>
      <c r="X10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-3.809375528867065E-4</v>
      </c>
      <c r="Y1006" s="162" t="str">
        <f>ReportSummary___Track[[#This Row],[Track ID]]&amp;"-"&amp;ReportSummary___Track[[#This Row],[Epoch]]</f>
        <v>250-RL-OP-0028-45786.2847222222</v>
      </c>
      <c r="Z1006" s="126">
        <f>SUBTOTAL(103,ReportSummary___Track[[#This Row],[Track ID]])</f>
        <v>1</v>
      </c>
      <c r="AA1006" s="114">
        <f>_xlfn.NUMBERVALUE(RIGHT(ReportSummary___Track[[#This Row],[Track ID]],4))</f>
        <v>28</v>
      </c>
      <c r="AB1006" s="78"/>
    </row>
    <row r="1007" spans="5:28" ht="14.25" customHeight="1" x14ac:dyDescent="0.2">
      <c r="E1007" s="74">
        <v>45786.284722222219</v>
      </c>
      <c r="F1007" s="107" t="s">
        <v>243</v>
      </c>
      <c r="G1007" s="142">
        <v>51893.791834251315</v>
      </c>
      <c r="H1007" s="142">
        <v>159193.24288966472</v>
      </c>
      <c r="I1007" s="142">
        <v>18.860926416951401</v>
      </c>
      <c r="J1007" s="142">
        <v>51893.426692097528</v>
      </c>
      <c r="K1007" s="142">
        <v>159191.97323012177</v>
      </c>
      <c r="L1007" s="142">
        <v>18.857700906325203</v>
      </c>
      <c r="M1007" s="145">
        <v>3.2255106261978028E-3</v>
      </c>
      <c r="N1007" s="145">
        <v>1.3211262435439344</v>
      </c>
      <c r="O1007" s="145">
        <v>-1.7569128181271765E-3</v>
      </c>
      <c r="P1007" s="145">
        <v>-5.2100277131827966E-4</v>
      </c>
      <c r="Q10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-0.9805795137936002</v>
      </c>
      <c r="R10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-0.27236615382819629</v>
      </c>
      <c r="S10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-0.96623505891102468</v>
      </c>
      <c r="T10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-4.9615131906932675E-2</v>
      </c>
      <c r="U10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1.8129078682704858E-6</v>
      </c>
      <c r="V10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1.7461338079893807E-6</v>
      </c>
      <c r="W10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1.9401477722169602E-6</v>
      </c>
      <c r="X10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-4.1208462100428278E-5</v>
      </c>
      <c r="Y1007" s="162" t="str">
        <f>ReportSummary___Track[[#This Row],[Track ID]]&amp;"-"&amp;ReportSummary___Track[[#This Row],[Epoch]]</f>
        <v>250-RL-OP-0029-45786.2847222222</v>
      </c>
      <c r="Z1007" s="126">
        <f>SUBTOTAL(103,ReportSummary___Track[[#This Row],[Track ID]])</f>
        <v>1</v>
      </c>
      <c r="AA1007" s="114">
        <f>_xlfn.NUMBERVALUE(RIGHT(ReportSummary___Track[[#This Row],[Track ID]],4))</f>
        <v>29</v>
      </c>
      <c r="AB1007" s="78"/>
    </row>
    <row r="1008" spans="5:28" ht="14.25" customHeight="1" x14ac:dyDescent="0.2">
      <c r="E1008" s="74">
        <v>45786.284722222219</v>
      </c>
      <c r="F1008" s="107" t="s">
        <v>269</v>
      </c>
      <c r="G1008" s="142">
        <v>51894.75263598399</v>
      </c>
      <c r="H1008" s="142">
        <v>159192.96565370166</v>
      </c>
      <c r="I1008" s="142">
        <v>18.861427687376434</v>
      </c>
      <c r="J1008" s="142">
        <v>51894.387465215557</v>
      </c>
      <c r="K1008" s="142">
        <v>159191.69589460938</v>
      </c>
      <c r="L1008" s="142">
        <v>18.857871911080654</v>
      </c>
      <c r="M1008" s="145">
        <v>3.5557762957800776E-3</v>
      </c>
      <c r="N1008" s="145">
        <v>1.3212306710340742</v>
      </c>
      <c r="O1008" s="145">
        <v>-8.2253851439162418E-4</v>
      </c>
      <c r="P1008" s="145">
        <v>-5.056959913645187E-4</v>
      </c>
      <c r="Q10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-0.30456339516149455</v>
      </c>
      <c r="R10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0.24555722108288158</v>
      </c>
      <c r="S10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2.006811619992277E-2</v>
      </c>
      <c r="T10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0.39638587677259807</v>
      </c>
      <c r="U10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3.4387099577060098E-4</v>
      </c>
      <c r="V10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3.3124609842438701E-4</v>
      </c>
      <c r="W10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3.4387099576704827E-4</v>
      </c>
      <c r="X10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3.4390703836706393E-4</v>
      </c>
      <c r="Y1008" s="162" t="str">
        <f>ReportSummary___Track[[#This Row],[Track ID]]&amp;"-"&amp;ReportSummary___Track[[#This Row],[Epoch]]</f>
        <v>250-RL-OP-0030-45786.2847222222</v>
      </c>
      <c r="Z1008" s="126">
        <f>SUBTOTAL(103,ReportSummary___Track[[#This Row],[Track ID]])</f>
        <v>1</v>
      </c>
      <c r="AA1008" s="114">
        <f>_xlfn.NUMBERVALUE(RIGHT(ReportSummary___Track[[#This Row],[Track ID]],4))</f>
        <v>30</v>
      </c>
      <c r="AB1008" s="78"/>
    </row>
    <row r="1009" spans="5:28" ht="14.25" customHeight="1" x14ac:dyDescent="0.2">
      <c r="E1009" s="74">
        <v>45786.284722222219</v>
      </c>
      <c r="F1009" s="107" t="s">
        <v>270</v>
      </c>
      <c r="G1009" s="142">
        <v>51895.713437716666</v>
      </c>
      <c r="H1009" s="142">
        <v>159192.68841773859</v>
      </c>
      <c r="I1009" s="142">
        <v>18.861928957801467</v>
      </c>
      <c r="J1009" s="142">
        <v>51895.348238333587</v>
      </c>
      <c r="K1009" s="142">
        <v>159191.41855909702</v>
      </c>
      <c r="L1009" s="142">
        <v>18.858042915836105</v>
      </c>
      <c r="M1009" s="145">
        <v>3.8860419653623524E-3</v>
      </c>
      <c r="N1009" s="145">
        <v>1.3213351809122609</v>
      </c>
      <c r="O1009" s="145">
        <v>1.5751382389339597E-4</v>
      </c>
      <c r="P1009" s="145">
        <v>-6.359059003742118E-4</v>
      </c>
      <c r="Q10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0.37145272347061109</v>
      </c>
      <c r="R10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0.7634731190082622</v>
      </c>
      <c r="S10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1.0356568967537783</v>
      </c>
      <c r="T10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0.7290995868771688</v>
      </c>
      <c r="U10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6.8592908367293148E-4</v>
      </c>
      <c r="V10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6.6082838129188914E-4</v>
      </c>
      <c r="W10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6.8592908366937877E-4</v>
      </c>
      <c r="X10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6.8601072491958348E-4</v>
      </c>
      <c r="Y1009" s="162" t="str">
        <f>ReportSummary___Track[[#This Row],[Track ID]]&amp;"-"&amp;ReportSummary___Track[[#This Row],[Epoch]]</f>
        <v>250-RL-OP-0031-45786.2847222222</v>
      </c>
      <c r="Z1009" s="126">
        <f>SUBTOTAL(103,ReportSummary___Track[[#This Row],[Track ID]])</f>
        <v>1</v>
      </c>
      <c r="AA1009" s="114">
        <f>_xlfn.NUMBERVALUE(RIGHT(ReportSummary___Track[[#This Row],[Track ID]],4))</f>
        <v>31</v>
      </c>
      <c r="AB1009" s="78"/>
    </row>
    <row r="1010" spans="5:28" ht="14.25" customHeight="1" x14ac:dyDescent="0.2">
      <c r="E1010" s="74">
        <v>45786.284722222219</v>
      </c>
      <c r="F1010" s="107" t="s">
        <v>271</v>
      </c>
      <c r="G1010" s="142">
        <v>51896.675398681873</v>
      </c>
      <c r="H1010" s="142">
        <v>159192.41088265969</v>
      </c>
      <c r="I1010" s="142">
        <v>18.862477001539897</v>
      </c>
      <c r="J1010" s="142">
        <v>51896.308528737987</v>
      </c>
      <c r="K1010" s="142">
        <v>159191.14173461875</v>
      </c>
      <c r="L1010" s="142">
        <v>18.85824734462722</v>
      </c>
      <c r="M1010" s="145">
        <v>4.2296569126776262E-3</v>
      </c>
      <c r="N1010" s="145">
        <v>1.3211162687475024</v>
      </c>
      <c r="O1010" s="145">
        <v>1.0041462864798234E-3</v>
      </c>
      <c r="P1010" s="145">
        <v>-7.5276653164735308E-4</v>
      </c>
      <c r="Q10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0.97863914660933915</v>
      </c>
      <c r="R10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1.2082520867053859</v>
      </c>
      <c r="S10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1.9592186604029393</v>
      </c>
      <c r="T10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0.99298360149191467</v>
      </c>
      <c r="U10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9.7858112060933422E-4</v>
      </c>
      <c r="V10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9.2367338436827318E-4</v>
      </c>
      <c r="W10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9.7676821274106373E-4</v>
      </c>
      <c r="X10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9.787083605132807E-4</v>
      </c>
      <c r="Y1010" s="162" t="str">
        <f>ReportSummary___Track[[#This Row],[Track ID]]&amp;"-"&amp;ReportSummary___Track[[#This Row],[Epoch]]</f>
        <v>250-RL-OP-0032-45786.2847222222</v>
      </c>
      <c r="Z1010" s="126">
        <f>SUBTOTAL(103,ReportSummary___Track[[#This Row],[Track ID]])</f>
        <v>1</v>
      </c>
      <c r="AA1010" s="114">
        <f>_xlfn.NUMBERVALUE(RIGHT(ReportSummary___Track[[#This Row],[Track ID]],4))</f>
        <v>32</v>
      </c>
      <c r="AB1010" s="78"/>
    </row>
    <row r="1011" spans="5:28" ht="14.25" customHeight="1" x14ac:dyDescent="0.2">
      <c r="E1011" s="74">
        <v>45786.284722222219</v>
      </c>
      <c r="F1011" s="107" t="s">
        <v>272</v>
      </c>
      <c r="G1011" s="142">
        <v>51897.636352858688</v>
      </c>
      <c r="H1011" s="142">
        <v>159192.13417793906</v>
      </c>
      <c r="I1011" s="142">
        <v>18.863729059099267</v>
      </c>
      <c r="J1011" s="142">
        <v>51897.270518069447</v>
      </c>
      <c r="K1011" s="142">
        <v>159190.86864821697</v>
      </c>
      <c r="L1011" s="142">
        <v>18.858833292983896</v>
      </c>
      <c r="M1011" s="145">
        <v>4.8957661153714582E-3</v>
      </c>
      <c r="N1011" s="145">
        <v>1.317355130191864</v>
      </c>
      <c r="O1011" s="145">
        <v>1.3399898195913806E-3</v>
      </c>
      <c r="P1011" s="145">
        <v>5.1745130519975646E-4</v>
      </c>
      <c r="Q10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0.63132551391831271</v>
      </c>
      <c r="R10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0.77993682223409522</v>
      </c>
      <c r="S10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0.93588890907980726</v>
      </c>
      <c r="T10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0.95595702527973003</v>
      </c>
      <c r="U10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6.3038490998224006E-4</v>
      </c>
      <c r="V10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3.5150416853735322E-4</v>
      </c>
      <c r="W10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2.8651391421163908E-4</v>
      </c>
      <c r="X10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6.3038490997868735E-4</v>
      </c>
      <c r="Y1011" s="162" t="str">
        <f>ReportSummary___Track[[#This Row],[Track ID]]&amp;"-"&amp;ReportSummary___Track[[#This Row],[Epoch]]</f>
        <v>250-RL-OP-0033-45786.2847222222</v>
      </c>
      <c r="Z1011" s="126">
        <f>SUBTOTAL(103,ReportSummary___Track[[#This Row],[Track ID]])</f>
        <v>1</v>
      </c>
      <c r="AA1011" s="114">
        <f>_xlfn.NUMBERVALUE(RIGHT(ReportSummary___Track[[#This Row],[Track ID]],4))</f>
        <v>33</v>
      </c>
      <c r="AB1011" s="78"/>
    </row>
    <row r="1012" spans="5:28" ht="14.25" customHeight="1" x14ac:dyDescent="0.2">
      <c r="E1012" s="74">
        <v>45786.284722222219</v>
      </c>
      <c r="F1012" s="107" t="s">
        <v>273</v>
      </c>
      <c r="G1012" s="142">
        <v>51898.597307035503</v>
      </c>
      <c r="H1012" s="142">
        <v>159191.85747321844</v>
      </c>
      <c r="I1012" s="142">
        <v>18.864981116658633</v>
      </c>
      <c r="J1012" s="142">
        <v>51898.232507400899</v>
      </c>
      <c r="K1012" s="142">
        <v>159190.59556181522</v>
      </c>
      <c r="L1012" s="142">
        <v>18.859419241340568</v>
      </c>
      <c r="M1012" s="145">
        <v>5.5618753180652902E-3</v>
      </c>
      <c r="N1012" s="145">
        <v>1.3135943427953649</v>
      </c>
      <c r="O1012" s="145">
        <v>1.6758333527029379E-3</v>
      </c>
      <c r="P1012" s="145">
        <v>1.8333471765963338E-3</v>
      </c>
      <c r="Q10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0.28401188122728627</v>
      </c>
      <c r="R10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0.3511758920196062</v>
      </c>
      <c r="S10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-8.7440842243324823E-2</v>
      </c>
      <c r="T10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0.94821605451045343</v>
      </c>
      <c r="U10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2.8218869935159319E-4</v>
      </c>
      <c r="V10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-2.2111115972500706E-4</v>
      </c>
      <c r="W10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-4.037403843213383E-4</v>
      </c>
      <c r="X10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2.8218869934804047E-4</v>
      </c>
      <c r="Y1012" s="162" t="str">
        <f>ReportSummary___Track[[#This Row],[Track ID]]&amp;"-"&amp;ReportSummary___Track[[#This Row],[Epoch]]</f>
        <v>250-RL-OP-0034-45786.2847222222</v>
      </c>
      <c r="Z1012" s="126">
        <f>SUBTOTAL(103,ReportSummary___Track[[#This Row],[Track ID]])</f>
        <v>1</v>
      </c>
      <c r="AA1012" s="114">
        <f>_xlfn.NUMBERVALUE(RIGHT(ReportSummary___Track[[#This Row],[Track ID]],4))</f>
        <v>34</v>
      </c>
      <c r="AB1012" s="78"/>
    </row>
    <row r="1013" spans="5:28" ht="14.25" customHeight="1" x14ac:dyDescent="0.2">
      <c r="E1013" s="74">
        <v>45786.284722222219</v>
      </c>
      <c r="F1013" s="107" t="s">
        <v>274</v>
      </c>
      <c r="G1013" s="142">
        <v>51899.557748431522</v>
      </c>
      <c r="H1013" s="142">
        <v>159191.58237758733</v>
      </c>
      <c r="I1013" s="142">
        <v>18.866</v>
      </c>
      <c r="J1013" s="142">
        <v>51899.202476862527</v>
      </c>
      <c r="K1013" s="142">
        <v>159190.32063600162</v>
      </c>
      <c r="L1013" s="142">
        <v>18.859777465674785</v>
      </c>
      <c r="M1013" s="145">
        <v>6.2225343252144683E-3</v>
      </c>
      <c r="N1013" s="145">
        <v>1.310819757547883</v>
      </c>
      <c r="O1013" s="145">
        <v>1.992877412536842E-3</v>
      </c>
      <c r="P1013" s="145">
        <v>2.9970236990166654E-3</v>
      </c>
      <c r="Q10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-2.7657740986342105E-5</v>
      </c>
      <c r="R10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-1.6238650001110244E-2</v>
      </c>
      <c r="S10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-0.97866680435032549</v>
      </c>
      <c r="T10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0.98055185605261386</v>
      </c>
      <c r="U10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2.7932807356023659E-7</v>
      </c>
      <c r="V10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-6.6632035276681378E-4</v>
      </c>
      <c r="W10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-9.7830179253577398E-4</v>
      </c>
      <c r="X10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-1.5335797947102492E-6</v>
      </c>
      <c r="Y1013" s="162" t="str">
        <f>ReportSummary___Track[[#This Row],[Track ID]]&amp;"-"&amp;ReportSummary___Track[[#This Row],[Epoch]]</f>
        <v>250-RL-OP-0035-45786.2847222222</v>
      </c>
      <c r="Z1013" s="126">
        <f>SUBTOTAL(103,ReportSummary___Track[[#This Row],[Track ID]])</f>
        <v>1</v>
      </c>
      <c r="AA1013" s="114">
        <f>_xlfn.NUMBERVALUE(RIGHT(ReportSummary___Track[[#This Row],[Track ID]],4))</f>
        <v>35</v>
      </c>
      <c r="AB1013" s="78"/>
    </row>
    <row r="1014" spans="5:28" ht="14.25" customHeight="1" x14ac:dyDescent="0.2">
      <c r="E1014" s="74">
        <v>45786.284722222219</v>
      </c>
      <c r="F1014" s="107" t="s">
        <v>275</v>
      </c>
      <c r="G1014" s="142">
        <v>51900.520772886579</v>
      </c>
      <c r="H1014" s="142">
        <v>159191.31296359556</v>
      </c>
      <c r="I1014" s="142">
        <v>18.866</v>
      </c>
      <c r="J1014" s="142">
        <v>51900.165060040614</v>
      </c>
      <c r="K1014" s="142">
        <v>159190.04965039479</v>
      </c>
      <c r="L1014" s="142">
        <v>18.859124645615051</v>
      </c>
      <c r="M1014" s="145">
        <v>6.8753543849489063E-3</v>
      </c>
      <c r="N1014" s="145">
        <v>1.3124553868609785</v>
      </c>
      <c r="O1014" s="145">
        <v>1.979588269577448E-3</v>
      </c>
      <c r="P1014" s="145">
        <v>3.3195780891688287E-3</v>
      </c>
      <c r="Q10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-1.7500852678153933E-4</v>
      </c>
      <c r="R10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-9.8656556746234969E-2</v>
      </c>
      <c r="S10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-0.63150052244509425</v>
      </c>
      <c r="T10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0.30438838663471302</v>
      </c>
      <c r="U10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6.0195230027204616E-6</v>
      </c>
      <c r="V10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-5.3004738274475827E-4</v>
      </c>
      <c r="W10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-6.243653869795196E-4</v>
      </c>
      <c r="X10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-3.3785147276788052E-4</v>
      </c>
      <c r="Y1014" s="162" t="str">
        <f>ReportSummary___Track[[#This Row],[Track ID]]&amp;"-"&amp;ReportSummary___Track[[#This Row],[Epoch]]</f>
        <v>250-RL-OP-0036-45786.2847222222</v>
      </c>
      <c r="Z1014" s="126">
        <f>SUBTOTAL(103,ReportSummary___Track[[#This Row],[Track ID]])</f>
        <v>1</v>
      </c>
      <c r="AA1014" s="114">
        <f>_xlfn.NUMBERVALUE(RIGHT(ReportSummary___Track[[#This Row],[Track ID]],4))</f>
        <v>36</v>
      </c>
      <c r="AB1014" s="78"/>
    </row>
    <row r="1015" spans="5:28" ht="14.25" customHeight="1" x14ac:dyDescent="0.2">
      <c r="E1015" s="74">
        <v>45786.284722222219</v>
      </c>
      <c r="F1015" s="107" t="s">
        <v>276</v>
      </c>
      <c r="G1015" s="142">
        <v>51901.483797341636</v>
      </c>
      <c r="H1015" s="142">
        <v>159191.04354960378</v>
      </c>
      <c r="I1015" s="142">
        <v>18.866</v>
      </c>
      <c r="J1015" s="142">
        <v>51901.127643218693</v>
      </c>
      <c r="K1015" s="142">
        <v>159189.778664788</v>
      </c>
      <c r="L1015" s="142">
        <v>18.858471825555313</v>
      </c>
      <c r="M1015" s="145">
        <v>7.528174444686897E-3</v>
      </c>
      <c r="N1015" s="145">
        <v>1.3140913324046393</v>
      </c>
      <c r="O1015" s="145">
        <v>1.9662991266216068E-3</v>
      </c>
      <c r="P1015" s="145">
        <v>3.6421324793245446E-3</v>
      </c>
      <c r="Q10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-3.223593054713092E-4</v>
      </c>
      <c r="R10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-0.18107418831814215</v>
      </c>
      <c r="S10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-0.28433424053275758</v>
      </c>
      <c r="T10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-0.3717750827760824</v>
      </c>
      <c r="U10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1.1759717942538828E-5</v>
      </c>
      <c r="V10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-3.9376937824631142E-4</v>
      </c>
      <c r="W10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-2.7042898140905436E-4</v>
      </c>
      <c r="X10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-6.7416936573039266E-4</v>
      </c>
      <c r="Y1015" s="162" t="str">
        <f>ReportSummary___Track[[#This Row],[Track ID]]&amp;"-"&amp;ReportSummary___Track[[#This Row],[Epoch]]</f>
        <v>250-RL-OP-0037-45786.2847222222</v>
      </c>
      <c r="Z1015" s="126">
        <f>SUBTOTAL(103,ReportSummary___Track[[#This Row],[Track ID]])</f>
        <v>1</v>
      </c>
      <c r="AA1015" s="114">
        <f>_xlfn.NUMBERVALUE(RIGHT(ReportSummary___Track[[#This Row],[Track ID]],4))</f>
        <v>37</v>
      </c>
      <c r="AB1015" s="78"/>
    </row>
    <row r="1016" spans="5:28" ht="14.25" customHeight="1" x14ac:dyDescent="0.2">
      <c r="E1016" s="74">
        <v>45786.284722222219</v>
      </c>
      <c r="F1016" s="107" t="s">
        <v>277</v>
      </c>
      <c r="G1016" s="142">
        <v>51902.446769943585</v>
      </c>
      <c r="H1016" s="142">
        <v>159190.77524554107</v>
      </c>
      <c r="I1016" s="142">
        <v>18.866124762962976</v>
      </c>
      <c r="J1016" s="142">
        <v>51902.099861120325</v>
      </c>
      <c r="K1016" s="142">
        <v>159189.50600598883</v>
      </c>
      <c r="L1016" s="142">
        <v>18.857900000000001</v>
      </c>
      <c r="M1016" s="145">
        <v>8.2247629629748076E-3</v>
      </c>
      <c r="N1016" s="145">
        <v>1.3158200558323196</v>
      </c>
      <c r="O1016" s="145">
        <v>2.0022286377603393E-3</v>
      </c>
      <c r="P1016" s="145">
        <v>3.9951060502971814E-3</v>
      </c>
      <c r="Q10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10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-0.20537556756772268</v>
      </c>
      <c r="S10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-1.2342670885345797E-5</v>
      </c>
      <c r="T10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-0.97867914702121084</v>
      </c>
      <c r="U10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10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-2.6270414539419917E-4</v>
      </c>
      <c r="W10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-3.3026656254264708E-7</v>
      </c>
      <c r="X10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-9.7863205909831663E-4</v>
      </c>
      <c r="Y1016" s="162" t="str">
        <f>ReportSummary___Track[[#This Row],[Track ID]]&amp;"-"&amp;ReportSummary___Track[[#This Row],[Epoch]]</f>
        <v>250-RL-OP-0038-45786.2847222222</v>
      </c>
      <c r="Z1016" s="126">
        <f>SUBTOTAL(103,ReportSummary___Track[[#This Row],[Track ID]])</f>
        <v>1</v>
      </c>
      <c r="AA1016" s="114">
        <f>_xlfn.NUMBERVALUE(RIGHT(ReportSummary___Track[[#This Row],[Track ID]],4))</f>
        <v>38</v>
      </c>
      <c r="AB1016" s="78"/>
    </row>
    <row r="1017" spans="5:28" ht="14.25" customHeight="1" x14ac:dyDescent="0.2">
      <c r="E1017" s="74">
        <v>45786.284722222219</v>
      </c>
      <c r="F1017" s="107" t="s">
        <v>278</v>
      </c>
      <c r="G1017" s="142">
        <v>51903.411366943481</v>
      </c>
      <c r="H1017" s="142">
        <v>159190.51151814224</v>
      </c>
      <c r="I1017" s="142">
        <v>18.866822542397969</v>
      </c>
      <c r="J1017" s="142">
        <v>51903.064443484443</v>
      </c>
      <c r="K1017" s="142">
        <v>159189.24222414181</v>
      </c>
      <c r="L1017" s="142">
        <v>18.857900000000001</v>
      </c>
      <c r="M1017" s="145">
        <v>8.9225423979684138E-3</v>
      </c>
      <c r="N1017" s="145">
        <v>1.3158809815983707</v>
      </c>
      <c r="O1017" s="145">
        <v>2.0471880130195075E-3</v>
      </c>
      <c r="P1017" s="145">
        <v>4.0267762825969555E-3</v>
      </c>
      <c r="Q10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-2.6371636607791515E-4</v>
      </c>
      <c r="R10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0.20327893369898042</v>
      </c>
      <c r="S10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-8.8707839296375823E-5</v>
      </c>
      <c r="T10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-0.63158923028439062</v>
      </c>
      <c r="U10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-3.358293518829214E-7</v>
      </c>
      <c r="V10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-1.7467801010573325E-4</v>
      </c>
      <c r="W10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-6.355352354603383E-6</v>
      </c>
      <c r="X10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-6.3072073933412298E-4</v>
      </c>
      <c r="Y1017" s="162" t="str">
        <f>ReportSummary___Track[[#This Row],[Track ID]]&amp;"-"&amp;ReportSummary___Track[[#This Row],[Epoch]]</f>
        <v>250-RL-OP-0039-45786.2847222222</v>
      </c>
      <c r="Z1017" s="126">
        <f>SUBTOTAL(103,ReportSummary___Track[[#This Row],[Track ID]])</f>
        <v>1</v>
      </c>
      <c r="AA1017" s="114">
        <f>_xlfn.NUMBERVALUE(RIGHT(ReportSummary___Track[[#This Row],[Track ID]],4))</f>
        <v>39</v>
      </c>
      <c r="AB1017" s="78"/>
    </row>
    <row r="1018" spans="5:28" ht="14.25" customHeight="1" x14ac:dyDescent="0.2">
      <c r="E1018" s="74">
        <v>45786.284722222219</v>
      </c>
      <c r="F1018" s="107" t="s">
        <v>279</v>
      </c>
      <c r="G1018" s="142">
        <v>51904.375963943377</v>
      </c>
      <c r="H1018" s="142">
        <v>159190.24779074339</v>
      </c>
      <c r="I1018" s="142">
        <v>18.867520321832963</v>
      </c>
      <c r="J1018" s="142">
        <v>51904.029025848562</v>
      </c>
      <c r="K1018" s="142">
        <v>159188.97844229479</v>
      </c>
      <c r="L1018" s="142">
        <v>18.857900000000001</v>
      </c>
      <c r="M1018" s="145">
        <v>9.6203218329620199E-3</v>
      </c>
      <c r="N1018" s="145">
        <v>1.3159422769293623</v>
      </c>
      <c r="O1018" s="145">
        <v>2.0921473882751229E-3</v>
      </c>
      <c r="P1018" s="145">
        <v>4.0584465148967297E-3</v>
      </c>
      <c r="Q10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-4.8743231673142873E-4</v>
      </c>
      <c r="R10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0.61193013972116184</v>
      </c>
      <c r="S10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-1.6507301126011953E-4</v>
      </c>
      <c r="T10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-0.2844993135440177</v>
      </c>
      <c r="U10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-6.2072021478343231E-7</v>
      </c>
      <c r="V10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-8.6652813135579265E-5</v>
      </c>
      <c r="W10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-1.238043815732226E-5</v>
      </c>
      <c r="X10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-2.8280941956637662E-4</v>
      </c>
      <c r="Y1018" s="162" t="str">
        <f>ReportSummary___Track[[#This Row],[Track ID]]&amp;"-"&amp;ReportSummary___Track[[#This Row],[Epoch]]</f>
        <v>250-RL-OP-0040-45786.2847222222</v>
      </c>
      <c r="Z1018" s="126">
        <f>SUBTOTAL(103,ReportSummary___Track[[#This Row],[Track ID]])</f>
        <v>1</v>
      </c>
      <c r="AA1018" s="114">
        <f>_xlfn.NUMBERVALUE(RIGHT(ReportSummary___Track[[#This Row],[Track ID]],4))</f>
        <v>40</v>
      </c>
      <c r="AB1018" s="78"/>
    </row>
    <row r="1019" spans="5:28" ht="14.25" customHeight="1" x14ac:dyDescent="0.2">
      <c r="E1019" s="74">
        <v>45786.284722222219</v>
      </c>
      <c r="F1019" s="107" t="s">
        <v>280</v>
      </c>
      <c r="G1019" s="142">
        <v>51905.341841450259</v>
      </c>
      <c r="H1019" s="142">
        <v>159189.98517913549</v>
      </c>
      <c r="I1019" s="142">
        <v>18.868392406740742</v>
      </c>
      <c r="J1019" s="142">
        <v>51905.003861376892</v>
      </c>
      <c r="K1019" s="142">
        <v>159188.71299131436</v>
      </c>
      <c r="L1019" s="142">
        <v>18.858104705007346</v>
      </c>
      <c r="M1019" s="145">
        <v>1.0287701733396659E-2</v>
      </c>
      <c r="N1019" s="145">
        <v>1.3163579372773708</v>
      </c>
      <c r="O1019" s="145">
        <v>2.0629387704218516E-3</v>
      </c>
      <c r="P1019" s="145">
        <v>4.0651674081821909E-3</v>
      </c>
      <c r="Q10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-1.8847067906335724E-5</v>
      </c>
      <c r="R10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0.91816397562327623</v>
      </c>
      <c r="S10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2.1153343965352178E-5</v>
      </c>
      <c r="T10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8.8106730800063815E-6</v>
      </c>
      <c r="U10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-7.1051374561648117E-8</v>
      </c>
      <c r="V10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1.2785096406009444E-5</v>
      </c>
      <c r="W10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-2.0112885579237627E-8</v>
      </c>
      <c r="X10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-3.5037944812188471E-7</v>
      </c>
      <c r="Y1019" s="162" t="str">
        <f>ReportSummary___Track[[#This Row],[Track ID]]&amp;"-"&amp;ReportSummary___Track[[#This Row],[Epoch]]</f>
        <v>250-RL-OP-0041-45786.2847222222</v>
      </c>
      <c r="Z1019" s="126">
        <f>SUBTOTAL(103,ReportSummary___Track[[#This Row],[Track ID]])</f>
        <v>1</v>
      </c>
      <c r="AA1019" s="114">
        <f>_xlfn.NUMBERVALUE(RIGHT(ReportSummary___Track[[#This Row],[Track ID]],4))</f>
        <v>41</v>
      </c>
      <c r="AB1019" s="78"/>
    </row>
    <row r="1020" spans="5:28" ht="14.25" customHeight="1" x14ac:dyDescent="0.2">
      <c r="E1020" s="74">
        <v>45786.284722222219</v>
      </c>
      <c r="F1020" s="107" t="s">
        <v>281</v>
      </c>
      <c r="G1020" s="142">
        <v>51906.308594977017</v>
      </c>
      <c r="H1020" s="142">
        <v>159189.72947487878</v>
      </c>
      <c r="I1020" s="142">
        <v>18.870110425193985</v>
      </c>
      <c r="J1020" s="142">
        <v>51905.970489987638</v>
      </c>
      <c r="K1020" s="142">
        <v>159188.45681371962</v>
      </c>
      <c r="L1020" s="142">
        <v>18.859577402901905</v>
      </c>
      <c r="M1020" s="145">
        <v>1.0533022292079863E-2</v>
      </c>
      <c r="N1020" s="145">
        <v>1.3168494046197401</v>
      </c>
      <c r="O1020" s="145">
        <v>1.6104798941114495E-3</v>
      </c>
      <c r="P1020" s="145">
        <v>3.657667907130957E-3</v>
      </c>
      <c r="Q10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-1.5443749035171095E-4</v>
      </c>
      <c r="R10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0.57099669457172375</v>
      </c>
      <c r="S10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1.0927887572620421E-4</v>
      </c>
      <c r="T10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2.0571036429828382E-5</v>
      </c>
      <c r="U10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-5.8221230148092218E-7</v>
      </c>
      <c r="V10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1.0476377970580764E-4</v>
      </c>
      <c r="W10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-2.4638294959800078E-7</v>
      </c>
      <c r="X10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-6.6017353042013838E-6</v>
      </c>
      <c r="Y1020" s="162" t="str">
        <f>ReportSummary___Track[[#This Row],[Track ID]]&amp;"-"&amp;ReportSummary___Track[[#This Row],[Epoch]]</f>
        <v>250-RL-OP-0042-45786.2847222222</v>
      </c>
      <c r="Z1020" s="126">
        <f>SUBTOTAL(103,ReportSummary___Track[[#This Row],[Track ID]])</f>
        <v>1</v>
      </c>
      <c r="AA1020" s="114">
        <f>_xlfn.NUMBERVALUE(RIGHT(ReportSummary___Track[[#This Row],[Track ID]],4))</f>
        <v>42</v>
      </c>
      <c r="AB1020" s="78"/>
    </row>
    <row r="1021" spans="5:28" ht="14.25" customHeight="1" x14ac:dyDescent="0.2">
      <c r="E1021" s="74">
        <v>45786.284722222219</v>
      </c>
      <c r="F1021" s="107" t="s">
        <v>282</v>
      </c>
      <c r="G1021" s="142">
        <v>51907.275348503776</v>
      </c>
      <c r="H1021" s="142">
        <v>159189.47377062205</v>
      </c>
      <c r="I1021" s="142">
        <v>18.871828443647232</v>
      </c>
      <c r="J1021" s="142">
        <v>51906.937118598384</v>
      </c>
      <c r="K1021" s="142">
        <v>159188.20063612488</v>
      </c>
      <c r="L1021" s="142">
        <v>18.861050100796465</v>
      </c>
      <c r="M1021" s="145">
        <v>1.077834285076662E-2</v>
      </c>
      <c r="N1021" s="145">
        <v>1.3173409161859542</v>
      </c>
      <c r="O1021" s="145">
        <v>1.1580210178046002E-3</v>
      </c>
      <c r="P1021" s="145">
        <v>3.2501684060797231E-3</v>
      </c>
      <c r="Q10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-2.9002790924437249E-4</v>
      </c>
      <c r="R10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0.22383036032880277</v>
      </c>
      <c r="S10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1.9740440748705623E-4</v>
      </c>
      <c r="T10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3.2331396226936704E-5</v>
      </c>
      <c r="U10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-1.0933732284001962E-6</v>
      </c>
      <c r="V10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1.9674197695596085E-4</v>
      </c>
      <c r="W10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-4.7265301361676393E-7</v>
      </c>
      <c r="X10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-1.2853091170939024E-5</v>
      </c>
      <c r="Y1021" s="162" t="str">
        <f>ReportSummary___Track[[#This Row],[Track ID]]&amp;"-"&amp;ReportSummary___Track[[#This Row],[Epoch]]</f>
        <v>250-RL-OP-0043-45786.2847222222</v>
      </c>
      <c r="Z1021" s="126">
        <f>SUBTOTAL(103,ReportSummary___Track[[#This Row],[Track ID]])</f>
        <v>1</v>
      </c>
      <c r="AA1021" s="114">
        <f>_xlfn.NUMBERVALUE(RIGHT(ReportSummary___Track[[#This Row],[Track ID]],4))</f>
        <v>43</v>
      </c>
      <c r="AB1021" s="78"/>
    </row>
    <row r="1022" spans="5:28" ht="14.25" customHeight="1" x14ac:dyDescent="0.2">
      <c r="E1022" s="74">
        <v>45786.284722222219</v>
      </c>
      <c r="F1022" s="107" t="s">
        <v>283</v>
      </c>
      <c r="G1022" s="142">
        <v>51908.24283118709</v>
      </c>
      <c r="H1022" s="142">
        <v>159189.22159764636</v>
      </c>
      <c r="I1022" s="142">
        <v>18.873859694515247</v>
      </c>
      <c r="J1022" s="142">
        <v>51907.904497607546</v>
      </c>
      <c r="K1022" s="142">
        <v>159187.94812580553</v>
      </c>
      <c r="L1022" s="142">
        <v>18.86283096891291</v>
      </c>
      <c r="M1022" s="145">
        <v>1.102872560233692E-2</v>
      </c>
      <c r="N1022" s="145">
        <v>1.3176956299644773</v>
      </c>
      <c r="O1022" s="145">
        <v>7.410238689402604E-4</v>
      </c>
      <c r="P1022" s="145">
        <v>2.803962639362112E-3</v>
      </c>
      <c r="Q10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3.2276598815883517E-4</v>
      </c>
      <c r="R10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7.1588167055214313E-2</v>
      </c>
      <c r="S10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3.4161305606517089E-4</v>
      </c>
      <c r="T10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3.6276640003052307E-4</v>
      </c>
      <c r="U10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5.2326401700497627E-7</v>
      </c>
      <c r="V10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2.0374596348315954E-4</v>
      </c>
      <c r="W10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5.9431539156662438E-7</v>
      </c>
      <c r="X10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5.7420250598738676E-7</v>
      </c>
      <c r="Y1022" s="162" t="str">
        <f>ReportSummary___Track[[#This Row],[Track ID]]&amp;"-"&amp;ReportSummary___Track[[#This Row],[Epoch]]</f>
        <v>250-RL-OP-0044-45786.2847222222</v>
      </c>
      <c r="Z1022" s="126">
        <f>SUBTOTAL(103,ReportSummary___Track[[#This Row],[Track ID]])</f>
        <v>1</v>
      </c>
      <c r="AA1022" s="114">
        <f>_xlfn.NUMBERVALUE(RIGHT(ReportSummary___Track[[#This Row],[Track ID]],4))</f>
        <v>44</v>
      </c>
      <c r="AB1022" s="78"/>
    </row>
    <row r="1023" spans="5:28" ht="14.25" customHeight="1" x14ac:dyDescent="0.2">
      <c r="E1023" s="74">
        <v>45786.284722222219</v>
      </c>
      <c r="F1023" s="107" t="s">
        <v>284</v>
      </c>
      <c r="G1023" s="142">
        <v>51909.212416550698</v>
      </c>
      <c r="H1023" s="142">
        <v>159188.97685919519</v>
      </c>
      <c r="I1023" s="142">
        <v>18.876563986793464</v>
      </c>
      <c r="J1023" s="142">
        <v>51908.873769331156</v>
      </c>
      <c r="K1023" s="142">
        <v>159187.70214442315</v>
      </c>
      <c r="L1023" s="142">
        <v>18.865173045894053</v>
      </c>
      <c r="M1023" s="145">
        <v>1.1390940899410396E-2</v>
      </c>
      <c r="N1023" s="145">
        <v>1.3189804558392735</v>
      </c>
      <c r="O1023" s="145">
        <v>8.5791860733053227E-4</v>
      </c>
      <c r="P1023" s="145">
        <v>2.4683985014419818E-3</v>
      </c>
      <c r="Q10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1.2546505914201589E-3</v>
      </c>
      <c r="R10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0.30581672326901455</v>
      </c>
      <c r="S10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1.4090880817718698E-3</v>
      </c>
      <c r="T10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1.518366957498074E-3</v>
      </c>
      <c r="U10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2.0858439029325382E-6</v>
      </c>
      <c r="V10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4.7119968430653358E-5</v>
      </c>
      <c r="W10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2.6680562044134604E-6</v>
      </c>
      <c r="X10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2.4216732548154596E-6</v>
      </c>
      <c r="Y1023" s="162" t="str">
        <f>ReportSummary___Track[[#This Row],[Track ID]]&amp;"-"&amp;ReportSummary___Track[[#This Row],[Epoch]]</f>
        <v>250-RL-OP-0045-45786.2847222222</v>
      </c>
      <c r="Z1023" s="126">
        <f>SUBTOTAL(103,ReportSummary___Track[[#This Row],[Track ID]])</f>
        <v>1</v>
      </c>
      <c r="AA1023" s="114">
        <f>_xlfn.NUMBERVALUE(RIGHT(ReportSummary___Track[[#This Row],[Track ID]],4))</f>
        <v>45</v>
      </c>
      <c r="AB1023" s="78"/>
    </row>
    <row r="1024" spans="5:28" ht="14.25" customHeight="1" x14ac:dyDescent="0.2">
      <c r="E1024" s="74">
        <v>45786.284722222219</v>
      </c>
      <c r="F1024" s="107" t="s">
        <v>285</v>
      </c>
      <c r="G1024" s="142">
        <v>51910.182001914305</v>
      </c>
      <c r="H1024" s="142">
        <v>159188.73212074401</v>
      </c>
      <c r="I1024" s="142">
        <v>18.879268279071681</v>
      </c>
      <c r="J1024" s="142">
        <v>51909.843041054766</v>
      </c>
      <c r="K1024" s="142">
        <v>159187.45616304077</v>
      </c>
      <c r="L1024" s="142">
        <v>18.867515122875201</v>
      </c>
      <c r="M1024" s="145">
        <v>1.1753156196480319E-2</v>
      </c>
      <c r="N1024" s="145">
        <v>1.3202653753849534</v>
      </c>
      <c r="O1024" s="145">
        <v>9.7481334571369871E-4</v>
      </c>
      <c r="P1024" s="145">
        <v>2.1328343635182989E-3</v>
      </c>
      <c r="Q10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2.1865351946814826E-3</v>
      </c>
      <c r="R10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0.54004468546531292</v>
      </c>
      <c r="S10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2.4765631039258551E-3</v>
      </c>
      <c r="T10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2.6739675114129113E-3</v>
      </c>
      <c r="U10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3.6484237853073864E-6</v>
      </c>
      <c r="V10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-1.095044765118125E-4</v>
      </c>
      <c r="W10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4.7417970137075827E-6</v>
      </c>
      <c r="X10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4.2691440000908187E-6</v>
      </c>
      <c r="Y1024" s="162" t="str">
        <f>ReportSummary___Track[[#This Row],[Track ID]]&amp;"-"&amp;ReportSummary___Track[[#This Row],[Epoch]]</f>
        <v>250-RL-OP-0046-45786.2847222222</v>
      </c>
      <c r="Z1024" s="126">
        <f>SUBTOTAL(103,ReportSummary___Track[[#This Row],[Track ID]])</f>
        <v>1</v>
      </c>
      <c r="AA1024" s="114">
        <f>_xlfn.NUMBERVALUE(RIGHT(ReportSummary___Track[[#This Row],[Track ID]],4))</f>
        <v>46</v>
      </c>
      <c r="AB1024" s="78"/>
    </row>
    <row r="1025" spans="5:28" ht="14.25" customHeight="1" x14ac:dyDescent="0.2">
      <c r="E1025" s="74">
        <v>45786.284722222219</v>
      </c>
      <c r="F1025" s="107" t="s">
        <v>286</v>
      </c>
      <c r="G1025" s="142">
        <v>51911.151124583565</v>
      </c>
      <c r="H1025" s="142">
        <v>159188.48937362182</v>
      </c>
      <c r="I1025" s="142">
        <v>18.882328441829319</v>
      </c>
      <c r="J1025" s="142">
        <v>51910.835188304052</v>
      </c>
      <c r="K1025" s="142">
        <v>159187.20649995178</v>
      </c>
      <c r="L1025" s="142">
        <v>18.870139116386198</v>
      </c>
      <c r="M1025" s="145">
        <v>1.218932544312068E-2</v>
      </c>
      <c r="N1025" s="145">
        <v>1.3212604458114392</v>
      </c>
      <c r="O1025" s="145">
        <v>1.1605998407837603E-3</v>
      </c>
      <c r="P1025" s="145">
        <v>1.9016237097240207E-3</v>
      </c>
      <c r="Q10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2.4934919373720277E-3</v>
      </c>
      <c r="R10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0.660349940367011</v>
      </c>
      <c r="S10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2.1707259492131925E-3</v>
      </c>
      <c r="T10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2.5123390052783634E-3</v>
      </c>
      <c r="U10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-7.4358130476070983E-5</v>
      </c>
      <c r="V10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-2.763225702948624E-4</v>
      </c>
      <c r="W10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-7.4881394493075959E-5</v>
      </c>
      <c r="X10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-7.4287079101509335E-5</v>
      </c>
      <c r="Y1025" s="162" t="str">
        <f>ReportSummary___Track[[#This Row],[Track ID]]&amp;"-"&amp;ReportSummary___Track[[#This Row],[Epoch]]</f>
        <v>250-RL-OP-0047-45786.2847222222</v>
      </c>
      <c r="Z1025" s="126">
        <f>SUBTOTAL(103,ReportSummary___Track[[#This Row],[Track ID]])</f>
        <v>1</v>
      </c>
      <c r="AA1025" s="114">
        <f>_xlfn.NUMBERVALUE(RIGHT(ReportSummary___Track[[#This Row],[Track ID]],4))</f>
        <v>47</v>
      </c>
      <c r="AB1025" s="78"/>
    </row>
    <row r="1026" spans="5:28" ht="14.25" customHeight="1" x14ac:dyDescent="0.2">
      <c r="E1026" s="74">
        <v>45786.284722222219</v>
      </c>
      <c r="F1026" s="107" t="s">
        <v>287</v>
      </c>
      <c r="G1026" s="142">
        <v>51912.122778205805</v>
      </c>
      <c r="H1026" s="142">
        <v>159188.25300560394</v>
      </c>
      <c r="I1026" s="142">
        <v>18.886732814833675</v>
      </c>
      <c r="J1026" s="142">
        <v>51911.806733444027</v>
      </c>
      <c r="K1026" s="142">
        <v>159186.96966968034</v>
      </c>
      <c r="L1026" s="142">
        <v>18.873524899190585</v>
      </c>
      <c r="M1026" s="145">
        <v>1.3207915643089763E-2</v>
      </c>
      <c r="N1026" s="145">
        <v>1.3217449955545648</v>
      </c>
      <c r="O1026" s="145">
        <v>1.8169747436793671E-3</v>
      </c>
      <c r="P1026" s="145">
        <v>2.6748933510098993E-3</v>
      </c>
      <c r="Q10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1.9486598290541224E-3</v>
      </c>
      <c r="R10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0.32084317441705146</v>
      </c>
      <c r="S10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6.9400923763396349E-4</v>
      </c>
      <c r="T10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2.1030973194058333E-3</v>
      </c>
      <c r="U10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-4.2705984758839577E-4</v>
      </c>
      <c r="V10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-4.544420844077024E-4</v>
      </c>
      <c r="W10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-4.2914569149132831E-4</v>
      </c>
      <c r="X10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-4.2647763528691485E-4</v>
      </c>
      <c r="Y1026" s="162" t="str">
        <f>ReportSummary___Track[[#This Row],[Track ID]]&amp;"-"&amp;ReportSummary___Track[[#This Row],[Epoch]]</f>
        <v>250-RL-OP-0048-45786.2847222222</v>
      </c>
      <c r="Z1026" s="126">
        <f>SUBTOTAL(103,ReportSummary___Track[[#This Row],[Track ID]])</f>
        <v>1</v>
      </c>
      <c r="AA1026" s="114">
        <f>_xlfn.NUMBERVALUE(RIGHT(ReportSummary___Track[[#This Row],[Track ID]],4))</f>
        <v>48</v>
      </c>
      <c r="AB1026" s="78"/>
    </row>
    <row r="1027" spans="5:28" ht="14.25" customHeight="1" x14ac:dyDescent="0.2">
      <c r="E1027" s="74">
        <v>45786.284722222219</v>
      </c>
      <c r="F1027" s="107" t="s">
        <v>288</v>
      </c>
      <c r="G1027" s="142">
        <v>51913.094431828045</v>
      </c>
      <c r="H1027" s="142">
        <v>159188.01663758603</v>
      </c>
      <c r="I1027" s="142">
        <v>18.89113718783803</v>
      </c>
      <c r="J1027" s="142">
        <v>51912.778278584003</v>
      </c>
      <c r="K1027" s="142">
        <v>159186.73283940891</v>
      </c>
      <c r="L1027" s="142">
        <v>18.876910681994968</v>
      </c>
      <c r="M1027" s="145">
        <v>1.4226505843062398E-2</v>
      </c>
      <c r="N1027" s="145">
        <v>1.3222303228832655</v>
      </c>
      <c r="O1027" s="145">
        <v>2.4733496465820792E-3</v>
      </c>
      <c r="P1027" s="145">
        <v>3.4481629922957779E-3</v>
      </c>
      <c r="Q10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1.4038277278416444E-3</v>
      </c>
      <c r="R10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-1.8659468269399682E-2</v>
      </c>
      <c r="S10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-7.8270746683983816E-4</v>
      </c>
      <c r="T10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1.6938556370860169E-3</v>
      </c>
      <c r="U10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-7.7976156470072056E-4</v>
      </c>
      <c r="V10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-6.3319226027469533E-4</v>
      </c>
      <c r="W10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-7.8340998848602794E-4</v>
      </c>
      <c r="X10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-7.7866819147232036E-4</v>
      </c>
      <c r="Y1027" s="162" t="str">
        <f>ReportSummary___Track[[#This Row],[Track ID]]&amp;"-"&amp;ReportSummary___Track[[#This Row],[Epoch]]</f>
        <v>250-RL-OP-0049-45786.2847222222</v>
      </c>
      <c r="Z1027" s="126">
        <f>SUBTOTAL(103,ReportSummary___Track[[#This Row],[Track ID]])</f>
        <v>1</v>
      </c>
      <c r="AA1027" s="114">
        <f>_xlfn.NUMBERVALUE(RIGHT(ReportSummary___Track[[#This Row],[Track ID]],4))</f>
        <v>49</v>
      </c>
      <c r="AB1027" s="78"/>
    </row>
    <row r="1028" spans="5:28" ht="14.25" customHeight="1" x14ac:dyDescent="0.2">
      <c r="E1028" s="74">
        <v>45785.270833333336</v>
      </c>
      <c r="F1028" s="107" t="s">
        <v>235</v>
      </c>
      <c r="G1028" s="142">
        <v>51886.101813663445</v>
      </c>
      <c r="H1028" s="142">
        <v>159195.44642124095</v>
      </c>
      <c r="I1028" s="142">
        <v>18.870774662204116</v>
      </c>
      <c r="J1028" s="142">
        <v>51885.743029345111</v>
      </c>
      <c r="K1028" s="142">
        <v>159194.186880728</v>
      </c>
      <c r="L1028" s="142">
        <v>18.866787522685922</v>
      </c>
      <c r="M1028" s="145">
        <v>3.9871395181947378E-3</v>
      </c>
      <c r="N1028" s="145">
        <v>1.3096504831964539</v>
      </c>
      <c r="O1028" s="145"/>
      <c r="P1028" s="145"/>
      <c r="Q10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-0.28162522779950905</v>
      </c>
      <c r="R10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-0.46769319095574247</v>
      </c>
      <c r="S102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2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6.8426633248463986E-8</v>
      </c>
      <c r="V10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2.2383408096837698E-4</v>
      </c>
      <c r="W102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2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28" s="162" t="str">
        <f>ReportSummary___Track[[#This Row],[Track ID]]&amp;"-"&amp;ReportSummary___Track[[#This Row],[Epoch]]</f>
        <v>250-RL-OP-0021-45785.2708333333</v>
      </c>
      <c r="Z1028" s="126">
        <f>SUBTOTAL(103,ReportSummary___Track[[#This Row],[Track ID]])</f>
        <v>1</v>
      </c>
      <c r="AA1028" s="114">
        <f>_xlfn.NUMBERVALUE(RIGHT(ReportSummary___Track[[#This Row],[Track ID]],4))</f>
        <v>21</v>
      </c>
      <c r="AB1028" s="78"/>
    </row>
    <row r="1029" spans="5:28" ht="14.25" customHeight="1" x14ac:dyDescent="0.2">
      <c r="E1029" s="74">
        <v>45785.270833333336</v>
      </c>
      <c r="F1029" s="107" t="s">
        <v>236</v>
      </c>
      <c r="G1029" s="142">
        <v>51887.063368914656</v>
      </c>
      <c r="H1029" s="142">
        <v>159195.17180983879</v>
      </c>
      <c r="I1029" s="142">
        <v>18.870497766411678</v>
      </c>
      <c r="J1029" s="142">
        <v>51886.704122307987</v>
      </c>
      <c r="K1029" s="142">
        <v>159193.91065564146</v>
      </c>
      <c r="L1029" s="142">
        <v>18.866652333606499</v>
      </c>
      <c r="M1029" s="145">
        <v>3.8454328051784614E-3</v>
      </c>
      <c r="N1029" s="145">
        <v>1.3113286472896939</v>
      </c>
      <c r="O1029" s="145"/>
      <c r="P1029" s="145"/>
      <c r="Q10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-0.62768845752003699</v>
      </c>
      <c r="R10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-0.70016580539222772</v>
      </c>
      <c r="S102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2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1.5124562580126621E-7</v>
      </c>
      <c r="V10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-3.4037927200158968E-4</v>
      </c>
      <c r="W102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2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29" s="162" t="str">
        <f>ReportSummary___Track[[#This Row],[Track ID]]&amp;"-"&amp;ReportSummary___Track[[#This Row],[Epoch]]</f>
        <v>250-RL-OP-0022-45785.2708333333</v>
      </c>
      <c r="Z1029" s="126">
        <f>SUBTOTAL(103,ReportSummary___Track[[#This Row],[Track ID]])</f>
        <v>1</v>
      </c>
      <c r="AA1029" s="114">
        <f>_xlfn.NUMBERVALUE(RIGHT(ReportSummary___Track[[#This Row],[Track ID]],4))</f>
        <v>22</v>
      </c>
      <c r="AB1029" s="78"/>
    </row>
    <row r="1030" spans="5:28" ht="14.25" customHeight="1" x14ac:dyDescent="0.2">
      <c r="E1030" s="74">
        <v>45785.270833333336</v>
      </c>
      <c r="F1030" s="107" t="s">
        <v>237</v>
      </c>
      <c r="G1030" s="142">
        <v>51888.024924165868</v>
      </c>
      <c r="H1030" s="142">
        <v>159194.89719843664</v>
      </c>
      <c r="I1030" s="142">
        <v>18.870220870619239</v>
      </c>
      <c r="J1030" s="142">
        <v>51887.665215270863</v>
      </c>
      <c r="K1030" s="142">
        <v>159193.63443055493</v>
      </c>
      <c r="L1030" s="142">
        <v>18.866517144527077</v>
      </c>
      <c r="M1030" s="145">
        <v>3.7037260921621851E-3</v>
      </c>
      <c r="N1030" s="145">
        <v>1.3130068277833375</v>
      </c>
      <c r="O1030" s="145"/>
      <c r="P1030" s="145"/>
      <c r="Q10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-0.97375168724056493</v>
      </c>
      <c r="R10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-0.93265182705004612</v>
      </c>
      <c r="S103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3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2.3406461480135476E-7</v>
      </c>
      <c r="V10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-9.0459303317058648E-4</v>
      </c>
      <c r="W103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3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30" s="162" t="str">
        <f>ReportSummary___Track[[#This Row],[Track ID]]&amp;"-"&amp;ReportSummary___Track[[#This Row],[Epoch]]</f>
        <v>250-RL-OP-0023-45785.2708333333</v>
      </c>
      <c r="Z1030" s="126">
        <f>SUBTOTAL(103,ReportSummary___Track[[#This Row],[Track ID]])</f>
        <v>1</v>
      </c>
      <c r="AA1030" s="114">
        <f>_xlfn.NUMBERVALUE(RIGHT(ReportSummary___Track[[#This Row],[Track ID]],4))</f>
        <v>23</v>
      </c>
      <c r="AB1030" s="78"/>
    </row>
    <row r="1031" spans="5:28" ht="14.25" customHeight="1" x14ac:dyDescent="0.2">
      <c r="E1031" s="74">
        <v>45785.270833333336</v>
      </c>
      <c r="F1031" s="107" t="s">
        <v>238</v>
      </c>
      <c r="G1031" s="142">
        <v>51888.98628832103</v>
      </c>
      <c r="H1031" s="142">
        <v>159194.62201573106</v>
      </c>
      <c r="I1031" s="142">
        <v>18.869514730242752</v>
      </c>
      <c r="J1031" s="142">
        <v>51888.624024107339</v>
      </c>
      <c r="K1031" s="142">
        <v>159193.3577967032</v>
      </c>
      <c r="L1031" s="142">
        <v>18.86545332152658</v>
      </c>
      <c r="M1031" s="145">
        <v>4.0614087161721102E-3</v>
      </c>
      <c r="N1031" s="145">
        <v>1.3151051691618987</v>
      </c>
      <c r="O1031" s="145">
        <v>7.4269197977372414E-5</v>
      </c>
      <c r="P1031" s="145"/>
      <c r="Q10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10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10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-0.41938761510706968</v>
      </c>
      <c r="T103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10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10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-1.6804020219751692E-7</v>
      </c>
      <c r="X103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31" s="162" t="str">
        <f>ReportSummary___Track[[#This Row],[Track ID]]&amp;"-"&amp;ReportSummary___Track[[#This Row],[Epoch]]</f>
        <v>250-RL-OP-0024-45785.2708333333</v>
      </c>
      <c r="Z1031" s="126">
        <f>SUBTOTAL(103,ReportSummary___Track[[#This Row],[Track ID]])</f>
        <v>1</v>
      </c>
      <c r="AA1031" s="114">
        <f>_xlfn.NUMBERVALUE(RIGHT(ReportSummary___Track[[#This Row],[Track ID]],4))</f>
        <v>24</v>
      </c>
      <c r="AB1031" s="78"/>
    </row>
    <row r="1032" spans="5:28" ht="14.25" customHeight="1" x14ac:dyDescent="0.2">
      <c r="E1032" s="74">
        <v>45785.270833333336</v>
      </c>
      <c r="F1032" s="107" t="s">
        <v>239</v>
      </c>
      <c r="G1032" s="142">
        <v>51889.947664398285</v>
      </c>
      <c r="H1032" s="142">
        <v>159194.34677858101</v>
      </c>
      <c r="I1032" s="142">
        <v>18.868773577574299</v>
      </c>
      <c r="J1032" s="142">
        <v>51889.58479107709</v>
      </c>
      <c r="K1032" s="142">
        <v>159193.08044244221</v>
      </c>
      <c r="L1032" s="142">
        <v>18.864251762034648</v>
      </c>
      <c r="M1032" s="145">
        <v>4.5218155396504756E-3</v>
      </c>
      <c r="N1032" s="145">
        <v>1.3173096486680025</v>
      </c>
      <c r="O1032" s="145">
        <v>6.7638273447201414E-4</v>
      </c>
      <c r="P1032" s="145"/>
      <c r="Q10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-0.35777918949264631</v>
      </c>
      <c r="R10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10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0.26990926802739068</v>
      </c>
      <c r="T103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-2.1396733274059443E-7</v>
      </c>
      <c r="V10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10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-3.6521295854186064E-7</v>
      </c>
      <c r="X103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32" s="162" t="str">
        <f>ReportSummary___Track[[#This Row],[Track ID]]&amp;"-"&amp;ReportSummary___Track[[#This Row],[Epoch]]</f>
        <v>250-RL-OP-0025-45785.2708333333</v>
      </c>
      <c r="Z1032" s="126">
        <f>SUBTOTAL(103,ReportSummary___Track[[#This Row],[Track ID]])</f>
        <v>1</v>
      </c>
      <c r="AA1032" s="114">
        <f>_xlfn.NUMBERVALUE(RIGHT(ReportSummary___Track[[#This Row],[Track ID]],4))</f>
        <v>25</v>
      </c>
      <c r="AB1032" s="78"/>
    </row>
    <row r="1033" spans="5:28" ht="14.25" customHeight="1" x14ac:dyDescent="0.2">
      <c r="E1033" s="74">
        <v>45785.270833333336</v>
      </c>
      <c r="F1033" s="107" t="s">
        <v>240</v>
      </c>
      <c r="G1033" s="142">
        <v>51890.909040475541</v>
      </c>
      <c r="H1033" s="142">
        <v>159194.07154143095</v>
      </c>
      <c r="I1033" s="142">
        <v>18.868032424905849</v>
      </c>
      <c r="J1033" s="142">
        <v>51890.545558046833</v>
      </c>
      <c r="K1033" s="142">
        <v>159192.80308818122</v>
      </c>
      <c r="L1033" s="142">
        <v>18.86305020254272</v>
      </c>
      <c r="M1033" s="145">
        <v>4.9822223631288409E-3</v>
      </c>
      <c r="N1033" s="145">
        <v>1.3195142838510057</v>
      </c>
      <c r="O1033" s="145">
        <v>1.2784962709666559E-3</v>
      </c>
      <c r="P1033" s="145"/>
      <c r="Q10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-1.4545536078713894E-2</v>
      </c>
      <c r="R10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10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0.95920615116185104</v>
      </c>
      <c r="T103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-3.283211000848496E-7</v>
      </c>
      <c r="V10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10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-5.6238571488620437E-7</v>
      </c>
      <c r="X103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33" s="162" t="str">
        <f>ReportSummary___Track[[#This Row],[Track ID]]&amp;"-"&amp;ReportSummary___Track[[#This Row],[Epoch]]</f>
        <v>250-RL-OP-0026-45785.2708333333</v>
      </c>
      <c r="Z1033" s="126">
        <f>SUBTOTAL(103,ReportSummary___Track[[#This Row],[Track ID]])</f>
        <v>1</v>
      </c>
      <c r="AA1033" s="114">
        <f>_xlfn.NUMBERVALUE(RIGHT(ReportSummary___Track[[#This Row],[Track ID]],4))</f>
        <v>26</v>
      </c>
      <c r="AB1033" s="78"/>
    </row>
    <row r="1034" spans="5:28" ht="14.25" customHeight="1" x14ac:dyDescent="0.2">
      <c r="E1034" s="74">
        <v>45785.270833333336</v>
      </c>
      <c r="F1034" s="107" t="s">
        <v>241</v>
      </c>
      <c r="G1034" s="142">
        <v>51891.869997674046</v>
      </c>
      <c r="H1034" s="142">
        <v>159193.79503821288</v>
      </c>
      <c r="I1034" s="142">
        <v>18.865661670375356</v>
      </c>
      <c r="J1034" s="142">
        <v>51891.504267267614</v>
      </c>
      <c r="K1034" s="142">
        <v>159192.52660902659</v>
      </c>
      <c r="L1034" s="142">
        <v>18.861283294009535</v>
      </c>
      <c r="M1034" s="145">
        <v>4.3783763658211683E-3</v>
      </c>
      <c r="N1034" s="145">
        <v>1.3201100336646869</v>
      </c>
      <c r="O1034" s="145">
        <v>3.169676496490581E-4</v>
      </c>
      <c r="P1034" s="145">
        <v>3.9123684762643052E-4</v>
      </c>
      <c r="Q10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10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10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0.37644288719462793</v>
      </c>
      <c r="T10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-4.2944727912441749E-2</v>
      </c>
      <c r="U10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10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10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1.6116922196829364E-7</v>
      </c>
      <c r="X10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-6.870980229223278E-9</v>
      </c>
      <c r="Y1034" s="162" t="str">
        <f>ReportSummary___Track[[#This Row],[Track ID]]&amp;"-"&amp;ReportSummary___Track[[#This Row],[Epoch]]</f>
        <v>250-RL-OP-0027-45785.2708333333</v>
      </c>
      <c r="Z1034" s="126">
        <f>SUBTOTAL(103,ReportSummary___Track[[#This Row],[Track ID]])</f>
        <v>1</v>
      </c>
      <c r="AA1034" s="114">
        <f>_xlfn.NUMBERVALUE(RIGHT(ReportSummary___Track[[#This Row],[Track ID]],4))</f>
        <v>27</v>
      </c>
      <c r="AB1034" s="78"/>
    </row>
    <row r="1035" spans="5:28" ht="14.25" customHeight="1" x14ac:dyDescent="0.2">
      <c r="E1035" s="74">
        <v>45785.270833333336</v>
      </c>
      <c r="F1035" s="107" t="s">
        <v>242</v>
      </c>
      <c r="G1035" s="142">
        <v>51892.83098666594</v>
      </c>
      <c r="H1035" s="142">
        <v>159193.51846240537</v>
      </c>
      <c r="I1035" s="142">
        <v>18.863216230483452</v>
      </c>
      <c r="J1035" s="142">
        <v>51892.465111689802</v>
      </c>
      <c r="K1035" s="142">
        <v>159192.24952641845</v>
      </c>
      <c r="L1035" s="142">
        <v>18.859487576446288</v>
      </c>
      <c r="M1035" s="145">
        <v>3.7286540371646026E-3</v>
      </c>
      <c r="N1035" s="145">
        <v>1.3206350517469128</v>
      </c>
      <c r="O1035" s="145">
        <v>-7.9316150248587292E-4</v>
      </c>
      <c r="P1035" s="145">
        <v>-1.1677876801385878E-4</v>
      </c>
      <c r="Q10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10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10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-0.30629908809487461</v>
      </c>
      <c r="T10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-3.6389820067483925E-2</v>
      </c>
      <c r="U10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10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10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3.3986303193955791E-7</v>
      </c>
      <c r="X10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-2.534992660230273E-8</v>
      </c>
      <c r="Y1035" s="162" t="str">
        <f>ReportSummary___Track[[#This Row],[Track ID]]&amp;"-"&amp;ReportSummary___Track[[#This Row],[Epoch]]</f>
        <v>250-RL-OP-0028-45785.2708333333</v>
      </c>
      <c r="Z1035" s="126">
        <f>SUBTOTAL(103,ReportSummary___Track[[#This Row],[Track ID]])</f>
        <v>1</v>
      </c>
      <c r="AA1035" s="114">
        <f>_xlfn.NUMBERVALUE(RIGHT(ReportSummary___Track[[#This Row],[Track ID]],4))</f>
        <v>28</v>
      </c>
      <c r="AB1035" s="78"/>
    </row>
    <row r="1036" spans="5:28" ht="14.25" customHeight="1" x14ac:dyDescent="0.2">
      <c r="E1036" s="74">
        <v>45785.270833333336</v>
      </c>
      <c r="F1036" s="107" t="s">
        <v>243</v>
      </c>
      <c r="G1036" s="142">
        <v>51893.791834251315</v>
      </c>
      <c r="H1036" s="142">
        <v>159193.24188966473</v>
      </c>
      <c r="I1036" s="142">
        <v>18.860926416951401</v>
      </c>
      <c r="J1036" s="142">
        <v>51893.426692580288</v>
      </c>
      <c r="K1036" s="142">
        <v>159191.97223179525</v>
      </c>
      <c r="L1036" s="142">
        <v>18.857700906411129</v>
      </c>
      <c r="M1036" s="145">
        <v>3.2255105402718698E-3</v>
      </c>
      <c r="N1036" s="145">
        <v>1.3211245018377866</v>
      </c>
      <c r="O1036" s="145">
        <v>-1.7567118228569711E-3</v>
      </c>
      <c r="P1036" s="145">
        <v>-4.7821555189031528E-4</v>
      </c>
      <c r="Q10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-0.98057959971953323</v>
      </c>
      <c r="R10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-0.27410785997594722</v>
      </c>
      <c r="S10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-0.96603406364081934</v>
      </c>
      <c r="T10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-6.827912478968301E-3</v>
      </c>
      <c r="U10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1.8128219423374503E-6</v>
      </c>
      <c r="V10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4.4276602384485386E-9</v>
      </c>
      <c r="W10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2.1411430424222999E-6</v>
      </c>
      <c r="X10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1.5787573275360955E-6</v>
      </c>
      <c r="Y1036" s="162" t="str">
        <f>ReportSummary___Track[[#This Row],[Track ID]]&amp;"-"&amp;ReportSummary___Track[[#This Row],[Epoch]]</f>
        <v>250-RL-OP-0029-45785.2708333333</v>
      </c>
      <c r="Z1036" s="126">
        <f>SUBTOTAL(103,ReportSummary___Track[[#This Row],[Track ID]])</f>
        <v>1</v>
      </c>
      <c r="AA1036" s="114">
        <f>_xlfn.NUMBERVALUE(RIGHT(ReportSummary___Track[[#This Row],[Track ID]],4))</f>
        <v>29</v>
      </c>
      <c r="AB1036" s="78"/>
    </row>
    <row r="1037" spans="5:28" ht="14.25" customHeight="1" x14ac:dyDescent="0.2">
      <c r="E1037" s="74">
        <v>45785.270833333336</v>
      </c>
      <c r="F1037" s="107" t="s">
        <v>269</v>
      </c>
      <c r="G1037" s="142">
        <v>51894.75263598399</v>
      </c>
      <c r="H1037" s="142">
        <v>159192.96465370167</v>
      </c>
      <c r="I1037" s="142">
        <v>18.86142768737643</v>
      </c>
      <c r="J1037" s="142">
        <v>51894.387556785739</v>
      </c>
      <c r="K1037" s="142">
        <v>159191.69521203163</v>
      </c>
      <c r="L1037" s="142">
        <v>18.85787192737892</v>
      </c>
      <c r="M1037" s="145">
        <v>3.5557599975106768E-3</v>
      </c>
      <c r="N1037" s="145">
        <v>1.3209003058739066</v>
      </c>
      <c r="O1037" s="145">
        <v>-8.2261636831049145E-4</v>
      </c>
      <c r="P1037" s="145">
        <v>-5.0564871866143335E-4</v>
      </c>
      <c r="Q10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-0.3045796934308953</v>
      </c>
      <c r="R10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-8.4807939084718953E-2</v>
      </c>
      <c r="S10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1.9990262281055493E-2</v>
      </c>
      <c r="T10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0.39643314947568342</v>
      </c>
      <c r="U10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3.4385469750120023E-4</v>
      </c>
      <c r="V10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8.8093825678647875E-7</v>
      </c>
      <c r="W10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3.4379314184818099E-4</v>
      </c>
      <c r="X10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3.4395431107014929E-4</v>
      </c>
      <c r="Y1037" s="162" t="str">
        <f>ReportSummary___Track[[#This Row],[Track ID]]&amp;"-"&amp;ReportSummary___Track[[#This Row],[Epoch]]</f>
        <v>250-RL-OP-0030-45785.2708333333</v>
      </c>
      <c r="Z1037" s="126">
        <f>SUBTOTAL(103,ReportSummary___Track[[#This Row],[Track ID]])</f>
        <v>1</v>
      </c>
      <c r="AA1037" s="114">
        <f>_xlfn.NUMBERVALUE(RIGHT(ReportSummary___Track[[#This Row],[Track ID]],4))</f>
        <v>30</v>
      </c>
      <c r="AB1037" s="78"/>
    </row>
    <row r="1038" spans="5:28" ht="14.25" customHeight="1" x14ac:dyDescent="0.2">
      <c r="E1038" s="74">
        <v>45785.270833333336</v>
      </c>
      <c r="F1038" s="107" t="s">
        <v>270</v>
      </c>
      <c r="G1038" s="142">
        <v>51895.713437716666</v>
      </c>
      <c r="H1038" s="142">
        <v>159192.68741773861</v>
      </c>
      <c r="I1038" s="142">
        <v>18.861928957801464</v>
      </c>
      <c r="J1038" s="142">
        <v>51895.348420991184</v>
      </c>
      <c r="K1038" s="142">
        <v>159191.418192268</v>
      </c>
      <c r="L1038" s="142">
        <v>18.858042948346714</v>
      </c>
      <c r="M1038" s="145">
        <v>3.8860094547494839E-3</v>
      </c>
      <c r="N1038" s="145">
        <v>1.3206761927831616</v>
      </c>
      <c r="O1038" s="145">
        <v>1.5735541758488125E-4</v>
      </c>
      <c r="P1038" s="145">
        <v>-6.3580608490099166E-4</v>
      </c>
      <c r="Q10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0.37142021285774263</v>
      </c>
      <c r="R10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0.1044849899090039</v>
      </c>
      <c r="S10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1.0354984904452635</v>
      </c>
      <c r="T10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0.72919940235038894</v>
      </c>
      <c r="U10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6.8589657306006302E-4</v>
      </c>
      <c r="V10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1.8402521926308424E-6</v>
      </c>
      <c r="W10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6.8577067736086406E-4</v>
      </c>
      <c r="X10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6.8611054039280361E-4</v>
      </c>
      <c r="Y1038" s="162" t="str">
        <f>ReportSummary___Track[[#This Row],[Track ID]]&amp;"-"&amp;ReportSummary___Track[[#This Row],[Epoch]]</f>
        <v>250-RL-OP-0031-45785.2708333333</v>
      </c>
      <c r="Z1038" s="126">
        <f>SUBTOTAL(103,ReportSummary___Track[[#This Row],[Track ID]])</f>
        <v>1</v>
      </c>
      <c r="AA1038" s="114">
        <f>_xlfn.NUMBERVALUE(RIGHT(ReportSummary___Track[[#This Row],[Track ID]],4))</f>
        <v>31</v>
      </c>
      <c r="AB1038" s="78"/>
    </row>
    <row r="1039" spans="5:28" ht="14.25" customHeight="1" x14ac:dyDescent="0.2">
      <c r="E1039" s="74">
        <v>45785.270833333336</v>
      </c>
      <c r="F1039" s="107" t="s">
        <v>271</v>
      </c>
      <c r="G1039" s="142">
        <v>51896.67540436655</v>
      </c>
      <c r="H1039" s="142">
        <v>159192.40990241416</v>
      </c>
      <c r="I1039" s="142">
        <v>18.862477008946644</v>
      </c>
      <c r="J1039" s="142">
        <v>51896.30852141809</v>
      </c>
      <c r="K1039" s="142">
        <v>159191.14170884955</v>
      </c>
      <c r="L1039" s="142">
        <v>18.858247340168667</v>
      </c>
      <c r="M1039" s="145">
        <v>4.22966877797748E-3</v>
      </c>
      <c r="N1039" s="145">
        <v>1.3202029788210448</v>
      </c>
      <c r="O1039" s="145">
        <v>1.0041582377056102E-3</v>
      </c>
      <c r="P1039" s="145">
        <v>-7.5255358515136095E-4</v>
      </c>
      <c r="Q10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0.9786510119091929</v>
      </c>
      <c r="R10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0.29496216024771371</v>
      </c>
      <c r="S10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1.9592306116287261</v>
      </c>
      <c r="T10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0.9931965479879068</v>
      </c>
      <c r="U10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9.7859298590918797E-4</v>
      </c>
      <c r="V10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1.0383457910601024E-5</v>
      </c>
      <c r="W10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9.7678016396685052E-4</v>
      </c>
      <c r="X10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9.7892130700927282E-4</v>
      </c>
      <c r="Y1039" s="162" t="str">
        <f>ReportSummary___Track[[#This Row],[Track ID]]&amp;"-"&amp;ReportSummary___Track[[#This Row],[Epoch]]</f>
        <v>250-RL-OP-0032-45785.2708333333</v>
      </c>
      <c r="Z1039" s="126">
        <f>SUBTOTAL(103,ReportSummary___Track[[#This Row],[Track ID]])</f>
        <v>1</v>
      </c>
      <c r="AA1039" s="114">
        <f>_xlfn.NUMBERVALUE(RIGHT(ReportSummary___Track[[#This Row],[Track ID]],4))</f>
        <v>32</v>
      </c>
      <c r="AB1039" s="78"/>
    </row>
    <row r="1040" spans="5:28" ht="14.25" customHeight="1" x14ac:dyDescent="0.2">
      <c r="E1040" s="74">
        <v>45785.270833333336</v>
      </c>
      <c r="F1040" s="107" t="s">
        <v>272</v>
      </c>
      <c r="G1040" s="142">
        <v>51897.636450977137</v>
      </c>
      <c r="H1040" s="142">
        <v>159192.13351890465</v>
      </c>
      <c r="I1040" s="142">
        <v>18.863729186940898</v>
      </c>
      <c r="J1040" s="142">
        <v>51897.270420156812</v>
      </c>
      <c r="K1040" s="142">
        <v>159190.86830352191</v>
      </c>
      <c r="L1040" s="142">
        <v>18.858833233345244</v>
      </c>
      <c r="M1040" s="145">
        <v>4.8959535956534239E-3</v>
      </c>
      <c r="N1040" s="145">
        <v>1.3171076252542968</v>
      </c>
      <c r="O1040" s="145">
        <v>1.3401935981427471E-3</v>
      </c>
      <c r="P1040" s="145">
        <v>5.1757722983225563E-4</v>
      </c>
      <c r="Q10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0.6315129942002784</v>
      </c>
      <c r="R10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0.53243188466689517</v>
      </c>
      <c r="S10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0.9360926876311737</v>
      </c>
      <c r="T10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0.9560829499122292</v>
      </c>
      <c r="U10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6.3057239026420575E-4</v>
      </c>
      <c r="V10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1.0399923097015318E-4</v>
      </c>
      <c r="W10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2.8671769276300552E-4</v>
      </c>
      <c r="X10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6.3051083461118651E-4</v>
      </c>
      <c r="Y1040" s="162" t="str">
        <f>ReportSummary___Track[[#This Row],[Track ID]]&amp;"-"&amp;ReportSummary___Track[[#This Row],[Epoch]]</f>
        <v>250-RL-OP-0033-45785.2708333333</v>
      </c>
      <c r="Z1040" s="126">
        <f>SUBTOTAL(103,ReportSummary___Track[[#This Row],[Track ID]])</f>
        <v>1</v>
      </c>
      <c r="AA1040" s="114">
        <f>_xlfn.NUMBERVALUE(RIGHT(ReportSummary___Track[[#This Row],[Track ID]],4))</f>
        <v>33</v>
      </c>
      <c r="AB1040" s="78"/>
    </row>
    <row r="1041" spans="5:28" ht="14.25" customHeight="1" x14ac:dyDescent="0.2">
      <c r="E1041" s="74">
        <v>45785.270833333336</v>
      </c>
      <c r="F1041" s="107" t="s">
        <v>273</v>
      </c>
      <c r="G1041" s="142">
        <v>51898.597497587733</v>
      </c>
      <c r="H1041" s="142">
        <v>159191.85713539514</v>
      </c>
      <c r="I1041" s="142">
        <v>18.864981364935151</v>
      </c>
      <c r="J1041" s="142">
        <v>51898.232318895534</v>
      </c>
      <c r="K1041" s="142">
        <v>159190.59489819428</v>
      </c>
      <c r="L1041" s="142">
        <v>18.859419126521821</v>
      </c>
      <c r="M1041" s="145">
        <v>5.5622384133293679E-3</v>
      </c>
      <c r="N1041" s="145">
        <v>1.3140126205533795</v>
      </c>
      <c r="O1041" s="145">
        <v>1.676228958579884E-3</v>
      </c>
      <c r="P1041" s="145">
        <v>1.8335843761647652E-3</v>
      </c>
      <c r="Q10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0.2843749764913639</v>
      </c>
      <c r="R10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0.76945365003422417</v>
      </c>
      <c r="S10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-8.7045236366378731E-2</v>
      </c>
      <c r="T10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0.94845325407888481</v>
      </c>
      <c r="U10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2.8255179461567081E-4</v>
      </c>
      <c r="V10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1.9716659828961092E-4</v>
      </c>
      <c r="W10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-4.033447784443922E-4</v>
      </c>
      <c r="X10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2.8242589891647185E-4</v>
      </c>
      <c r="Y1041" s="162" t="str">
        <f>ReportSummary___Track[[#This Row],[Track ID]]&amp;"-"&amp;ReportSummary___Track[[#This Row],[Epoch]]</f>
        <v>250-RL-OP-0034-45785.2708333333</v>
      </c>
      <c r="Z1041" s="126">
        <f>SUBTOTAL(103,ReportSummary___Track[[#This Row],[Track ID]])</f>
        <v>1</v>
      </c>
      <c r="AA1041" s="114">
        <f>_xlfn.NUMBERVALUE(RIGHT(ReportSummary___Track[[#This Row],[Track ID]],4))</f>
        <v>34</v>
      </c>
      <c r="AB1041" s="78"/>
    </row>
    <row r="1042" spans="5:28" ht="14.25" customHeight="1" x14ac:dyDescent="0.2">
      <c r="E1042" s="74">
        <v>45785.270833333336</v>
      </c>
      <c r="F1042" s="107" t="s">
        <v>274</v>
      </c>
      <c r="G1042" s="142">
        <v>51899.557732431109</v>
      </c>
      <c r="H1042" s="142">
        <v>159191.58232042889</v>
      </c>
      <c r="I1042" s="142">
        <v>18.866</v>
      </c>
      <c r="J1042" s="142">
        <v>51899.202476862527</v>
      </c>
      <c r="K1042" s="142">
        <v>159190.31963600163</v>
      </c>
      <c r="L1042" s="142">
        <v>18.859777465674785</v>
      </c>
      <c r="M1042" s="145">
        <v>6.2225343252144683E-3</v>
      </c>
      <c r="N1042" s="145">
        <v>1.3117229897301856</v>
      </c>
      <c r="O1042" s="145">
        <v>1.9928655472369883E-3</v>
      </c>
      <c r="P1042" s="145">
        <v>2.9970237849425985E-3</v>
      </c>
      <c r="Q10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-2.7657740986342105E-5</v>
      </c>
      <c r="R10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0.88699353230148326</v>
      </c>
      <c r="S10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-0.97867866965017924</v>
      </c>
      <c r="T10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0.98055194197854689</v>
      </c>
      <c r="U10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2.7932807356023659E-7</v>
      </c>
      <c r="V10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2.3691182953577972E-4</v>
      </c>
      <c r="W10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-9.7831365783562774E-4</v>
      </c>
      <c r="X10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-1.5334938687772137E-6</v>
      </c>
      <c r="Y1042" s="162" t="str">
        <f>ReportSummary___Track[[#This Row],[Track ID]]&amp;"-"&amp;ReportSummary___Track[[#This Row],[Epoch]]</f>
        <v>250-RL-OP-0035-45785.2708333333</v>
      </c>
      <c r="Z1042" s="126">
        <f>SUBTOTAL(103,ReportSummary___Track[[#This Row],[Track ID]])</f>
        <v>1</v>
      </c>
      <c r="AA1042" s="114">
        <f>_xlfn.NUMBERVALUE(RIGHT(ReportSummary___Track[[#This Row],[Track ID]],4))</f>
        <v>35</v>
      </c>
      <c r="AB1042" s="78"/>
    </row>
    <row r="1043" spans="5:28" ht="14.25" customHeight="1" x14ac:dyDescent="0.2">
      <c r="E1043" s="74">
        <v>45785.270833333336</v>
      </c>
      <c r="F1043" s="107" t="s">
        <v>275</v>
      </c>
      <c r="G1043" s="142">
        <v>51900.520670537458</v>
      </c>
      <c r="H1043" s="142">
        <v>159191.31259797278</v>
      </c>
      <c r="I1043" s="142">
        <v>18.866</v>
      </c>
      <c r="J1043" s="142">
        <v>51900.165060040614</v>
      </c>
      <c r="K1043" s="142">
        <v>159190.04865039481</v>
      </c>
      <c r="L1043" s="142">
        <v>18.859124645615051</v>
      </c>
      <c r="M1043" s="145">
        <v>6.8753543849489063E-3</v>
      </c>
      <c r="N1043" s="145">
        <v>1.3130382994514898</v>
      </c>
      <c r="O1043" s="145">
        <v>1.9794007892954824E-3</v>
      </c>
      <c r="P1043" s="145">
        <v>3.3195943874382294E-3</v>
      </c>
      <c r="Q10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-1.7500852678153933E-4</v>
      </c>
      <c r="R10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0.48425603376500703</v>
      </c>
      <c r="S10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-0.63168800272705994</v>
      </c>
      <c r="T10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0.30440468490411376</v>
      </c>
      <c r="U10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6.0195230027204616E-6</v>
      </c>
      <c r="V10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5.2865207766483735E-5</v>
      </c>
      <c r="W10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-6.2455286726148529E-4</v>
      </c>
      <c r="X10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-3.3783517449847977E-4</v>
      </c>
      <c r="Y1043" s="162" t="str">
        <f>ReportSummary___Track[[#This Row],[Track ID]]&amp;"-"&amp;ReportSummary___Track[[#This Row],[Epoch]]</f>
        <v>250-RL-OP-0036-45785.2708333333</v>
      </c>
      <c r="Z1043" s="126">
        <f>SUBTOTAL(103,ReportSummary___Track[[#This Row],[Track ID]])</f>
        <v>1</v>
      </c>
      <c r="AA1043" s="114">
        <f>_xlfn.NUMBERVALUE(RIGHT(ReportSummary___Track[[#This Row],[Track ID]],4))</f>
        <v>36</v>
      </c>
      <c r="AB1043" s="78"/>
    </row>
    <row r="1044" spans="5:28" ht="14.25" customHeight="1" x14ac:dyDescent="0.2">
      <c r="E1044" s="74">
        <v>45785.270833333336</v>
      </c>
      <c r="F1044" s="107" t="s">
        <v>276</v>
      </c>
      <c r="G1044" s="142">
        <v>51901.483608643815</v>
      </c>
      <c r="H1044" s="142">
        <v>159191.04287551664</v>
      </c>
      <c r="I1044" s="142">
        <v>18.866</v>
      </c>
      <c r="J1044" s="142">
        <v>51901.127643218693</v>
      </c>
      <c r="K1044" s="142">
        <v>159189.77766478801</v>
      </c>
      <c r="L1044" s="142">
        <v>18.858471825555313</v>
      </c>
      <c r="M1044" s="145">
        <v>7.528174444686897E-3</v>
      </c>
      <c r="N1044" s="145">
        <v>1.3143539268876339</v>
      </c>
      <c r="O1044" s="145">
        <v>1.9659360313575291E-3</v>
      </c>
      <c r="P1044" s="145">
        <v>3.6421649899374131E-3</v>
      </c>
      <c r="Q10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-3.223593054713092E-4</v>
      </c>
      <c r="R10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8.1520294676451499E-2</v>
      </c>
      <c r="S10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-0.2846973357968352</v>
      </c>
      <c r="T10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-0.37174257216321394</v>
      </c>
      <c r="U10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1.1759717942538828E-5</v>
      </c>
      <c r="V10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-1.3117489525171777E-4</v>
      </c>
      <c r="W10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-2.7079207667313199E-4</v>
      </c>
      <c r="X10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-6.7413685511752419E-4</v>
      </c>
      <c r="Y1044" s="162" t="str">
        <f>ReportSummary___Track[[#This Row],[Track ID]]&amp;"-"&amp;ReportSummary___Track[[#This Row],[Epoch]]</f>
        <v>250-RL-OP-0037-45785.2708333333</v>
      </c>
      <c r="Z1044" s="126">
        <f>SUBTOTAL(103,ReportSummary___Track[[#This Row],[Track ID]])</f>
        <v>1</v>
      </c>
      <c r="AA1044" s="114">
        <f>_xlfn.NUMBERVALUE(RIGHT(ReportSummary___Track[[#This Row],[Track ID]],4))</f>
        <v>37</v>
      </c>
      <c r="AB1044" s="78"/>
    </row>
    <row r="1045" spans="5:28" ht="14.25" customHeight="1" x14ac:dyDescent="0.2">
      <c r="E1045" s="74">
        <v>45785.270833333336</v>
      </c>
      <c r="F1045" s="107" t="s">
        <v>277</v>
      </c>
      <c r="G1045" s="142">
        <v>51902.446769943585</v>
      </c>
      <c r="H1045" s="142">
        <v>159190.77424554108</v>
      </c>
      <c r="I1045" s="142">
        <v>18.866124762962976</v>
      </c>
      <c r="J1045" s="142">
        <v>51902.099872443272</v>
      </c>
      <c r="K1045" s="142">
        <v>159189.5050474201</v>
      </c>
      <c r="L1045" s="142">
        <v>18.857900000000001</v>
      </c>
      <c r="M1045" s="145">
        <v>8.2247629629748076E-3</v>
      </c>
      <c r="N1045" s="145">
        <v>1.3157771060273808</v>
      </c>
      <c r="O1045" s="145">
        <v>2.0022286377603393E-3</v>
      </c>
      <c r="P1045" s="145">
        <v>3.9950941849973276E-3</v>
      </c>
      <c r="Q10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10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-0.24832537250651932</v>
      </c>
      <c r="S10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-1.2342670885345797E-5</v>
      </c>
      <c r="T10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-0.97869101232106459</v>
      </c>
      <c r="U10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10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-3.0565395033299581E-4</v>
      </c>
      <c r="W10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-3.3026656254264708E-7</v>
      </c>
      <c r="X10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-9.7864392439817038E-4</v>
      </c>
      <c r="Y1045" s="162" t="str">
        <f>ReportSummary___Track[[#This Row],[Track ID]]&amp;"-"&amp;ReportSummary___Track[[#This Row],[Epoch]]</f>
        <v>250-RL-OP-0038-45785.2708333333</v>
      </c>
      <c r="Z1045" s="126">
        <f>SUBTOTAL(103,ReportSummary___Track[[#This Row],[Track ID]])</f>
        <v>1</v>
      </c>
      <c r="AA1045" s="114">
        <f>_xlfn.NUMBERVALUE(RIGHT(ReportSummary___Track[[#This Row],[Track ID]],4))</f>
        <v>38</v>
      </c>
      <c r="AB1045" s="78"/>
    </row>
    <row r="1046" spans="5:28" ht="14.25" customHeight="1" x14ac:dyDescent="0.2">
      <c r="E1046" s="74">
        <v>45785.270833333336</v>
      </c>
      <c r="F1046" s="107" t="s">
        <v>278</v>
      </c>
      <c r="G1046" s="142">
        <v>51903.411366943481</v>
      </c>
      <c r="H1046" s="142">
        <v>159190.51051814223</v>
      </c>
      <c r="I1046" s="142">
        <v>18.866822542397966</v>
      </c>
      <c r="J1046" s="142">
        <v>51903.064539433311</v>
      </c>
      <c r="K1046" s="142">
        <v>159189.2415752236</v>
      </c>
      <c r="L1046" s="142">
        <v>18.857900000000001</v>
      </c>
      <c r="M1046" s="145">
        <v>8.922542397964861E-3</v>
      </c>
      <c r="N1046" s="145">
        <v>1.3155170330750341</v>
      </c>
      <c r="O1046" s="145">
        <v>2.0471880130159548E-3</v>
      </c>
      <c r="P1046" s="145">
        <v>4.0265888023114371E-3</v>
      </c>
      <c r="Q10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-2.6371636963062883E-4</v>
      </c>
      <c r="R10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-0.16066958963767419</v>
      </c>
      <c r="S10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-8.8707842849089502E-5</v>
      </c>
      <c r="T10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-0.63177671056990903</v>
      </c>
      <c r="U10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-3.3582935543563508E-7</v>
      </c>
      <c r="V10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-5.3862653344238787E-4</v>
      </c>
      <c r="W10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-6.3553523581560967E-6</v>
      </c>
      <c r="X10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-6.3090821961964139E-4</v>
      </c>
      <c r="Y1046" s="162" t="str">
        <f>ReportSummary___Track[[#This Row],[Track ID]]&amp;"-"&amp;ReportSummary___Track[[#This Row],[Epoch]]</f>
        <v>250-RL-OP-0039-45785.2708333333</v>
      </c>
      <c r="Z1046" s="126">
        <f>SUBTOTAL(103,ReportSummary___Track[[#This Row],[Track ID]])</f>
        <v>1</v>
      </c>
      <c r="AA1046" s="114">
        <f>_xlfn.NUMBERVALUE(RIGHT(ReportSummary___Track[[#This Row],[Track ID]],4))</f>
        <v>39</v>
      </c>
      <c r="AB1046" s="78"/>
    </row>
    <row r="1047" spans="5:28" ht="14.25" customHeight="1" x14ac:dyDescent="0.2">
      <c r="E1047" s="74">
        <v>45785.270833333336</v>
      </c>
      <c r="F1047" s="107" t="s">
        <v>279</v>
      </c>
      <c r="G1047" s="142">
        <v>51904.375963943377</v>
      </c>
      <c r="H1047" s="142">
        <v>159190.2467907434</v>
      </c>
      <c r="I1047" s="142">
        <v>18.867520321832959</v>
      </c>
      <c r="J1047" s="142">
        <v>51904.029206423351</v>
      </c>
      <c r="K1047" s="142">
        <v>159188.9781030271</v>
      </c>
      <c r="L1047" s="142">
        <v>18.857900000000001</v>
      </c>
      <c r="M1047" s="145">
        <v>9.6203218329584672E-3</v>
      </c>
      <c r="N1047" s="145">
        <v>1.3152573321579084</v>
      </c>
      <c r="O1047" s="145">
        <v>2.0921473882715702E-3</v>
      </c>
      <c r="P1047" s="145">
        <v>4.0580834196290994E-3</v>
      </c>
      <c r="Q10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-4.8743232028414241E-4</v>
      </c>
      <c r="R10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-7.3014631732704061E-2</v>
      </c>
      <c r="S10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-1.6507301481283321E-4</v>
      </c>
      <c r="T10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-0.28486240881164804</v>
      </c>
      <c r="U10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-6.2072021833614599E-7</v>
      </c>
      <c r="V10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-7.7159758458944516E-4</v>
      </c>
      <c r="W10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-1.2380438160874974E-5</v>
      </c>
      <c r="X10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-2.8317251483400696E-4</v>
      </c>
      <c r="Y1047" s="162" t="str">
        <f>ReportSummary___Track[[#This Row],[Track ID]]&amp;"-"&amp;ReportSummary___Track[[#This Row],[Epoch]]</f>
        <v>250-RL-OP-0040-45785.2708333333</v>
      </c>
      <c r="Z1047" s="126">
        <f>SUBTOTAL(103,ReportSummary___Track[[#This Row],[Track ID]])</f>
        <v>1</v>
      </c>
      <c r="AA1047" s="114">
        <f>_xlfn.NUMBERVALUE(RIGHT(ReportSummary___Track[[#This Row],[Track ID]],4))</f>
        <v>40</v>
      </c>
      <c r="AB1047" s="78"/>
    </row>
    <row r="1048" spans="5:28" ht="14.25" customHeight="1" x14ac:dyDescent="0.2">
      <c r="E1048" s="74">
        <v>45785.270833333336</v>
      </c>
      <c r="F1048" s="107" t="s">
        <v>280</v>
      </c>
      <c r="G1048" s="142">
        <v>51905.341841450259</v>
      </c>
      <c r="H1048" s="142">
        <v>159189.98417913547</v>
      </c>
      <c r="I1048" s="142">
        <v>18.868392406740742</v>
      </c>
      <c r="J1048" s="142">
        <v>51905.003849006323</v>
      </c>
      <c r="K1048" s="142">
        <v>159188.71294466936</v>
      </c>
      <c r="L1048" s="142">
        <v>18.858104686160278</v>
      </c>
      <c r="M1048" s="145">
        <v>1.0287720580464566E-2</v>
      </c>
      <c r="N1048" s="145">
        <v>1.3154397733017476</v>
      </c>
      <c r="O1048" s="145">
        <v>2.0629576174897579E-3</v>
      </c>
      <c r="P1048" s="145">
        <v>4.0651862552500972E-3</v>
      </c>
      <c r="Q10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0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0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4.0000411871687902E-5</v>
      </c>
      <c r="T10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2.7657740986342105E-5</v>
      </c>
      <c r="U10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-5.2204306655312394E-8</v>
      </c>
      <c r="V10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-9.0537887921726679E-4</v>
      </c>
      <c r="W10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-1.2658176729019033E-9</v>
      </c>
      <c r="X10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-3.3153238021554898E-7</v>
      </c>
      <c r="Y1048" s="162" t="str">
        <f>ReportSummary___Track[[#This Row],[Track ID]]&amp;"-"&amp;ReportSummary___Track[[#This Row],[Epoch]]</f>
        <v>250-RL-OP-0041-45785.2708333333</v>
      </c>
      <c r="Z1048" s="126">
        <f>SUBTOTAL(103,ReportSummary___Track[[#This Row],[Track ID]])</f>
        <v>1</v>
      </c>
      <c r="AA1048" s="114">
        <f>_xlfn.NUMBERVALUE(RIGHT(ReportSummary___Track[[#This Row],[Track ID]],4))</f>
        <v>41</v>
      </c>
      <c r="AB1048" s="78"/>
    </row>
    <row r="1049" spans="5:28" ht="14.25" customHeight="1" x14ac:dyDescent="0.2">
      <c r="E1049" s="74">
        <v>45785.270833333336</v>
      </c>
      <c r="F1049" s="107" t="s">
        <v>281</v>
      </c>
      <c r="G1049" s="142">
        <v>51906.308594977025</v>
      </c>
      <c r="H1049" s="142">
        <v>159189.72847487876</v>
      </c>
      <c r="I1049" s="142">
        <v>18.870110425193992</v>
      </c>
      <c r="J1049" s="142">
        <v>51905.970388620146</v>
      </c>
      <c r="K1049" s="142">
        <v>159188.45643149922</v>
      </c>
      <c r="L1049" s="142">
        <v>18.859577248464422</v>
      </c>
      <c r="M1049" s="145">
        <v>1.0533176729570215E-2</v>
      </c>
      <c r="N1049" s="145">
        <v>1.3162784078970426</v>
      </c>
      <c r="O1049" s="145">
        <v>1.610634331605354E-3</v>
      </c>
      <c r="P1049" s="145">
        <v>3.6578223446213087E-3</v>
      </c>
      <c r="Q10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0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-2.8125723972038941E-8</v>
      </c>
      <c r="S10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2.6371636963062883E-4</v>
      </c>
      <c r="T10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1.7500852678153933E-4</v>
      </c>
      <c r="U10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-4.2777481112921123E-7</v>
      </c>
      <c r="V10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-4.6623294299164009E-4</v>
      </c>
      <c r="W10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-9.194545569357615E-8</v>
      </c>
      <c r="X10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-6.4472978138496728E-6</v>
      </c>
      <c r="Y1049" s="162" t="str">
        <f>ReportSummary___Track[[#This Row],[Track ID]]&amp;"-"&amp;ReportSummary___Track[[#This Row],[Epoch]]</f>
        <v>250-RL-OP-0042-45785.2708333333</v>
      </c>
      <c r="Z1049" s="126">
        <f>SUBTOTAL(103,ReportSummary___Track[[#This Row],[Track ID]])</f>
        <v>1</v>
      </c>
      <c r="AA1049" s="114">
        <f>_xlfn.NUMBERVALUE(RIGHT(ReportSummary___Track[[#This Row],[Track ID]],4))</f>
        <v>42</v>
      </c>
      <c r="AB1049" s="78"/>
    </row>
    <row r="1050" spans="5:28" ht="14.25" customHeight="1" x14ac:dyDescent="0.2">
      <c r="E1050" s="74">
        <v>45785.270833333336</v>
      </c>
      <c r="F1050" s="107" t="s">
        <v>282</v>
      </c>
      <c r="G1050" s="142">
        <v>51907.275348503783</v>
      </c>
      <c r="H1050" s="142">
        <v>159189.47277062206</v>
      </c>
      <c r="I1050" s="142">
        <v>18.871828443647242</v>
      </c>
      <c r="J1050" s="142">
        <v>51906.936928233976</v>
      </c>
      <c r="K1050" s="142">
        <v>159188.19991832905</v>
      </c>
      <c r="L1050" s="142">
        <v>18.861049810768563</v>
      </c>
      <c r="M1050" s="145">
        <v>1.0778632878679417E-2</v>
      </c>
      <c r="N1050" s="145">
        <v>1.3171170858237558</v>
      </c>
      <c r="O1050" s="145">
        <v>1.15831104572095E-3</v>
      </c>
      <c r="P1050" s="145">
        <v>3.2504584339925202E-3</v>
      </c>
      <c r="Q10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0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-1.8696155734687636E-9</v>
      </c>
      <c r="S10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4.8743232383685609E-4</v>
      </c>
      <c r="T10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3.2235930902402288E-4</v>
      </c>
      <c r="U10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-8.0334531560311007E-7</v>
      </c>
      <c r="V10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-2.7088385242457491E-5</v>
      </c>
      <c r="W10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-1.8262509726696408E-7</v>
      </c>
      <c r="X10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-1.2563063258141938E-5</v>
      </c>
      <c r="Y1050" s="162" t="str">
        <f>ReportSummary___Track[[#This Row],[Track ID]]&amp;"-"&amp;ReportSummary___Track[[#This Row],[Epoch]]</f>
        <v>250-RL-OP-0043-45785.2708333333</v>
      </c>
      <c r="Z1050" s="126">
        <f>SUBTOTAL(103,ReportSummary___Track[[#This Row],[Track ID]])</f>
        <v>1</v>
      </c>
      <c r="AA1050" s="114">
        <f>_xlfn.NUMBERVALUE(RIGHT(ReportSummary___Track[[#This Row],[Track ID]],4))</f>
        <v>43</v>
      </c>
      <c r="AB1050" s="78"/>
    </row>
    <row r="1051" spans="5:28" ht="14.25" customHeight="1" x14ac:dyDescent="0.2">
      <c r="E1051" s="74">
        <v>45785.270833333336</v>
      </c>
      <c r="F1051" s="107" t="s">
        <v>283</v>
      </c>
      <c r="G1051" s="142">
        <v>51908.24283118709</v>
      </c>
      <c r="H1051" s="142">
        <v>159189.22059764637</v>
      </c>
      <c r="I1051" s="142">
        <v>18.873859694515247</v>
      </c>
      <c r="J1051" s="142">
        <v>51907.904497607538</v>
      </c>
      <c r="K1051" s="142">
        <v>159187.94712580554</v>
      </c>
      <c r="L1051" s="142">
        <v>18.862830968912906</v>
      </c>
      <c r="M1051" s="145">
        <v>1.1028725602340472E-2</v>
      </c>
      <c r="N1051" s="145">
        <v>1.3176956299663456</v>
      </c>
      <c r="O1051" s="145">
        <v>7.4100502187590678E-4</v>
      </c>
      <c r="P1051" s="145">
        <v>2.8039626393656647E-3</v>
      </c>
      <c r="Q10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3.2276599171154885E-4</v>
      </c>
      <c r="R10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7.1588168923497619E-2</v>
      </c>
      <c r="S10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3.2276599171154885E-4</v>
      </c>
      <c r="T10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3.6276640358323675E-4</v>
      </c>
      <c r="U10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5.2326402055768995E-7</v>
      </c>
      <c r="V10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2.0374596535144285E-4</v>
      </c>
      <c r="W10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5.7546832721300234E-7</v>
      </c>
      <c r="X10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5.7420250954010044E-7</v>
      </c>
      <c r="Y1051" s="162" t="str">
        <f>ReportSummary___Track[[#This Row],[Track ID]]&amp;"-"&amp;ReportSummary___Track[[#This Row],[Epoch]]</f>
        <v>250-RL-OP-0044-45785.2708333333</v>
      </c>
      <c r="Z1051" s="126">
        <f>SUBTOTAL(103,ReportSummary___Track[[#This Row],[Track ID]])</f>
        <v>1</v>
      </c>
      <c r="AA1051" s="114">
        <f>_xlfn.NUMBERVALUE(RIGHT(ReportSummary___Track[[#This Row],[Track ID]],4))</f>
        <v>44</v>
      </c>
      <c r="AB1051" s="78"/>
    </row>
    <row r="1052" spans="5:28" ht="14.25" customHeight="1" x14ac:dyDescent="0.2">
      <c r="E1052" s="74">
        <v>45785.270833333336</v>
      </c>
      <c r="F1052" s="107" t="s">
        <v>284</v>
      </c>
      <c r="G1052" s="142">
        <v>51909.212416550698</v>
      </c>
      <c r="H1052" s="142">
        <v>159188.9758591952</v>
      </c>
      <c r="I1052" s="142">
        <v>18.876563986793464</v>
      </c>
      <c r="J1052" s="142">
        <v>51908.873769331156</v>
      </c>
      <c r="K1052" s="142">
        <v>159187.70114442313</v>
      </c>
      <c r="L1052" s="142">
        <v>18.865173045894046</v>
      </c>
      <c r="M1052" s="145">
        <v>1.1390940899417501E-2</v>
      </c>
      <c r="N1052" s="145">
        <v>1.3189804558674008</v>
      </c>
      <c r="O1052" s="145">
        <v>8.5776416984728598E-4</v>
      </c>
      <c r="P1052" s="145">
        <v>2.4683985014526399E-3</v>
      </c>
      <c r="Q10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1.2546505985255862E-3</v>
      </c>
      <c r="R10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0.30581675139629283</v>
      </c>
      <c r="S10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1.2546505985255862E-3</v>
      </c>
      <c r="T10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1.5183669681562151E-3</v>
      </c>
      <c r="U10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2.0858439100379655E-6</v>
      </c>
      <c r="V10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4.7119996557931643E-5</v>
      </c>
      <c r="W10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2.5136187211671768E-6</v>
      </c>
      <c r="X10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2.4216732654736006E-6</v>
      </c>
      <c r="Y1052" s="162" t="str">
        <f>ReportSummary___Track[[#This Row],[Track ID]]&amp;"-"&amp;ReportSummary___Track[[#This Row],[Epoch]]</f>
        <v>250-RL-OP-0045-45785.2708333333</v>
      </c>
      <c r="Z1052" s="126">
        <f>SUBTOTAL(103,ReportSummary___Track[[#This Row],[Track ID]])</f>
        <v>1</v>
      </c>
      <c r="AA1052" s="114">
        <f>_xlfn.NUMBERVALUE(RIGHT(ReportSummary___Track[[#This Row],[Track ID]],4))</f>
        <v>45</v>
      </c>
      <c r="AB1052" s="78"/>
    </row>
    <row r="1053" spans="5:28" ht="14.25" customHeight="1" x14ac:dyDescent="0.2">
      <c r="E1053" s="74">
        <v>45785.270833333336</v>
      </c>
      <c r="F1053" s="107" t="s">
        <v>285</v>
      </c>
      <c r="G1053" s="142">
        <v>51910.182001914305</v>
      </c>
      <c r="H1053" s="142">
        <v>159188.73112074402</v>
      </c>
      <c r="I1053" s="142">
        <v>18.879268279071681</v>
      </c>
      <c r="J1053" s="142">
        <v>51909.843041054766</v>
      </c>
      <c r="K1053" s="142">
        <v>159187.45516304075</v>
      </c>
      <c r="L1053" s="142">
        <v>18.867515122875187</v>
      </c>
      <c r="M1053" s="145">
        <v>1.175315619649453E-2</v>
      </c>
      <c r="N1053" s="145">
        <v>1.3202653754130806</v>
      </c>
      <c r="O1053" s="145">
        <v>9.7452331781511248E-4</v>
      </c>
      <c r="P1053" s="145">
        <v>2.1328343635360625E-3</v>
      </c>
      <c r="Q10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2.1865352088923373E-3</v>
      </c>
      <c r="R10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0.54004471359259121</v>
      </c>
      <c r="S10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2.1865352053396236E-3</v>
      </c>
      <c r="T10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2.6739675291764797E-3</v>
      </c>
      <c r="U10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3.6484237995182411E-6</v>
      </c>
      <c r="V10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-1.0950444838453421E-4</v>
      </c>
      <c r="W10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4.4517691151213512E-6</v>
      </c>
      <c r="X10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4.2691440178543871E-6</v>
      </c>
      <c r="Y1053" s="162" t="str">
        <f>ReportSummary___Track[[#This Row],[Track ID]]&amp;"-"&amp;ReportSummary___Track[[#This Row],[Epoch]]</f>
        <v>250-RL-OP-0046-45785.2708333333</v>
      </c>
      <c r="Z1053" s="126">
        <f>SUBTOTAL(103,ReportSummary___Track[[#This Row],[Track ID]])</f>
        <v>1</v>
      </c>
      <c r="AA1053" s="114">
        <f>_xlfn.NUMBERVALUE(RIGHT(ReportSummary___Track[[#This Row],[Track ID]],4))</f>
        <v>46</v>
      </c>
      <c r="AB1053" s="78"/>
    </row>
    <row r="1054" spans="5:28" ht="14.25" customHeight="1" x14ac:dyDescent="0.2">
      <c r="E1054" s="74">
        <v>45785.270833333336</v>
      </c>
      <c r="F1054" s="107" t="s">
        <v>286</v>
      </c>
      <c r="G1054" s="142">
        <v>51911.15112425571</v>
      </c>
      <c r="H1054" s="142">
        <v>159188.48837370158</v>
      </c>
      <c r="I1054" s="142">
        <v>18.882402126084727</v>
      </c>
      <c r="J1054" s="142">
        <v>51910.835188304052</v>
      </c>
      <c r="K1054" s="142">
        <v>159187.20549995176</v>
      </c>
      <c r="L1054" s="142">
        <v>18.870139116386202</v>
      </c>
      <c r="M1054" s="145">
        <v>1.2263009698525451E-2</v>
      </c>
      <c r="N1054" s="145">
        <v>1.3212611267022913</v>
      </c>
      <c r="O1054" s="145">
        <v>1.2342840961849788E-3</v>
      </c>
      <c r="P1054" s="145">
        <v>1.9752891180608856E-3</v>
      </c>
      <c r="Q10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7.6177747342143221E-2</v>
      </c>
      <c r="R10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0.66103083121915596</v>
      </c>
      <c r="S10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7.5854981350431672E-2</v>
      </c>
      <c r="T10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7.6177747342143221E-2</v>
      </c>
      <c r="U10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-6.7387507129978985E-7</v>
      </c>
      <c r="V10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-2.7564167944271745E-4</v>
      </c>
      <c r="W10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-1.1971390918574798E-6</v>
      </c>
      <c r="X10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-6.2167076464447746E-7</v>
      </c>
      <c r="Y1054" s="162" t="str">
        <f>ReportSummary___Track[[#This Row],[Track ID]]&amp;"-"&amp;ReportSummary___Track[[#This Row],[Epoch]]</f>
        <v>250-RL-OP-0047-45785.2708333333</v>
      </c>
      <c r="Z1054" s="126">
        <f>SUBTOTAL(103,ReportSummary___Track[[#This Row],[Track ID]])</f>
        <v>1</v>
      </c>
      <c r="AA1054" s="114">
        <f>_xlfn.NUMBERVALUE(RIGHT(ReportSummary___Track[[#This Row],[Track ID]],4))</f>
        <v>47</v>
      </c>
      <c r="AB1054" s="78"/>
    </row>
    <row r="1055" spans="5:28" ht="14.25" customHeight="1" x14ac:dyDescent="0.2">
      <c r="E1055" s="74">
        <v>45785.270833333336</v>
      </c>
      <c r="F1055" s="107" t="s">
        <v>287</v>
      </c>
      <c r="G1055" s="142">
        <v>51912.122776322671</v>
      </c>
      <c r="H1055" s="142">
        <v>159188.25200606202</v>
      </c>
      <c r="I1055" s="142">
        <v>18.887156044892727</v>
      </c>
      <c r="J1055" s="142">
        <v>51911.806733444027</v>
      </c>
      <c r="K1055" s="142">
        <v>159186.96866968035</v>
      </c>
      <c r="L1055" s="142">
        <v>18.873524899190596</v>
      </c>
      <c r="M1055" s="145">
        <v>1.363114570213142E-2</v>
      </c>
      <c r="N1055" s="145">
        <v>1.321749287031547</v>
      </c>
      <c r="O1055" s="145">
        <v>2.2402048027139188E-3</v>
      </c>
      <c r="P1055" s="145">
        <v>3.0979689725612047E-3</v>
      </c>
      <c r="Q10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0.42517871887071124</v>
      </c>
      <c r="R10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0.32513465139927256</v>
      </c>
      <c r="S10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0.42392406827218565</v>
      </c>
      <c r="T10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0.42517871887071124</v>
      </c>
      <c r="U10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-3.829788546738655E-6</v>
      </c>
      <c r="V10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-4.501506074254813E-4</v>
      </c>
      <c r="W10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-5.9156324567766205E-6</v>
      </c>
      <c r="X10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-3.4020137356094438E-6</v>
      </c>
      <c r="Y1055" s="162" t="str">
        <f>ReportSummary___Track[[#This Row],[Track ID]]&amp;"-"&amp;ReportSummary___Track[[#This Row],[Epoch]]</f>
        <v>250-RL-OP-0048-45785.2708333333</v>
      </c>
      <c r="Z1055" s="126">
        <f>SUBTOTAL(103,ReportSummary___Track[[#This Row],[Track ID]])</f>
        <v>1</v>
      </c>
      <c r="AA1055" s="114">
        <f>_xlfn.NUMBERVALUE(RIGHT(ReportSummary___Track[[#This Row],[Track ID]],4))</f>
        <v>48</v>
      </c>
      <c r="AB1055" s="78"/>
    </row>
    <row r="1056" spans="5:28" ht="14.25" customHeight="1" x14ac:dyDescent="0.2">
      <c r="E1056" s="74">
        <v>45785.270833333336</v>
      </c>
      <c r="F1056" s="107" t="s">
        <v>288</v>
      </c>
      <c r="G1056" s="142">
        <v>51913.094428389624</v>
      </c>
      <c r="H1056" s="142">
        <v>159188.01563842245</v>
      </c>
      <c r="I1056" s="142">
        <v>18.891909963700726</v>
      </c>
      <c r="J1056" s="142">
        <v>51912.77827858401</v>
      </c>
      <c r="K1056" s="142">
        <v>159186.73183940892</v>
      </c>
      <c r="L1056" s="142">
        <v>18.876910681994985</v>
      </c>
      <c r="M1056" s="145">
        <v>1.4999281705740941E-2</v>
      </c>
      <c r="N1056" s="145">
        <v>1.322238853302675</v>
      </c>
      <c r="O1056" s="145">
        <v>3.2461255092464114E-3</v>
      </c>
      <c r="P1056" s="145">
        <v>4.2206488270615239E-3</v>
      </c>
      <c r="Q10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0.77417969040638468</v>
      </c>
      <c r="R10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-1.012904885988597E-2</v>
      </c>
      <c r="S10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0.77199315519749234</v>
      </c>
      <c r="T10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0.77417969040283197</v>
      </c>
      <c r="U10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-6.9857020221775201E-6</v>
      </c>
      <c r="V10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-6.2466184086518162E-4</v>
      </c>
      <c r="W10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-1.0634125821695761E-5</v>
      </c>
      <c r="X10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-6.1823567065744101E-6</v>
      </c>
      <c r="Y1056" s="162" t="str">
        <f>ReportSummary___Track[[#This Row],[Track ID]]&amp;"-"&amp;ReportSummary___Track[[#This Row],[Epoch]]</f>
        <v>250-RL-OP-0049-45785.2708333333</v>
      </c>
      <c r="Z1056" s="126">
        <f>SUBTOTAL(103,ReportSummary___Track[[#This Row],[Track ID]])</f>
        <v>1</v>
      </c>
      <c r="AA1056" s="114">
        <f>_xlfn.NUMBERVALUE(RIGHT(ReportSummary___Track[[#This Row],[Track ID]],4))</f>
        <v>49</v>
      </c>
      <c r="AB1056" s="78"/>
    </row>
    <row r="1057" spans="5:28" ht="14.25" customHeight="1" x14ac:dyDescent="0.2">
      <c r="E1057" s="74">
        <v>45784.263888888891</v>
      </c>
      <c r="F1057" s="107" t="s">
        <v>235</v>
      </c>
      <c r="G1057" s="142">
        <v>51886.102792439648</v>
      </c>
      <c r="H1057" s="142">
        <v>159195.44634683247</v>
      </c>
      <c r="I1057" s="142">
        <v>18.870056353205836</v>
      </c>
      <c r="J1057" s="142">
        <v>51885.74297614133</v>
      </c>
      <c r="K1057" s="142">
        <v>159194.18669572662</v>
      </c>
      <c r="L1057" s="142">
        <v>18.866068645440574</v>
      </c>
      <c r="M1057" s="145">
        <v>3.9877077652619164E-3</v>
      </c>
      <c r="N1057" s="145">
        <v>1.310039914972059</v>
      </c>
      <c r="O1057" s="145"/>
      <c r="P1057" s="145"/>
      <c r="Q10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-0.28105698073233043</v>
      </c>
      <c r="R10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-7.8261415350722174E-2</v>
      </c>
      <c r="S105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5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6.3667370042708171E-7</v>
      </c>
      <c r="V10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6.1326585657339727E-4</v>
      </c>
      <c r="W105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5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57" s="162" t="str">
        <f>ReportSummary___Track[[#This Row],[Track ID]]&amp;"-"&amp;ReportSummary___Track[[#This Row],[Epoch]]</f>
        <v>250-RL-OP-0021-45784.2638888889</v>
      </c>
      <c r="Z1057" s="126">
        <f>SUBTOTAL(103,ReportSummary___Track[[#This Row],[Track ID]])</f>
        <v>1</v>
      </c>
      <c r="AA1057" s="114">
        <f>_xlfn.NUMBERVALUE(RIGHT(ReportSummary___Track[[#This Row],[Track ID]],4))</f>
        <v>21</v>
      </c>
      <c r="AB1057" s="78"/>
    </row>
    <row r="1058" spans="5:28" ht="14.25" customHeight="1" x14ac:dyDescent="0.2">
      <c r="E1058" s="74">
        <v>45784.263888888891</v>
      </c>
      <c r="F1058" s="107" t="s">
        <v>236</v>
      </c>
      <c r="G1058" s="142">
        <v>51887.064321610997</v>
      </c>
      <c r="H1058" s="142">
        <v>159195.17164399693</v>
      </c>
      <c r="I1058" s="142">
        <v>18.870125600202442</v>
      </c>
      <c r="J1058" s="142">
        <v>51886.704005157357</v>
      </c>
      <c r="K1058" s="142">
        <v>159193.91024828269</v>
      </c>
      <c r="L1058" s="142">
        <v>18.866271344287416</v>
      </c>
      <c r="M1058" s="145">
        <v>3.8542559150265276E-3</v>
      </c>
      <c r="N1058" s="145">
        <v>1.3118543935855651</v>
      </c>
      <c r="O1058" s="145"/>
      <c r="P1058" s="145"/>
      <c r="Q10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-0.61886534767197077</v>
      </c>
      <c r="R10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-0.1744195095210177</v>
      </c>
      <c r="S105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5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8.9743554738674902E-6</v>
      </c>
      <c r="V10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1.8536702386962034E-4</v>
      </c>
      <c r="W105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5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58" s="162" t="str">
        <f>ReportSummary___Track[[#This Row],[Track ID]]&amp;"-"&amp;ReportSummary___Track[[#This Row],[Epoch]]</f>
        <v>250-RL-OP-0022-45784.2638888889</v>
      </c>
      <c r="Z1058" s="126">
        <f>SUBTOTAL(103,ReportSummary___Track[[#This Row],[Track ID]])</f>
        <v>1</v>
      </c>
      <c r="AA1058" s="114">
        <f>_xlfn.NUMBERVALUE(RIGHT(ReportSummary___Track[[#This Row],[Track ID]],4))</f>
        <v>22</v>
      </c>
      <c r="AB1058" s="78"/>
    </row>
    <row r="1059" spans="5:28" ht="14.25" customHeight="1" x14ac:dyDescent="0.2">
      <c r="E1059" s="74">
        <v>45784.263888888891</v>
      </c>
      <c r="F1059" s="107" t="s">
        <v>237</v>
      </c>
      <c r="G1059" s="142">
        <v>51888.025850782346</v>
      </c>
      <c r="H1059" s="142">
        <v>159194.89694116139</v>
      </c>
      <c r="I1059" s="142">
        <v>18.870194847199045</v>
      </c>
      <c r="J1059" s="142">
        <v>51887.665034173377</v>
      </c>
      <c r="K1059" s="142">
        <v>159193.63380083872</v>
      </c>
      <c r="L1059" s="142">
        <v>18.866474043134257</v>
      </c>
      <c r="M1059" s="145">
        <v>3.7208040647875862E-3</v>
      </c>
      <c r="N1059" s="145">
        <v>1.313668886913542</v>
      </c>
      <c r="O1059" s="145"/>
      <c r="P1059" s="145"/>
      <c r="Q10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-0.95667371461516382</v>
      </c>
      <c r="R10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-0.27059269684559517</v>
      </c>
      <c r="S105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5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1.7312037240202471E-5</v>
      </c>
      <c r="V10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-2.4253390296613553E-4</v>
      </c>
      <c r="W105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5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59" s="162" t="str">
        <f>ReportSummary___Track[[#This Row],[Track ID]]&amp;"-"&amp;ReportSummary___Track[[#This Row],[Epoch]]</f>
        <v>250-RL-OP-0023-45784.2638888889</v>
      </c>
      <c r="Z1059" s="126">
        <f>SUBTOTAL(103,ReportSummary___Track[[#This Row],[Track ID]])</f>
        <v>1</v>
      </c>
      <c r="AA1059" s="114">
        <f>_xlfn.NUMBERVALUE(RIGHT(ReportSummary___Track[[#This Row],[Track ID]],4))</f>
        <v>23</v>
      </c>
      <c r="AB1059" s="78"/>
    </row>
    <row r="1060" spans="5:28" ht="14.25" customHeight="1" x14ac:dyDescent="0.2">
      <c r="E1060" s="74">
        <v>45784.263888888891</v>
      </c>
      <c r="F1060" s="107" t="s">
        <v>238</v>
      </c>
      <c r="G1060" s="142">
        <v>51888.986311906534</v>
      </c>
      <c r="H1060" s="142">
        <v>159194.62209812674</v>
      </c>
      <c r="I1060" s="142">
        <v>18.869514952116027</v>
      </c>
      <c r="J1060" s="142">
        <v>51888.625080792306</v>
      </c>
      <c r="K1060" s="142">
        <v>159193.35699315078</v>
      </c>
      <c r="L1060" s="142">
        <v>18.865452876475164</v>
      </c>
      <c r="M1060" s="145">
        <v>4.0620756408635827E-3</v>
      </c>
      <c r="N1060" s="145">
        <v>1.3156728387181111</v>
      </c>
      <c r="O1060" s="145">
        <v>7.4367875601666356E-5</v>
      </c>
      <c r="P1060" s="145"/>
      <c r="Q10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-0.70034591821510617</v>
      </c>
      <c r="R10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-9.6590613704705675E-2</v>
      </c>
      <c r="S10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-0.41928893748277574</v>
      </c>
      <c r="T106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5.6731112252350613E-7</v>
      </c>
      <c r="V10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-1.0632205023930474E-4</v>
      </c>
      <c r="W10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-6.9362577903575584E-8</v>
      </c>
      <c r="X106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60" s="162" t="str">
        <f>ReportSummary___Track[[#This Row],[Track ID]]&amp;"-"&amp;ReportSummary___Track[[#This Row],[Epoch]]</f>
        <v>250-RL-OP-0024-45784.2638888889</v>
      </c>
      <c r="Z1060" s="126">
        <f>SUBTOTAL(103,ReportSummary___Track[[#This Row],[Track ID]])</f>
        <v>1</v>
      </c>
      <c r="AA1060" s="114">
        <f>_xlfn.NUMBERVALUE(RIGHT(ReportSummary___Track[[#This Row],[Track ID]],4))</f>
        <v>24</v>
      </c>
      <c r="AB1060" s="78"/>
    </row>
    <row r="1061" spans="5:28" ht="14.25" customHeight="1" x14ac:dyDescent="0.2">
      <c r="E1061" s="74">
        <v>45784.263888888891</v>
      </c>
      <c r="F1061" s="107" t="s">
        <v>239</v>
      </c>
      <c r="G1061" s="142">
        <v>51889.947713492664</v>
      </c>
      <c r="H1061" s="142">
        <v>159194.3469500916</v>
      </c>
      <c r="I1061" s="142">
        <v>18.868774039414347</v>
      </c>
      <c r="J1061" s="142">
        <v>51889.585912834904</v>
      </c>
      <c r="K1061" s="142">
        <v>159193.07986440646</v>
      </c>
      <c r="L1061" s="142">
        <v>18.864250806075855</v>
      </c>
      <c r="M1061" s="145">
        <v>4.5232333384923606E-3</v>
      </c>
      <c r="N1061" s="145">
        <v>1.317735295521715</v>
      </c>
      <c r="O1061" s="145">
        <v>6.68977423465833E-4</v>
      </c>
      <c r="P1061" s="145"/>
      <c r="Q10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-0.35636139065076122</v>
      </c>
      <c r="R10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8.6305204751502274E-2</v>
      </c>
      <c r="S10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0.26250395702120954</v>
      </c>
      <c r="T106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1.2038315091444929E-6</v>
      </c>
      <c r="V10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8.151903906106206E-5</v>
      </c>
      <c r="W10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-7.7705239647229973E-6</v>
      </c>
      <c r="X106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61" s="162" t="str">
        <f>ReportSummary___Track[[#This Row],[Track ID]]&amp;"-"&amp;ReportSummary___Track[[#This Row],[Epoch]]</f>
        <v>250-RL-OP-0025-45784.2638888889</v>
      </c>
      <c r="Z1061" s="126">
        <f>SUBTOTAL(103,ReportSummary___Track[[#This Row],[Track ID]])</f>
        <v>1</v>
      </c>
      <c r="AA1061" s="114">
        <f>_xlfn.NUMBERVALUE(RIGHT(ReportSummary___Track[[#This Row],[Track ID]],4))</f>
        <v>25</v>
      </c>
      <c r="AB1061" s="78"/>
    </row>
    <row r="1062" spans="5:28" ht="14.25" customHeight="1" x14ac:dyDescent="0.2">
      <c r="E1062" s="74">
        <v>45784.263888888891</v>
      </c>
      <c r="F1062" s="107" t="s">
        <v>240</v>
      </c>
      <c r="G1062" s="142">
        <v>51890.909115078794</v>
      </c>
      <c r="H1062" s="142">
        <v>159194.07180205648</v>
      </c>
      <c r="I1062" s="142">
        <v>18.868033126712668</v>
      </c>
      <c r="J1062" s="142">
        <v>51890.546744877509</v>
      </c>
      <c r="K1062" s="142">
        <v>159192.80273566212</v>
      </c>
      <c r="L1062" s="142">
        <v>18.86304873567655</v>
      </c>
      <c r="M1062" s="145">
        <v>4.9843910361175858E-3</v>
      </c>
      <c r="N1062" s="145">
        <v>1.3197979088631235</v>
      </c>
      <c r="O1062" s="145">
        <v>1.2635869713299996E-3</v>
      </c>
      <c r="P1062" s="145"/>
      <c r="Q10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-1.2376863089968992E-2</v>
      </c>
      <c r="R10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0.26934831391534075</v>
      </c>
      <c r="S10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0.94429685152519482</v>
      </c>
      <c r="T106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1.8403518886600523E-6</v>
      </c>
      <c r="V10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2.6936017572221083E-4</v>
      </c>
      <c r="W10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-1.5471685351542419E-5</v>
      </c>
      <c r="X106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62" s="162" t="str">
        <f>ReportSummary___Track[[#This Row],[Track ID]]&amp;"-"&amp;ReportSummary___Track[[#This Row],[Epoch]]</f>
        <v>250-RL-OP-0026-45784.2638888889</v>
      </c>
      <c r="Z1062" s="126">
        <f>SUBTOTAL(103,ReportSummary___Track[[#This Row],[Track ID]])</f>
        <v>1</v>
      </c>
      <c r="AA1062" s="114">
        <f>_xlfn.NUMBERVALUE(RIGHT(ReportSummary___Track[[#This Row],[Track ID]],4))</f>
        <v>26</v>
      </c>
      <c r="AB1062" s="78"/>
    </row>
    <row r="1063" spans="5:28" ht="14.25" customHeight="1" x14ac:dyDescent="0.2">
      <c r="E1063" s="74">
        <v>45784.263888888891</v>
      </c>
      <c r="F1063" s="107" t="s">
        <v>241</v>
      </c>
      <c r="G1063" s="142">
        <v>51891.870997674043</v>
      </c>
      <c r="H1063" s="142">
        <v>159193.79503821288</v>
      </c>
      <c r="I1063" s="142">
        <v>18.865661670375356</v>
      </c>
      <c r="J1063" s="142">
        <v>51891.504353461787</v>
      </c>
      <c r="K1063" s="142">
        <v>159192.52690810763</v>
      </c>
      <c r="L1063" s="142">
        <v>18.861283132921656</v>
      </c>
      <c r="M1063" s="145">
        <v>4.3785374537002042E-3</v>
      </c>
      <c r="N1063" s="145">
        <v>1.3200761772769656</v>
      </c>
      <c r="O1063" s="145">
        <v>3.1646181283662145E-4</v>
      </c>
      <c r="P1063" s="145">
        <v>3.908296884382878E-4</v>
      </c>
      <c r="Q10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10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-0.12475044003612545</v>
      </c>
      <c r="S10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0.37593705038219127</v>
      </c>
      <c r="T10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-4.3351887100584463E-2</v>
      </c>
      <c r="U10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10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-3.9127649509085316E-5</v>
      </c>
      <c r="W10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-3.446675904683616E-7</v>
      </c>
      <c r="X10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-4.1403016837193718E-7</v>
      </c>
      <c r="Y1063" s="162" t="str">
        <f>ReportSummary___Track[[#This Row],[Track ID]]&amp;"-"&amp;ReportSummary___Track[[#This Row],[Epoch]]</f>
        <v>250-RL-OP-0027-45784.2638888889</v>
      </c>
      <c r="Z1063" s="126">
        <f>SUBTOTAL(103,ReportSummary___Track[[#This Row],[Track ID]])</f>
        <v>1</v>
      </c>
      <c r="AA1063" s="114">
        <f>_xlfn.NUMBERVALUE(RIGHT(ReportSummary___Track[[#This Row],[Track ID]],4))</f>
        <v>27</v>
      </c>
      <c r="AB1063" s="78"/>
    </row>
    <row r="1064" spans="5:28" ht="14.25" customHeight="1" x14ac:dyDescent="0.2">
      <c r="E1064" s="74">
        <v>45784.263888888891</v>
      </c>
      <c r="F1064" s="107" t="s">
        <v>242</v>
      </c>
      <c r="G1064" s="142">
        <v>51892.831986665937</v>
      </c>
      <c r="H1064" s="142">
        <v>159193.51846240537</v>
      </c>
      <c r="I1064" s="142">
        <v>18.863216230483452</v>
      </c>
      <c r="J1064" s="142">
        <v>51892.465288045249</v>
      </c>
      <c r="K1064" s="142">
        <v>159192.25013834573</v>
      </c>
      <c r="L1064" s="142">
        <v>18.859487246856443</v>
      </c>
      <c r="M1064" s="145">
        <v>3.7289836270097965E-3</v>
      </c>
      <c r="N1064" s="145">
        <v>1.3202756166762963</v>
      </c>
      <c r="O1064" s="145">
        <v>-7.9424971148256418E-4</v>
      </c>
      <c r="P1064" s="145">
        <v>-1.2527228801673118E-4</v>
      </c>
      <c r="Q10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10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-0.54516447191477191</v>
      </c>
      <c r="S10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-0.30738729709156587</v>
      </c>
      <c r="T10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-4.4883340070356326E-2</v>
      </c>
      <c r="U10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10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-3.7015104957638378E-4</v>
      </c>
      <c r="W10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-7.4834596475170656E-7</v>
      </c>
      <c r="X10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-8.5188699294747039E-6</v>
      </c>
      <c r="Y1064" s="162" t="str">
        <f>ReportSummary___Track[[#This Row],[Track ID]]&amp;"-"&amp;ReportSummary___Track[[#This Row],[Epoch]]</f>
        <v>250-RL-OP-0028-45784.2638888889</v>
      </c>
      <c r="Z1064" s="126">
        <f>SUBTOTAL(103,ReportSummary___Track[[#This Row],[Track ID]])</f>
        <v>1</v>
      </c>
      <c r="AA1064" s="114">
        <f>_xlfn.NUMBERVALUE(RIGHT(ReportSummary___Track[[#This Row],[Track ID]],4))</f>
        <v>28</v>
      </c>
      <c r="AB1064" s="78"/>
    </row>
    <row r="1065" spans="5:28" ht="14.25" customHeight="1" x14ac:dyDescent="0.2">
      <c r="E1065" s="74">
        <v>45784.263888888891</v>
      </c>
      <c r="F1065" s="107" t="s">
        <v>243</v>
      </c>
      <c r="G1065" s="142">
        <v>51893.792837594527</v>
      </c>
      <c r="H1065" s="142">
        <v>159193.24190123487</v>
      </c>
      <c r="I1065" s="142">
        <v>18.860908809295871</v>
      </c>
      <c r="J1065" s="142">
        <v>51893.426692236877</v>
      </c>
      <c r="K1065" s="142">
        <v>159191.97323060461</v>
      </c>
      <c r="L1065" s="142">
        <v>18.857700906027482</v>
      </c>
      <c r="M1065" s="145">
        <v>3.2079032683896003E-3</v>
      </c>
      <c r="N1065" s="145">
        <v>1.3204536650952654</v>
      </c>
      <c r="O1065" s="145">
        <v>-1.7764877677279856E-3</v>
      </c>
      <c r="P1065" s="145">
        <v>-5.1290079639798591E-4</v>
      </c>
      <c r="Q10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-0.99818687160180275</v>
      </c>
      <c r="R10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-0.94494460249716639</v>
      </c>
      <c r="S10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-0.98581000851183376</v>
      </c>
      <c r="T10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-4.1513156986638933E-2</v>
      </c>
      <c r="U10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-1.5794449939932065E-5</v>
      </c>
      <c r="V10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-6.7083231486098072E-4</v>
      </c>
      <c r="W10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-1.7634801828592117E-5</v>
      </c>
      <c r="X10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-3.3106487180134536E-5</v>
      </c>
      <c r="Y1065" s="162" t="str">
        <f>ReportSummary___Track[[#This Row],[Track ID]]&amp;"-"&amp;ReportSummary___Track[[#This Row],[Epoch]]</f>
        <v>250-RL-OP-0029-45784.2638888889</v>
      </c>
      <c r="Z1065" s="126">
        <f>SUBTOTAL(103,ReportSummary___Track[[#This Row],[Track ID]])</f>
        <v>1</v>
      </c>
      <c r="AA1065" s="114">
        <f>_xlfn.NUMBERVALUE(RIGHT(ReportSummary___Track[[#This Row],[Track ID]],4))</f>
        <v>29</v>
      </c>
      <c r="AB1065" s="78"/>
    </row>
    <row r="1066" spans="5:28" ht="14.25" customHeight="1" x14ac:dyDescent="0.2">
      <c r="E1066" s="74">
        <v>45784.263888888891</v>
      </c>
      <c r="F1066" s="107" t="s">
        <v>269</v>
      </c>
      <c r="G1066" s="142">
        <v>51894.753702765811</v>
      </c>
      <c r="H1066" s="142">
        <v>159192.964884819</v>
      </c>
      <c r="I1066" s="142">
        <v>18.861075968610315</v>
      </c>
      <c r="J1066" s="142">
        <v>51894.387491647612</v>
      </c>
      <c r="K1066" s="142">
        <v>159191.69598619419</v>
      </c>
      <c r="L1066" s="142">
        <v>18.857871854609566</v>
      </c>
      <c r="M1066" s="145">
        <v>3.2041140007486035E-3</v>
      </c>
      <c r="N1066" s="145">
        <v>1.3206909439699952</v>
      </c>
      <c r="O1066" s="145">
        <v>-1.1744234529516007E-3</v>
      </c>
      <c r="P1066" s="145">
        <v>-8.5796164011497922E-4</v>
      </c>
      <c r="Q10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-0.65622569019296861</v>
      </c>
      <c r="R10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-0.29416984299612814</v>
      </c>
      <c r="S10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-0.33181682236005372</v>
      </c>
      <c r="T10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4.4120228022137553E-2</v>
      </c>
      <c r="U10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-7.7912992608730747E-6</v>
      </c>
      <c r="V10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-2.0848096565462271E-4</v>
      </c>
      <c r="W10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-8.0139427929282192E-6</v>
      </c>
      <c r="X10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-8.3586103833965808E-6</v>
      </c>
      <c r="Y1066" s="162" t="str">
        <f>ReportSummary___Track[[#This Row],[Track ID]]&amp;"-"&amp;ReportSummary___Track[[#This Row],[Epoch]]</f>
        <v>250-RL-OP-0030-45784.2638888889</v>
      </c>
      <c r="Z1066" s="126">
        <f>SUBTOTAL(103,ReportSummary___Track[[#This Row],[Track ID]])</f>
        <v>1</v>
      </c>
      <c r="AA1066" s="114">
        <f>_xlfn.NUMBERVALUE(RIGHT(ReportSummary___Track[[#This Row],[Track ID]],4))</f>
        <v>30</v>
      </c>
      <c r="AB1066" s="78"/>
    </row>
    <row r="1067" spans="5:28" ht="14.25" customHeight="1" x14ac:dyDescent="0.2">
      <c r="E1067" s="74">
        <v>45784.263888888891</v>
      </c>
      <c r="F1067" s="107" t="s">
        <v>270</v>
      </c>
      <c r="G1067" s="142">
        <v>51895.714567937095</v>
      </c>
      <c r="H1067" s="142">
        <v>159192.6878684031</v>
      </c>
      <c r="I1067" s="142">
        <v>18.861243127924759</v>
      </c>
      <c r="J1067" s="142">
        <v>51895.348291058348</v>
      </c>
      <c r="K1067" s="142">
        <v>159191.4187417838</v>
      </c>
      <c r="L1067" s="142">
        <v>18.858042803191648</v>
      </c>
      <c r="M1067" s="145">
        <v>3.2003247331111595E-3</v>
      </c>
      <c r="N1067" s="145">
        <v>1.3209282228032275</v>
      </c>
      <c r="O1067" s="145">
        <v>-5.2865889389863696E-4</v>
      </c>
      <c r="P1067" s="145">
        <v>-1.3229086053812011E-3</v>
      </c>
      <c r="Q10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-0.31426450878058176</v>
      </c>
      <c r="R10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0.35651500997491148</v>
      </c>
      <c r="S10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0.34948417896174533</v>
      </c>
      <c r="T10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4.2096881870179459E-2</v>
      </c>
      <c r="U10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2.1185142173862914E-7</v>
      </c>
      <c r="V10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2.5387027225853842E-4</v>
      </c>
      <c r="W10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-2.4363412265415718E-7</v>
      </c>
      <c r="X10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-9.9198008740586374E-7</v>
      </c>
      <c r="Y1067" s="162" t="str">
        <f>ReportSummary___Track[[#This Row],[Track ID]]&amp;"-"&amp;ReportSummary___Track[[#This Row],[Epoch]]</f>
        <v>250-RL-OP-0031-45784.2638888889</v>
      </c>
      <c r="Z1067" s="126">
        <f>SUBTOTAL(103,ReportSummary___Track[[#This Row],[Track ID]])</f>
        <v>1</v>
      </c>
      <c r="AA1067" s="114">
        <f>_xlfn.NUMBERVALUE(RIGHT(ReportSummary___Track[[#This Row],[Track ID]],4))</f>
        <v>31</v>
      </c>
      <c r="AB1067" s="78"/>
    </row>
    <row r="1068" spans="5:28" ht="14.25" customHeight="1" x14ac:dyDescent="0.2">
      <c r="E1068" s="74">
        <v>45784.263888888891</v>
      </c>
      <c r="F1068" s="107" t="s">
        <v>271</v>
      </c>
      <c r="G1068" s="142">
        <v>51896.675400289481</v>
      </c>
      <c r="H1068" s="142">
        <v>159192.41088835374</v>
      </c>
      <c r="I1068" s="142">
        <v>18.861498357934735</v>
      </c>
      <c r="J1068" s="142">
        <v>51896.309521418087</v>
      </c>
      <c r="K1068" s="142">
        <v>159191.14170884955</v>
      </c>
      <c r="L1068" s="142">
        <v>18.858247340168667</v>
      </c>
      <c r="M1068" s="145">
        <v>3.2510177660682871E-3</v>
      </c>
      <c r="N1068" s="145">
        <v>1.3208688547716598</v>
      </c>
      <c r="O1068" s="145">
        <v>4.3114497678686803E-5</v>
      </c>
      <c r="P1068" s="145">
        <v>-1.7333732700492988E-3</v>
      </c>
      <c r="Q10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0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0.96083811086278281</v>
      </c>
      <c r="S10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0.99818687160180275</v>
      </c>
      <c r="T10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1.2376863089968992E-2</v>
      </c>
      <c r="U10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-5.8026000004929301E-8</v>
      </c>
      <c r="V10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6.7625940852567012E-4</v>
      </c>
      <c r="W10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1.5736423939927136E-5</v>
      </c>
      <c r="X10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-1.8983778886649816E-6</v>
      </c>
      <c r="Y1068" s="162" t="str">
        <f>ReportSummary___Track[[#This Row],[Track ID]]&amp;"-"&amp;ReportSummary___Track[[#This Row],[Epoch]]</f>
        <v>250-RL-OP-0032-45784.2638888889</v>
      </c>
      <c r="Z1068" s="126">
        <f>SUBTOTAL(103,ReportSummary___Track[[#This Row],[Track ID]])</f>
        <v>1</v>
      </c>
      <c r="AA1068" s="114">
        <f>_xlfn.NUMBERVALUE(RIGHT(ReportSummary___Track[[#This Row],[Track ID]],4))</f>
        <v>32</v>
      </c>
      <c r="AB1068" s="78"/>
    </row>
    <row r="1069" spans="5:28" ht="14.25" customHeight="1" x14ac:dyDescent="0.2">
      <c r="E1069" s="74">
        <v>45784.263888888891</v>
      </c>
      <c r="F1069" s="107" t="s">
        <v>272</v>
      </c>
      <c r="G1069" s="142">
        <v>51897.636380606236</v>
      </c>
      <c r="H1069" s="142">
        <v>159192.13427621915</v>
      </c>
      <c r="I1069" s="142">
        <v>18.863097673946697</v>
      </c>
      <c r="J1069" s="142">
        <v>51897.271420156809</v>
      </c>
      <c r="K1069" s="142">
        <v>159190.86830352191</v>
      </c>
      <c r="L1069" s="142">
        <v>18.858833233345244</v>
      </c>
      <c r="M1069" s="145">
        <v>4.2644406014531455E-3</v>
      </c>
      <c r="N1069" s="145">
        <v>1.317536028062456</v>
      </c>
      <c r="O1069" s="145">
        <v>1.060326600704542E-3</v>
      </c>
      <c r="P1069" s="145">
        <v>-1.1409685224705868E-4</v>
      </c>
      <c r="Q10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0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0.96083469282604028</v>
      </c>
      <c r="S10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0.65622569019296861</v>
      </c>
      <c r="T10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0.32440886783291489</v>
      </c>
      <c r="U10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-9.4060393607264814E-7</v>
      </c>
      <c r="V10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5.3240203912929829E-4</v>
      </c>
      <c r="W10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6.8506953248004265E-6</v>
      </c>
      <c r="X10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-1.1632474681277927E-6</v>
      </c>
      <c r="Y1069" s="162" t="str">
        <f>ReportSummary___Track[[#This Row],[Track ID]]&amp;"-"&amp;ReportSummary___Track[[#This Row],[Epoch]]</f>
        <v>250-RL-OP-0033-45784.2638888889</v>
      </c>
      <c r="Z1069" s="126">
        <f>SUBTOTAL(103,ReportSummary___Track[[#This Row],[Track ID]])</f>
        <v>1</v>
      </c>
      <c r="AA1069" s="114">
        <f>_xlfn.NUMBERVALUE(RIGHT(ReportSummary___Track[[#This Row],[Track ID]],4))</f>
        <v>33</v>
      </c>
      <c r="AB1069" s="78"/>
    </row>
    <row r="1070" spans="5:28" ht="14.25" customHeight="1" x14ac:dyDescent="0.2">
      <c r="E1070" s="74">
        <v>45784.263888888891</v>
      </c>
      <c r="F1070" s="107" t="s">
        <v>273</v>
      </c>
      <c r="G1070" s="142">
        <v>51898.597360922984</v>
      </c>
      <c r="H1070" s="142">
        <v>159191.85766408456</v>
      </c>
      <c r="I1070" s="142">
        <v>18.864696989958659</v>
      </c>
      <c r="J1070" s="142">
        <v>51898.233318895531</v>
      </c>
      <c r="K1070" s="142">
        <v>159190.59489819428</v>
      </c>
      <c r="L1070" s="142">
        <v>18.859419126521821</v>
      </c>
      <c r="M1070" s="145">
        <v>5.277863436838004E-3</v>
      </c>
      <c r="N1070" s="145">
        <v>1.3142039975762139</v>
      </c>
      <c r="O1070" s="145">
        <v>2.0775387037268445E-3</v>
      </c>
      <c r="P1070" s="145">
        <v>1.5488798098282075E-3</v>
      </c>
      <c r="Q10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0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0.96083067286856227</v>
      </c>
      <c r="S10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0.31426450878058176</v>
      </c>
      <c r="T10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0.66374868774232709</v>
      </c>
      <c r="U10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-1.8231818756930807E-6</v>
      </c>
      <c r="V10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3.8854362112394902E-4</v>
      </c>
      <c r="W10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-2.0350332974317098E-6</v>
      </c>
      <c r="X10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-2.278667420085867E-6</v>
      </c>
      <c r="Y1070" s="162" t="str">
        <f>ReportSummary___Track[[#This Row],[Track ID]]&amp;"-"&amp;ReportSummary___Track[[#This Row],[Epoch]]</f>
        <v>250-RL-OP-0034-45784.2638888889</v>
      </c>
      <c r="Z1070" s="126">
        <f>SUBTOTAL(103,ReportSummary___Track[[#This Row],[Track ID]])</f>
        <v>1</v>
      </c>
      <c r="AA1070" s="114">
        <f>_xlfn.NUMBERVALUE(RIGHT(ReportSummary___Track[[#This Row],[Track ID]],4))</f>
        <v>34</v>
      </c>
      <c r="AB1070" s="78"/>
    </row>
    <row r="1071" spans="5:28" ht="14.25" customHeight="1" x14ac:dyDescent="0.2">
      <c r="E1071" s="74">
        <v>45784.263888888891</v>
      </c>
      <c r="F1071" s="107" t="s">
        <v>274</v>
      </c>
      <c r="G1071" s="142">
        <v>51899.558748431518</v>
      </c>
      <c r="H1071" s="142">
        <v>159191.58237758733</v>
      </c>
      <c r="I1071" s="142">
        <v>18.866</v>
      </c>
      <c r="J1071" s="142">
        <v>51899.203488344778</v>
      </c>
      <c r="K1071" s="142">
        <v>159190.31967680616</v>
      </c>
      <c r="L1071" s="142">
        <v>18.859777416319687</v>
      </c>
      <c r="M1071" s="145">
        <v>6.2225836803122547E-3</v>
      </c>
      <c r="N1071" s="145">
        <v>1.3117399561425083</v>
      </c>
      <c r="O1071" s="145">
        <v>2.9715659142439677E-3</v>
      </c>
      <c r="P1071" s="145">
        <v>3.0146804119226545E-3</v>
      </c>
      <c r="Q10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2.1697356800132184E-5</v>
      </c>
      <c r="R10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0.90395994462411089</v>
      </c>
      <c r="S10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2.1697356800132184E-5</v>
      </c>
      <c r="T10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0.99820856895860288</v>
      </c>
      <c r="U10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3.2868317134671088E-7</v>
      </c>
      <c r="V10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2.5387824185840735E-4</v>
      </c>
      <c r="W10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3.8670917135164018E-7</v>
      </c>
      <c r="X10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1.6123133111278776E-5</v>
      </c>
      <c r="Y1071" s="162" t="str">
        <f>ReportSummary___Track[[#This Row],[Track ID]]&amp;"-"&amp;ReportSummary___Track[[#This Row],[Epoch]]</f>
        <v>250-RL-OP-0035-45784.2638888889</v>
      </c>
      <c r="Z1071" s="126">
        <f>SUBTOTAL(103,ReportSummary___Track[[#This Row],[Track ID]])</f>
        <v>1</v>
      </c>
      <c r="AA1071" s="114">
        <f>_xlfn.NUMBERVALUE(RIGHT(ReportSummary___Track[[#This Row],[Track ID]],4))</f>
        <v>35</v>
      </c>
      <c r="AB1071" s="78"/>
    </row>
    <row r="1072" spans="5:28" ht="14.25" customHeight="1" x14ac:dyDescent="0.2">
      <c r="E1072" s="74">
        <v>45784.263888888891</v>
      </c>
      <c r="F1072" s="107" t="s">
        <v>275</v>
      </c>
      <c r="G1072" s="142">
        <v>51900.521772886575</v>
      </c>
      <c r="H1072" s="142">
        <v>159191.31296359556</v>
      </c>
      <c r="I1072" s="142">
        <v>18.866</v>
      </c>
      <c r="J1072" s="142">
        <v>51900.166132696293</v>
      </c>
      <c r="K1072" s="142">
        <v>159190.04890859168</v>
      </c>
      <c r="L1072" s="142">
        <v>18.859124333313233</v>
      </c>
      <c r="M1072" s="145">
        <v>6.8756666867670901E-3</v>
      </c>
      <c r="N1072" s="145">
        <v>1.3131497525281857</v>
      </c>
      <c r="O1072" s="145">
        <v>2.6112260853139446E-3</v>
      </c>
      <c r="P1072" s="145">
        <v>3.6715526860184866E-3</v>
      </c>
      <c r="Q10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1.3729329140232949E-4</v>
      </c>
      <c r="R10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0.59570911046091801</v>
      </c>
      <c r="S10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1.3729329140232949E-4</v>
      </c>
      <c r="T10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0.65636298348437094</v>
      </c>
      <c r="U10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6.3318248209043304E-6</v>
      </c>
      <c r="V10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1.6431828446239471E-4</v>
      </c>
      <c r="W10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7.2724287569769785E-6</v>
      </c>
      <c r="X10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1.4123124081777405E-5</v>
      </c>
      <c r="Y1072" s="162" t="str">
        <f>ReportSummary___Track[[#This Row],[Track ID]]&amp;"-"&amp;ReportSummary___Track[[#This Row],[Epoch]]</f>
        <v>250-RL-OP-0036-45784.2638888889</v>
      </c>
      <c r="Z1072" s="126">
        <f>SUBTOTAL(103,ReportSummary___Track[[#This Row],[Track ID]])</f>
        <v>1</v>
      </c>
      <c r="AA1072" s="114">
        <f>_xlfn.NUMBERVALUE(RIGHT(ReportSummary___Track[[#This Row],[Track ID]],4))</f>
        <v>36</v>
      </c>
      <c r="AB1072" s="78"/>
    </row>
    <row r="1073" spans="5:28" ht="14.25" customHeight="1" x14ac:dyDescent="0.2">
      <c r="E1073" s="74">
        <v>45784.263888888891</v>
      </c>
      <c r="F1073" s="107" t="s">
        <v>276</v>
      </c>
      <c r="G1073" s="142">
        <v>51901.484797341633</v>
      </c>
      <c r="H1073" s="142">
        <v>159191.04354960378</v>
      </c>
      <c r="I1073" s="142">
        <v>18.866</v>
      </c>
      <c r="J1073" s="142">
        <v>51901.128777047808</v>
      </c>
      <c r="K1073" s="142">
        <v>159189.7781403772</v>
      </c>
      <c r="L1073" s="142">
        <v>18.858471250306778</v>
      </c>
      <c r="M1073" s="145">
        <v>7.5287496932219256E-3</v>
      </c>
      <c r="N1073" s="145">
        <v>1.314559866426573</v>
      </c>
      <c r="O1073" s="145">
        <v>2.2508862563839216E-3</v>
      </c>
      <c r="P1073" s="145">
        <v>4.3284249601107661E-3</v>
      </c>
      <c r="Q10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2.5288922955724047E-4</v>
      </c>
      <c r="R10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0.28745983361555538</v>
      </c>
      <c r="S10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2.5288922955724047E-4</v>
      </c>
      <c r="T10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0.314517398010139</v>
      </c>
      <c r="U10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1.2334966477567377E-5</v>
      </c>
      <c r="V10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7.4764643687386112E-5</v>
      </c>
      <c r="W10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1.4158148353260458E-5</v>
      </c>
      <c r="X10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1.2123115055828748E-5</v>
      </c>
      <c r="Y1073" s="162" t="str">
        <f>ReportSummary___Track[[#This Row],[Track ID]]&amp;"-"&amp;ReportSummary___Track[[#This Row],[Epoch]]</f>
        <v>250-RL-OP-0037-45784.2638888889</v>
      </c>
      <c r="Z1073" s="126">
        <f>SUBTOTAL(103,ReportSummary___Track[[#This Row],[Track ID]])</f>
        <v>1</v>
      </c>
      <c r="AA1073" s="114">
        <f>_xlfn.NUMBERVALUE(RIGHT(ReportSummary___Track[[#This Row],[Track ID]],4))</f>
        <v>37</v>
      </c>
      <c r="AB1073" s="78"/>
    </row>
    <row r="1074" spans="5:28" ht="14.25" customHeight="1" x14ac:dyDescent="0.2">
      <c r="E1074" s="74">
        <v>45784.263888888891</v>
      </c>
      <c r="F1074" s="107" t="s">
        <v>277</v>
      </c>
      <c r="G1074" s="142">
        <v>51902.447765839897</v>
      </c>
      <c r="H1074" s="142">
        <v>159190.77523041447</v>
      </c>
      <c r="I1074" s="142">
        <v>18.866065372992377</v>
      </c>
      <c r="J1074" s="142">
        <v>51902.099861120325</v>
      </c>
      <c r="K1074" s="142">
        <v>159189.50600598883</v>
      </c>
      <c r="L1074" s="142">
        <v>18.857900000000001</v>
      </c>
      <c r="M1074" s="145">
        <v>8.1653729923765184E-3</v>
      </c>
      <c r="N1074" s="145">
        <v>1.3160680110991334</v>
      </c>
      <c r="O1074" s="145">
        <v>1.9427893120642636E-3</v>
      </c>
      <c r="P1074" s="145">
        <v>4.9143552263082313E-3</v>
      </c>
      <c r="Q10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10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4.2579699246036995E-2</v>
      </c>
      <c r="S10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-5.945166836696103E-2</v>
      </c>
      <c r="T10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-5.9429971010160898E-2</v>
      </c>
      <c r="U10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10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-1.4748878580439495E-5</v>
      </c>
      <c r="W10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-5.9769592258618331E-5</v>
      </c>
      <c r="X10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-5.9382883087266691E-5</v>
      </c>
      <c r="Y1074" s="162" t="str">
        <f>ReportSummary___Track[[#This Row],[Track ID]]&amp;"-"&amp;ReportSummary___Track[[#This Row],[Epoch]]</f>
        <v>250-RL-OP-0038-45784.2638888889</v>
      </c>
      <c r="Z1074" s="126">
        <f>SUBTOTAL(103,ReportSummary___Track[[#This Row],[Track ID]])</f>
        <v>1</v>
      </c>
      <c r="AA1074" s="114">
        <f>_xlfn.NUMBERVALUE(RIGHT(ReportSummary___Track[[#This Row],[Track ID]],4))</f>
        <v>38</v>
      </c>
      <c r="AB1074" s="78"/>
    </row>
    <row r="1075" spans="5:28" ht="14.25" customHeight="1" x14ac:dyDescent="0.2">
      <c r="E1075" s="74">
        <v>45784.263888888891</v>
      </c>
      <c r="F1075" s="107" t="s">
        <v>278</v>
      </c>
      <c r="G1075" s="142">
        <v>51903.412339888513</v>
      </c>
      <c r="H1075" s="142">
        <v>159190.51141841503</v>
      </c>
      <c r="I1075" s="142">
        <v>18.866430993755124</v>
      </c>
      <c r="J1075" s="142">
        <v>51903.064443484443</v>
      </c>
      <c r="K1075" s="142">
        <v>159189.24222414181</v>
      </c>
      <c r="L1075" s="142">
        <v>18.857900000000001</v>
      </c>
      <c r="M1075" s="145">
        <v>8.5309937551230064E-3</v>
      </c>
      <c r="N1075" s="145">
        <v>1.3160390529893988</v>
      </c>
      <c r="O1075" s="145">
        <v>1.6553270683559163E-3</v>
      </c>
      <c r="P1075" s="145">
        <v>4.2665531536698609E-3</v>
      </c>
      <c r="Q10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-0.39181235921148527</v>
      </c>
      <c r="R10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0.36135032472706108</v>
      </c>
      <c r="S10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-0.3919496525028876</v>
      </c>
      <c r="T10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-0.39181235921148527</v>
      </c>
      <c r="U10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-3.9188447219729028E-4</v>
      </c>
      <c r="V10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-1.6606619077652596E-5</v>
      </c>
      <c r="W10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-3.9821629701819461E-4</v>
      </c>
      <c r="X10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-3.9094386826121763E-4</v>
      </c>
      <c r="Y1075" s="162" t="str">
        <f>ReportSummary___Track[[#This Row],[Track ID]]&amp;"-"&amp;ReportSummary___Track[[#This Row],[Epoch]]</f>
        <v>250-RL-OP-0039-45784.2638888889</v>
      </c>
      <c r="Z1075" s="126">
        <f>SUBTOTAL(103,ReportSummary___Track[[#This Row],[Track ID]])</f>
        <v>1</v>
      </c>
      <c r="AA1075" s="114">
        <f>_xlfn.NUMBERVALUE(RIGHT(ReportSummary___Track[[#This Row],[Track ID]],4))</f>
        <v>39</v>
      </c>
      <c r="AB1075" s="78"/>
    </row>
    <row r="1076" spans="5:28" ht="14.25" customHeight="1" x14ac:dyDescent="0.2">
      <c r="E1076" s="74">
        <v>45784.263888888891</v>
      </c>
      <c r="F1076" s="107" t="s">
        <v>279</v>
      </c>
      <c r="G1076" s="142">
        <v>51904.376913937136</v>
      </c>
      <c r="H1076" s="142">
        <v>159190.24760641559</v>
      </c>
      <c r="I1076" s="142">
        <v>18.866796614517867</v>
      </c>
      <c r="J1076" s="142">
        <v>51904.029025848562</v>
      </c>
      <c r="K1076" s="142">
        <v>159188.97844229479</v>
      </c>
      <c r="L1076" s="142">
        <v>18.857900000000001</v>
      </c>
      <c r="M1076" s="145">
        <v>8.8966145178659417E-3</v>
      </c>
      <c r="N1076" s="145">
        <v>1.3160101965664308</v>
      </c>
      <c r="O1076" s="145">
        <v>1.3678648246440162E-3</v>
      </c>
      <c r="P1076" s="145">
        <v>3.6187510810279377E-3</v>
      </c>
      <c r="Q10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-0.72419474741280965</v>
      </c>
      <c r="R10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0.67984977678969827</v>
      </c>
      <c r="S10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-0.72444763664236689</v>
      </c>
      <c r="T10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-0.72419474741280965</v>
      </c>
      <c r="U10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-7.2432803531086165E-4</v>
      </c>
      <c r="V10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-1.8733176067042834E-5</v>
      </c>
      <c r="W10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-7.3666300178842903E-4</v>
      </c>
      <c r="X10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-7.2250485343516857E-4</v>
      </c>
      <c r="Y1076" s="162" t="str">
        <f>ReportSummary___Track[[#This Row],[Track ID]]&amp;"-"&amp;ReportSummary___Track[[#This Row],[Epoch]]</f>
        <v>250-RL-OP-0040-45784.2638888889</v>
      </c>
      <c r="Z1076" s="126">
        <f>SUBTOTAL(103,ReportSummary___Track[[#This Row],[Track ID]])</f>
        <v>1</v>
      </c>
      <c r="AA1076" s="114">
        <f>_xlfn.NUMBERVALUE(RIGHT(ReportSummary___Track[[#This Row],[Track ID]],4))</f>
        <v>40</v>
      </c>
      <c r="AB1076" s="78"/>
    </row>
    <row r="1077" spans="5:28" ht="14.25" customHeight="1" x14ac:dyDescent="0.2">
      <c r="E1077" s="74">
        <v>45784.263888888891</v>
      </c>
      <c r="F1077" s="107" t="s">
        <v>280</v>
      </c>
      <c r="G1077" s="142">
        <v>51905.341841341033</v>
      </c>
      <c r="H1077" s="142">
        <v>159189.98517916439</v>
      </c>
      <c r="I1077" s="142">
        <v>18.86745208135207</v>
      </c>
      <c r="J1077" s="142">
        <v>51905.003861376892</v>
      </c>
      <c r="K1077" s="142">
        <v>159188.71299131436</v>
      </c>
      <c r="L1077" s="142">
        <v>18.858104705007346</v>
      </c>
      <c r="M1077" s="145">
        <v>9.3473763447242675E-3</v>
      </c>
      <c r="N1077" s="145">
        <v>1.3163509240968239</v>
      </c>
      <c r="O1077" s="145">
        <v>1.1820033523477491E-3</v>
      </c>
      <c r="P1077" s="145">
        <v>3.1247926644120128E-3</v>
      </c>
      <c r="Q10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-0.94034423574029802</v>
      </c>
      <c r="R10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0.91115079507630981</v>
      </c>
      <c r="S10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-0.88091426473013712</v>
      </c>
      <c r="T10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-0.94036593309709815</v>
      </c>
      <c r="U10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-9.4039644004695333E-4</v>
      </c>
      <c r="V10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5.7719158590430197E-6</v>
      </c>
      <c r="W10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-8.8095553095968171E-4</v>
      </c>
      <c r="X10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-9.4072512321830004E-4</v>
      </c>
      <c r="Y1077" s="162" t="str">
        <f>ReportSummary___Track[[#This Row],[Track ID]]&amp;"-"&amp;ReportSummary___Track[[#This Row],[Epoch]]</f>
        <v>250-RL-OP-0041-45784.2638888889</v>
      </c>
      <c r="Z1077" s="126">
        <f>SUBTOTAL(103,ReportSummary___Track[[#This Row],[Track ID]])</f>
        <v>1</v>
      </c>
      <c r="AA1077" s="114">
        <f>_xlfn.NUMBERVALUE(RIGHT(ReportSummary___Track[[#This Row],[Track ID]],4))</f>
        <v>41</v>
      </c>
      <c r="AB1077" s="78"/>
    </row>
    <row r="1078" spans="5:28" ht="14.25" customHeight="1" x14ac:dyDescent="0.2">
      <c r="E1078" s="74">
        <v>45784.263888888891</v>
      </c>
      <c r="F1078" s="107" t="s">
        <v>281</v>
      </c>
      <c r="G1078" s="142">
        <v>51906.30859422603</v>
      </c>
      <c r="H1078" s="142">
        <v>159189.72947507742</v>
      </c>
      <c r="I1078" s="142">
        <v>18.86952071444296</v>
      </c>
      <c r="J1078" s="142">
        <v>51905.970489987638</v>
      </c>
      <c r="K1078" s="142">
        <v>159188.45681371962</v>
      </c>
      <c r="L1078" s="142">
        <v>18.859577402901905</v>
      </c>
      <c r="M1078" s="145">
        <v>9.9433115410541006E-3</v>
      </c>
      <c r="N1078" s="145">
        <v>1.3168448189118005</v>
      </c>
      <c r="O1078" s="145">
        <v>1.4123177859310942E-3</v>
      </c>
      <c r="P1078" s="145">
        <v>3.0676448542870105E-3</v>
      </c>
      <c r="Q10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-0.58986518851611436</v>
      </c>
      <c r="R10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0.56641098663212652</v>
      </c>
      <c r="S10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-0.19805282930462909</v>
      </c>
      <c r="T10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-0.59000248180751669</v>
      </c>
      <c r="U10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-5.9029296332724357E-4</v>
      </c>
      <c r="V10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1.0017807176621041E-4</v>
      </c>
      <c r="W10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-1.9840849112995329E-4</v>
      </c>
      <c r="X10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-5.966247881481479E-4</v>
      </c>
      <c r="Y1078" s="162" t="str">
        <f>ReportSummary___Track[[#This Row],[Track ID]]&amp;"-"&amp;ReportSummary___Track[[#This Row],[Epoch]]</f>
        <v>250-RL-OP-0042-45784.2638888889</v>
      </c>
      <c r="Z1078" s="126">
        <f>SUBTOTAL(103,ReportSummary___Track[[#This Row],[Track ID]])</f>
        <v>1</v>
      </c>
      <c r="AA1078" s="114">
        <f>_xlfn.NUMBERVALUE(RIGHT(ReportSummary___Track[[#This Row],[Track ID]],4))</f>
        <v>42</v>
      </c>
      <c r="AB1078" s="78"/>
    </row>
    <row r="1079" spans="5:28" ht="14.25" customHeight="1" x14ac:dyDescent="0.2">
      <c r="E1079" s="74">
        <v>45784.263888888891</v>
      </c>
      <c r="F1079" s="107" t="s">
        <v>282</v>
      </c>
      <c r="G1079" s="142">
        <v>51907.275347111034</v>
      </c>
      <c r="H1079" s="142">
        <v>159189.47377099041</v>
      </c>
      <c r="I1079" s="142">
        <v>18.871589347533849</v>
      </c>
      <c r="J1079" s="142">
        <v>51906.937118598384</v>
      </c>
      <c r="K1079" s="142">
        <v>159188.20063612488</v>
      </c>
      <c r="L1079" s="142">
        <v>18.861050100796465</v>
      </c>
      <c r="M1079" s="145">
        <v>1.0539246737383934E-2</v>
      </c>
      <c r="N1079" s="145">
        <v>1.3173389800407738</v>
      </c>
      <c r="O1079" s="145">
        <v>1.6426322195179921E-3</v>
      </c>
      <c r="P1079" s="145">
        <v>3.0104970441620083E-3</v>
      </c>
      <c r="Q10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-0.2393861412919307</v>
      </c>
      <c r="R10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0.22189421514839935</v>
      </c>
      <c r="S10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0.48480860612087895</v>
      </c>
      <c r="T10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-0.23963903052148794</v>
      </c>
      <c r="U10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-2.4018948661108652E-4</v>
      </c>
      <c r="V10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1.9480583177555744E-4</v>
      </c>
      <c r="W10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4.8413854869977513E-4</v>
      </c>
      <c r="X10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-2.525244530886539E-4</v>
      </c>
      <c r="Y1079" s="162" t="str">
        <f>ReportSummary___Track[[#This Row],[Track ID]]&amp;"-"&amp;ReportSummary___Track[[#This Row],[Epoch]]</f>
        <v>250-RL-OP-0043-45784.2638888889</v>
      </c>
      <c r="Z1079" s="126">
        <f>SUBTOTAL(103,ReportSummary___Track[[#This Row],[Track ID]])</f>
        <v>1</v>
      </c>
      <c r="AA1079" s="114">
        <f>_xlfn.NUMBERVALUE(RIGHT(ReportSummary___Track[[#This Row],[Track ID]],4))</f>
        <v>43</v>
      </c>
      <c r="AB1079" s="78"/>
    </row>
    <row r="1080" spans="5:28" ht="14.25" customHeight="1" x14ac:dyDescent="0.2">
      <c r="E1080" s="74">
        <v>45784.263888888891</v>
      </c>
      <c r="F1080" s="107" t="s">
        <v>283</v>
      </c>
      <c r="G1080" s="142">
        <v>51908.24283118709</v>
      </c>
      <c r="H1080" s="142">
        <v>159189.22159764636</v>
      </c>
      <c r="I1080" s="142">
        <v>18.873859694515247</v>
      </c>
      <c r="J1080" s="142">
        <v>51907.904497607546</v>
      </c>
      <c r="K1080" s="142">
        <v>159187.94812580553</v>
      </c>
      <c r="L1080" s="142">
        <v>18.86283096891291</v>
      </c>
      <c r="M1080" s="145">
        <v>1.102872560233692E-2</v>
      </c>
      <c r="N1080" s="145">
        <v>1.3176956299644773</v>
      </c>
      <c r="O1080" s="145">
        <v>1.6813492576126521E-3</v>
      </c>
      <c r="P1080" s="145">
        <v>2.8633526099604012E-3</v>
      </c>
      <c r="Q10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3.2276598815883517E-4</v>
      </c>
      <c r="R10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7.1588167055214313E-2</v>
      </c>
      <c r="S10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0.94066700172845685</v>
      </c>
      <c r="T10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5.9752736998319733E-2</v>
      </c>
      <c r="U10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5.2326401700497627E-7</v>
      </c>
      <c r="V10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2.0374596348315954E-4</v>
      </c>
      <c r="W10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9.4091970406395831E-4</v>
      </c>
      <c r="X10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5.9964173104276597E-5</v>
      </c>
      <c r="Y1080" s="162" t="str">
        <f>ReportSummary___Track[[#This Row],[Track ID]]&amp;"-"&amp;ReportSummary___Track[[#This Row],[Epoch]]</f>
        <v>250-RL-OP-0044-45784.2638888889</v>
      </c>
      <c r="Z1080" s="126">
        <f>SUBTOTAL(103,ReportSummary___Track[[#This Row],[Track ID]])</f>
        <v>1</v>
      </c>
      <c r="AA1080" s="114">
        <f>_xlfn.NUMBERVALUE(RIGHT(ReportSummary___Track[[#This Row],[Track ID]],4))</f>
        <v>44</v>
      </c>
      <c r="AB1080" s="78"/>
    </row>
    <row r="1081" spans="5:28" ht="14.25" customHeight="1" x14ac:dyDescent="0.2">
      <c r="E1081" s="74">
        <v>45784.263888888891</v>
      </c>
      <c r="F1081" s="107" t="s">
        <v>284</v>
      </c>
      <c r="G1081" s="142">
        <v>51909.212416550698</v>
      </c>
      <c r="H1081" s="142">
        <v>159188.97685919519</v>
      </c>
      <c r="I1081" s="142">
        <v>18.876563986793464</v>
      </c>
      <c r="J1081" s="142">
        <v>51908.873769331156</v>
      </c>
      <c r="K1081" s="142">
        <v>159187.70214442315</v>
      </c>
      <c r="L1081" s="142">
        <v>18.865173045894053</v>
      </c>
      <c r="M1081" s="145">
        <v>1.1390940899410396E-2</v>
      </c>
      <c r="N1081" s="145">
        <v>1.3189804558392735</v>
      </c>
      <c r="O1081" s="145">
        <v>1.4476293583562949E-3</v>
      </c>
      <c r="P1081" s="145">
        <v>2.8599471442873892E-3</v>
      </c>
      <c r="Q10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1.2546505914201589E-3</v>
      </c>
      <c r="R10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0.30581672326901455</v>
      </c>
      <c r="S10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0.59111983910753452</v>
      </c>
      <c r="T10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0.39306700980290543</v>
      </c>
      <c r="U10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2.0858439029325382E-6</v>
      </c>
      <c r="V10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4.7119968430653358E-5</v>
      </c>
      <c r="W10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5.9237880723017611E-4</v>
      </c>
      <c r="X10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3.9397031610022282E-4</v>
      </c>
      <c r="Y1081" s="162" t="str">
        <f>ReportSummary___Track[[#This Row],[Track ID]]&amp;"-"&amp;ReportSummary___Track[[#This Row],[Epoch]]</f>
        <v>250-RL-OP-0045-45784.2638888889</v>
      </c>
      <c r="Z1081" s="126">
        <f>SUBTOTAL(103,ReportSummary___Track[[#This Row],[Track ID]])</f>
        <v>1</v>
      </c>
      <c r="AA1081" s="114">
        <f>_xlfn.NUMBERVALUE(RIGHT(ReportSummary___Track[[#This Row],[Track ID]],4))</f>
        <v>45</v>
      </c>
      <c r="AB1081" s="78"/>
    </row>
    <row r="1082" spans="5:28" ht="14.25" customHeight="1" x14ac:dyDescent="0.2">
      <c r="E1082" s="74">
        <v>45784.263888888891</v>
      </c>
      <c r="F1082" s="107" t="s">
        <v>285</v>
      </c>
      <c r="G1082" s="142">
        <v>51910.182001914305</v>
      </c>
      <c r="H1082" s="142">
        <v>159188.73212074401</v>
      </c>
      <c r="I1082" s="142">
        <v>18.879268279071681</v>
      </c>
      <c r="J1082" s="142">
        <v>51909.843041054766</v>
      </c>
      <c r="K1082" s="142">
        <v>159187.45616304077</v>
      </c>
      <c r="L1082" s="142">
        <v>18.867515122875201</v>
      </c>
      <c r="M1082" s="145">
        <v>1.1753156196480319E-2</v>
      </c>
      <c r="N1082" s="145">
        <v>1.3202653753849534</v>
      </c>
      <c r="O1082" s="145">
        <v>1.213909459096385E-3</v>
      </c>
      <c r="P1082" s="145">
        <v>2.8565416786143771E-3</v>
      </c>
      <c r="Q10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2.1865351946814826E-3</v>
      </c>
      <c r="R10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0.54004468546531292</v>
      </c>
      <c r="S10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0.24157267648661218</v>
      </c>
      <c r="T10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0.72638128260749113</v>
      </c>
      <c r="U10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3.6484237853073864E-6</v>
      </c>
      <c r="V10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-1.095044765118125E-4</v>
      </c>
      <c r="W10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2.4383791039639391E-4</v>
      </c>
      <c r="X10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7.2797645909616904E-4</v>
      </c>
      <c r="Y1082" s="162" t="str">
        <f>ReportSummary___Track[[#This Row],[Track ID]]&amp;"-"&amp;ReportSummary___Track[[#This Row],[Epoch]]</f>
        <v>250-RL-OP-0046-45784.2638888889</v>
      </c>
      <c r="Z1082" s="126">
        <f>SUBTOTAL(103,ReportSummary___Track[[#This Row],[Track ID]])</f>
        <v>1</v>
      </c>
      <c r="AA1082" s="114">
        <f>_xlfn.NUMBERVALUE(RIGHT(ReportSummary___Track[[#This Row],[Track ID]],4))</f>
        <v>46</v>
      </c>
      <c r="AB1082" s="78"/>
    </row>
    <row r="1083" spans="5:28" ht="14.25" customHeight="1" x14ac:dyDescent="0.2">
      <c r="E1083" s="74">
        <v>45784.263888888891</v>
      </c>
      <c r="F1083" s="107" t="s">
        <v>286</v>
      </c>
      <c r="G1083" s="142">
        <v>51911.151124583565</v>
      </c>
      <c r="H1083" s="142">
        <v>159188.48937362182</v>
      </c>
      <c r="I1083" s="142">
        <v>18.882328441829319</v>
      </c>
      <c r="J1083" s="142">
        <v>51910.835188304052</v>
      </c>
      <c r="K1083" s="142">
        <v>159187.20649995178</v>
      </c>
      <c r="L1083" s="142">
        <v>18.870139116386198</v>
      </c>
      <c r="M1083" s="145">
        <v>1.218932544312068E-2</v>
      </c>
      <c r="N1083" s="145">
        <v>1.3212604458114392</v>
      </c>
      <c r="O1083" s="145">
        <v>1.1605998407837603E-3</v>
      </c>
      <c r="P1083" s="145">
        <v>2.8419490983964124E-3</v>
      </c>
      <c r="Q10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2.4934919373720277E-3</v>
      </c>
      <c r="R10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0.660349940367011</v>
      </c>
      <c r="S10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2.1707259492131925E-3</v>
      </c>
      <c r="T10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0.94283772767767005</v>
      </c>
      <c r="U10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-7.4358130476070983E-5</v>
      </c>
      <c r="V10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-2.763225702948624E-4</v>
      </c>
      <c r="W10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-7.4881394493075959E-5</v>
      </c>
      <c r="X10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8.6603830957088235E-4</v>
      </c>
      <c r="Y1083" s="162" t="str">
        <f>ReportSummary___Track[[#This Row],[Track ID]]&amp;"-"&amp;ReportSummary___Track[[#This Row],[Epoch]]</f>
        <v>250-RL-OP-0047-45784.2638888889</v>
      </c>
      <c r="Z1083" s="126">
        <f>SUBTOTAL(103,ReportSummary___Track[[#This Row],[Track ID]])</f>
        <v>1</v>
      </c>
      <c r="AA1083" s="114">
        <f>_xlfn.NUMBERVALUE(RIGHT(ReportSummary___Track[[#This Row],[Track ID]],4))</f>
        <v>47</v>
      </c>
      <c r="AB1083" s="78"/>
    </row>
    <row r="1084" spans="5:28" ht="14.25" customHeight="1" x14ac:dyDescent="0.2">
      <c r="E1084" s="74">
        <v>45784.263888888891</v>
      </c>
      <c r="F1084" s="107" t="s">
        <v>287</v>
      </c>
      <c r="G1084" s="142">
        <v>51912.122778205805</v>
      </c>
      <c r="H1084" s="142">
        <v>159188.25300560394</v>
      </c>
      <c r="I1084" s="142">
        <v>18.886732814833675</v>
      </c>
      <c r="J1084" s="142">
        <v>51911.806733444027</v>
      </c>
      <c r="K1084" s="142">
        <v>159186.96966968034</v>
      </c>
      <c r="L1084" s="142">
        <v>18.873524899190585</v>
      </c>
      <c r="M1084" s="145">
        <v>1.3207915643089763E-2</v>
      </c>
      <c r="N1084" s="145">
        <v>1.3217449955545648</v>
      </c>
      <c r="O1084" s="145">
        <v>1.8169747436793671E-3</v>
      </c>
      <c r="P1084" s="145">
        <v>3.264604102035662E-3</v>
      </c>
      <c r="Q10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1.9486598290541224E-3</v>
      </c>
      <c r="R10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0.32084317441705146</v>
      </c>
      <c r="S10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6.9400923763396349E-4</v>
      </c>
      <c r="T10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0.59181384834516848</v>
      </c>
      <c r="U10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-4.2705984758839577E-4</v>
      </c>
      <c r="V10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-4.544420844077024E-4</v>
      </c>
      <c r="W10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-4.2914569149132831E-4</v>
      </c>
      <c r="X10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1.632331157388478E-4</v>
      </c>
      <c r="Y1084" s="162" t="str">
        <f>ReportSummary___Track[[#This Row],[Track ID]]&amp;"-"&amp;ReportSummary___Track[[#This Row],[Epoch]]</f>
        <v>250-RL-OP-0048-45784.2638888889</v>
      </c>
      <c r="Z1084" s="126">
        <f>SUBTOTAL(103,ReportSummary___Track[[#This Row],[Track ID]])</f>
        <v>1</v>
      </c>
      <c r="AA1084" s="114">
        <f>_xlfn.NUMBERVALUE(RIGHT(ReportSummary___Track[[#This Row],[Track ID]],4))</f>
        <v>48</v>
      </c>
      <c r="AB1084" s="78"/>
    </row>
    <row r="1085" spans="5:28" ht="14.25" customHeight="1" x14ac:dyDescent="0.2">
      <c r="E1085" s="74">
        <v>45784.263888888891</v>
      </c>
      <c r="F1085" s="107" t="s">
        <v>288</v>
      </c>
      <c r="G1085" s="142">
        <v>51913.094431828045</v>
      </c>
      <c r="H1085" s="142">
        <v>159188.01663758603</v>
      </c>
      <c r="I1085" s="142">
        <v>18.89113718783803</v>
      </c>
      <c r="J1085" s="142">
        <v>51912.778278584003</v>
      </c>
      <c r="K1085" s="142">
        <v>159186.73283940891</v>
      </c>
      <c r="L1085" s="142">
        <v>18.876910681994968</v>
      </c>
      <c r="M1085" s="145">
        <v>1.4226505843062398E-2</v>
      </c>
      <c r="N1085" s="145">
        <v>1.3222303228832655</v>
      </c>
      <c r="O1085" s="145">
        <v>2.4733496465820792E-3</v>
      </c>
      <c r="P1085" s="145">
        <v>3.6872591056784643E-3</v>
      </c>
      <c r="Q10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1.4038277278416444E-3</v>
      </c>
      <c r="R10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-1.8659468269399682E-2</v>
      </c>
      <c r="S10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-7.8270746683983816E-4</v>
      </c>
      <c r="T10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0.24078996901977234</v>
      </c>
      <c r="U10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-7.7976156470072056E-4</v>
      </c>
      <c r="V10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-6.3319226027469533E-4</v>
      </c>
      <c r="W10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-7.8340998848602794E-4</v>
      </c>
      <c r="X10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-5.3957207808963403E-4</v>
      </c>
      <c r="Y1085" s="162" t="str">
        <f>ReportSummary___Track[[#This Row],[Track ID]]&amp;"-"&amp;ReportSummary___Track[[#This Row],[Epoch]]</f>
        <v>250-RL-OP-0049-45784.2638888889</v>
      </c>
      <c r="Z1085" s="126">
        <f>SUBTOTAL(103,ReportSummary___Track[[#This Row],[Track ID]])</f>
        <v>1</v>
      </c>
      <c r="AA1085" s="114">
        <f>_xlfn.NUMBERVALUE(RIGHT(ReportSummary___Track[[#This Row],[Track ID]],4))</f>
        <v>49</v>
      </c>
      <c r="AB1085" s="78"/>
    </row>
    <row r="1086" spans="5:28" ht="14.25" customHeight="1" x14ac:dyDescent="0.2">
      <c r="E1086" s="74">
        <v>45783.270833333336</v>
      </c>
      <c r="F1086" s="107" t="s">
        <v>235</v>
      </c>
      <c r="G1086" s="142">
        <v>51886.102866827561</v>
      </c>
      <c r="H1086" s="142">
        <v>159195.44560737311</v>
      </c>
      <c r="I1086" s="142">
        <v>18.870056358563076</v>
      </c>
      <c r="J1086" s="142">
        <v>51885.74297614133</v>
      </c>
      <c r="K1086" s="142">
        <v>159194.18669572662</v>
      </c>
      <c r="L1086" s="142">
        <v>18.866068645440574</v>
      </c>
      <c r="M1086" s="145">
        <v>3.9877131225019014E-3</v>
      </c>
      <c r="N1086" s="145">
        <v>1.3093493581062576</v>
      </c>
      <c r="O1086" s="145"/>
      <c r="P1086" s="145"/>
      <c r="Q10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-0.28105162349234547</v>
      </c>
      <c r="R10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-0.76881828115205053</v>
      </c>
      <c r="S108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8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6.4203094041204167E-7</v>
      </c>
      <c r="V10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-7.7291009227931085E-5</v>
      </c>
      <c r="W108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8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86" s="162" t="str">
        <f>ReportSummary___Track[[#This Row],[Track ID]]&amp;"-"&amp;ReportSummary___Track[[#This Row],[Epoch]]</f>
        <v>250-RL-OP-0021-45783.2708333333</v>
      </c>
      <c r="Z1086" s="126">
        <f>SUBTOTAL(103,ReportSummary___Track[[#This Row],[Track ID]])</f>
        <v>1</v>
      </c>
      <c r="AA1086" s="114">
        <f>_xlfn.NUMBERVALUE(RIGHT(ReportSummary___Track[[#This Row],[Track ID]],4))</f>
        <v>21</v>
      </c>
      <c r="AB1086" s="78"/>
    </row>
    <row r="1087" spans="5:28" ht="14.25" customHeight="1" x14ac:dyDescent="0.2">
      <c r="E1087" s="74">
        <v>45783.270833333336</v>
      </c>
      <c r="F1087" s="107" t="s">
        <v>236</v>
      </c>
      <c r="G1087" s="142">
        <v>51887.064487407013</v>
      </c>
      <c r="H1087" s="142">
        <v>159195.17122469077</v>
      </c>
      <c r="I1087" s="142">
        <v>18.870125612142669</v>
      </c>
      <c r="J1087" s="142">
        <v>51886.704005157357</v>
      </c>
      <c r="K1087" s="142">
        <v>159193.91024828269</v>
      </c>
      <c r="L1087" s="142">
        <v>18.866271344287416</v>
      </c>
      <c r="M1087" s="145">
        <v>3.8542678552531129E-3</v>
      </c>
      <c r="N1087" s="145">
        <v>1.3114967820941861</v>
      </c>
      <c r="O1087" s="145"/>
      <c r="P1087" s="145"/>
      <c r="Q10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-0.61885340744538553</v>
      </c>
      <c r="R10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-0.53203100090004618</v>
      </c>
      <c r="S108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8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8.9862957004527289E-6</v>
      </c>
      <c r="V10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-1.7224446750940814E-4</v>
      </c>
      <c r="W108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8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87" s="162" t="str">
        <f>ReportSummary___Track[[#This Row],[Track ID]]&amp;"-"&amp;ReportSummary___Track[[#This Row],[Epoch]]</f>
        <v>250-RL-OP-0022-45783.2708333333</v>
      </c>
      <c r="Z1087" s="126">
        <f>SUBTOTAL(103,ReportSummary___Track[[#This Row],[Track ID]])</f>
        <v>1</v>
      </c>
      <c r="AA1087" s="114">
        <f>_xlfn.NUMBERVALUE(RIGHT(ReportSummary___Track[[#This Row],[Track ID]],4))</f>
        <v>22</v>
      </c>
      <c r="AB1087" s="78"/>
    </row>
    <row r="1088" spans="5:28" ht="14.25" customHeight="1" x14ac:dyDescent="0.2">
      <c r="E1088" s="74">
        <v>45783.270833333336</v>
      </c>
      <c r="F1088" s="107" t="s">
        <v>237</v>
      </c>
      <c r="G1088" s="142">
        <v>51888.026107986465</v>
      </c>
      <c r="H1088" s="142">
        <v>159194.8968420084</v>
      </c>
      <c r="I1088" s="142">
        <v>18.870194865722262</v>
      </c>
      <c r="J1088" s="142">
        <v>51887.665034173377</v>
      </c>
      <c r="K1088" s="142">
        <v>159193.63380083872</v>
      </c>
      <c r="L1088" s="142">
        <v>18.866474043134257</v>
      </c>
      <c r="M1088" s="145">
        <v>3.7208225880043244E-3</v>
      </c>
      <c r="N1088" s="145">
        <v>1.3136442209782244</v>
      </c>
      <c r="O1088" s="145"/>
      <c r="P1088" s="145"/>
      <c r="Q10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-0.95665519139842559</v>
      </c>
      <c r="R10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-0.29525863216317561</v>
      </c>
      <c r="S108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08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1.7330560456940702E-5</v>
      </c>
      <c r="V10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-2.6719983828371596E-4</v>
      </c>
      <c r="W108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08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88" s="162" t="str">
        <f>ReportSummary___Track[[#This Row],[Track ID]]&amp;"-"&amp;ReportSummary___Track[[#This Row],[Epoch]]</f>
        <v>250-RL-OP-0023-45783.2708333333</v>
      </c>
      <c r="Z1088" s="126">
        <f>SUBTOTAL(103,ReportSummary___Track[[#This Row],[Track ID]])</f>
        <v>1</v>
      </c>
      <c r="AA1088" s="114">
        <f>_xlfn.NUMBERVALUE(RIGHT(ReportSummary___Track[[#This Row],[Track ID]],4))</f>
        <v>23</v>
      </c>
      <c r="AB1088" s="78"/>
    </row>
    <row r="1089" spans="5:28" ht="14.25" customHeight="1" x14ac:dyDescent="0.2">
      <c r="E1089" s="74">
        <v>45783.270833333336</v>
      </c>
      <c r="F1089" s="107" t="s">
        <v>238</v>
      </c>
      <c r="G1089" s="142">
        <v>51888.986311906534</v>
      </c>
      <c r="H1089" s="142">
        <v>159194.62209812674</v>
      </c>
      <c r="I1089" s="142">
        <v>18.869514952116027</v>
      </c>
      <c r="J1089" s="142">
        <v>51888.625103758357</v>
      </c>
      <c r="K1089" s="142">
        <v>159193.35707278902</v>
      </c>
      <c r="L1089" s="142">
        <v>18.865453221913011</v>
      </c>
      <c r="M1089" s="145">
        <v>4.0617302030163671E-3</v>
      </c>
      <c r="N1089" s="145">
        <v>1.3155899547499392</v>
      </c>
      <c r="O1089" s="145">
        <v>7.4017080514465761E-5</v>
      </c>
      <c r="P1089" s="145"/>
      <c r="Q10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-0.7006913560623218</v>
      </c>
      <c r="R10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-0.17947458187661525</v>
      </c>
      <c r="S10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-0.41963973256997633</v>
      </c>
      <c r="T108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2.2187327530787115E-7</v>
      </c>
      <c r="V10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-1.8920601841121432E-4</v>
      </c>
      <c r="W10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-4.2015766510417052E-7</v>
      </c>
      <c r="X108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89" s="162" t="str">
        <f>ReportSummary___Track[[#This Row],[Track ID]]&amp;"-"&amp;ReportSummary___Track[[#This Row],[Epoch]]</f>
        <v>250-RL-OP-0024-45783.2708333333</v>
      </c>
      <c r="Z1089" s="126">
        <f>SUBTOTAL(103,ReportSummary___Track[[#This Row],[Track ID]])</f>
        <v>1</v>
      </c>
      <c r="AA1089" s="114">
        <f>_xlfn.NUMBERVALUE(RIGHT(ReportSummary___Track[[#This Row],[Track ID]],4))</f>
        <v>24</v>
      </c>
      <c r="AB1089" s="78"/>
    </row>
    <row r="1090" spans="5:28" ht="14.25" customHeight="1" x14ac:dyDescent="0.2">
      <c r="E1090" s="74">
        <v>45783.270833333336</v>
      </c>
      <c r="F1090" s="107" t="s">
        <v>239</v>
      </c>
      <c r="G1090" s="142">
        <v>51889.947713492664</v>
      </c>
      <c r="H1090" s="142">
        <v>159194.3469500916</v>
      </c>
      <c r="I1090" s="142">
        <v>18.868774039414347</v>
      </c>
      <c r="J1090" s="142">
        <v>51889.585962165373</v>
      </c>
      <c r="K1090" s="142">
        <v>159193.08003546728</v>
      </c>
      <c r="L1090" s="142">
        <v>18.864251548067312</v>
      </c>
      <c r="M1090" s="145">
        <v>4.5224913470356398E-3</v>
      </c>
      <c r="N1090" s="145">
        <v>1.3175572629012891</v>
      </c>
      <c r="O1090" s="145">
        <v>6.6822349178252693E-4</v>
      </c>
      <c r="P1090" s="145"/>
      <c r="Q10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-0.35710338210748205</v>
      </c>
      <c r="R10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-9.1727415674425217E-2</v>
      </c>
      <c r="S10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0.26175002533790348</v>
      </c>
      <c r="T109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4.6184005242366766E-7</v>
      </c>
      <c r="V10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-9.6513581364865431E-5</v>
      </c>
      <c r="W10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-8.5244556480290612E-6</v>
      </c>
      <c r="X109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90" s="162" t="str">
        <f>ReportSummary___Track[[#This Row],[Track ID]]&amp;"-"&amp;ReportSummary___Track[[#This Row],[Epoch]]</f>
        <v>250-RL-OP-0025-45783.2708333333</v>
      </c>
      <c r="Z1090" s="126">
        <f>SUBTOTAL(103,ReportSummary___Track[[#This Row],[Track ID]])</f>
        <v>1</v>
      </c>
      <c r="AA1090" s="114">
        <f>_xlfn.NUMBERVALUE(RIGHT(ReportSummary___Track[[#This Row],[Track ID]],4))</f>
        <v>25</v>
      </c>
      <c r="AB1090" s="78"/>
    </row>
    <row r="1091" spans="5:28" ht="14.25" customHeight="1" x14ac:dyDescent="0.2">
      <c r="E1091" s="74">
        <v>45783.270833333336</v>
      </c>
      <c r="F1091" s="107" t="s">
        <v>240</v>
      </c>
      <c r="G1091" s="142">
        <v>51890.909115078794</v>
      </c>
      <c r="H1091" s="142">
        <v>159194.07180205648</v>
      </c>
      <c r="I1091" s="142">
        <v>18.868033126712668</v>
      </c>
      <c r="J1091" s="142">
        <v>51890.546820572396</v>
      </c>
      <c r="K1091" s="142">
        <v>159192.80299814555</v>
      </c>
      <c r="L1091" s="142">
        <v>18.863049874221616</v>
      </c>
      <c r="M1091" s="145">
        <v>4.9832524910513598E-3</v>
      </c>
      <c r="N1091" s="145">
        <v>1.319524727534094</v>
      </c>
      <c r="O1091" s="145">
        <v>1.2624299030470354E-3</v>
      </c>
      <c r="P1091" s="145"/>
      <c r="Q10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-1.3515408156195008E-2</v>
      </c>
      <c r="R10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-3.8330151141963142E-3</v>
      </c>
      <c r="S10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0.94313978324223058</v>
      </c>
      <c r="T109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0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7.018068224340368E-7</v>
      </c>
      <c r="V10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-3.8211533073262416E-6</v>
      </c>
      <c r="W10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-1.6628753634506666E-5</v>
      </c>
      <c r="X109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091" s="162" t="str">
        <f>ReportSummary___Track[[#This Row],[Track ID]]&amp;"-"&amp;ReportSummary___Track[[#This Row],[Epoch]]</f>
        <v>250-RL-OP-0026-45783.2708333333</v>
      </c>
      <c r="Z1091" s="126">
        <f>SUBTOTAL(103,ReportSummary___Track[[#This Row],[Track ID]])</f>
        <v>1</v>
      </c>
      <c r="AA1091" s="114">
        <f>_xlfn.NUMBERVALUE(RIGHT(ReportSummary___Track[[#This Row],[Track ID]],4))</f>
        <v>26</v>
      </c>
      <c r="AB1091" s="78"/>
    </row>
    <row r="1092" spans="5:28" ht="14.25" customHeight="1" x14ac:dyDescent="0.2">
      <c r="E1092" s="74">
        <v>45783.270833333336</v>
      </c>
      <c r="F1092" s="107" t="s">
        <v>241</v>
      </c>
      <c r="G1092" s="142">
        <v>51891.870997674043</v>
      </c>
      <c r="H1092" s="142">
        <v>159193.79503821288</v>
      </c>
      <c r="I1092" s="142">
        <v>18.865661670375356</v>
      </c>
      <c r="J1092" s="142">
        <v>51891.505242386549</v>
      </c>
      <c r="K1092" s="142">
        <v>159192.52652276491</v>
      </c>
      <c r="L1092" s="142">
        <v>18.861282734964647</v>
      </c>
      <c r="M1092" s="145">
        <v>4.3789354107097722E-3</v>
      </c>
      <c r="N1092" s="145">
        <v>1.3201998133397823</v>
      </c>
      <c r="O1092" s="145">
        <v>3.172052076934051E-4</v>
      </c>
      <c r="P1092" s="145">
        <v>3.9122228820787086E-4</v>
      </c>
      <c r="Q10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-0.32401091082334688</v>
      </c>
      <c r="R10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-1.1143772193911161E-3</v>
      </c>
      <c r="S10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0.37668044523897493</v>
      </c>
      <c r="T10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-4.2959287331001406E-2</v>
      </c>
      <c r="U10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6.2060054162316192E-7</v>
      </c>
      <c r="V10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8.4508413307649022E-5</v>
      </c>
      <c r="W10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3.9872726631529076E-7</v>
      </c>
      <c r="X10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-2.1430398788879756E-8</v>
      </c>
      <c r="Y1092" s="162" t="str">
        <f>ReportSummary___Track[[#This Row],[Track ID]]&amp;"-"&amp;ReportSummary___Track[[#This Row],[Epoch]]</f>
        <v>250-RL-OP-0027-45783.2708333333</v>
      </c>
      <c r="Z1092" s="126">
        <f>SUBTOTAL(103,ReportSummary___Track[[#This Row],[Track ID]])</f>
        <v>1</v>
      </c>
      <c r="AA1092" s="114">
        <f>_xlfn.NUMBERVALUE(RIGHT(ReportSummary___Track[[#This Row],[Track ID]],4))</f>
        <v>27</v>
      </c>
      <c r="AB1092" s="78"/>
    </row>
    <row r="1093" spans="5:28" ht="14.25" customHeight="1" x14ac:dyDescent="0.2">
      <c r="E1093" s="74">
        <v>45783.270833333336</v>
      </c>
      <c r="F1093" s="107" t="s">
        <v>242</v>
      </c>
      <c r="G1093" s="142">
        <v>51892.831986665937</v>
      </c>
      <c r="H1093" s="142">
        <v>159193.51846240537</v>
      </c>
      <c r="I1093" s="142">
        <v>18.863216230483452</v>
      </c>
      <c r="J1093" s="142">
        <v>51892.466060782528</v>
      </c>
      <c r="K1093" s="142">
        <v>159192.24934992488</v>
      </c>
      <c r="L1093" s="142">
        <v>18.859486432626408</v>
      </c>
      <c r="M1093" s="145">
        <v>3.7297978570443036E-3</v>
      </c>
      <c r="N1093" s="145">
        <v>1.3208187429246898</v>
      </c>
      <c r="O1093" s="145">
        <v>-7.9269348999133626E-4</v>
      </c>
      <c r="P1093" s="145">
        <v>-1.2446999820880933E-4</v>
      </c>
      <c r="Q10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-0.66293445770782</v>
      </c>
      <c r="R10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-2.0382235212945687E-3</v>
      </c>
      <c r="S10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-0.30583107560033795</v>
      </c>
      <c r="T10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-4.4081050262434474E-2</v>
      </c>
      <c r="U10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1.2697155788998771E-6</v>
      </c>
      <c r="V10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1.7297519881709356E-4</v>
      </c>
      <c r="W10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8.0787552647620942E-7</v>
      </c>
      <c r="X10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-7.7165801215528518E-6</v>
      </c>
      <c r="Y1093" s="162" t="str">
        <f>ReportSummary___Track[[#This Row],[Track ID]]&amp;"-"&amp;ReportSummary___Track[[#This Row],[Epoch]]</f>
        <v>250-RL-OP-0028-45783.2708333333</v>
      </c>
      <c r="Z1093" s="126">
        <f>SUBTOTAL(103,ReportSummary___Track[[#This Row],[Track ID]])</f>
        <v>1</v>
      </c>
      <c r="AA1093" s="114">
        <f>_xlfn.NUMBERVALUE(RIGHT(ReportSummary___Track[[#This Row],[Track ID]],4))</f>
        <v>28</v>
      </c>
      <c r="AB1093" s="78"/>
    </row>
    <row r="1094" spans="5:28" ht="14.25" customHeight="1" x14ac:dyDescent="0.2">
      <c r="E1094" s="74">
        <v>45783.270833333336</v>
      </c>
      <c r="F1094" s="107" t="s">
        <v>243</v>
      </c>
      <c r="G1094" s="142">
        <v>51893.792832897052</v>
      </c>
      <c r="H1094" s="142">
        <v>159193.2418849722</v>
      </c>
      <c r="I1094" s="142">
        <v>18.860926425435991</v>
      </c>
      <c r="J1094" s="142">
        <v>51893.426692719338</v>
      </c>
      <c r="K1094" s="142">
        <v>159191.97223227765</v>
      </c>
      <c r="L1094" s="142">
        <v>18.857700906113323</v>
      </c>
      <c r="M1094" s="145">
        <v>3.2255193226689016E-3</v>
      </c>
      <c r="N1094" s="145">
        <v>1.3213958523060825</v>
      </c>
      <c r="O1094" s="145">
        <v>-1.7577331683824582E-3</v>
      </c>
      <c r="P1094" s="145">
        <v>-4.9530326533542279E-4</v>
      </c>
      <c r="Q10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-0.9805708173225014</v>
      </c>
      <c r="R10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-2.7573916800971432E-3</v>
      </c>
      <c r="S10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-0.96705540916630639</v>
      </c>
      <c r="T10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-2.3915625924075812E-2</v>
      </c>
      <c r="U10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1.8216043393692871E-6</v>
      </c>
      <c r="V10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2.7135489595608853E-4</v>
      </c>
      <c r="W10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1.1197975169352503E-6</v>
      </c>
      <c r="X10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-1.5508956117571415E-5</v>
      </c>
      <c r="Y1094" s="162" t="str">
        <f>ReportSummary___Track[[#This Row],[Track ID]]&amp;"-"&amp;ReportSummary___Track[[#This Row],[Epoch]]</f>
        <v>250-RL-OP-0029-45783.2708333333</v>
      </c>
      <c r="Z1094" s="126">
        <f>SUBTOTAL(103,ReportSummary___Track[[#This Row],[Track ID]])</f>
        <v>1</v>
      </c>
      <c r="AA1094" s="114">
        <f>_xlfn.NUMBERVALUE(RIGHT(ReportSummary___Track[[#This Row],[Track ID]],4))</f>
        <v>29</v>
      </c>
      <c r="AB1094" s="78"/>
    </row>
    <row r="1095" spans="5:28" ht="14.25" customHeight="1" x14ac:dyDescent="0.2">
      <c r="E1095" s="74">
        <v>45783.270833333336</v>
      </c>
      <c r="F1095" s="107" t="s">
        <v>269</v>
      </c>
      <c r="G1095" s="142">
        <v>51894.753608932246</v>
      </c>
      <c r="H1095" s="142">
        <v>159192.96455996652</v>
      </c>
      <c r="I1095" s="142">
        <v>18.86142785685897</v>
      </c>
      <c r="J1095" s="142">
        <v>51894.38758316014</v>
      </c>
      <c r="K1095" s="142">
        <v>159191.6953035295</v>
      </c>
      <c r="L1095" s="142">
        <v>18.857871870891774</v>
      </c>
      <c r="M1095" s="145">
        <v>3.5559859671963068E-3</v>
      </c>
      <c r="N1095" s="145">
        <v>1.3209842594843462</v>
      </c>
      <c r="O1095" s="145">
        <v>-8.2294944351346544E-4</v>
      </c>
      <c r="P1095" s="145">
        <v>-5.0574423582006034E-4</v>
      </c>
      <c r="Q10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-0.30435372374526537</v>
      </c>
      <c r="R10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-8.5432864516121754E-4</v>
      </c>
      <c r="S10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1.9657187078081506E-2</v>
      </c>
      <c r="T10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0.39633763231705643</v>
      </c>
      <c r="U10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3.4408066718683017E-4</v>
      </c>
      <c r="V10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8.4834548696344214E-5</v>
      </c>
      <c r="W10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3.4346006664520701E-4</v>
      </c>
      <c r="X10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3.438587939115223E-4</v>
      </c>
      <c r="Y1095" s="162" t="str">
        <f>ReportSummary___Track[[#This Row],[Track ID]]&amp;"-"&amp;ReportSummary___Track[[#This Row],[Epoch]]</f>
        <v>250-RL-OP-0030-45783.2708333333</v>
      </c>
      <c r="Z1095" s="126">
        <f>SUBTOTAL(103,ReportSummary___Track[[#This Row],[Track ID]])</f>
        <v>1</v>
      </c>
      <c r="AA1095" s="114">
        <f>_xlfn.NUMBERVALUE(RIGHT(ReportSummary___Track[[#This Row],[Track ID]],4))</f>
        <v>30</v>
      </c>
      <c r="AB1095" s="78"/>
    </row>
    <row r="1096" spans="5:28" ht="14.25" customHeight="1" x14ac:dyDescent="0.2">
      <c r="E1096" s="74">
        <v>45783.270833333336</v>
      </c>
      <c r="F1096" s="107" t="s">
        <v>270</v>
      </c>
      <c r="G1096" s="142">
        <v>51895.714384967439</v>
      </c>
      <c r="H1096" s="142">
        <v>159192.68723496085</v>
      </c>
      <c r="I1096" s="142">
        <v>18.861929288281949</v>
      </c>
      <c r="J1096" s="142">
        <v>51895.348473600949</v>
      </c>
      <c r="K1096" s="142">
        <v>159191.41837478138</v>
      </c>
      <c r="L1096" s="142">
        <v>18.858042835670226</v>
      </c>
      <c r="M1096" s="145">
        <v>3.8864526117237119E-3</v>
      </c>
      <c r="N1096" s="145">
        <v>1.3205727498603261</v>
      </c>
      <c r="O1096" s="145">
        <v>1.5665475467940837E-4</v>
      </c>
      <c r="P1096" s="145">
        <v>-6.3603873531192789E-4</v>
      </c>
      <c r="Q10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0.37186336983197066</v>
      </c>
      <c r="R10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1.0420670735200588E-3</v>
      </c>
      <c r="S10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1.0347978275397907</v>
      </c>
      <c r="T10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0.72896675193945271</v>
      </c>
      <c r="U10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6.8633973003429105E-4</v>
      </c>
      <c r="V10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-1.01602670642853E-4</v>
      </c>
      <c r="W10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6.8507001445539117E-4</v>
      </c>
      <c r="X10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6.8587788998186738E-4</v>
      </c>
      <c r="Y1096" s="162" t="str">
        <f>ReportSummary___Track[[#This Row],[Track ID]]&amp;"-"&amp;ReportSummary___Track[[#This Row],[Epoch]]</f>
        <v>250-RL-OP-0031-45783.2708333333</v>
      </c>
      <c r="Z1096" s="126">
        <f>SUBTOTAL(103,ReportSummary___Track[[#This Row],[Track ID]])</f>
        <v>1</v>
      </c>
      <c r="AA1096" s="114">
        <f>_xlfn.NUMBERVALUE(RIGHT(ReportSummary___Track[[#This Row],[Track ID]],4))</f>
        <v>31</v>
      </c>
      <c r="AB1096" s="78"/>
    </row>
    <row r="1097" spans="5:28" ht="14.25" customHeight="1" x14ac:dyDescent="0.2">
      <c r="E1097" s="74">
        <v>45783.270833333336</v>
      </c>
      <c r="F1097" s="107" t="s">
        <v>271</v>
      </c>
      <c r="G1097" s="142">
        <v>51896.675405999806</v>
      </c>
      <c r="H1097" s="142">
        <v>159192.40990809427</v>
      </c>
      <c r="I1097" s="142">
        <v>18.862476983212481</v>
      </c>
      <c r="J1097" s="142">
        <v>51896.309521397779</v>
      </c>
      <c r="K1097" s="142">
        <v>159191.14170885531</v>
      </c>
      <c r="L1097" s="142">
        <v>18.858275187307061</v>
      </c>
      <c r="M1097" s="145">
        <v>4.2017959054199139E-3</v>
      </c>
      <c r="N1097" s="145">
        <v>1.3199312507761312</v>
      </c>
      <c r="O1097" s="145">
        <v>9.7627658275101226E-4</v>
      </c>
      <c r="P1097" s="145">
        <v>-7.8145658563144593E-4</v>
      </c>
      <c r="Q10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0.95077813935162681</v>
      </c>
      <c r="R10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2.3234115334114236E-2</v>
      </c>
      <c r="S10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1.9313489566741282</v>
      </c>
      <c r="T10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0.96429354750782181</v>
      </c>
      <c r="U10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9.5072011335162188E-4</v>
      </c>
      <c r="V10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-2.6134458700299845E-4</v>
      </c>
      <c r="W10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9.4889850901225259E-4</v>
      </c>
      <c r="X10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9.5001830652918784E-4</v>
      </c>
      <c r="Y1097" s="162" t="str">
        <f>ReportSummary___Track[[#This Row],[Track ID]]&amp;"-"&amp;ReportSummary___Track[[#This Row],[Epoch]]</f>
        <v>250-RL-OP-0032-45783.2708333333</v>
      </c>
      <c r="Z1097" s="126">
        <f>SUBTOTAL(103,ReportSummary___Track[[#This Row],[Track ID]])</f>
        <v>1</v>
      </c>
      <c r="AA1097" s="114">
        <f>_xlfn.NUMBERVALUE(RIGHT(ReportSummary___Track[[#This Row],[Track ID]],4))</f>
        <v>32</v>
      </c>
      <c r="AB1097" s="78"/>
    </row>
    <row r="1098" spans="5:28" ht="14.25" customHeight="1" x14ac:dyDescent="0.2">
      <c r="E1098" s="74">
        <v>45783.270833333336</v>
      </c>
      <c r="F1098" s="107" t="s">
        <v>272</v>
      </c>
      <c r="G1098" s="142">
        <v>51897.636479167399</v>
      </c>
      <c r="H1098" s="142">
        <v>159192.13361694413</v>
      </c>
      <c r="I1098" s="142">
        <v>18.863728742765058</v>
      </c>
      <c r="J1098" s="142">
        <v>51897.271419885146</v>
      </c>
      <c r="K1098" s="142">
        <v>159190.86830359913</v>
      </c>
      <c r="L1098" s="142">
        <v>18.85920572328552</v>
      </c>
      <c r="M1098" s="145">
        <v>4.5230194795387035E-3</v>
      </c>
      <c r="N1098" s="145">
        <v>1.3169307492492224</v>
      </c>
      <c r="O1098" s="145">
        <v>9.6703351234239676E-4</v>
      </c>
      <c r="P1098" s="145">
        <v>1.4408406882893132E-4</v>
      </c>
      <c r="Q10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0.25857887808555802</v>
      </c>
      <c r="R10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0.35555587959246182</v>
      </c>
      <c r="S10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0.56293260183082339</v>
      </c>
      <c r="T10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0.58258978890890489</v>
      </c>
      <c r="U10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2.5763827414948537E-4</v>
      </c>
      <c r="V10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-7.2876774104280173E-5</v>
      </c>
      <c r="W10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-8.64423930373448E-5</v>
      </c>
      <c r="X10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2.5701767360786221E-4</v>
      </c>
      <c r="Y1098" s="162" t="str">
        <f>ReportSummary___Track[[#This Row],[Track ID]]&amp;"-"&amp;ReportSummary___Track[[#This Row],[Epoch]]</f>
        <v>250-RL-OP-0033-45783.2708333333</v>
      </c>
      <c r="Z1098" s="126">
        <f>SUBTOTAL(103,ReportSummary___Track[[#This Row],[Track ID]])</f>
        <v>1</v>
      </c>
      <c r="AA1098" s="114">
        <f>_xlfn.NUMBERVALUE(RIGHT(ReportSummary___Track[[#This Row],[Track ID]],4))</f>
        <v>33</v>
      </c>
      <c r="AB1098" s="78"/>
    </row>
    <row r="1099" spans="5:28" ht="14.25" customHeight="1" x14ac:dyDescent="0.2">
      <c r="E1099" s="74">
        <v>45783.270833333336</v>
      </c>
      <c r="F1099" s="107" t="s">
        <v>273</v>
      </c>
      <c r="G1099" s="142">
        <v>51898.597552334984</v>
      </c>
      <c r="H1099" s="142">
        <v>159191.857325794</v>
      </c>
      <c r="I1099" s="142">
        <v>18.864980502317636</v>
      </c>
      <c r="J1099" s="142">
        <v>51898.233318372506</v>
      </c>
      <c r="K1099" s="142">
        <v>159190.59489834294</v>
      </c>
      <c r="L1099" s="142">
        <v>18.860136259263978</v>
      </c>
      <c r="M1099" s="145">
        <v>4.8442430536574932E-3</v>
      </c>
      <c r="N1099" s="145">
        <v>1.3139303312212467</v>
      </c>
      <c r="O1099" s="145">
        <v>9.5779044193378127E-4</v>
      </c>
      <c r="P1099" s="145">
        <v>1.1144451966131896E-3</v>
      </c>
      <c r="Q10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-0.43362038318051077</v>
      </c>
      <c r="R10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0.68716431790138977</v>
      </c>
      <c r="S10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-0.80548375301248143</v>
      </c>
      <c r="T10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0.22931407452730923</v>
      </c>
      <c r="U10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-4.3544356505620385E-4</v>
      </c>
      <c r="V10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1.1487726615677651E-4</v>
      </c>
      <c r="W10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-1.1217832950904949E-3</v>
      </c>
      <c r="X10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-4.3671328063510373E-4</v>
      </c>
      <c r="Y1099" s="162" t="str">
        <f>ReportSummary___Track[[#This Row],[Track ID]]&amp;"-"&amp;ReportSummary___Track[[#This Row],[Epoch]]</f>
        <v>250-RL-OP-0034-45783.2708333333</v>
      </c>
      <c r="Z1099" s="126">
        <f>SUBTOTAL(103,ReportSummary___Track[[#This Row],[Track ID]])</f>
        <v>1</v>
      </c>
      <c r="AA1099" s="114">
        <f>_xlfn.NUMBERVALUE(RIGHT(ReportSummary___Track[[#This Row],[Track ID]],4))</f>
        <v>34</v>
      </c>
      <c r="AB1099" s="78"/>
    </row>
    <row r="1100" spans="5:28" ht="14.25" customHeight="1" x14ac:dyDescent="0.2">
      <c r="E1100" s="74">
        <v>45783.270833333336</v>
      </c>
      <c r="F1100" s="107" t="s">
        <v>274</v>
      </c>
      <c r="G1100" s="142">
        <v>51899.558748431518</v>
      </c>
      <c r="H1100" s="142">
        <v>159191.58237758733</v>
      </c>
      <c r="I1100" s="142">
        <v>18.866</v>
      </c>
      <c r="J1100" s="142">
        <v>51899.20347231318</v>
      </c>
      <c r="K1100" s="142">
        <v>159190.31962002904</v>
      </c>
      <c r="L1100" s="142">
        <v>18.860716140793912</v>
      </c>
      <c r="M1100" s="145">
        <v>5.2838592060879819E-3</v>
      </c>
      <c r="N1100" s="145">
        <v>1.3117948354997357</v>
      </c>
      <c r="O1100" s="145">
        <v>1.082063300668068E-3</v>
      </c>
      <c r="P1100" s="145">
        <v>2.0583398834190803E-3</v>
      </c>
      <c r="Q11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-0.93870277686747272</v>
      </c>
      <c r="R11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0.95883930185158839</v>
      </c>
      <c r="S11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-1.8894809162190995</v>
      </c>
      <c r="T11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4.1868040455028677E-2</v>
      </c>
      <c r="U11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-9.3839579105292614E-4</v>
      </c>
      <c r="V11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3.0875759908588485E-4</v>
      </c>
      <c r="W11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-1.889115904404548E-3</v>
      </c>
      <c r="X11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-9.4021739539229543E-4</v>
      </c>
      <c r="Y1100" s="162" t="str">
        <f>ReportSummary___Track[[#This Row],[Track ID]]&amp;"-"&amp;ReportSummary___Track[[#This Row],[Epoch]]</f>
        <v>250-RL-OP-0035-45783.2708333333</v>
      </c>
      <c r="Z1100" s="126">
        <f>SUBTOTAL(103,ReportSummary___Track[[#This Row],[Track ID]])</f>
        <v>1</v>
      </c>
      <c r="AA1100" s="114">
        <f>_xlfn.NUMBERVALUE(RIGHT(ReportSummary___Track[[#This Row],[Track ID]],4))</f>
        <v>35</v>
      </c>
      <c r="AB1100" s="78"/>
    </row>
    <row r="1101" spans="5:28" ht="14.25" customHeight="1" x14ac:dyDescent="0.2">
      <c r="E1101" s="74">
        <v>45783.270833333336</v>
      </c>
      <c r="F1101" s="107" t="s">
        <v>275</v>
      </c>
      <c r="G1101" s="142">
        <v>51900.521772886575</v>
      </c>
      <c r="H1101" s="142">
        <v>159191.31296359556</v>
      </c>
      <c r="I1101" s="142">
        <v>18.866</v>
      </c>
      <c r="J1101" s="142">
        <v>51900.166031253946</v>
      </c>
      <c r="K1101" s="142">
        <v>159190.04854932599</v>
      </c>
      <c r="L1101" s="142">
        <v>18.859736603201547</v>
      </c>
      <c r="M1101" s="145">
        <v>6.2633967984524475E-3</v>
      </c>
      <c r="N1101" s="145">
        <v>1.3135199977173684</v>
      </c>
      <c r="O1101" s="145">
        <v>1.7403773189137439E-3</v>
      </c>
      <c r="P1101" s="145">
        <v>2.7074108312561407E-3</v>
      </c>
      <c r="Q11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-0.61213259502324036</v>
      </c>
      <c r="R11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0.96595429964363433</v>
      </c>
      <c r="S11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-0.87071147310879837</v>
      </c>
      <c r="T11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-0.30777887127797499</v>
      </c>
      <c r="U11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-6.0593806349373835E-4</v>
      </c>
      <c r="V11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5.3456347364511103E-4</v>
      </c>
      <c r="W11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-8.6357633764322372E-4</v>
      </c>
      <c r="X11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-9.5001873068056852E-4</v>
      </c>
      <c r="Y1101" s="162" t="str">
        <f>ReportSummary___Track[[#This Row],[Track ID]]&amp;"-"&amp;ReportSummary___Track[[#This Row],[Epoch]]</f>
        <v>250-RL-OP-0036-45783.2708333333</v>
      </c>
      <c r="Z1101" s="126">
        <f>SUBTOTAL(103,ReportSummary___Track[[#This Row],[Track ID]])</f>
        <v>1</v>
      </c>
      <c r="AA1101" s="114">
        <f>_xlfn.NUMBERVALUE(RIGHT(ReportSummary___Track[[#This Row],[Track ID]],4))</f>
        <v>36</v>
      </c>
      <c r="AB1101" s="78"/>
    </row>
    <row r="1102" spans="5:28" ht="14.25" customHeight="1" x14ac:dyDescent="0.2">
      <c r="E1102" s="74">
        <v>45783.270833333336</v>
      </c>
      <c r="F1102" s="107" t="s">
        <v>276</v>
      </c>
      <c r="G1102" s="142">
        <v>51901.484797341633</v>
      </c>
      <c r="H1102" s="142">
        <v>159191.04354960378</v>
      </c>
      <c r="I1102" s="142">
        <v>18.866</v>
      </c>
      <c r="J1102" s="142">
        <v>51901.128590194705</v>
      </c>
      <c r="K1102" s="142">
        <v>159189.77747862291</v>
      </c>
      <c r="L1102" s="142">
        <v>18.858757065609186</v>
      </c>
      <c r="M1102" s="145">
        <v>7.2429343908133603E-3</v>
      </c>
      <c r="N1102" s="145">
        <v>1.3152458782377445</v>
      </c>
      <c r="O1102" s="145">
        <v>2.3986913371558671E-3</v>
      </c>
      <c r="P1102" s="145">
        <v>3.3564817790896484E-3</v>
      </c>
      <c r="Q11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-0.28556241317900799</v>
      </c>
      <c r="R11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0.97347164478711612</v>
      </c>
      <c r="S11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0.14805797000150278</v>
      </c>
      <c r="T11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-0.65742578301097865</v>
      </c>
      <c r="U11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-2.7348033593099785E-4</v>
      </c>
      <c r="V11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7.6077645485894685E-4</v>
      </c>
      <c r="W11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1.61963229125206E-4</v>
      </c>
      <c r="X11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-9.598200659652889E-4</v>
      </c>
      <c r="Y1102" s="162" t="str">
        <f>ReportSummary___Track[[#This Row],[Track ID]]&amp;"-"&amp;ReportSummary___Track[[#This Row],[Epoch]]</f>
        <v>250-RL-OP-0037-45783.2708333333</v>
      </c>
      <c r="Z1102" s="126">
        <f>SUBTOTAL(103,ReportSummary___Track[[#This Row],[Track ID]])</f>
        <v>1</v>
      </c>
      <c r="AA1102" s="114">
        <f>_xlfn.NUMBERVALUE(RIGHT(ReportSummary___Track[[#This Row],[Track ID]],4))</f>
        <v>37</v>
      </c>
      <c r="AB1102" s="78"/>
    </row>
    <row r="1103" spans="5:28" ht="14.25" customHeight="1" x14ac:dyDescent="0.2">
      <c r="E1103" s="74">
        <v>45783.270833333336</v>
      </c>
      <c r="F1103" s="107" t="s">
        <v>277</v>
      </c>
      <c r="G1103" s="142">
        <v>51902.447765809411</v>
      </c>
      <c r="H1103" s="142">
        <v>159190.77523042282</v>
      </c>
      <c r="I1103" s="142">
        <v>18.866124802963387</v>
      </c>
      <c r="J1103" s="142">
        <v>51902.099872443272</v>
      </c>
      <c r="K1103" s="142">
        <v>159189.5050474201</v>
      </c>
      <c r="L1103" s="142">
        <v>18.857900000000001</v>
      </c>
      <c r="M1103" s="145">
        <v>8.2248029633866793E-3</v>
      </c>
      <c r="N1103" s="145">
        <v>1.3169898640424602</v>
      </c>
      <c r="O1103" s="145">
        <v>2.9409437572986974E-3</v>
      </c>
      <c r="P1103" s="145">
        <v>4.0230070579667654E-3</v>
      </c>
      <c r="Q11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1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0.96443264257284333</v>
      </c>
      <c r="S11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0.93870277686747272</v>
      </c>
      <c r="T11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-0.95077813935162681</v>
      </c>
      <c r="U11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11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9.0710406474636684E-4</v>
      </c>
      <c r="W11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9.3838485297581542E-4</v>
      </c>
      <c r="X11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-9.507310514287326E-4</v>
      </c>
      <c r="Y1103" s="162" t="str">
        <f>ReportSummary___Track[[#This Row],[Track ID]]&amp;"-"&amp;ReportSummary___Track[[#This Row],[Epoch]]</f>
        <v>250-RL-OP-0038-45783.2708333333</v>
      </c>
      <c r="Z1103" s="126">
        <f>SUBTOTAL(103,ReportSummary___Track[[#This Row],[Track ID]])</f>
        <v>1</v>
      </c>
      <c r="AA1103" s="114">
        <f>_xlfn.NUMBERVALUE(RIGHT(ReportSummary___Track[[#This Row],[Track ID]],4))</f>
        <v>38</v>
      </c>
      <c r="AB1103" s="78"/>
    </row>
    <row r="1104" spans="5:28" ht="14.25" customHeight="1" x14ac:dyDescent="0.2">
      <c r="E1104" s="74">
        <v>45783.270833333336</v>
      </c>
      <c r="F1104" s="107" t="s">
        <v>278</v>
      </c>
      <c r="G1104" s="142">
        <v>51903.412339687529</v>
      </c>
      <c r="H1104" s="142">
        <v>159190.51141847001</v>
      </c>
      <c r="I1104" s="142">
        <v>18.866822806114335</v>
      </c>
      <c r="J1104" s="142">
        <v>51903.064539433311</v>
      </c>
      <c r="K1104" s="142">
        <v>159189.2415752236</v>
      </c>
      <c r="L1104" s="142">
        <v>18.857900000000001</v>
      </c>
      <c r="M1104" s="145">
        <v>8.9228061143344917E-3</v>
      </c>
      <c r="N1104" s="145">
        <v>1.3166421319989075</v>
      </c>
      <c r="O1104" s="145">
        <v>2.6594093158820442E-3</v>
      </c>
      <c r="P1104" s="145">
        <v>4.3997866347957881E-3</v>
      </c>
      <c r="Q11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1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0.96442933423568356</v>
      </c>
      <c r="S11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0.61213259502324036</v>
      </c>
      <c r="T11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-0.25857887808555802</v>
      </c>
      <c r="U11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11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5.8647239043096988E-4</v>
      </c>
      <c r="W11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6.0586595050793335E-4</v>
      </c>
      <c r="X11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-2.5771038713529038E-4</v>
      </c>
      <c r="Y1104" s="162" t="str">
        <f>ReportSummary___Track[[#This Row],[Track ID]]&amp;"-"&amp;ReportSummary___Track[[#This Row],[Epoch]]</f>
        <v>250-RL-OP-0039-45783.2708333333</v>
      </c>
      <c r="Z1104" s="126">
        <f>SUBTOTAL(103,ReportSummary___Track[[#This Row],[Track ID]])</f>
        <v>1</v>
      </c>
      <c r="AA1104" s="114">
        <f>_xlfn.NUMBERVALUE(RIGHT(ReportSummary___Track[[#This Row],[Track ID]],4))</f>
        <v>39</v>
      </c>
      <c r="AB1104" s="78"/>
    </row>
    <row r="1105" spans="5:28" ht="14.25" customHeight="1" x14ac:dyDescent="0.2">
      <c r="E1105" s="74">
        <v>45783.270833333336</v>
      </c>
      <c r="F1105" s="107" t="s">
        <v>279</v>
      </c>
      <c r="G1105" s="142">
        <v>51904.376913565648</v>
      </c>
      <c r="H1105" s="142">
        <v>159190.24760651719</v>
      </c>
      <c r="I1105" s="142">
        <v>18.867520809265283</v>
      </c>
      <c r="J1105" s="142">
        <v>51904.029206423351</v>
      </c>
      <c r="K1105" s="142">
        <v>159188.9781030271</v>
      </c>
      <c r="L1105" s="142">
        <v>18.857900000000001</v>
      </c>
      <c r="M1105" s="145">
        <v>9.6208092652823041E-3</v>
      </c>
      <c r="N1105" s="145">
        <v>1.31629477251254</v>
      </c>
      <c r="O1105" s="145">
        <v>2.3778748744689437E-3</v>
      </c>
      <c r="P1105" s="145">
        <v>4.7765662116248109E-3</v>
      </c>
      <c r="Q11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1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0.96442572289889839</v>
      </c>
      <c r="S11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0.2855624131825607</v>
      </c>
      <c r="T11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0.43362038318406348</v>
      </c>
      <c r="U11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-1.3328789449928991E-7</v>
      </c>
      <c r="V11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2.6584277004215728E-4</v>
      </c>
      <c r="W11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2.7334704803649856E-4</v>
      </c>
      <c r="X11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4.3531027716170456E-4</v>
      </c>
      <c r="Y1105" s="162" t="str">
        <f>ReportSummary___Track[[#This Row],[Track ID]]&amp;"-"&amp;ReportSummary___Track[[#This Row],[Epoch]]</f>
        <v>250-RL-OP-0040-45783.2708333333</v>
      </c>
      <c r="Z1105" s="126">
        <f>SUBTOTAL(103,ReportSummary___Track[[#This Row],[Track ID]])</f>
        <v>1</v>
      </c>
      <c r="AA1105" s="114">
        <f>_xlfn.NUMBERVALUE(RIGHT(ReportSummary___Track[[#This Row],[Track ID]],4))</f>
        <v>40</v>
      </c>
      <c r="AB1105" s="78"/>
    </row>
    <row r="1106" spans="5:28" ht="14.25" customHeight="1" x14ac:dyDescent="0.2">
      <c r="E1106" s="74">
        <v>45783.270833333336</v>
      </c>
      <c r="F1106" s="107" t="s">
        <v>280</v>
      </c>
      <c r="G1106" s="142">
        <v>51905.341841450259</v>
      </c>
      <c r="H1106" s="142">
        <v>159189.98517913549</v>
      </c>
      <c r="I1106" s="142">
        <v>18.868392406740742</v>
      </c>
      <c r="J1106" s="142">
        <v>51905.003861376892</v>
      </c>
      <c r="K1106" s="142">
        <v>159188.71299131436</v>
      </c>
      <c r="L1106" s="142">
        <v>18.858104705007346</v>
      </c>
      <c r="M1106" s="145">
        <v>1.0287701733396659E-2</v>
      </c>
      <c r="N1106" s="145">
        <v>1.3163579372773708</v>
      </c>
      <c r="O1106" s="145">
        <v>2.0628987700099799E-3</v>
      </c>
      <c r="P1106" s="145">
        <v>5.0038425273086773E-3</v>
      </c>
      <c r="Q11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-1.8847067906335724E-5</v>
      </c>
      <c r="R11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0.91816397562327623</v>
      </c>
      <c r="S11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-1.8847067906335724E-5</v>
      </c>
      <c r="T11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0.93868392979956639</v>
      </c>
      <c r="U11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-7.1051374561648117E-8</v>
      </c>
      <c r="V11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1.2785096406009444E-5</v>
      </c>
      <c r="W11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-6.0113297450925529E-8</v>
      </c>
      <c r="X11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9.3832473967836449E-4</v>
      </c>
      <c r="Y1106" s="162" t="str">
        <f>ReportSummary___Track[[#This Row],[Track ID]]&amp;"-"&amp;ReportSummary___Track[[#This Row],[Epoch]]</f>
        <v>250-RL-OP-0041-45783.2708333333</v>
      </c>
      <c r="Z1106" s="126">
        <f>SUBTOTAL(103,ReportSummary___Track[[#This Row],[Track ID]])</f>
        <v>1</v>
      </c>
      <c r="AA1106" s="114">
        <f>_xlfn.NUMBERVALUE(RIGHT(ReportSummary___Track[[#This Row],[Track ID]],4))</f>
        <v>41</v>
      </c>
      <c r="AB1106" s="78"/>
    </row>
    <row r="1107" spans="5:28" ht="14.25" customHeight="1" x14ac:dyDescent="0.2">
      <c r="E1107" s="74">
        <v>45783.270833333336</v>
      </c>
      <c r="F1107" s="107" t="s">
        <v>281</v>
      </c>
      <c r="G1107" s="142">
        <v>51906.308594977017</v>
      </c>
      <c r="H1107" s="142">
        <v>159189.72947487878</v>
      </c>
      <c r="I1107" s="142">
        <v>18.870110425193985</v>
      </c>
      <c r="J1107" s="142">
        <v>51905.970489987638</v>
      </c>
      <c r="K1107" s="142">
        <v>159188.45681371962</v>
      </c>
      <c r="L1107" s="142">
        <v>18.859577402901905</v>
      </c>
      <c r="M1107" s="145">
        <v>1.0533022292079863E-2</v>
      </c>
      <c r="N1107" s="145">
        <v>1.3168494046197401</v>
      </c>
      <c r="O1107" s="145">
        <v>1.6102161777453716E-3</v>
      </c>
      <c r="P1107" s="145">
        <v>4.2696254936274158E-3</v>
      </c>
      <c r="Q11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-1.5443749035171095E-4</v>
      </c>
      <c r="R11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0.57099669457172375</v>
      </c>
      <c r="S11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-1.5443749035171095E-4</v>
      </c>
      <c r="T11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0.61197815753288864</v>
      </c>
      <c r="U11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-5.8221230148092218E-7</v>
      </c>
      <c r="V11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1.0476377970580764E-4</v>
      </c>
      <c r="W11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-5.1009931567591593E-7</v>
      </c>
      <c r="X11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6.0535585119225743E-4</v>
      </c>
      <c r="Y1107" s="162" t="str">
        <f>ReportSummary___Track[[#This Row],[Track ID]]&amp;"-"&amp;ReportSummary___Track[[#This Row],[Epoch]]</f>
        <v>250-RL-OP-0042-45783.2708333333</v>
      </c>
      <c r="Z1107" s="126">
        <f>SUBTOTAL(103,ReportSummary___Track[[#This Row],[Track ID]])</f>
        <v>1</v>
      </c>
      <c r="AA1107" s="114">
        <f>_xlfn.NUMBERVALUE(RIGHT(ReportSummary___Track[[#This Row],[Track ID]],4))</f>
        <v>42</v>
      </c>
      <c r="AB1107" s="78"/>
    </row>
    <row r="1108" spans="5:28" ht="14.25" customHeight="1" x14ac:dyDescent="0.2">
      <c r="E1108" s="74">
        <v>45783.270833333336</v>
      </c>
      <c r="F1108" s="107" t="s">
        <v>282</v>
      </c>
      <c r="G1108" s="142">
        <v>51907.275348503776</v>
      </c>
      <c r="H1108" s="142">
        <v>159189.47377062205</v>
      </c>
      <c r="I1108" s="142">
        <v>18.871828443647232</v>
      </c>
      <c r="J1108" s="142">
        <v>51906.937118598384</v>
      </c>
      <c r="K1108" s="142">
        <v>159188.20063612488</v>
      </c>
      <c r="L1108" s="142">
        <v>18.861050100796465</v>
      </c>
      <c r="M1108" s="145">
        <v>1.077834285076662E-2</v>
      </c>
      <c r="N1108" s="145">
        <v>1.3173409161859542</v>
      </c>
      <c r="O1108" s="145">
        <v>1.1575335854843161E-3</v>
      </c>
      <c r="P1108" s="145">
        <v>3.5354084599532598E-3</v>
      </c>
      <c r="Q11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-2.9002790924437249E-4</v>
      </c>
      <c r="R11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0.22383036032880277</v>
      </c>
      <c r="S11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-2.9002791279708617E-4</v>
      </c>
      <c r="T11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0.28527238526976362</v>
      </c>
      <c r="U11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-1.0933732284001962E-6</v>
      </c>
      <c r="V11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1.9674197695596085E-4</v>
      </c>
      <c r="W11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-9.6008533390090633E-7</v>
      </c>
      <c r="X11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2.7238696270259766E-4</v>
      </c>
      <c r="Y1108" s="162" t="str">
        <f>ReportSummary___Track[[#This Row],[Track ID]]&amp;"-"&amp;ReportSummary___Track[[#This Row],[Epoch]]</f>
        <v>250-RL-OP-0043-45783.2708333333</v>
      </c>
      <c r="Z1108" s="126">
        <f>SUBTOTAL(103,ReportSummary___Track[[#This Row],[Track ID]])</f>
        <v>1</v>
      </c>
      <c r="AA1108" s="114">
        <f>_xlfn.NUMBERVALUE(RIGHT(ReportSummary___Track[[#This Row],[Track ID]],4))</f>
        <v>43</v>
      </c>
      <c r="AB1108" s="78"/>
    </row>
    <row r="1109" spans="5:28" ht="14.25" customHeight="1" x14ac:dyDescent="0.2">
      <c r="E1109" s="74">
        <v>45783.270833333336</v>
      </c>
      <c r="F1109" s="107" t="s">
        <v>283</v>
      </c>
      <c r="G1109" s="142">
        <v>51908.242813030833</v>
      </c>
      <c r="H1109" s="142">
        <v>159189.22152574797</v>
      </c>
      <c r="I1109" s="142">
        <v>18.873859358535199</v>
      </c>
      <c r="J1109" s="142">
        <v>51907.904497607546</v>
      </c>
      <c r="K1109" s="142">
        <v>159187.94812580553</v>
      </c>
      <c r="L1109" s="142">
        <v>18.86283096891291</v>
      </c>
      <c r="M1109" s="145">
        <v>1.1028389622289581E-2</v>
      </c>
      <c r="N1109" s="145">
        <v>1.3176214799451762</v>
      </c>
      <c r="O1109" s="145">
        <v>7.4068788889292136E-4</v>
      </c>
      <c r="P1109" s="145">
        <v>2.8035866589029013E-3</v>
      </c>
      <c r="Q11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-1.3214059180199911E-5</v>
      </c>
      <c r="R11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-2.5618522458970006E-3</v>
      </c>
      <c r="S11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5.633008726135813E-6</v>
      </c>
      <c r="T11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-1.3214059180199911E-5</v>
      </c>
      <c r="U11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1.8728396966594119E-7</v>
      </c>
      <c r="V11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1.2959594418204823E-4</v>
      </c>
      <c r="W11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2.583353442275893E-7</v>
      </c>
      <c r="X11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1.9822204677666377E-7</v>
      </c>
      <c r="Y1109" s="162" t="str">
        <f>ReportSummary___Track[[#This Row],[Track ID]]&amp;"-"&amp;ReportSummary___Track[[#This Row],[Epoch]]</f>
        <v>250-RL-OP-0044-45783.2708333333</v>
      </c>
      <c r="Z1109" s="126">
        <f>SUBTOTAL(103,ReportSummary___Track[[#This Row],[Track ID]])</f>
        <v>1</v>
      </c>
      <c r="AA1109" s="114">
        <f>_xlfn.NUMBERVALUE(RIGHT(ReportSummary___Track[[#This Row],[Track ID]],4))</f>
        <v>44</v>
      </c>
      <c r="AB1109" s="78"/>
    </row>
    <row r="1110" spans="5:28" ht="14.25" customHeight="1" x14ac:dyDescent="0.2">
      <c r="E1110" s="74">
        <v>45783.270833333336</v>
      </c>
      <c r="F1110" s="107" t="s">
        <v>284</v>
      </c>
      <c r="G1110" s="142">
        <v>51909.212341281331</v>
      </c>
      <c r="H1110" s="142">
        <v>159188.97656113011</v>
      </c>
      <c r="I1110" s="142">
        <v>18.876562593940044</v>
      </c>
      <c r="J1110" s="142">
        <v>51908.873769331156</v>
      </c>
      <c r="K1110" s="142">
        <v>159187.70214442315</v>
      </c>
      <c r="L1110" s="142">
        <v>18.865173045894053</v>
      </c>
      <c r="M1110" s="145">
        <v>1.1389548045990239E-2</v>
      </c>
      <c r="N1110" s="145">
        <v>1.3186730566111029</v>
      </c>
      <c r="O1110" s="145">
        <v>8.5652575391037544E-4</v>
      </c>
      <c r="P1110" s="145">
        <v>2.4667419316557471E-3</v>
      </c>
      <c r="Q11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-1.3820282873666656E-4</v>
      </c>
      <c r="R11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-1.5825049015649739E-3</v>
      </c>
      <c r="S11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1.6234661615044388E-5</v>
      </c>
      <c r="T11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-1.3820282873666656E-4</v>
      </c>
      <c r="U11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6.9299048277571274E-7</v>
      </c>
      <c r="V11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-2.6027925973992616E-4</v>
      </c>
      <c r="W11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1.2752027842566349E-6</v>
      </c>
      <c r="X11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7.6510346858071898E-7</v>
      </c>
      <c r="Y1110" s="162" t="str">
        <f>ReportSummary___Track[[#This Row],[Track ID]]&amp;"-"&amp;ReportSummary___Track[[#This Row],[Epoch]]</f>
        <v>250-RL-OP-0045-45783.2708333333</v>
      </c>
      <c r="Z1110" s="126">
        <f>SUBTOTAL(103,ReportSummary___Track[[#This Row],[Track ID]])</f>
        <v>1</v>
      </c>
      <c r="AA1110" s="114">
        <f>_xlfn.NUMBERVALUE(RIGHT(ReportSummary___Track[[#This Row],[Track ID]],4))</f>
        <v>45</v>
      </c>
      <c r="AB1110" s="78"/>
    </row>
    <row r="1111" spans="5:28" ht="14.25" customHeight="1" x14ac:dyDescent="0.2">
      <c r="E1111" s="74">
        <v>45783.270833333336</v>
      </c>
      <c r="F1111" s="107" t="s">
        <v>285</v>
      </c>
      <c r="G1111" s="142">
        <v>51910.181869531829</v>
      </c>
      <c r="H1111" s="142">
        <v>159188.73159651223</v>
      </c>
      <c r="I1111" s="142">
        <v>18.879265829344888</v>
      </c>
      <c r="J1111" s="142">
        <v>51909.843041054766</v>
      </c>
      <c r="K1111" s="142">
        <v>159187.45616304077</v>
      </c>
      <c r="L1111" s="142">
        <v>18.867515122875201</v>
      </c>
      <c r="M1111" s="145">
        <v>1.1750706469687344E-2</v>
      </c>
      <c r="N1111" s="145">
        <v>1.3197247273882824</v>
      </c>
      <c r="O1111" s="145">
        <v>9.7236361892072409E-4</v>
      </c>
      <c r="P1111" s="145">
        <v>2.1298972044050402E-3</v>
      </c>
      <c r="Q11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-2.6319159829313321E-4</v>
      </c>
      <c r="R11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-6.0331120566026186E-4</v>
      </c>
      <c r="S11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2.6836310951239284E-5</v>
      </c>
      <c r="T11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-2.6319160184584689E-4</v>
      </c>
      <c r="U11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1.1986969923327706E-6</v>
      </c>
      <c r="V11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-6.5015247318278568E-4</v>
      </c>
      <c r="W11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2.2920702207329668E-6</v>
      </c>
      <c r="X11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1.3319848868320605E-6</v>
      </c>
      <c r="Y1111" s="162" t="str">
        <f>ReportSummary___Track[[#This Row],[Track ID]]&amp;"-"&amp;ReportSummary___Track[[#This Row],[Epoch]]</f>
        <v>250-RL-OP-0046-45783.2708333333</v>
      </c>
      <c r="Z1111" s="126">
        <f>SUBTOTAL(103,ReportSummary___Track[[#This Row],[Track ID]])</f>
        <v>1</v>
      </c>
      <c r="AA1111" s="114">
        <f>_xlfn.NUMBERVALUE(RIGHT(ReportSummary___Track[[#This Row],[Track ID]],4))</f>
        <v>46</v>
      </c>
      <c r="AB1111" s="78"/>
    </row>
    <row r="1112" spans="5:28" ht="14.25" customHeight="1" x14ac:dyDescent="0.2">
      <c r="E1112" s="74">
        <v>45783.270833333336</v>
      </c>
      <c r="F1112" s="107" t="s">
        <v>286</v>
      </c>
      <c r="G1112" s="142">
        <v>51911.152141168488</v>
      </c>
      <c r="H1112" s="142">
        <v>159188.48844327914</v>
      </c>
      <c r="I1112" s="142">
        <v>18.882402208832403</v>
      </c>
      <c r="J1112" s="142">
        <v>51910.835188304052</v>
      </c>
      <c r="K1112" s="142">
        <v>159187.20649995178</v>
      </c>
      <c r="L1112" s="142">
        <v>18.870139116386198</v>
      </c>
      <c r="M1112" s="145">
        <v>1.2263092446204382E-2</v>
      </c>
      <c r="N1112" s="145">
        <v>1.3206014524814438</v>
      </c>
      <c r="O1112" s="145">
        <v>1.2347028239148017E-3</v>
      </c>
      <c r="P1112" s="145">
        <v>1.975390712807723E-3</v>
      </c>
      <c r="Q11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7.6260495021074348E-2</v>
      </c>
      <c r="R11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1.3566103715945133E-3</v>
      </c>
      <c r="S11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7.6273709080254548E-2</v>
      </c>
      <c r="T11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7.6279342088980684E-2</v>
      </c>
      <c r="U11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-5.9112739236866219E-7</v>
      </c>
      <c r="V11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-9.3531590029027889E-4</v>
      </c>
      <c r="W11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-7.7841136203460337E-7</v>
      </c>
      <c r="X11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-5.2007601780701407E-7</v>
      </c>
      <c r="Y1112" s="162" t="str">
        <f>ReportSummary___Track[[#This Row],[Track ID]]&amp;"-"&amp;ReportSummary___Track[[#This Row],[Epoch]]</f>
        <v>250-RL-OP-0047-45783.2708333333</v>
      </c>
      <c r="Z1112" s="126">
        <f>SUBTOTAL(103,ReportSummary___Track[[#This Row],[Track ID]])</f>
        <v>1</v>
      </c>
      <c r="AA1112" s="114">
        <f>_xlfn.NUMBERVALUE(RIGHT(ReportSummary___Track[[#This Row],[Track ID]],4))</f>
        <v>47</v>
      </c>
      <c r="AB1112" s="78"/>
    </row>
    <row r="1113" spans="5:28" ht="14.25" customHeight="1" x14ac:dyDescent="0.2">
      <c r="E1113" s="74">
        <v>45783.270833333336</v>
      </c>
      <c r="F1113" s="107" t="s">
        <v>287</v>
      </c>
      <c r="G1113" s="142">
        <v>51912.123873466815</v>
      </c>
      <c r="H1113" s="142">
        <v>159188.25240570394</v>
      </c>
      <c r="I1113" s="142">
        <v>18.887156520181556</v>
      </c>
      <c r="J1113" s="142">
        <v>51911.806733444027</v>
      </c>
      <c r="K1113" s="142">
        <v>159186.96966968034</v>
      </c>
      <c r="L1113" s="142">
        <v>18.873524899190585</v>
      </c>
      <c r="M1113" s="145">
        <v>1.3631620990970816E-2</v>
      </c>
      <c r="N1113" s="145">
        <v>1.3214292721813834</v>
      </c>
      <c r="O1113" s="145">
        <v>2.2420729449805776E-3</v>
      </c>
      <c r="P1113" s="145">
        <v>3.0985986988909531E-3</v>
      </c>
      <c r="Q11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0.42565400771010786</v>
      </c>
      <c r="R11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5.1198012356312717E-3</v>
      </c>
      <c r="S11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0.42579221053884453</v>
      </c>
      <c r="T11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0.42580844520045957</v>
      </c>
      <c r="U11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-3.3544997073420291E-6</v>
      </c>
      <c r="V11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-7.7016545758912258E-4</v>
      </c>
      <c r="W11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-4.0474901901177418E-6</v>
      </c>
      <c r="X11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-2.7722874058611069E-6</v>
      </c>
      <c r="Y1113" s="162" t="str">
        <f>ReportSummary___Track[[#This Row],[Track ID]]&amp;"-"&amp;ReportSummary___Track[[#This Row],[Epoch]]</f>
        <v>250-RL-OP-0048-45783.2708333333</v>
      </c>
      <c r="Z1113" s="126">
        <f>SUBTOTAL(103,ReportSummary___Track[[#This Row],[Track ID]])</f>
        <v>1</v>
      </c>
      <c r="AA1113" s="114">
        <f>_xlfn.NUMBERVALUE(RIGHT(ReportSummary___Track[[#This Row],[Track ID]],4))</f>
        <v>48</v>
      </c>
      <c r="AB1113" s="78"/>
    </row>
    <row r="1114" spans="5:28" ht="14.25" customHeight="1" x14ac:dyDescent="0.2">
      <c r="E1114" s="74">
        <v>45783.270833333336</v>
      </c>
      <c r="F1114" s="107" t="s">
        <v>288</v>
      </c>
      <c r="G1114" s="142">
        <v>51913.095605765142</v>
      </c>
      <c r="H1114" s="142">
        <v>159188.01636812871</v>
      </c>
      <c r="I1114" s="142">
        <v>18.891910831530705</v>
      </c>
      <c r="J1114" s="142">
        <v>51912.778278584003</v>
      </c>
      <c r="K1114" s="142">
        <v>159186.73283940891</v>
      </c>
      <c r="L1114" s="142">
        <v>18.876910681994968</v>
      </c>
      <c r="M1114" s="145">
        <v>1.5000149535737251E-2</v>
      </c>
      <c r="N1114" s="145">
        <v>1.3222584917166176</v>
      </c>
      <c r="O1114" s="145">
        <v>3.2494430660499063E-3</v>
      </c>
      <c r="P1114" s="145">
        <v>4.2218066849706304E-3</v>
      </c>
      <c r="Q11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0.77504752040269409</v>
      </c>
      <c r="R11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9.5093650827049458E-3</v>
      </c>
      <c r="S11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0.77531071200098722</v>
      </c>
      <c r="T11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0.77533754831193846</v>
      </c>
      <c r="U11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-6.1178720258681096E-6</v>
      </c>
      <c r="V11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-6.050234269225907E-4</v>
      </c>
      <c r="W11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-7.3165690182008802E-6</v>
      </c>
      <c r="X11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-5.0244987974679134E-6</v>
      </c>
      <c r="Y1114" s="162" t="str">
        <f>ReportSummary___Track[[#This Row],[Track ID]]&amp;"-"&amp;ReportSummary___Track[[#This Row],[Epoch]]</f>
        <v>250-RL-OP-0049-45783.2708333333</v>
      </c>
      <c r="Z1114" s="126">
        <f>SUBTOTAL(103,ReportSummary___Track[[#This Row],[Track ID]])</f>
        <v>1</v>
      </c>
      <c r="AA1114" s="114">
        <f>_xlfn.NUMBERVALUE(RIGHT(ReportSummary___Track[[#This Row],[Track ID]],4))</f>
        <v>49</v>
      </c>
      <c r="AB1114" s="78"/>
    </row>
    <row r="1115" spans="5:28" ht="14.25" customHeight="1" x14ac:dyDescent="0.2">
      <c r="E1115" s="74">
        <v>45779.270833333336</v>
      </c>
      <c r="F1115" s="107" t="s">
        <v>235</v>
      </c>
      <c r="G1115" s="142">
        <v>51886.102866827561</v>
      </c>
      <c r="H1115" s="142">
        <v>159195.44560737311</v>
      </c>
      <c r="I1115" s="142">
        <v>18.870056358563076</v>
      </c>
      <c r="J1115" s="142">
        <v>51885.74297614133</v>
      </c>
      <c r="K1115" s="142">
        <v>159194.18669572662</v>
      </c>
      <c r="L1115" s="142">
        <v>18.866068645440574</v>
      </c>
      <c r="M1115" s="145">
        <v>3.9877131225019014E-3</v>
      </c>
      <c r="N1115" s="145">
        <v>1.3093493581062576</v>
      </c>
      <c r="O1115" s="145"/>
      <c r="P1115" s="145"/>
      <c r="Q11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-0.28105162349234547</v>
      </c>
      <c r="R11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-0.76881828115205053</v>
      </c>
      <c r="S111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1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6.4203094041204167E-7</v>
      </c>
      <c r="V11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-7.7291009227931085E-5</v>
      </c>
      <c r="W111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1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15" s="162" t="str">
        <f>ReportSummary___Track[[#This Row],[Track ID]]&amp;"-"&amp;ReportSummary___Track[[#This Row],[Epoch]]</f>
        <v>250-RL-OP-0021-45779.2708333333</v>
      </c>
      <c r="Z1115" s="126">
        <f>SUBTOTAL(103,ReportSummary___Track[[#This Row],[Track ID]])</f>
        <v>1</v>
      </c>
      <c r="AA1115" s="114">
        <f>_xlfn.NUMBERVALUE(RIGHT(ReportSummary___Track[[#This Row],[Track ID]],4))</f>
        <v>21</v>
      </c>
      <c r="AB1115" s="78"/>
    </row>
    <row r="1116" spans="5:28" ht="14.25" customHeight="1" x14ac:dyDescent="0.2">
      <c r="E1116" s="74">
        <v>45779.270833333336</v>
      </c>
      <c r="F1116" s="107" t="s">
        <v>236</v>
      </c>
      <c r="G1116" s="142">
        <v>51887.064487407013</v>
      </c>
      <c r="H1116" s="142">
        <v>159195.17122469077</v>
      </c>
      <c r="I1116" s="142">
        <v>18.870125612142669</v>
      </c>
      <c r="J1116" s="142">
        <v>51886.704005157357</v>
      </c>
      <c r="K1116" s="142">
        <v>159193.91024828269</v>
      </c>
      <c r="L1116" s="142">
        <v>18.866271344287416</v>
      </c>
      <c r="M1116" s="145">
        <v>3.8542678552531129E-3</v>
      </c>
      <c r="N1116" s="145">
        <v>1.3114967820941861</v>
      </c>
      <c r="O1116" s="145"/>
      <c r="P1116" s="145"/>
      <c r="Q11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-0.61885340744538553</v>
      </c>
      <c r="R11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-0.53203100090004618</v>
      </c>
      <c r="S111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1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8.9862957004527289E-6</v>
      </c>
      <c r="V11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-1.7224446750940814E-4</v>
      </c>
      <c r="W111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1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16" s="162" t="str">
        <f>ReportSummary___Track[[#This Row],[Track ID]]&amp;"-"&amp;ReportSummary___Track[[#This Row],[Epoch]]</f>
        <v>250-RL-OP-0022-45779.2708333333</v>
      </c>
      <c r="Z1116" s="126">
        <f>SUBTOTAL(103,ReportSummary___Track[[#This Row],[Track ID]])</f>
        <v>1</v>
      </c>
      <c r="AA1116" s="114">
        <f>_xlfn.NUMBERVALUE(RIGHT(ReportSummary___Track[[#This Row],[Track ID]],4))</f>
        <v>22</v>
      </c>
      <c r="AB1116" s="78"/>
    </row>
    <row r="1117" spans="5:28" ht="14.25" customHeight="1" x14ac:dyDescent="0.2">
      <c r="E1117" s="74">
        <v>45779.270833333336</v>
      </c>
      <c r="F1117" s="107" t="s">
        <v>237</v>
      </c>
      <c r="G1117" s="142">
        <v>51888.026107986465</v>
      </c>
      <c r="H1117" s="142">
        <v>159194.8968420084</v>
      </c>
      <c r="I1117" s="142">
        <v>18.870194865722262</v>
      </c>
      <c r="J1117" s="142">
        <v>51887.665034173377</v>
      </c>
      <c r="K1117" s="142">
        <v>159193.63380083872</v>
      </c>
      <c r="L1117" s="142">
        <v>18.866474043134257</v>
      </c>
      <c r="M1117" s="145">
        <v>3.7208225880043244E-3</v>
      </c>
      <c r="N1117" s="145">
        <v>1.3136442209782244</v>
      </c>
      <c r="O1117" s="145"/>
      <c r="P1117" s="145"/>
      <c r="Q11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-0.95665519139842559</v>
      </c>
      <c r="R11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-0.29525863216317561</v>
      </c>
      <c r="S1117"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1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1.7330560456940702E-5</v>
      </c>
      <c r="V11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-2.6719983828371596E-4</v>
      </c>
      <c r="W1117"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1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17" s="162" t="str">
        <f>ReportSummary___Track[[#This Row],[Track ID]]&amp;"-"&amp;ReportSummary___Track[[#This Row],[Epoch]]</f>
        <v>250-RL-OP-0023-45779.2708333333</v>
      </c>
      <c r="Z1117" s="126">
        <f>SUBTOTAL(103,ReportSummary___Track[[#This Row],[Track ID]])</f>
        <v>1</v>
      </c>
      <c r="AA1117" s="114">
        <f>_xlfn.NUMBERVALUE(RIGHT(ReportSummary___Track[[#This Row],[Track ID]],4))</f>
        <v>23</v>
      </c>
      <c r="AB1117" s="78"/>
    </row>
    <row r="1118" spans="5:28" ht="14.25" customHeight="1" x14ac:dyDescent="0.2">
      <c r="E1118" s="74">
        <v>45779.270833333336</v>
      </c>
      <c r="F1118" s="107" t="s">
        <v>238</v>
      </c>
      <c r="G1118" s="142">
        <v>51888.986311906534</v>
      </c>
      <c r="H1118" s="142">
        <v>159194.62209812674</v>
      </c>
      <c r="I1118" s="142">
        <v>18.869514952116027</v>
      </c>
      <c r="J1118" s="142">
        <v>51888.625103758357</v>
      </c>
      <c r="K1118" s="142">
        <v>159193.35707278902</v>
      </c>
      <c r="L1118" s="142">
        <v>18.865453221913011</v>
      </c>
      <c r="M1118" s="145">
        <v>4.0617302030163671E-3</v>
      </c>
      <c r="N1118" s="145">
        <v>1.3155899547499392</v>
      </c>
      <c r="O1118" s="145">
        <v>7.4017080514465761E-5</v>
      </c>
      <c r="P1118" s="145"/>
      <c r="Q11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-0.7006913560623218</v>
      </c>
      <c r="R11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-0.17947458187661525</v>
      </c>
      <c r="S11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-0.41963973256997633</v>
      </c>
      <c r="T111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2.2187327530787115E-7</v>
      </c>
      <c r="V11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-1.8920601841121432E-4</v>
      </c>
      <c r="W11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-4.2015766510417052E-7</v>
      </c>
      <c r="X111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18" s="162" t="str">
        <f>ReportSummary___Track[[#This Row],[Track ID]]&amp;"-"&amp;ReportSummary___Track[[#This Row],[Epoch]]</f>
        <v>250-RL-OP-0024-45779.2708333333</v>
      </c>
      <c r="Z1118" s="126">
        <f>SUBTOTAL(103,ReportSummary___Track[[#This Row],[Track ID]])</f>
        <v>1</v>
      </c>
      <c r="AA1118" s="114">
        <f>_xlfn.NUMBERVALUE(RIGHT(ReportSummary___Track[[#This Row],[Track ID]],4))</f>
        <v>24</v>
      </c>
      <c r="AB1118" s="78"/>
    </row>
    <row r="1119" spans="5:28" ht="14.25" customHeight="1" x14ac:dyDescent="0.2">
      <c r="E1119" s="74">
        <v>45779.270833333336</v>
      </c>
      <c r="F1119" s="107" t="s">
        <v>239</v>
      </c>
      <c r="G1119" s="142">
        <v>51889.947713492664</v>
      </c>
      <c r="H1119" s="142">
        <v>159194.3469500916</v>
      </c>
      <c r="I1119" s="142">
        <v>18.868774039414347</v>
      </c>
      <c r="J1119" s="142">
        <v>51889.585962165373</v>
      </c>
      <c r="K1119" s="142">
        <v>159193.08003546728</v>
      </c>
      <c r="L1119" s="142">
        <v>18.864251548067312</v>
      </c>
      <c r="M1119" s="145">
        <v>4.5224913470356398E-3</v>
      </c>
      <c r="N1119" s="145">
        <v>1.3175572629012891</v>
      </c>
      <c r="O1119" s="145">
        <v>6.6822349178252693E-4</v>
      </c>
      <c r="P1119" s="145"/>
      <c r="Q11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-0.35710338210748205</v>
      </c>
      <c r="R11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-9.1727415674425217E-2</v>
      </c>
      <c r="S11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0.26175002533790348</v>
      </c>
      <c r="T111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4.6184005242366766E-7</v>
      </c>
      <c r="V11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-9.6513581364865431E-5</v>
      </c>
      <c r="W11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-8.5244556480290612E-6</v>
      </c>
      <c r="X111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19" s="162" t="str">
        <f>ReportSummary___Track[[#This Row],[Track ID]]&amp;"-"&amp;ReportSummary___Track[[#This Row],[Epoch]]</f>
        <v>250-RL-OP-0025-45779.2708333333</v>
      </c>
      <c r="Z1119" s="126">
        <f>SUBTOTAL(103,ReportSummary___Track[[#This Row],[Track ID]])</f>
        <v>1</v>
      </c>
      <c r="AA1119" s="114">
        <f>_xlfn.NUMBERVALUE(RIGHT(ReportSummary___Track[[#This Row],[Track ID]],4))</f>
        <v>25</v>
      </c>
      <c r="AB1119" s="78"/>
    </row>
    <row r="1120" spans="5:28" ht="14.25" customHeight="1" x14ac:dyDescent="0.2">
      <c r="E1120" s="74">
        <v>45779.270833333336</v>
      </c>
      <c r="F1120" s="107" t="s">
        <v>240</v>
      </c>
      <c r="G1120" s="142">
        <v>51890.909115078794</v>
      </c>
      <c r="H1120" s="142">
        <v>159194.07180205648</v>
      </c>
      <c r="I1120" s="142">
        <v>18.868033126712668</v>
      </c>
      <c r="J1120" s="142">
        <v>51890.546820572396</v>
      </c>
      <c r="K1120" s="142">
        <v>159192.80299814555</v>
      </c>
      <c r="L1120" s="142">
        <v>18.863049874221616</v>
      </c>
      <c r="M1120" s="145">
        <v>4.9832524910513598E-3</v>
      </c>
      <c r="N1120" s="145">
        <v>1.319524727534094</v>
      </c>
      <c r="O1120" s="145">
        <v>1.2624299030470354E-3</v>
      </c>
      <c r="P1120" s="145"/>
      <c r="Q11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-1.3515408156195008E-2</v>
      </c>
      <c r="R11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-3.8330151141963142E-3</v>
      </c>
      <c r="S11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0.94313978324223058</v>
      </c>
      <c r="T112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7.018068224340368E-7</v>
      </c>
      <c r="V11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-3.8211533073262416E-6</v>
      </c>
      <c r="W11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-1.6628753634506666E-5</v>
      </c>
      <c r="X112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20" s="162" t="str">
        <f>ReportSummary___Track[[#This Row],[Track ID]]&amp;"-"&amp;ReportSummary___Track[[#This Row],[Epoch]]</f>
        <v>250-RL-OP-0026-45779.2708333333</v>
      </c>
      <c r="Z1120" s="126">
        <f>SUBTOTAL(103,ReportSummary___Track[[#This Row],[Track ID]])</f>
        <v>1</v>
      </c>
      <c r="AA1120" s="114">
        <f>_xlfn.NUMBERVALUE(RIGHT(ReportSummary___Track[[#This Row],[Track ID]],4))</f>
        <v>26</v>
      </c>
      <c r="AB1120" s="78"/>
    </row>
    <row r="1121" spans="5:28" ht="14.25" customHeight="1" x14ac:dyDescent="0.2">
      <c r="E1121" s="74">
        <v>45779.270833333336</v>
      </c>
      <c r="F1121" s="107" t="s">
        <v>241</v>
      </c>
      <c r="G1121" s="142">
        <v>51891.870997674043</v>
      </c>
      <c r="H1121" s="142">
        <v>159193.79503821288</v>
      </c>
      <c r="I1121" s="142">
        <v>18.865661670375356</v>
      </c>
      <c r="J1121" s="142">
        <v>51891.505242386549</v>
      </c>
      <c r="K1121" s="142">
        <v>159192.52652276491</v>
      </c>
      <c r="L1121" s="142">
        <v>18.861282734964647</v>
      </c>
      <c r="M1121" s="145">
        <v>4.3789354107097722E-3</v>
      </c>
      <c r="N1121" s="145">
        <v>1.3201998133397823</v>
      </c>
      <c r="O1121" s="145">
        <v>3.172052076934051E-4</v>
      </c>
      <c r="P1121" s="145">
        <v>3.9122228820787086E-4</v>
      </c>
      <c r="Q11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-0.32401091082334688</v>
      </c>
      <c r="R11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-1.1143772193911161E-3</v>
      </c>
      <c r="S11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0.37668044523897493</v>
      </c>
      <c r="T11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-4.2959287331001406E-2</v>
      </c>
      <c r="U11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6.2060054162316192E-7</v>
      </c>
      <c r="V11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8.4508413307649022E-5</v>
      </c>
      <c r="W11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3.9872726631529076E-7</v>
      </c>
      <c r="X11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-2.1430398788879756E-8</v>
      </c>
      <c r="Y1121" s="162" t="str">
        <f>ReportSummary___Track[[#This Row],[Track ID]]&amp;"-"&amp;ReportSummary___Track[[#This Row],[Epoch]]</f>
        <v>250-RL-OP-0027-45779.2708333333</v>
      </c>
      <c r="Z1121" s="126">
        <f>SUBTOTAL(103,ReportSummary___Track[[#This Row],[Track ID]])</f>
        <v>1</v>
      </c>
      <c r="AA1121" s="114">
        <f>_xlfn.NUMBERVALUE(RIGHT(ReportSummary___Track[[#This Row],[Track ID]],4))</f>
        <v>27</v>
      </c>
      <c r="AB1121" s="78"/>
    </row>
    <row r="1122" spans="5:28" ht="14.25" customHeight="1" x14ac:dyDescent="0.2">
      <c r="E1122" s="74">
        <v>45779.270833333336</v>
      </c>
      <c r="F1122" s="107" t="s">
        <v>242</v>
      </c>
      <c r="G1122" s="142">
        <v>51892.831986665937</v>
      </c>
      <c r="H1122" s="142">
        <v>159193.51846240537</v>
      </c>
      <c r="I1122" s="142">
        <v>18.863216230483452</v>
      </c>
      <c r="J1122" s="142">
        <v>51892.466060782528</v>
      </c>
      <c r="K1122" s="142">
        <v>159192.24934992488</v>
      </c>
      <c r="L1122" s="142">
        <v>18.859486432626408</v>
      </c>
      <c r="M1122" s="145">
        <v>3.7297978570443036E-3</v>
      </c>
      <c r="N1122" s="145">
        <v>1.3208187429246898</v>
      </c>
      <c r="O1122" s="145">
        <v>-7.9269348999133626E-4</v>
      </c>
      <c r="P1122" s="145">
        <v>-1.2446999820880933E-4</v>
      </c>
      <c r="Q11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-0.66293445770782</v>
      </c>
      <c r="R11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-2.0382235212945687E-3</v>
      </c>
      <c r="S11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-0.30583107560033795</v>
      </c>
      <c r="T11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-4.4081050262434474E-2</v>
      </c>
      <c r="U11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1.2697155788998771E-6</v>
      </c>
      <c r="V11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1.7297519881709356E-4</v>
      </c>
      <c r="W11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8.0787552647620942E-7</v>
      </c>
      <c r="X11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-7.7165801215528518E-6</v>
      </c>
      <c r="Y1122" s="162" t="str">
        <f>ReportSummary___Track[[#This Row],[Track ID]]&amp;"-"&amp;ReportSummary___Track[[#This Row],[Epoch]]</f>
        <v>250-RL-OP-0028-45779.2708333333</v>
      </c>
      <c r="Z1122" s="126">
        <f>SUBTOTAL(103,ReportSummary___Track[[#This Row],[Track ID]])</f>
        <v>1</v>
      </c>
      <c r="AA1122" s="114">
        <f>_xlfn.NUMBERVALUE(RIGHT(ReportSummary___Track[[#This Row],[Track ID]],4))</f>
        <v>28</v>
      </c>
      <c r="AB1122" s="78"/>
    </row>
    <row r="1123" spans="5:28" ht="14.25" customHeight="1" x14ac:dyDescent="0.2">
      <c r="E1123" s="74">
        <v>45779.270833333336</v>
      </c>
      <c r="F1123" s="107" t="s">
        <v>243</v>
      </c>
      <c r="G1123" s="142">
        <v>51893.792832897052</v>
      </c>
      <c r="H1123" s="142">
        <v>159193.2418849722</v>
      </c>
      <c r="I1123" s="142">
        <v>18.860926425435991</v>
      </c>
      <c r="J1123" s="142">
        <v>51893.426692719338</v>
      </c>
      <c r="K1123" s="142">
        <v>159191.97223227765</v>
      </c>
      <c r="L1123" s="142">
        <v>18.857700906113323</v>
      </c>
      <c r="M1123" s="145">
        <v>3.2255193226689016E-3</v>
      </c>
      <c r="N1123" s="145">
        <v>1.3213958523060825</v>
      </c>
      <c r="O1123" s="145">
        <v>-1.7577331683824582E-3</v>
      </c>
      <c r="P1123" s="145">
        <v>-4.9530326533542279E-4</v>
      </c>
      <c r="Q11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-0.9805708173225014</v>
      </c>
      <c r="R11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-2.7573916800971432E-3</v>
      </c>
      <c r="S11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-0.96705540916630639</v>
      </c>
      <c r="T11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-2.3915625924075812E-2</v>
      </c>
      <c r="U11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1.8216043393692871E-6</v>
      </c>
      <c r="V11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2.7135489595608853E-4</v>
      </c>
      <c r="W11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1.1197975169352503E-6</v>
      </c>
      <c r="X11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-1.5508956117571415E-5</v>
      </c>
      <c r="Y1123" s="162" t="str">
        <f>ReportSummary___Track[[#This Row],[Track ID]]&amp;"-"&amp;ReportSummary___Track[[#This Row],[Epoch]]</f>
        <v>250-RL-OP-0029-45779.2708333333</v>
      </c>
      <c r="Z1123" s="126">
        <f>SUBTOTAL(103,ReportSummary___Track[[#This Row],[Track ID]])</f>
        <v>1</v>
      </c>
      <c r="AA1123" s="114">
        <f>_xlfn.NUMBERVALUE(RIGHT(ReportSummary___Track[[#This Row],[Track ID]],4))</f>
        <v>29</v>
      </c>
      <c r="AB1123" s="78"/>
    </row>
    <row r="1124" spans="5:28" ht="14.25" customHeight="1" x14ac:dyDescent="0.2">
      <c r="E1124" s="74">
        <v>45779.270833333336</v>
      </c>
      <c r="F1124" s="107" t="s">
        <v>269</v>
      </c>
      <c r="G1124" s="142">
        <v>51894.753608932246</v>
      </c>
      <c r="H1124" s="142">
        <v>159192.96455996652</v>
      </c>
      <c r="I1124" s="142">
        <v>18.86142785685897</v>
      </c>
      <c r="J1124" s="142">
        <v>51894.38758316014</v>
      </c>
      <c r="K1124" s="142">
        <v>159191.6953035295</v>
      </c>
      <c r="L1124" s="142">
        <v>18.857871870891774</v>
      </c>
      <c r="M1124" s="145">
        <v>3.5559859671963068E-3</v>
      </c>
      <c r="N1124" s="145">
        <v>1.3209842594843462</v>
      </c>
      <c r="O1124" s="145">
        <v>-8.2294944351346544E-4</v>
      </c>
      <c r="P1124" s="145">
        <v>-5.0574423582006034E-4</v>
      </c>
      <c r="Q11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-0.30435372374526537</v>
      </c>
      <c r="R11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-8.5432864516121754E-4</v>
      </c>
      <c r="S11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1.9657187078081506E-2</v>
      </c>
      <c r="T11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0.39633763231705643</v>
      </c>
      <c r="U11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3.4408066718683017E-4</v>
      </c>
      <c r="V11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8.4834548696344214E-5</v>
      </c>
      <c r="W11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3.4346006664520701E-4</v>
      </c>
      <c r="X11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3.438587939115223E-4</v>
      </c>
      <c r="Y1124" s="162" t="str">
        <f>ReportSummary___Track[[#This Row],[Track ID]]&amp;"-"&amp;ReportSummary___Track[[#This Row],[Epoch]]</f>
        <v>250-RL-OP-0030-45779.2708333333</v>
      </c>
      <c r="Z1124" s="126">
        <f>SUBTOTAL(103,ReportSummary___Track[[#This Row],[Track ID]])</f>
        <v>1</v>
      </c>
      <c r="AA1124" s="114">
        <f>_xlfn.NUMBERVALUE(RIGHT(ReportSummary___Track[[#This Row],[Track ID]],4))</f>
        <v>30</v>
      </c>
      <c r="AB1124" s="78"/>
    </row>
    <row r="1125" spans="5:28" ht="14.25" customHeight="1" x14ac:dyDescent="0.2">
      <c r="E1125" s="74">
        <v>45779.270833333336</v>
      </c>
      <c r="F1125" s="107" t="s">
        <v>270</v>
      </c>
      <c r="G1125" s="142">
        <v>51895.714384967439</v>
      </c>
      <c r="H1125" s="142">
        <v>159192.68723496085</v>
      </c>
      <c r="I1125" s="142">
        <v>18.861929288281949</v>
      </c>
      <c r="J1125" s="142">
        <v>51895.348473600949</v>
      </c>
      <c r="K1125" s="142">
        <v>159191.41837478138</v>
      </c>
      <c r="L1125" s="142">
        <v>18.858042835670226</v>
      </c>
      <c r="M1125" s="145">
        <v>3.8864526117237119E-3</v>
      </c>
      <c r="N1125" s="145">
        <v>1.3205727498603261</v>
      </c>
      <c r="O1125" s="145">
        <v>1.5665475467940837E-4</v>
      </c>
      <c r="P1125" s="145">
        <v>-6.3603873531192789E-4</v>
      </c>
      <c r="Q11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0.37186336983197066</v>
      </c>
      <c r="R11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1.0420670735200588E-3</v>
      </c>
      <c r="S11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1.0347978275397907</v>
      </c>
      <c r="T11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0.72896675193945271</v>
      </c>
      <c r="U11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6.8633973003429105E-4</v>
      </c>
      <c r="V11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-1.01602670642853E-4</v>
      </c>
      <c r="W11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6.8507001445539117E-4</v>
      </c>
      <c r="X11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6.8587788998186738E-4</v>
      </c>
      <c r="Y1125" s="162" t="str">
        <f>ReportSummary___Track[[#This Row],[Track ID]]&amp;"-"&amp;ReportSummary___Track[[#This Row],[Epoch]]</f>
        <v>250-RL-OP-0031-45779.2708333333</v>
      </c>
      <c r="Z1125" s="126">
        <f>SUBTOTAL(103,ReportSummary___Track[[#This Row],[Track ID]])</f>
        <v>1</v>
      </c>
      <c r="AA1125" s="114">
        <f>_xlfn.NUMBERVALUE(RIGHT(ReportSummary___Track[[#This Row],[Track ID]],4))</f>
        <v>31</v>
      </c>
      <c r="AB1125" s="78"/>
    </row>
    <row r="1126" spans="5:28" ht="14.25" customHeight="1" x14ac:dyDescent="0.2">
      <c r="E1126" s="74">
        <v>45779.270833333336</v>
      </c>
      <c r="F1126" s="107" t="s">
        <v>271</v>
      </c>
      <c r="G1126" s="142">
        <v>51896.675400318774</v>
      </c>
      <c r="H1126" s="142">
        <v>159192.40988834528</v>
      </c>
      <c r="I1126" s="142">
        <v>18.862476975813159</v>
      </c>
      <c r="J1126" s="142">
        <v>51896.309521418087</v>
      </c>
      <c r="K1126" s="142">
        <v>159191.14170884955</v>
      </c>
      <c r="L1126" s="142">
        <v>18.858247340168667</v>
      </c>
      <c r="M1126" s="145">
        <v>4.2296356444921912E-3</v>
      </c>
      <c r="N1126" s="145">
        <v>1.3199107898567108</v>
      </c>
      <c r="O1126" s="145">
        <v>1.0041163218232896E-3</v>
      </c>
      <c r="P1126" s="145">
        <v>-7.5361684655916861E-4</v>
      </c>
      <c r="Q11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0.97861787842390413</v>
      </c>
      <c r="R11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2.7731959137966555E-3</v>
      </c>
      <c r="S11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1.9591886957464055</v>
      </c>
      <c r="T11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0.99213328658009914</v>
      </c>
      <c r="U11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9.785598524238992E-4</v>
      </c>
      <c r="V11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-2.8180550642331603E-4</v>
      </c>
      <c r="W11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9.7673824808452991E-4</v>
      </c>
      <c r="X11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9.7785804560146516E-4</v>
      </c>
      <c r="Y1126" s="162" t="str">
        <f>ReportSummary___Track[[#This Row],[Track ID]]&amp;"-"&amp;ReportSummary___Track[[#This Row],[Epoch]]</f>
        <v>250-RL-OP-0032-45779.2708333333</v>
      </c>
      <c r="Z1126" s="126">
        <f>SUBTOTAL(103,ReportSummary___Track[[#This Row],[Track ID]])</f>
        <v>1</v>
      </c>
      <c r="AA1126" s="114">
        <f>_xlfn.NUMBERVALUE(RIGHT(ReportSummary___Track[[#This Row],[Track ID]],4))</f>
        <v>32</v>
      </c>
      <c r="AB1126" s="78"/>
    </row>
    <row r="1127" spans="5:28" ht="14.25" customHeight="1" x14ac:dyDescent="0.2">
      <c r="E1127" s="74">
        <v>45779.270833333336</v>
      </c>
      <c r="F1127" s="107" t="s">
        <v>272</v>
      </c>
      <c r="G1127" s="142">
        <v>51897.636381111792</v>
      </c>
      <c r="H1127" s="142">
        <v>159192.13327607361</v>
      </c>
      <c r="I1127" s="142">
        <v>18.863728615051539</v>
      </c>
      <c r="J1127" s="142">
        <v>51897.271420156809</v>
      </c>
      <c r="K1127" s="142">
        <v>159190.86830352191</v>
      </c>
      <c r="L1127" s="142">
        <v>18.858833233345244</v>
      </c>
      <c r="M1127" s="145">
        <v>4.8953817062944438E-3</v>
      </c>
      <c r="N1127" s="145">
        <v>1.3165773885230556</v>
      </c>
      <c r="O1127" s="145">
        <v>1.339395739098137E-3</v>
      </c>
      <c r="P1127" s="145">
        <v>5.1644629558467159E-4</v>
      </c>
      <c r="Q11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0.63094110484129828</v>
      </c>
      <c r="R11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2.1951534256992034E-3</v>
      </c>
      <c r="S11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0.93529482858656365</v>
      </c>
      <c r="T11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0.95495201566464516</v>
      </c>
      <c r="U11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6.3000050090522564E-4</v>
      </c>
      <c r="V11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-4.2623750027104279E-4</v>
      </c>
      <c r="W11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2.8591983371839547E-4</v>
      </c>
      <c r="X11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6.2937990036360247E-4</v>
      </c>
      <c r="Y1127" s="162" t="str">
        <f>ReportSummary___Track[[#This Row],[Track ID]]&amp;"-"&amp;ReportSummary___Track[[#This Row],[Epoch]]</f>
        <v>250-RL-OP-0033-45779.2708333333</v>
      </c>
      <c r="Z1127" s="126">
        <f>SUBTOTAL(103,ReportSummary___Track[[#This Row],[Track ID]])</f>
        <v>1</v>
      </c>
      <c r="AA1127" s="114">
        <f>_xlfn.NUMBERVALUE(RIGHT(ReportSummary___Track[[#This Row],[Track ID]],4))</f>
        <v>33</v>
      </c>
      <c r="AB1127" s="78"/>
    </row>
    <row r="1128" spans="5:28" ht="14.25" customHeight="1" x14ac:dyDescent="0.2">
      <c r="E1128" s="74">
        <v>45779.270833333336</v>
      </c>
      <c r="F1128" s="107" t="s">
        <v>273</v>
      </c>
      <c r="G1128" s="142">
        <v>51898.597361904816</v>
      </c>
      <c r="H1128" s="142">
        <v>159191.85666380194</v>
      </c>
      <c r="I1128" s="142">
        <v>18.864980254289922</v>
      </c>
      <c r="J1128" s="142">
        <v>51898.233318895531</v>
      </c>
      <c r="K1128" s="142">
        <v>159190.59489819428</v>
      </c>
      <c r="L1128" s="142">
        <v>18.859419126521821</v>
      </c>
      <c r="M1128" s="145">
        <v>5.5611277681002491E-3</v>
      </c>
      <c r="N1128" s="145">
        <v>1.3132443365306647</v>
      </c>
      <c r="O1128" s="145">
        <v>1.6746751563765372E-3</v>
      </c>
      <c r="P1128" s="145">
        <v>1.8313299110559456E-3</v>
      </c>
      <c r="Q11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0.28326433126224515</v>
      </c>
      <c r="R11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1.1696273194417017E-3</v>
      </c>
      <c r="S11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-8.8599038569725508E-2</v>
      </c>
      <c r="T11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0.94619878897006515</v>
      </c>
      <c r="U11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2.8144114938655207E-4</v>
      </c>
      <c r="V11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-5.7111742442517155E-4</v>
      </c>
      <c r="W11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-4.0489858064773898E-4</v>
      </c>
      <c r="X11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2.8017143380765219E-4</v>
      </c>
      <c r="Y1128" s="162" t="str">
        <f>ReportSummary___Track[[#This Row],[Track ID]]&amp;"-"&amp;ReportSummary___Track[[#This Row],[Epoch]]</f>
        <v>250-RL-OP-0034-45779.2708333333</v>
      </c>
      <c r="Z1128" s="126">
        <f>SUBTOTAL(103,ReportSummary___Track[[#This Row],[Track ID]])</f>
        <v>1</v>
      </c>
      <c r="AA1128" s="114">
        <f>_xlfn.NUMBERVALUE(RIGHT(ReportSummary___Track[[#This Row],[Track ID]],4))</f>
        <v>34</v>
      </c>
      <c r="AB1128" s="78"/>
    </row>
    <row r="1129" spans="5:28" ht="14.25" customHeight="1" x14ac:dyDescent="0.2">
      <c r="E1129" s="74">
        <v>45779.270833333336</v>
      </c>
      <c r="F1129" s="107" t="s">
        <v>274</v>
      </c>
      <c r="G1129" s="142">
        <v>51899.558748431518</v>
      </c>
      <c r="H1129" s="142">
        <v>159191.58137758734</v>
      </c>
      <c r="I1129" s="142">
        <v>18.866</v>
      </c>
      <c r="J1129" s="142">
        <v>51899.203472361332</v>
      </c>
      <c r="K1129" s="142">
        <v>159190.31962001548</v>
      </c>
      <c r="L1129" s="142">
        <v>18.859777427163273</v>
      </c>
      <c r="M1129" s="145">
        <v>6.2225728367266697E-3</v>
      </c>
      <c r="N1129" s="145">
        <v>1.3108363653061348</v>
      </c>
      <c r="O1129" s="145">
        <v>1.9929371922344785E-3</v>
      </c>
      <c r="P1129" s="145">
        <v>2.9970535140577681E-3</v>
      </c>
      <c r="Q11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11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3.6910825063074526E-4</v>
      </c>
      <c r="S11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-0.97860702465268901</v>
      </c>
      <c r="T11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0.98058167109371652</v>
      </c>
      <c r="U11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11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-6.4971259451507279E-4</v>
      </c>
      <c r="W11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-9.782420128381375E-4</v>
      </c>
      <c r="X11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-1.5037647536075838E-6</v>
      </c>
      <c r="Y1129" s="162" t="str">
        <f>ReportSummary___Track[[#This Row],[Track ID]]&amp;"-"&amp;ReportSummary___Track[[#This Row],[Epoch]]</f>
        <v>250-RL-OP-0035-45779.2708333333</v>
      </c>
      <c r="Z1129" s="126">
        <f>SUBTOTAL(103,ReportSummary___Track[[#This Row],[Track ID]])</f>
        <v>1</v>
      </c>
      <c r="AA1129" s="114">
        <f>_xlfn.NUMBERVALUE(RIGHT(ReportSummary___Track[[#This Row],[Track ID]],4))</f>
        <v>35</v>
      </c>
      <c r="AB1129" s="78"/>
    </row>
    <row r="1130" spans="5:28" ht="14.25" customHeight="1" x14ac:dyDescent="0.2">
      <c r="E1130" s="74">
        <v>45779.270833333336</v>
      </c>
      <c r="F1130" s="107" t="s">
        <v>275</v>
      </c>
      <c r="G1130" s="142">
        <v>51900.521772886575</v>
      </c>
      <c r="H1130" s="142">
        <v>159191.31196359557</v>
      </c>
      <c r="I1130" s="142">
        <v>18.866</v>
      </c>
      <c r="J1130" s="142">
        <v>51900.166031558641</v>
      </c>
      <c r="K1130" s="142">
        <v>159190.04854924016</v>
      </c>
      <c r="L1130" s="142">
        <v>18.859124401927648</v>
      </c>
      <c r="M1130" s="145">
        <v>6.8755980723516075E-3</v>
      </c>
      <c r="N1130" s="145">
        <v>1.3125604746775994</v>
      </c>
      <c r="O1130" s="145">
        <v>1.9802163660571637E-3</v>
      </c>
      <c r="P1130" s="145">
        <v>3.3196121051553007E-3</v>
      </c>
      <c r="Q11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11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6.4312598746507632E-3</v>
      </c>
      <c r="S11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-0.63087242596537862</v>
      </c>
      <c r="T11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0.30442240262118503</v>
      </c>
      <c r="U11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11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-4.2495956612387253E-4</v>
      </c>
      <c r="W11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-6.2373729049980398E-4</v>
      </c>
      <c r="X11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-3.3781745678140851E-4</v>
      </c>
      <c r="Y1130" s="162" t="str">
        <f>ReportSummary___Track[[#This Row],[Track ID]]&amp;"-"&amp;ReportSummary___Track[[#This Row],[Epoch]]</f>
        <v>250-RL-OP-0036-45779.2708333333</v>
      </c>
      <c r="Z1130" s="126">
        <f>SUBTOTAL(103,ReportSummary___Track[[#This Row],[Track ID]])</f>
        <v>1</v>
      </c>
      <c r="AA1130" s="114">
        <f>_xlfn.NUMBERVALUE(RIGHT(ReportSummary___Track[[#This Row],[Track ID]],4))</f>
        <v>36</v>
      </c>
      <c r="AB1130" s="78"/>
    </row>
    <row r="1131" spans="5:28" ht="14.25" customHeight="1" x14ac:dyDescent="0.2">
      <c r="E1131" s="74">
        <v>45779.270833333336</v>
      </c>
      <c r="F1131" s="107" t="s">
        <v>276</v>
      </c>
      <c r="G1131" s="142">
        <v>51901.484797341633</v>
      </c>
      <c r="H1131" s="142">
        <v>159191.04254960379</v>
      </c>
      <c r="I1131" s="142">
        <v>18.866</v>
      </c>
      <c r="J1131" s="142">
        <v>51901.128590755958</v>
      </c>
      <c r="K1131" s="142">
        <v>159189.77747846485</v>
      </c>
      <c r="L1131" s="142">
        <v>18.858471376692027</v>
      </c>
      <c r="M1131" s="145">
        <v>7.5286233079729925E-3</v>
      </c>
      <c r="N1131" s="145">
        <v>1.314284900025277</v>
      </c>
      <c r="O1131" s="145">
        <v>1.9674955398727434E-3</v>
      </c>
      <c r="P1131" s="145">
        <v>3.6421706962492806E-3</v>
      </c>
      <c r="Q11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1.2650398062419299E-4</v>
      </c>
      <c r="R11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1.249343231957134E-2</v>
      </c>
      <c r="S11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-0.28313782728162096</v>
      </c>
      <c r="T11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-0.37173686585134647</v>
      </c>
      <c r="U11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1.220858122863433E-5</v>
      </c>
      <c r="V11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-2.0020175760859793E-4</v>
      </c>
      <c r="W11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-2.6923256815791774E-4</v>
      </c>
      <c r="X11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-6.7413114880565672E-4</v>
      </c>
      <c r="Y1131" s="162" t="str">
        <f>ReportSummary___Track[[#This Row],[Track ID]]&amp;"-"&amp;ReportSummary___Track[[#This Row],[Epoch]]</f>
        <v>250-RL-OP-0037-45779.2708333333</v>
      </c>
      <c r="Z1131" s="126">
        <f>SUBTOTAL(103,ReportSummary___Track[[#This Row],[Track ID]])</f>
        <v>1</v>
      </c>
      <c r="AA1131" s="114">
        <f>_xlfn.NUMBERVALUE(RIGHT(ReportSummary___Track[[#This Row],[Track ID]],4))</f>
        <v>37</v>
      </c>
      <c r="AB1131" s="78"/>
    </row>
    <row r="1132" spans="5:28" ht="14.25" customHeight="1" x14ac:dyDescent="0.2">
      <c r="E1132" s="74">
        <v>45779.270833333336</v>
      </c>
      <c r="F1132" s="107" t="s">
        <v>277</v>
      </c>
      <c r="G1132" s="142">
        <v>51902.447765839897</v>
      </c>
      <c r="H1132" s="142">
        <v>159190.77423041448</v>
      </c>
      <c r="I1132" s="142">
        <v>18.866065372992377</v>
      </c>
      <c r="J1132" s="142">
        <v>51902.099872443272</v>
      </c>
      <c r="K1132" s="142">
        <v>159189.5050474201</v>
      </c>
      <c r="L1132" s="142">
        <v>18.857900000000001</v>
      </c>
      <c r="M1132" s="145">
        <v>8.1653729923765184E-3</v>
      </c>
      <c r="N1132" s="145">
        <v>1.3160250612940905</v>
      </c>
      <c r="O1132" s="145">
        <v>1.9428001556498486E-3</v>
      </c>
      <c r="P1132" s="145">
        <v>3.9357373478843272E-3</v>
      </c>
      <c r="Q11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-5.9429971010160898E-2</v>
      </c>
      <c r="R11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-3.701057968985566E-4</v>
      </c>
      <c r="S11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-5.9440824781376023E-2</v>
      </c>
      <c r="T11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-1.038047849434065</v>
      </c>
      <c r="U11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-5.9440909087271621E-5</v>
      </c>
      <c r="V11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-5.7698683623375047E-5</v>
      </c>
      <c r="W11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-5.9758748673033324E-5</v>
      </c>
      <c r="X11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-1.0380007615111708E-3</v>
      </c>
      <c r="Y1132" s="162" t="str">
        <f>ReportSummary___Track[[#This Row],[Track ID]]&amp;"-"&amp;ReportSummary___Track[[#This Row],[Epoch]]</f>
        <v>250-RL-OP-0038-45779.2708333333</v>
      </c>
      <c r="Z1132" s="126">
        <f>SUBTOTAL(103,ReportSummary___Track[[#This Row],[Track ID]])</f>
        <v>1</v>
      </c>
      <c r="AA1132" s="114">
        <f>_xlfn.NUMBERVALUE(RIGHT(ReportSummary___Track[[#This Row],[Track ID]],4))</f>
        <v>38</v>
      </c>
      <c r="AB1132" s="78"/>
    </row>
    <row r="1133" spans="5:28" ht="14.25" customHeight="1" x14ac:dyDescent="0.2">
      <c r="E1133" s="74">
        <v>45779.270833333336</v>
      </c>
      <c r="F1133" s="107" t="s">
        <v>278</v>
      </c>
      <c r="G1133" s="142">
        <v>51903.412339888513</v>
      </c>
      <c r="H1133" s="142">
        <v>159190.51041841504</v>
      </c>
      <c r="I1133" s="142">
        <v>18.86643099375512</v>
      </c>
      <c r="J1133" s="142">
        <v>51903.064539433311</v>
      </c>
      <c r="K1133" s="142">
        <v>159189.2415752236</v>
      </c>
      <c r="L1133" s="142">
        <v>18.857900000000001</v>
      </c>
      <c r="M1133" s="145">
        <v>8.5309937551194537E-3</v>
      </c>
      <c r="N1133" s="145">
        <v>1.3156751038779333</v>
      </c>
      <c r="O1133" s="145">
        <v>1.6553956827678462E-3</v>
      </c>
      <c r="P1133" s="145">
        <v>3.6356120488250099E-3</v>
      </c>
      <c r="Q11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-0.39181235921503799</v>
      </c>
      <c r="R11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-2.5987867384724694E-3</v>
      </c>
      <c r="S11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-0.39188103809095765</v>
      </c>
      <c r="T11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-1.0227534640563363</v>
      </c>
      <c r="U11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-3.9188447220084299E-4</v>
      </c>
      <c r="V11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-3.8055573054318614E-4</v>
      </c>
      <c r="W11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-3.9814768260626465E-4</v>
      </c>
      <c r="X11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-1.0218849731060686E-3</v>
      </c>
      <c r="Y1133" s="162" t="str">
        <f>ReportSummary___Track[[#This Row],[Track ID]]&amp;"-"&amp;ReportSummary___Track[[#This Row],[Epoch]]</f>
        <v>250-RL-OP-0039-45779.2708333333</v>
      </c>
      <c r="Z1133" s="126">
        <f>SUBTOTAL(103,ReportSummary___Track[[#This Row],[Track ID]])</f>
        <v>1</v>
      </c>
      <c r="AA1133" s="114">
        <f>_xlfn.NUMBERVALUE(RIGHT(ReportSummary___Track[[#This Row],[Track ID]],4))</f>
        <v>39</v>
      </c>
      <c r="AB1133" s="78"/>
    </row>
    <row r="1134" spans="5:28" ht="14.25" customHeight="1" x14ac:dyDescent="0.2">
      <c r="E1134" s="74">
        <v>45779.270833333336</v>
      </c>
      <c r="F1134" s="107" t="s">
        <v>279</v>
      </c>
      <c r="G1134" s="142">
        <v>51904.376913937129</v>
      </c>
      <c r="H1134" s="142">
        <v>159190.2466064156</v>
      </c>
      <c r="I1134" s="142">
        <v>18.866796614517863</v>
      </c>
      <c r="J1134" s="142">
        <v>51904.029206423351</v>
      </c>
      <c r="K1134" s="142">
        <v>159188.9781030271</v>
      </c>
      <c r="L1134" s="142">
        <v>18.857900000000001</v>
      </c>
      <c r="M1134" s="145">
        <v>8.896614517862389E-3</v>
      </c>
      <c r="N1134" s="145">
        <v>1.3153252493355698</v>
      </c>
      <c r="O1134" s="145">
        <v>1.3679912098893965E-3</v>
      </c>
      <c r="P1134" s="145">
        <v>3.3354867497621399E-3</v>
      </c>
      <c r="Q11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-0.72419474741636236</v>
      </c>
      <c r="R11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-5.0974540712900307E-3</v>
      </c>
      <c r="S11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-0.72432125139698655</v>
      </c>
      <c r="T11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-1.0074590786786075</v>
      </c>
      <c r="U11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-7.2432803531441436E-4</v>
      </c>
      <c r="V11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-7.0368040692803113E-4</v>
      </c>
      <c r="W11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-7.3653661654304869E-4</v>
      </c>
      <c r="X11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-1.0057691847009664E-3</v>
      </c>
      <c r="Y1134" s="162" t="str">
        <f>ReportSummary___Track[[#This Row],[Track ID]]&amp;"-"&amp;ReportSummary___Track[[#This Row],[Epoch]]</f>
        <v>250-RL-OP-0040-45779.2708333333</v>
      </c>
      <c r="Z1134" s="126">
        <f>SUBTOTAL(103,ReportSummary___Track[[#This Row],[Track ID]])</f>
        <v>1</v>
      </c>
      <c r="AA1134" s="114">
        <f>_xlfn.NUMBERVALUE(RIGHT(ReportSummary___Track[[#This Row],[Track ID]],4))</f>
        <v>40</v>
      </c>
      <c r="AB1134" s="78"/>
    </row>
    <row r="1135" spans="5:28" ht="14.25" customHeight="1" x14ac:dyDescent="0.2">
      <c r="E1135" s="74">
        <v>45779.270833333336</v>
      </c>
      <c r="F1135" s="107" t="s">
        <v>280</v>
      </c>
      <c r="G1135" s="142">
        <v>51905.341841341033</v>
      </c>
      <c r="H1135" s="142">
        <v>159189.98417916437</v>
      </c>
      <c r="I1135" s="142">
        <v>18.86745208135207</v>
      </c>
      <c r="J1135" s="142">
        <v>51905.003849006323</v>
      </c>
      <c r="K1135" s="142">
        <v>159188.71294466936</v>
      </c>
      <c r="L1135" s="142">
        <v>18.858104686160278</v>
      </c>
      <c r="M1135" s="145">
        <v>9.3473951917921738E-3</v>
      </c>
      <c r="N1135" s="145">
        <v>1.3154327551905987</v>
      </c>
      <c r="O1135" s="145">
        <v>1.1820221994156555E-3</v>
      </c>
      <c r="P1135" s="145">
        <v>3.1248223550655041E-3</v>
      </c>
      <c r="Q11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-0.94032538867239168</v>
      </c>
      <c r="R11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-7.0181111488931691E-3</v>
      </c>
      <c r="S11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-0.88089541766223078</v>
      </c>
      <c r="T11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-0.94033624244360681</v>
      </c>
      <c r="U11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-9.4037759297904699E-4</v>
      </c>
      <c r="V11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-9.1239699036615995E-4</v>
      </c>
      <c r="W11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-8.8093668389177537E-4</v>
      </c>
      <c r="X11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-9.406954325648087E-4</v>
      </c>
      <c r="Y1135" s="162" t="str">
        <f>ReportSummary___Track[[#This Row],[Track ID]]&amp;"-"&amp;ReportSummary___Track[[#This Row],[Epoch]]</f>
        <v>250-RL-OP-0041-45779.2708333333</v>
      </c>
      <c r="Z1135" s="126">
        <f>SUBTOTAL(103,ReportSummary___Track[[#This Row],[Track ID]])</f>
        <v>1</v>
      </c>
      <c r="AA1135" s="114">
        <f>_xlfn.NUMBERVALUE(RIGHT(ReportSummary___Track[[#This Row],[Track ID]],4))</f>
        <v>41</v>
      </c>
      <c r="AB1135" s="78"/>
    </row>
    <row r="1136" spans="5:28" ht="14.25" customHeight="1" x14ac:dyDescent="0.2">
      <c r="E1136" s="74">
        <v>45779.270833333336</v>
      </c>
      <c r="F1136" s="107" t="s">
        <v>281</v>
      </c>
      <c r="G1136" s="142">
        <v>51906.308594226037</v>
      </c>
      <c r="H1136" s="142">
        <v>159189.7284750774</v>
      </c>
      <c r="I1136" s="142">
        <v>18.869520714442967</v>
      </c>
      <c r="J1136" s="142">
        <v>51905.970388620146</v>
      </c>
      <c r="K1136" s="142">
        <v>159188.45643149922</v>
      </c>
      <c r="L1136" s="142">
        <v>18.859577248464422</v>
      </c>
      <c r="M1136" s="145">
        <v>9.9434659785444524E-3</v>
      </c>
      <c r="N1136" s="145">
        <v>1.3162738199795818</v>
      </c>
      <c r="O1136" s="145">
        <v>1.4124722234249987E-3</v>
      </c>
      <c r="P1136" s="145">
        <v>3.0678679061928449E-3</v>
      </c>
      <c r="Q11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-0.58971075102576265</v>
      </c>
      <c r="R11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-4.5879455865538432E-3</v>
      </c>
      <c r="S11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-0.19789839181072466</v>
      </c>
      <c r="T11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-0.58977942990168231</v>
      </c>
      <c r="U11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-5.9013852583689186E-4</v>
      </c>
      <c r="V11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-4.7082086045246996E-4</v>
      </c>
      <c r="W11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-1.9825405363604887E-4</v>
      </c>
      <c r="X11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-5.9640173624231352E-4</v>
      </c>
      <c r="Y1136" s="162" t="str">
        <f>ReportSummary___Track[[#This Row],[Track ID]]&amp;"-"&amp;ReportSummary___Track[[#This Row],[Epoch]]</f>
        <v>250-RL-OP-0042-45779.2708333333</v>
      </c>
      <c r="Z1136" s="126">
        <f>SUBTOTAL(103,ReportSummary___Track[[#This Row],[Track ID]])</f>
        <v>1</v>
      </c>
      <c r="AA1136" s="114">
        <f>_xlfn.NUMBERVALUE(RIGHT(ReportSummary___Track[[#This Row],[Track ID]],4))</f>
        <v>42</v>
      </c>
      <c r="AB1136" s="78"/>
    </row>
    <row r="1137" spans="5:28" ht="14.25" customHeight="1" x14ac:dyDescent="0.2">
      <c r="E1137" s="74">
        <v>45779.270833333336</v>
      </c>
      <c r="F1137" s="107" t="s">
        <v>282</v>
      </c>
      <c r="G1137" s="142">
        <v>51907.275347111034</v>
      </c>
      <c r="H1137" s="142">
        <v>159189.47277099043</v>
      </c>
      <c r="I1137" s="142">
        <v>18.87158934753386</v>
      </c>
      <c r="J1137" s="142">
        <v>51906.936928233976</v>
      </c>
      <c r="K1137" s="142">
        <v>159188.19991832905</v>
      </c>
      <c r="L1137" s="142">
        <v>18.861049810768563</v>
      </c>
      <c r="M1137" s="145">
        <v>1.0539536765296731E-2</v>
      </c>
      <c r="N1137" s="145">
        <v>1.3171151490148081</v>
      </c>
      <c r="O1137" s="145">
        <v>1.6429222474343419E-3</v>
      </c>
      <c r="P1137" s="145">
        <v>3.0109134573237384E-3</v>
      </c>
      <c r="Q11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-0.23909611337913361</v>
      </c>
      <c r="R11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-1.9368108172823639E-3</v>
      </c>
      <c r="S11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0.48509863403722875</v>
      </c>
      <c r="T11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-0.23922261735975781</v>
      </c>
      <c r="U11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-2.3989945869828944E-4</v>
      </c>
      <c r="V11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-2.9025194190124282E-5</v>
      </c>
      <c r="W11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4.8442857661612493E-4</v>
      </c>
      <c r="X11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-2.5210803992692377E-4</v>
      </c>
      <c r="Y1137" s="162" t="str">
        <f>ReportSummary___Track[[#This Row],[Track ID]]&amp;"-"&amp;ReportSummary___Track[[#This Row],[Epoch]]</f>
        <v>250-RL-OP-0043-45779.2708333333</v>
      </c>
      <c r="Z1137" s="126">
        <f>SUBTOTAL(103,ReportSummary___Track[[#This Row],[Track ID]])</f>
        <v>1</v>
      </c>
      <c r="AA1137" s="114">
        <f>_xlfn.NUMBERVALUE(RIGHT(ReportSummary___Track[[#This Row],[Track ID]],4))</f>
        <v>43</v>
      </c>
      <c r="AB1137" s="78"/>
    </row>
    <row r="1138" spans="5:28" ht="14.25" customHeight="1" x14ac:dyDescent="0.2">
      <c r="E1138" s="74">
        <v>45779.270833333336</v>
      </c>
      <c r="F1138" s="107" t="s">
        <v>283</v>
      </c>
      <c r="G1138" s="142">
        <v>51908.24283118709</v>
      </c>
      <c r="H1138" s="142">
        <v>159189.22059764637</v>
      </c>
      <c r="I1138" s="142">
        <v>18.873859694515247</v>
      </c>
      <c r="J1138" s="142">
        <v>51907.904524366677</v>
      </c>
      <c r="K1138" s="142">
        <v>159187.94723131644</v>
      </c>
      <c r="L1138" s="142">
        <v>18.862831033571712</v>
      </c>
      <c r="M1138" s="145">
        <v>1.1028660943534163E-2</v>
      </c>
      <c r="N1138" s="145">
        <v>1.3175867889055439</v>
      </c>
      <c r="O1138" s="145">
        <v>1.6812657517419893E-3</v>
      </c>
      <c r="P1138" s="145">
        <v>2.8632879511576448E-3</v>
      </c>
      <c r="Q11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2.5810718540242306E-4</v>
      </c>
      <c r="R11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-3.7252891878170047E-2</v>
      </c>
      <c r="S11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0.94058349585779411</v>
      </c>
      <c r="T11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5.9688078195563321E-2</v>
      </c>
      <c r="U11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4.5860521424856415E-7</v>
      </c>
      <c r="V11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9.4904904549775182E-5</v>
      </c>
      <c r="W11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9.4083619819329556E-4</v>
      </c>
      <c r="X11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5.9899514301520185E-5</v>
      </c>
      <c r="Y1138" s="162" t="str">
        <f>ReportSummary___Track[[#This Row],[Track ID]]&amp;"-"&amp;ReportSummary___Track[[#This Row],[Epoch]]</f>
        <v>250-RL-OP-0044-45779.2708333333</v>
      </c>
      <c r="Z1138" s="126">
        <f>SUBTOTAL(103,ReportSummary___Track[[#This Row],[Track ID]])</f>
        <v>1</v>
      </c>
      <c r="AA1138" s="114">
        <f>_xlfn.NUMBERVALUE(RIGHT(ReportSummary___Track[[#This Row],[Track ID]],4))</f>
        <v>44</v>
      </c>
      <c r="AB1138" s="78"/>
    </row>
    <row r="1139" spans="5:28" ht="14.25" customHeight="1" x14ac:dyDescent="0.2">
      <c r="E1139" s="74">
        <v>45779.270833333336</v>
      </c>
      <c r="F1139" s="107" t="s">
        <v>284</v>
      </c>
      <c r="G1139" s="142">
        <v>51909.212416550698</v>
      </c>
      <c r="H1139" s="142">
        <v>159188.9758591952</v>
      </c>
      <c r="I1139" s="142">
        <v>18.876563986793464</v>
      </c>
      <c r="J1139" s="142">
        <v>51908.873871510616</v>
      </c>
      <c r="K1139" s="142">
        <v>159187.70154731543</v>
      </c>
      <c r="L1139" s="142">
        <v>18.865173292792999</v>
      </c>
      <c r="M1139" s="145">
        <v>1.1390694000464663E-2</v>
      </c>
      <c r="N1139" s="145">
        <v>1.3185648482297345</v>
      </c>
      <c r="O1139" s="145">
        <v>1.4472280219202105E-3</v>
      </c>
      <c r="P1139" s="145">
        <v>2.8597002453452092E-3</v>
      </c>
      <c r="Q11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1.0077516456874491E-3</v>
      </c>
      <c r="R11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-0.10979088626994482</v>
      </c>
      <c r="S11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0.5907185026714501</v>
      </c>
      <c r="T11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0.39282011086072544</v>
      </c>
      <c r="U11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1.8389449571998284E-6</v>
      </c>
      <c r="V11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-3.6848764110830601E-4</v>
      </c>
      <c r="W11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5.9197747079409169E-4</v>
      </c>
      <c r="X11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3.9372341715804282E-4</v>
      </c>
      <c r="Y1139" s="162" t="str">
        <f>ReportSummary___Track[[#This Row],[Track ID]]&amp;"-"&amp;ReportSummary___Track[[#This Row],[Epoch]]</f>
        <v>250-RL-OP-0045-45779.2708333333</v>
      </c>
      <c r="Z1139" s="126">
        <f>SUBTOTAL(103,ReportSummary___Track[[#This Row],[Track ID]])</f>
        <v>1</v>
      </c>
      <c r="AA1139" s="114">
        <f>_xlfn.NUMBERVALUE(RIGHT(ReportSummary___Track[[#This Row],[Track ID]],4))</f>
        <v>45</v>
      </c>
      <c r="AB1139" s="78"/>
    </row>
    <row r="1140" spans="5:28" ht="14.25" customHeight="1" x14ac:dyDescent="0.2">
      <c r="E1140" s="74">
        <v>45779.270833333336</v>
      </c>
      <c r="F1140" s="107" t="s">
        <v>285</v>
      </c>
      <c r="G1140" s="142">
        <v>51910.182001914305</v>
      </c>
      <c r="H1140" s="142">
        <v>159188.73112074402</v>
      </c>
      <c r="I1140" s="142">
        <v>18.879268279071681</v>
      </c>
      <c r="J1140" s="142">
        <v>51909.843218654561</v>
      </c>
      <c r="K1140" s="142">
        <v>159187.45586331442</v>
      </c>
      <c r="L1140" s="142">
        <v>18.867515552014286</v>
      </c>
      <c r="M1140" s="145">
        <v>1.1752727057395163E-2</v>
      </c>
      <c r="N1140" s="145">
        <v>1.319543002494777</v>
      </c>
      <c r="O1140" s="145">
        <v>1.2131902920984317E-3</v>
      </c>
      <c r="P1140" s="145">
        <v>2.8561125395327736E-3</v>
      </c>
      <c r="Q11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1.7573961095251889E-3</v>
      </c>
      <c r="R11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-0.18232820471109079</v>
      </c>
      <c r="S11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0.2408535094886588</v>
      </c>
      <c r="T11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0.72595214352588755</v>
      </c>
      <c r="U11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3.2192847001510927E-6</v>
      </c>
      <c r="V11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-8.3187736668821621E-4</v>
      </c>
      <c r="W11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2.4311874339844053E-4</v>
      </c>
      <c r="X11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7.2754732001456546E-4</v>
      </c>
      <c r="Y1140" s="162" t="str">
        <f>ReportSummary___Track[[#This Row],[Track ID]]&amp;"-"&amp;ReportSummary___Track[[#This Row],[Epoch]]</f>
        <v>250-RL-OP-0046-45779.2708333333</v>
      </c>
      <c r="Z1140" s="126">
        <f>SUBTOTAL(103,ReportSummary___Track[[#This Row],[Track ID]])</f>
        <v>1</v>
      </c>
      <c r="AA1140" s="114">
        <f>_xlfn.NUMBERVALUE(RIGHT(ReportSummary___Track[[#This Row],[Track ID]],4))</f>
        <v>46</v>
      </c>
      <c r="AB1140" s="78"/>
    </row>
    <row r="1141" spans="5:28" ht="14.25" customHeight="1" x14ac:dyDescent="0.2">
      <c r="E1141" s="74">
        <v>45779.270833333336</v>
      </c>
      <c r="F1141" s="107" t="s">
        <v>286</v>
      </c>
      <c r="G1141" s="142">
        <v>51911.151141168484</v>
      </c>
      <c r="H1141" s="142">
        <v>159188.48844327914</v>
      </c>
      <c r="I1141" s="142">
        <v>18.882402208832403</v>
      </c>
      <c r="J1141" s="142">
        <v>51910.835170760911</v>
      </c>
      <c r="K1141" s="142">
        <v>159187.20642803697</v>
      </c>
      <c r="L1141" s="142">
        <v>18.870139055249297</v>
      </c>
      <c r="M1141" s="145">
        <v>1.2263153583106146E-2</v>
      </c>
      <c r="N1141" s="145">
        <v>1.3204358237236551</v>
      </c>
      <c r="O1141" s="145">
        <v>1.2344926395719824E-3</v>
      </c>
      <c r="P1141" s="145">
        <v>2.9157583913139717E-3</v>
      </c>
      <c r="Q11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7.6321631922837696E-2</v>
      </c>
      <c r="R11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-0.16427214741709939</v>
      </c>
      <c r="S11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7.6063524737435273E-2</v>
      </c>
      <c r="T11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1.0166470205952294</v>
      </c>
      <c r="U11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-5.2999049060531433E-7</v>
      </c>
      <c r="V11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-1.1009446580789728E-3</v>
      </c>
      <c r="W11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-9.8859570485387849E-7</v>
      </c>
      <c r="X11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9.3984760248844168E-4</v>
      </c>
      <c r="Y1141" s="162" t="str">
        <f>ReportSummary___Track[[#This Row],[Track ID]]&amp;"-"&amp;ReportSummary___Track[[#This Row],[Epoch]]</f>
        <v>250-RL-OP-0047-45779.2708333333</v>
      </c>
      <c r="Z1141" s="126">
        <f>SUBTOTAL(103,ReportSummary___Track[[#This Row],[Track ID]])</f>
        <v>1</v>
      </c>
      <c r="AA1141" s="114">
        <f>_xlfn.NUMBERVALUE(RIGHT(ReportSummary___Track[[#This Row],[Track ID]],4))</f>
        <v>47</v>
      </c>
      <c r="AB1141" s="78"/>
    </row>
    <row r="1142" spans="5:28" ht="14.25" customHeight="1" x14ac:dyDescent="0.2">
      <c r="E1142" s="74">
        <v>45779.270833333336</v>
      </c>
      <c r="F1142" s="107" t="s">
        <v>287</v>
      </c>
      <c r="G1142" s="142">
        <v>51912.122873466811</v>
      </c>
      <c r="H1142" s="142">
        <v>159188.25240570394</v>
      </c>
      <c r="I1142" s="142">
        <v>18.887156520181541</v>
      </c>
      <c r="J1142" s="142">
        <v>51911.806635538363</v>
      </c>
      <c r="K1142" s="142">
        <v>159186.96926833433</v>
      </c>
      <c r="L1142" s="142">
        <v>18.873524557994575</v>
      </c>
      <c r="M1142" s="145">
        <v>1.3631962186966717E-2</v>
      </c>
      <c r="N1142" s="145">
        <v>1.3216027266434336</v>
      </c>
      <c r="O1142" s="145">
        <v>2.2412681865020545E-3</v>
      </c>
      <c r="P1142" s="145">
        <v>3.688496208422265E-3</v>
      </c>
      <c r="Q11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0.42599520370600885</v>
      </c>
      <c r="R11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0.17857426328582449</v>
      </c>
      <c r="S11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0.4249874520603214</v>
      </c>
      <c r="T11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1.0157059547317715</v>
      </c>
      <c r="U11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-3.0133037114410399E-6</v>
      </c>
      <c r="V11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-5.9671099553892937E-4</v>
      </c>
      <c r="W11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-4.8522486686408683E-6</v>
      </c>
      <c r="X11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5.8712522212545082E-4</v>
      </c>
      <c r="Y1142" s="162" t="str">
        <f>ReportSummary___Track[[#This Row],[Track ID]]&amp;"-"&amp;ReportSummary___Track[[#This Row],[Epoch]]</f>
        <v>250-RL-OP-0048-45779.2708333333</v>
      </c>
      <c r="Z1142" s="126">
        <f>SUBTOTAL(103,ReportSummary___Track[[#This Row],[Track ID]])</f>
        <v>1</v>
      </c>
      <c r="AA1142" s="114">
        <f>_xlfn.NUMBERVALUE(RIGHT(ReportSummary___Track[[#This Row],[Track ID]],4))</f>
        <v>48</v>
      </c>
      <c r="AB1142" s="78"/>
    </row>
    <row r="1143" spans="5:28" ht="14.25" customHeight="1" x14ac:dyDescent="0.2">
      <c r="E1143" s="74">
        <v>45779.270833333336</v>
      </c>
      <c r="F1143" s="107" t="s">
        <v>288</v>
      </c>
      <c r="G1143" s="142">
        <v>51913.094605765138</v>
      </c>
      <c r="H1143" s="142">
        <v>159188.01636812874</v>
      </c>
      <c r="I1143" s="142">
        <v>18.89191083153068</v>
      </c>
      <c r="J1143" s="142">
        <v>51912.778100315809</v>
      </c>
      <c r="K1143" s="142">
        <v>159186.7321086317</v>
      </c>
      <c r="L1143" s="142">
        <v>18.876910060739853</v>
      </c>
      <c r="M1143" s="145">
        <v>1.5000770790827289E-2</v>
      </c>
      <c r="N1143" s="145">
        <v>1.3227710226351836</v>
      </c>
      <c r="O1143" s="145">
        <v>3.2480437334321266E-3</v>
      </c>
      <c r="P1143" s="145">
        <v>4.4612340255305583E-3</v>
      </c>
      <c r="Q11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0.77566877549273272</v>
      </c>
      <c r="R11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0.52204028364877253</v>
      </c>
      <c r="S11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0.77391137938320753</v>
      </c>
      <c r="T11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1.0147648888718663</v>
      </c>
      <c r="U11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-5.4966169358294792E-6</v>
      </c>
      <c r="V11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-9.2492508356523118E-5</v>
      </c>
      <c r="W11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-8.7159016359805719E-6</v>
      </c>
      <c r="X11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2.3440284176245996E-4</v>
      </c>
      <c r="Y1143" s="162" t="str">
        <f>ReportSummary___Track[[#This Row],[Track ID]]&amp;"-"&amp;ReportSummary___Track[[#This Row],[Epoch]]</f>
        <v>250-RL-OP-0049-45779.2708333333</v>
      </c>
      <c r="Z1143" s="126">
        <f>SUBTOTAL(103,ReportSummary___Track[[#This Row],[Track ID]])</f>
        <v>1</v>
      </c>
      <c r="AA1143" s="114">
        <f>_xlfn.NUMBERVALUE(RIGHT(ReportSummary___Track[[#This Row],[Track ID]],4))</f>
        <v>49</v>
      </c>
      <c r="AB1143" s="78"/>
    </row>
    <row r="1144" spans="5:28" ht="14.25" customHeight="1" x14ac:dyDescent="0.2">
      <c r="E1144" s="74">
        <v>45778.270833333336</v>
      </c>
      <c r="F1144" s="107" t="s">
        <v>235</v>
      </c>
      <c r="G1144" s="142">
        <v>51886.102866799411</v>
      </c>
      <c r="H1144" s="142">
        <v>159195.44560738115</v>
      </c>
      <c r="I1144" s="142">
        <v>18.869774565755815</v>
      </c>
      <c r="J1144" s="142">
        <v>51885.74297614133</v>
      </c>
      <c r="K1144" s="142">
        <v>159194.18669572662</v>
      </c>
      <c r="L1144" s="142">
        <v>18.866068645440574</v>
      </c>
      <c r="M1144" s="145">
        <v>3.7059203152409737E-3</v>
      </c>
      <c r="N1144" s="145">
        <v>1.309348530195525</v>
      </c>
      <c r="O1144" s="145"/>
      <c r="P1144" s="145"/>
      <c r="Q11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-0.56284443075327317</v>
      </c>
      <c r="R11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-0.76964619188468752</v>
      </c>
      <c r="S114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4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-2.8115077632051566E-4</v>
      </c>
      <c r="V11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-7.8118919960568078E-5</v>
      </c>
      <c r="W114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4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44" s="162" t="str">
        <f>ReportSummary___Track[[#This Row],[Track ID]]&amp;"-"&amp;ReportSummary___Track[[#This Row],[Epoch]]</f>
        <v>250-RL-OP-0021-45778.2708333333</v>
      </c>
      <c r="Z1144" s="126">
        <f>SUBTOTAL(103,ReportSummary___Track[[#This Row],[Track ID]])</f>
        <v>1</v>
      </c>
      <c r="AA1144" s="114">
        <f>_xlfn.NUMBERVALUE(RIGHT(ReportSummary___Track[[#This Row],[Track ID]],4))</f>
        <v>21</v>
      </c>
      <c r="AB1144" s="78"/>
    </row>
    <row r="1145" spans="5:28" ht="14.25" customHeight="1" x14ac:dyDescent="0.2">
      <c r="E1145" s="74">
        <v>45778.270833333336</v>
      </c>
      <c r="F1145" s="107" t="s">
        <v>236</v>
      </c>
      <c r="G1145" s="142">
        <v>51887.064487344272</v>
      </c>
      <c r="H1145" s="142">
        <v>159195.17122470867</v>
      </c>
      <c r="I1145" s="142">
        <v>18.869497551447402</v>
      </c>
      <c r="J1145" s="142">
        <v>51886.704005157357</v>
      </c>
      <c r="K1145" s="142">
        <v>159193.91024828269</v>
      </c>
      <c r="L1145" s="142">
        <v>18.866271344287416</v>
      </c>
      <c r="M1145" s="145">
        <v>3.2262071599866715E-3</v>
      </c>
      <c r="N1145" s="145">
        <v>1.3114950866784387</v>
      </c>
      <c r="O1145" s="145"/>
      <c r="P1145" s="145"/>
      <c r="Q11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-1.2469141027118269</v>
      </c>
      <c r="R11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-0.5337264166473954</v>
      </c>
      <c r="S114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4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-6.1907439956598864E-4</v>
      </c>
      <c r="V11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-1.7393988325675735E-4</v>
      </c>
      <c r="W114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4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45" s="162" t="str">
        <f>ReportSummary___Track[[#This Row],[Track ID]]&amp;"-"&amp;ReportSummary___Track[[#This Row],[Epoch]]</f>
        <v>250-RL-OP-0022-45778.2708333333</v>
      </c>
      <c r="Z1145" s="126">
        <f>SUBTOTAL(103,ReportSummary___Track[[#This Row],[Track ID]])</f>
        <v>1</v>
      </c>
      <c r="AA1145" s="114">
        <f>_xlfn.NUMBERVALUE(RIGHT(ReportSummary___Track[[#This Row],[Track ID]],4))</f>
        <v>22</v>
      </c>
      <c r="AB1145" s="78"/>
    </row>
    <row r="1146" spans="5:28" ht="14.25" customHeight="1" x14ac:dyDescent="0.2">
      <c r="E1146" s="74">
        <v>45778.270833333336</v>
      </c>
      <c r="F1146" s="107" t="s">
        <v>237</v>
      </c>
      <c r="G1146" s="142">
        <v>51888.026107889134</v>
      </c>
      <c r="H1146" s="142">
        <v>159194.89684203619</v>
      </c>
      <c r="I1146" s="142">
        <v>18.86922053713899</v>
      </c>
      <c r="J1146" s="142">
        <v>51887.665034173377</v>
      </c>
      <c r="K1146" s="142">
        <v>159193.63380083872</v>
      </c>
      <c r="L1146" s="142">
        <v>18.866474043134257</v>
      </c>
      <c r="M1146" s="145">
        <v>2.7464940047323694E-3</v>
      </c>
      <c r="N1146" s="145">
        <v>1.3136418225457944</v>
      </c>
      <c r="O1146" s="145"/>
      <c r="P1146" s="145"/>
      <c r="Q11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-1.9309837746703806</v>
      </c>
      <c r="R11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-0.29765706459317087</v>
      </c>
      <c r="S114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4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-9.5699802281501434E-4</v>
      </c>
      <c r="V11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-2.6959827071371123E-4</v>
      </c>
      <c r="W114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4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46" s="162" t="str">
        <f>ReportSummary___Track[[#This Row],[Track ID]]&amp;"-"&amp;ReportSummary___Track[[#This Row],[Epoch]]</f>
        <v>250-RL-OP-0023-45778.2708333333</v>
      </c>
      <c r="Z1146" s="126">
        <f>SUBTOTAL(103,ReportSummary___Track[[#This Row],[Track ID]])</f>
        <v>1</v>
      </c>
      <c r="AA1146" s="114">
        <f>_xlfn.NUMBERVALUE(RIGHT(ReportSummary___Track[[#This Row],[Track ID]],4))</f>
        <v>23</v>
      </c>
      <c r="AB1146" s="78"/>
    </row>
    <row r="1147" spans="5:28" ht="14.25" customHeight="1" x14ac:dyDescent="0.2">
      <c r="E1147" s="74">
        <v>45778.270833333336</v>
      </c>
      <c r="F1147" s="107" t="s">
        <v>238</v>
      </c>
      <c r="G1147" s="142">
        <v>51888.986312077926</v>
      </c>
      <c r="H1147" s="142">
        <v>159194.62209807767</v>
      </c>
      <c r="I1147" s="142">
        <v>18.868826337445785</v>
      </c>
      <c r="J1147" s="142">
        <v>51888.625001090913</v>
      </c>
      <c r="K1147" s="142">
        <v>159193.35671698907</v>
      </c>
      <c r="L1147" s="142">
        <v>18.86545297618737</v>
      </c>
      <c r="M1147" s="145">
        <v>3.3733612584150308E-3</v>
      </c>
      <c r="N1147" s="145">
        <v>1.3159583231549623</v>
      </c>
      <c r="O1147" s="145">
        <v>-3.3255905682594289E-4</v>
      </c>
      <c r="P1147" s="145"/>
      <c r="Q11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-1.3890603006636582</v>
      </c>
      <c r="R11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0.18889382314646319</v>
      </c>
      <c r="S11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-0.82621586991038498</v>
      </c>
      <c r="T114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-6.8814707132602848E-4</v>
      </c>
      <c r="V11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1.7916238661186412E-4</v>
      </c>
      <c r="W11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-4.0699629500551282E-4</v>
      </c>
      <c r="X114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47" s="162" t="str">
        <f>ReportSummary___Track[[#This Row],[Track ID]]&amp;"-"&amp;ReportSummary___Track[[#This Row],[Epoch]]</f>
        <v>250-RL-OP-0024-45778.2708333333</v>
      </c>
      <c r="Z1147" s="126">
        <f>SUBTOTAL(103,ReportSummary___Track[[#This Row],[Track ID]])</f>
        <v>1</v>
      </c>
      <c r="AA1147" s="114">
        <f>_xlfn.NUMBERVALUE(RIGHT(ReportSummary___Track[[#This Row],[Track ID]],4))</f>
        <v>24</v>
      </c>
      <c r="AB1147" s="78"/>
    </row>
    <row r="1148" spans="5:28" ht="14.25" customHeight="1" x14ac:dyDescent="0.2">
      <c r="E1148" s="74">
        <v>45778.270833333336</v>
      </c>
      <c r="F1148" s="107" t="s">
        <v>239</v>
      </c>
      <c r="G1148" s="142">
        <v>51889.947713849433</v>
      </c>
      <c r="H1148" s="142">
        <v>159194.3469499895</v>
      </c>
      <c r="I1148" s="142">
        <v>18.868422203166947</v>
      </c>
      <c r="J1148" s="142">
        <v>51889.585741638402</v>
      </c>
      <c r="K1148" s="142">
        <v>159193.0792712183</v>
      </c>
      <c r="L1148" s="142">
        <v>18.864251020255072</v>
      </c>
      <c r="M1148" s="145">
        <v>4.1711829118753485E-3</v>
      </c>
      <c r="N1148" s="145">
        <v>1.3183515264409158</v>
      </c>
      <c r="O1148" s="145">
        <v>9.44975751888677E-4</v>
      </c>
      <c r="P1148" s="145"/>
      <c r="Q11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-0.70841181726777336</v>
      </c>
      <c r="R11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0.70253612395232423</v>
      </c>
      <c r="S11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0.53850228544405354</v>
      </c>
      <c r="T114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-3.5084659510786764E-4</v>
      </c>
      <c r="V11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6.9774995826188402E-4</v>
      </c>
      <c r="W11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2.68227804458121E-4</v>
      </c>
      <c r="X114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48" s="162" t="str">
        <f>ReportSummary___Track[[#This Row],[Track ID]]&amp;"-"&amp;ReportSummary___Track[[#This Row],[Epoch]]</f>
        <v>250-RL-OP-0025-45778.2708333333</v>
      </c>
      <c r="Z1148" s="126">
        <f>SUBTOTAL(103,ReportSummary___Track[[#This Row],[Track ID]])</f>
        <v>1</v>
      </c>
      <c r="AA1148" s="114">
        <f>_xlfn.NUMBERVALUE(RIGHT(ReportSummary___Track[[#This Row],[Track ID]],4))</f>
        <v>25</v>
      </c>
      <c r="AB1148" s="78"/>
    </row>
    <row r="1149" spans="5:28" ht="14.25" customHeight="1" x14ac:dyDescent="0.2">
      <c r="E1149" s="74">
        <v>45778.270833333336</v>
      </c>
      <c r="F1149" s="107" t="s">
        <v>240</v>
      </c>
      <c r="G1149" s="142">
        <v>51890.909115620932</v>
      </c>
      <c r="H1149" s="142">
        <v>159194.07180190133</v>
      </c>
      <c r="I1149" s="142">
        <v>18.868018068888109</v>
      </c>
      <c r="J1149" s="142">
        <v>51890.546482185884</v>
      </c>
      <c r="K1149" s="142">
        <v>159192.80182544753</v>
      </c>
      <c r="L1149" s="142">
        <v>18.86304906432277</v>
      </c>
      <c r="M1149" s="145">
        <v>4.969004565339219E-3</v>
      </c>
      <c r="N1149" s="145">
        <v>1.3207452034443332</v>
      </c>
      <c r="O1149" s="145">
        <v>2.2225105606068496E-3</v>
      </c>
      <c r="P1149" s="145"/>
      <c r="Q11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-2.7763333868335849E-2</v>
      </c>
      <c r="R11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1.2166428951250197</v>
      </c>
      <c r="S11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1.9032204408020448</v>
      </c>
      <c r="T114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-1.3546118889706804E-5</v>
      </c>
      <c r="V11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1.2166547569318897E-3</v>
      </c>
      <c r="W11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9.4345190392530753E-4</v>
      </c>
      <c r="X114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49" s="162" t="str">
        <f>ReportSummary___Track[[#This Row],[Track ID]]&amp;"-"&amp;ReportSummary___Track[[#This Row],[Epoch]]</f>
        <v>250-RL-OP-0026-45778.2708333333</v>
      </c>
      <c r="Z1149" s="126">
        <f>SUBTOTAL(103,ReportSummary___Track[[#This Row],[Track ID]])</f>
        <v>1</v>
      </c>
      <c r="AA1149" s="114">
        <f>_xlfn.NUMBERVALUE(RIGHT(ReportSummary___Track[[#This Row],[Track ID]],4))</f>
        <v>26</v>
      </c>
      <c r="AB1149" s="78"/>
    </row>
    <row r="1150" spans="5:28" ht="14.25" customHeight="1" x14ac:dyDescent="0.2">
      <c r="E1150" s="74">
        <v>45778.270833333336</v>
      </c>
      <c r="F1150" s="107" t="s">
        <v>241</v>
      </c>
      <c r="G1150" s="142">
        <v>51891.870997674043</v>
      </c>
      <c r="H1150" s="142">
        <v>159193.79503821288</v>
      </c>
      <c r="I1150" s="142">
        <v>18.865661670375356</v>
      </c>
      <c r="J1150" s="142">
        <v>51891.504353461787</v>
      </c>
      <c r="K1150" s="142">
        <v>159192.52590810764</v>
      </c>
      <c r="L1150" s="142">
        <v>18.861283132921656</v>
      </c>
      <c r="M1150" s="145">
        <v>4.3785374537002042E-3</v>
      </c>
      <c r="N1150" s="145">
        <v>1.3210368556544827</v>
      </c>
      <c r="O1150" s="145">
        <v>1.0051761952851734E-3</v>
      </c>
      <c r="P1150" s="145">
        <v>6.7261713845923055E-4</v>
      </c>
      <c r="Q11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-0.32440886783291489</v>
      </c>
      <c r="R11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0.83592793748099581</v>
      </c>
      <c r="S11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1.0646514328307433</v>
      </c>
      <c r="T11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0.23843556292035828</v>
      </c>
      <c r="U11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2.2264353205514453E-7</v>
      </c>
      <c r="V11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9.2155072800803595E-4</v>
      </c>
      <c r="W11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6.8836971485808363E-4</v>
      </c>
      <c r="X11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2.8137341985257081E-4</v>
      </c>
      <c r="Y1150" s="162" t="str">
        <f>ReportSummary___Track[[#This Row],[Track ID]]&amp;"-"&amp;ReportSummary___Track[[#This Row],[Epoch]]</f>
        <v>250-RL-OP-0027-45778.2708333333</v>
      </c>
      <c r="Z1150" s="126">
        <f>SUBTOTAL(103,ReportSummary___Track[[#This Row],[Track ID]])</f>
        <v>1</v>
      </c>
      <c r="AA1150" s="114">
        <f>_xlfn.NUMBERVALUE(RIGHT(ReportSummary___Track[[#This Row],[Track ID]],4))</f>
        <v>27</v>
      </c>
      <c r="AB1150" s="78"/>
    </row>
    <row r="1151" spans="5:28" ht="14.25" customHeight="1" x14ac:dyDescent="0.2">
      <c r="E1151" s="74">
        <v>45778.270833333336</v>
      </c>
      <c r="F1151" s="107" t="s">
        <v>242</v>
      </c>
      <c r="G1151" s="142">
        <v>51892.831986665937</v>
      </c>
      <c r="H1151" s="142">
        <v>159193.51846240537</v>
      </c>
      <c r="I1151" s="142">
        <v>18.863216230483452</v>
      </c>
      <c r="J1151" s="142">
        <v>51892.465288045249</v>
      </c>
      <c r="K1151" s="142">
        <v>159192.24913834574</v>
      </c>
      <c r="L1151" s="142">
        <v>18.859487246856443</v>
      </c>
      <c r="M1151" s="145">
        <v>3.7289836270097965E-3</v>
      </c>
      <c r="N1151" s="145">
        <v>1.3212362968379507</v>
      </c>
      <c r="O1151" s="145">
        <v>-4.4219928486555204E-4</v>
      </c>
      <c r="P1151" s="145">
        <v>5.0277646702312495E-4</v>
      </c>
      <c r="Q11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-0.66374868774232709</v>
      </c>
      <c r="R11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0.41551568973963171</v>
      </c>
      <c r="S11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4.4663129525446266E-2</v>
      </c>
      <c r="T11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0.58316541496949981</v>
      </c>
      <c r="U11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4.5548554439278632E-7</v>
      </c>
      <c r="V11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5.9052911207801984E-4</v>
      </c>
      <c r="W11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3.5130208065226043E-4</v>
      </c>
      <c r="X11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6.1952988511038143E-4</v>
      </c>
      <c r="Y1151" s="162" t="str">
        <f>ReportSummary___Track[[#This Row],[Track ID]]&amp;"-"&amp;ReportSummary___Track[[#This Row],[Epoch]]</f>
        <v>250-RL-OP-0028-45778.2708333333</v>
      </c>
      <c r="Z1151" s="126">
        <f>SUBTOTAL(103,ReportSummary___Track[[#This Row],[Track ID]])</f>
        <v>1</v>
      </c>
      <c r="AA1151" s="114">
        <f>_xlfn.NUMBERVALUE(RIGHT(ReportSummary___Track[[#This Row],[Track ID]],4))</f>
        <v>28</v>
      </c>
      <c r="AB1151" s="78"/>
    </row>
    <row r="1152" spans="5:28" ht="14.25" customHeight="1" x14ac:dyDescent="0.2">
      <c r="E1152" s="74">
        <v>45778.270833333336</v>
      </c>
      <c r="F1152" s="107" t="s">
        <v>243</v>
      </c>
      <c r="G1152" s="142">
        <v>51893.792832897052</v>
      </c>
      <c r="H1152" s="142">
        <v>159193.2418849722</v>
      </c>
      <c r="I1152" s="142">
        <v>18.860926425435991</v>
      </c>
      <c r="J1152" s="142">
        <v>51893.426692097528</v>
      </c>
      <c r="K1152" s="142">
        <v>159191.97223012178</v>
      </c>
      <c r="L1152" s="142">
        <v>18.857700906325203</v>
      </c>
      <c r="M1152" s="145">
        <v>3.2255191107886105E-3</v>
      </c>
      <c r="N1152" s="145">
        <v>1.3213980960474578</v>
      </c>
      <c r="O1152" s="145">
        <v>-1.7434854545506084E-3</v>
      </c>
      <c r="P1152" s="145">
        <v>4.7902510605624116E-4</v>
      </c>
      <c r="Q11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-0.98057102920279249</v>
      </c>
      <c r="R11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-5.1365030473426998E-4</v>
      </c>
      <c r="S11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-0.95280769533445664</v>
      </c>
      <c r="T11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0.95041274546758814</v>
      </c>
      <c r="U11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1.8213924590781971E-6</v>
      </c>
      <c r="V11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2.735986373314514E-4</v>
      </c>
      <c r="W11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1.5367511348785001E-5</v>
      </c>
      <c r="X11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9.5881941527409253E-4</v>
      </c>
      <c r="Y1152" s="162" t="str">
        <f>ReportSummary___Track[[#This Row],[Track ID]]&amp;"-"&amp;ReportSummary___Track[[#This Row],[Epoch]]</f>
        <v>250-RL-OP-0029-45778.2708333333</v>
      </c>
      <c r="Z1152" s="126">
        <f>SUBTOTAL(103,ReportSummary___Track[[#This Row],[Track ID]])</f>
        <v>1</v>
      </c>
      <c r="AA1152" s="114">
        <f>_xlfn.NUMBERVALUE(RIGHT(ReportSummary___Track[[#This Row],[Track ID]],4))</f>
        <v>29</v>
      </c>
      <c r="AB1152" s="78"/>
    </row>
    <row r="1153" spans="5:28" ht="14.25" customHeight="1" x14ac:dyDescent="0.2">
      <c r="E1153" s="74">
        <v>45778.270833333336</v>
      </c>
      <c r="F1153" s="107" t="s">
        <v>269</v>
      </c>
      <c r="G1153" s="142">
        <v>51894.753608932246</v>
      </c>
      <c r="H1153" s="142">
        <v>159192.96455996652</v>
      </c>
      <c r="I1153" s="142">
        <v>18.86142785685897</v>
      </c>
      <c r="J1153" s="142">
        <v>51894.38746521555</v>
      </c>
      <c r="K1153" s="142">
        <v>159191.69489460939</v>
      </c>
      <c r="L1153" s="142">
        <v>18.857871911080654</v>
      </c>
      <c r="M1153" s="145">
        <v>3.5559457783165271E-3</v>
      </c>
      <c r="N1153" s="145">
        <v>1.3214098475225333</v>
      </c>
      <c r="O1153" s="145">
        <v>-8.2259167538367706E-4</v>
      </c>
      <c r="P1153" s="145">
        <v>1.8258451990149638E-4</v>
      </c>
      <c r="Q11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-0.304393912625045</v>
      </c>
      <c r="R11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0.42473370954199119</v>
      </c>
      <c r="S11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2.0014955207869889E-2</v>
      </c>
      <c r="T11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1.0846663880386131</v>
      </c>
      <c r="U11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3.4404047830705053E-4</v>
      </c>
      <c r="V11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5.1042258688349662E-4</v>
      </c>
      <c r="W11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3.4381783477499539E-4</v>
      </c>
      <c r="X11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1.032187549633079E-3</v>
      </c>
      <c r="Y1153" s="162" t="str">
        <f>ReportSummary___Track[[#This Row],[Track ID]]&amp;"-"&amp;ReportSummary___Track[[#This Row],[Epoch]]</f>
        <v>250-RL-OP-0030-45778.2708333333</v>
      </c>
      <c r="Z1153" s="126">
        <f>SUBTOTAL(103,ReportSummary___Track[[#This Row],[Track ID]])</f>
        <v>1</v>
      </c>
      <c r="AA1153" s="114">
        <f>_xlfn.NUMBERVALUE(RIGHT(ReportSummary___Track[[#This Row],[Track ID]],4))</f>
        <v>30</v>
      </c>
      <c r="AB1153" s="78"/>
    </row>
    <row r="1154" spans="5:28" ht="14.25" customHeight="1" x14ac:dyDescent="0.2">
      <c r="E1154" s="74">
        <v>45778.270833333336</v>
      </c>
      <c r="F1154" s="107" t="s">
        <v>270</v>
      </c>
      <c r="G1154" s="142">
        <v>51895.714384967439</v>
      </c>
      <c r="H1154" s="142">
        <v>159192.68723496085</v>
      </c>
      <c r="I1154" s="142">
        <v>18.861929288281949</v>
      </c>
      <c r="J1154" s="142">
        <v>51895.34823833358</v>
      </c>
      <c r="K1154" s="142">
        <v>159191.417559097</v>
      </c>
      <c r="L1154" s="142">
        <v>18.858042915836105</v>
      </c>
      <c r="M1154" s="145">
        <v>3.8863724458444437E-3</v>
      </c>
      <c r="N1154" s="145">
        <v>1.3214216816055511</v>
      </c>
      <c r="O1154" s="145">
        <v>1.5738881883464728E-4</v>
      </c>
      <c r="P1154" s="145">
        <v>-2.8481046603090476E-4</v>
      </c>
      <c r="Q11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0.37178320395270248</v>
      </c>
      <c r="R11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0.84997381229845459</v>
      </c>
      <c r="S11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1.0355318916950296</v>
      </c>
      <c r="T11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1.0801950212204758</v>
      </c>
      <c r="U11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6.8625956415502287E-4</v>
      </c>
      <c r="V11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7.4732907458208153E-4</v>
      </c>
      <c r="W11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6.8580407861063009E-4</v>
      </c>
      <c r="X11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1.0371061592628905E-3</v>
      </c>
      <c r="Y1154" s="162" t="str">
        <f>ReportSummary___Track[[#This Row],[Track ID]]&amp;"-"&amp;ReportSummary___Track[[#This Row],[Epoch]]</f>
        <v>250-RL-OP-0031-45778.2708333333</v>
      </c>
      <c r="Z1154" s="126">
        <f>SUBTOTAL(103,ReportSummary___Track[[#This Row],[Track ID]])</f>
        <v>1</v>
      </c>
      <c r="AA1154" s="114">
        <f>_xlfn.NUMBERVALUE(RIGHT(ReportSummary___Track[[#This Row],[Track ID]],4))</f>
        <v>31</v>
      </c>
      <c r="AB1154" s="78"/>
    </row>
    <row r="1155" spans="5:28" ht="14.25" customHeight="1" x14ac:dyDescent="0.2">
      <c r="E1155" s="74">
        <v>45778.270833333336</v>
      </c>
      <c r="F1155" s="107" t="s">
        <v>271</v>
      </c>
      <c r="G1155" s="142">
        <v>51896.675400318774</v>
      </c>
      <c r="H1155" s="142">
        <v>159192.40988834528</v>
      </c>
      <c r="I1155" s="142">
        <v>18.862476975813159</v>
      </c>
      <c r="J1155" s="142">
        <v>51896.308530813891</v>
      </c>
      <c r="K1155" s="142">
        <v>159191.1407419327</v>
      </c>
      <c r="L1155" s="142">
        <v>18.85824732893396</v>
      </c>
      <c r="M1155" s="145">
        <v>4.2296468791995778E-3</v>
      </c>
      <c r="N1155" s="145">
        <v>1.3211145825006305</v>
      </c>
      <c r="O1155" s="145">
        <v>1.0041277684109673E-3</v>
      </c>
      <c r="P1155" s="145">
        <v>-7.3935768613964115E-4</v>
      </c>
      <c r="Q11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0.97862911313129075</v>
      </c>
      <c r="R11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1.2065658398334733</v>
      </c>
      <c r="S11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1.9592001423340832</v>
      </c>
      <c r="T11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1.0063924469996266</v>
      </c>
      <c r="U11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9.7857108713128582E-4</v>
      </c>
      <c r="V11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9.2198713749636063E-4</v>
      </c>
      <c r="W11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9.7674969467220762E-4</v>
      </c>
      <c r="X11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9.9211720602099263E-4</v>
      </c>
      <c r="Y1155" s="162" t="str">
        <f>ReportSummary___Track[[#This Row],[Track ID]]&amp;"-"&amp;ReportSummary___Track[[#This Row],[Epoch]]</f>
        <v>250-RL-OP-0032-45778.2708333333</v>
      </c>
      <c r="Z1155" s="126">
        <f>SUBTOTAL(103,ReportSummary___Track[[#This Row],[Track ID]])</f>
        <v>1</v>
      </c>
      <c r="AA1155" s="114">
        <f>_xlfn.NUMBERVALUE(RIGHT(ReportSummary___Track[[#This Row],[Track ID]],4))</f>
        <v>32</v>
      </c>
      <c r="AB1155" s="78"/>
    </row>
    <row r="1156" spans="5:28" ht="14.25" customHeight="1" x14ac:dyDescent="0.2">
      <c r="E1156" s="74">
        <v>45778.270833333336</v>
      </c>
      <c r="F1156" s="107" t="s">
        <v>272</v>
      </c>
      <c r="G1156" s="142">
        <v>51897.636381111792</v>
      </c>
      <c r="H1156" s="142">
        <v>159192.13327607361</v>
      </c>
      <c r="I1156" s="142">
        <v>18.863728615051539</v>
      </c>
      <c r="J1156" s="142">
        <v>51897.27054583728</v>
      </c>
      <c r="K1156" s="142">
        <v>159190.86774605056</v>
      </c>
      <c r="L1156" s="142">
        <v>18.858833083067108</v>
      </c>
      <c r="M1156" s="145">
        <v>4.8955319844310452E-3</v>
      </c>
      <c r="N1156" s="145">
        <v>1.3173555532059313</v>
      </c>
      <c r="O1156" s="145">
        <v>1.3395862061145181E-3</v>
      </c>
      <c r="P1156" s="145">
        <v>5.1699453073084101E-4</v>
      </c>
      <c r="Q11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0.63109138297789968</v>
      </c>
      <c r="R11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0.78035983630142525</v>
      </c>
      <c r="S11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0.93548529560294469</v>
      </c>
      <c r="T11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0.95550025081081458</v>
      </c>
      <c r="U11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6.3015077904182704E-4</v>
      </c>
      <c r="V11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3.5192718260468325E-4</v>
      </c>
      <c r="W11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2.861103007347765E-4</v>
      </c>
      <c r="X11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6.2992813550977189E-4</v>
      </c>
      <c r="Y1156" s="162" t="str">
        <f>ReportSummary___Track[[#This Row],[Track ID]]&amp;"-"&amp;ReportSummary___Track[[#This Row],[Epoch]]</f>
        <v>250-RL-OP-0033-45778.2708333333</v>
      </c>
      <c r="Z1156" s="126">
        <f>SUBTOTAL(103,ReportSummary___Track[[#This Row],[Track ID]])</f>
        <v>1</v>
      </c>
      <c r="AA1156" s="114">
        <f>_xlfn.NUMBERVALUE(RIGHT(ReportSummary___Track[[#This Row],[Track ID]],4))</f>
        <v>33</v>
      </c>
      <c r="AB1156" s="78"/>
    </row>
    <row r="1157" spans="5:28" ht="14.25" customHeight="1" x14ac:dyDescent="0.2">
      <c r="E1157" s="74">
        <v>45778.270833333336</v>
      </c>
      <c r="F1157" s="107" t="s">
        <v>273</v>
      </c>
      <c r="G1157" s="142">
        <v>51898.597361904816</v>
      </c>
      <c r="H1157" s="142">
        <v>159191.85666380194</v>
      </c>
      <c r="I1157" s="142">
        <v>18.864980254289922</v>
      </c>
      <c r="J1157" s="142">
        <v>51898.232560860662</v>
      </c>
      <c r="K1157" s="142">
        <v>159190.59475016838</v>
      </c>
      <c r="L1157" s="142">
        <v>18.859418837200259</v>
      </c>
      <c r="M1157" s="145">
        <v>5.5614170896625126E-3</v>
      </c>
      <c r="N1157" s="145">
        <v>1.3135968748937275</v>
      </c>
      <c r="O1157" s="145">
        <v>1.6750446438180688E-3</v>
      </c>
      <c r="P1157" s="145">
        <v>1.8324334626527161E-3</v>
      </c>
      <c r="Q11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0.28355365282450862</v>
      </c>
      <c r="R11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0.35370799038214606</v>
      </c>
      <c r="S11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-8.8229551128193862E-2</v>
      </c>
      <c r="T11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0.94730234056683571</v>
      </c>
      <c r="U11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2.8173047094881554E-4</v>
      </c>
      <c r="V11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-2.1857906136246719E-4</v>
      </c>
      <c r="W11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-4.0452909320620734E-4</v>
      </c>
      <c r="X11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2.8127498540442275E-4</v>
      </c>
      <c r="Y1157" s="162" t="str">
        <f>ReportSummary___Track[[#This Row],[Track ID]]&amp;"-"&amp;ReportSummary___Track[[#This Row],[Epoch]]</f>
        <v>250-RL-OP-0034-45778.2708333333</v>
      </c>
      <c r="Z1157" s="126">
        <f>SUBTOTAL(103,ReportSummary___Track[[#This Row],[Track ID]])</f>
        <v>1</v>
      </c>
      <c r="AA1157" s="114">
        <f>_xlfn.NUMBERVALUE(RIGHT(ReportSummary___Track[[#This Row],[Track ID]],4))</f>
        <v>34</v>
      </c>
      <c r="AB1157" s="78"/>
    </row>
    <row r="1158" spans="5:28" ht="14.25" customHeight="1" x14ac:dyDescent="0.2">
      <c r="E1158" s="74">
        <v>45778.270833333336</v>
      </c>
      <c r="F1158" s="107" t="s">
        <v>274</v>
      </c>
      <c r="G1158" s="142">
        <v>51899.558748431518</v>
      </c>
      <c r="H1158" s="142">
        <v>159191.58137758734</v>
      </c>
      <c r="I1158" s="142">
        <v>18.866</v>
      </c>
      <c r="J1158" s="142">
        <v>51899.203456362877</v>
      </c>
      <c r="K1158" s="142">
        <v>159190.3195632399</v>
      </c>
      <c r="L1158" s="142">
        <v>18.859777438017044</v>
      </c>
      <c r="M1158" s="145">
        <v>6.2225619829554546E-3</v>
      </c>
      <c r="N1158" s="145">
        <v>1.3108953511705987</v>
      </c>
      <c r="O1158" s="145">
        <v>1.9929151037558768E-3</v>
      </c>
      <c r="P1158" s="145">
        <v>2.9970428721668441E-3</v>
      </c>
      <c r="Q11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1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5.9354972714587007E-2</v>
      </c>
      <c r="S11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-0.97862911313129075</v>
      </c>
      <c r="T11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0.98057102920279249</v>
      </c>
      <c r="U11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3.0698581454657869E-7</v>
      </c>
      <c r="V11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-5.9072673005111653E-4</v>
      </c>
      <c r="W11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-9.7826410131673924E-4</v>
      </c>
      <c r="X11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-1.5144066445316184E-6</v>
      </c>
      <c r="Y1158" s="162" t="str">
        <f>ReportSummary___Track[[#This Row],[Track ID]]&amp;"-"&amp;ReportSummary___Track[[#This Row],[Epoch]]</f>
        <v>250-RL-OP-0035-45778.2708333333</v>
      </c>
      <c r="Z1158" s="126">
        <f>SUBTOTAL(103,ReportSummary___Track[[#This Row],[Track ID]])</f>
        <v>1</v>
      </c>
      <c r="AA1158" s="114">
        <f>_xlfn.NUMBERVALUE(RIGHT(ReportSummary___Track[[#This Row],[Track ID]],4))</f>
        <v>35</v>
      </c>
      <c r="AB1158" s="78"/>
    </row>
    <row r="1159" spans="5:28" ht="14.25" customHeight="1" x14ac:dyDescent="0.2">
      <c r="E1159" s="74">
        <v>45778.270833333336</v>
      </c>
      <c r="F1159" s="107" t="s">
        <v>275</v>
      </c>
      <c r="G1159" s="142">
        <v>51900.521772886575</v>
      </c>
      <c r="H1159" s="142">
        <v>159191.31196359557</v>
      </c>
      <c r="I1159" s="142">
        <v>18.866</v>
      </c>
      <c r="J1159" s="142">
        <v>51900.16593032598</v>
      </c>
      <c r="K1159" s="142">
        <v>159190.04818998408</v>
      </c>
      <c r="L1159" s="142">
        <v>18.859124470606528</v>
      </c>
      <c r="M1159" s="145">
        <v>6.8755293934721351E-3</v>
      </c>
      <c r="N1159" s="145">
        <v>1.3129337157376617</v>
      </c>
      <c r="O1159" s="145">
        <v>1.9799974090410899E-3</v>
      </c>
      <c r="P1159" s="145">
        <v>3.319583615155608E-3</v>
      </c>
      <c r="Q11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1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0.37967231993696338</v>
      </c>
      <c r="S11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-0.6310913829814524</v>
      </c>
      <c r="T11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0.30439391262149229</v>
      </c>
      <c r="U11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6.1945315259492872E-6</v>
      </c>
      <c r="V11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-5.1718506061559921E-5</v>
      </c>
      <c r="W11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-6.2395624751587775E-4</v>
      </c>
      <c r="X11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-3.3784594678110125E-4</v>
      </c>
      <c r="Y1159" s="162" t="str">
        <f>ReportSummary___Track[[#This Row],[Track ID]]&amp;"-"&amp;ReportSummary___Track[[#This Row],[Epoch]]</f>
        <v>250-RL-OP-0036-45778.2708333333</v>
      </c>
      <c r="Z1159" s="126">
        <f>SUBTOTAL(103,ReportSummary___Track[[#This Row],[Track ID]])</f>
        <v>1</v>
      </c>
      <c r="AA1159" s="114">
        <f>_xlfn.NUMBERVALUE(RIGHT(ReportSummary___Track[[#This Row],[Track ID]],4))</f>
        <v>36</v>
      </c>
      <c r="AB1159" s="78"/>
    </row>
    <row r="1160" spans="5:28" ht="14.25" customHeight="1" x14ac:dyDescent="0.2">
      <c r="E1160" s="74">
        <v>45778.270833333336</v>
      </c>
      <c r="F1160" s="107" t="s">
        <v>276</v>
      </c>
      <c r="G1160" s="142">
        <v>51901.484797341633</v>
      </c>
      <c r="H1160" s="142">
        <v>159191.04254960379</v>
      </c>
      <c r="I1160" s="142">
        <v>18.866</v>
      </c>
      <c r="J1160" s="142">
        <v>51901.128404289084</v>
      </c>
      <c r="K1160" s="142">
        <v>159189.77681672826</v>
      </c>
      <c r="L1160" s="142">
        <v>18.858471503196011</v>
      </c>
      <c r="M1160" s="145">
        <v>7.5284968039888156E-3</v>
      </c>
      <c r="N1160" s="145">
        <v>1.3149723945268124</v>
      </c>
      <c r="O1160" s="145">
        <v>1.967079714326303E-3</v>
      </c>
      <c r="P1160" s="145">
        <v>3.6421243581443719E-3</v>
      </c>
      <c r="Q11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1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0.69998793385495084</v>
      </c>
      <c r="S11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-0.28355365282806133</v>
      </c>
      <c r="T11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-0.37178320395625519</v>
      </c>
      <c r="U11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1.2082077244457423E-5</v>
      </c>
      <c r="V11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4.8729274392678157E-4</v>
      </c>
      <c r="W11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-2.6964839370435811E-4</v>
      </c>
      <c r="X11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-6.7417748691056545E-4</v>
      </c>
      <c r="Y1160" s="162" t="str">
        <f>ReportSummary___Track[[#This Row],[Track ID]]&amp;"-"&amp;ReportSummary___Track[[#This Row],[Epoch]]</f>
        <v>250-RL-OP-0037-45778.2708333333</v>
      </c>
      <c r="Z1160" s="126">
        <f>SUBTOTAL(103,ReportSummary___Track[[#This Row],[Track ID]])</f>
        <v>1</v>
      </c>
      <c r="AA1160" s="114">
        <f>_xlfn.NUMBERVALUE(RIGHT(ReportSummary___Track[[#This Row],[Track ID]],4))</f>
        <v>37</v>
      </c>
      <c r="AB1160" s="78"/>
    </row>
    <row r="1161" spans="5:28" ht="14.25" customHeight="1" x14ac:dyDescent="0.2">
      <c r="E1161" s="74">
        <v>45778.270833333336</v>
      </c>
      <c r="F1161" s="107" t="s">
        <v>277</v>
      </c>
      <c r="G1161" s="142">
        <v>51902.447765809411</v>
      </c>
      <c r="H1161" s="142">
        <v>159190.77423042283</v>
      </c>
      <c r="I1161" s="142">
        <v>18.866124802963387</v>
      </c>
      <c r="J1161" s="142">
        <v>51902.099872443272</v>
      </c>
      <c r="K1161" s="142">
        <v>159189.50404742008</v>
      </c>
      <c r="L1161" s="142">
        <v>18.857900000000001</v>
      </c>
      <c r="M1161" s="145">
        <v>8.2248029633866793E-3</v>
      </c>
      <c r="N1161" s="145">
        <v>1.3169898640705298</v>
      </c>
      <c r="O1161" s="145">
        <v>2.0022409804312247E-3</v>
      </c>
      <c r="P1161" s="145">
        <v>3.9951560841871014E-3</v>
      </c>
      <c r="Q11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1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0.96443267064239002</v>
      </c>
      <c r="S11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1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-0.97862911313129075</v>
      </c>
      <c r="U11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11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9.0710409281591353E-4</v>
      </c>
      <c r="W11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-3.1792389165730128E-7</v>
      </c>
      <c r="X11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-9.7858202520839654E-4</v>
      </c>
      <c r="Y1161" s="162" t="str">
        <f>ReportSummary___Track[[#This Row],[Track ID]]&amp;"-"&amp;ReportSummary___Track[[#This Row],[Epoch]]</f>
        <v>250-RL-OP-0038-45778.2708333333</v>
      </c>
      <c r="Z1161" s="126">
        <f>SUBTOTAL(103,ReportSummary___Track[[#This Row],[Track ID]])</f>
        <v>1</v>
      </c>
      <c r="AA1161" s="114">
        <f>_xlfn.NUMBERVALUE(RIGHT(ReportSummary___Track[[#This Row],[Track ID]],4))</f>
        <v>38</v>
      </c>
      <c r="AB1161" s="78"/>
    </row>
    <row r="1162" spans="5:28" ht="14.25" customHeight="1" x14ac:dyDescent="0.2">
      <c r="E1162" s="74">
        <v>45778.270833333336</v>
      </c>
      <c r="F1162" s="107" t="s">
        <v>278</v>
      </c>
      <c r="G1162" s="142">
        <v>51903.412339687522</v>
      </c>
      <c r="H1162" s="142">
        <v>159190.51041847002</v>
      </c>
      <c r="I1162" s="142">
        <v>18.866822806114332</v>
      </c>
      <c r="J1162" s="142">
        <v>51903.064539433311</v>
      </c>
      <c r="K1162" s="142">
        <v>159189.24057522361</v>
      </c>
      <c r="L1162" s="142">
        <v>18.857900000000001</v>
      </c>
      <c r="M1162" s="145">
        <v>8.922806114330939E-3</v>
      </c>
      <c r="N1162" s="145">
        <v>1.3166421319969854</v>
      </c>
      <c r="O1162" s="145">
        <v>2.0472767208588039E-3</v>
      </c>
      <c r="P1162" s="145">
        <v>4.0272741298998938E-3</v>
      </c>
      <c r="Q11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1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0.96442933231366545</v>
      </c>
      <c r="S11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1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-0.6310913829814524</v>
      </c>
      <c r="U11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-7.2112989357719925E-8</v>
      </c>
      <c r="V11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5.8647238850895178E-4</v>
      </c>
      <c r="W11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-6.2666445153070072E-6</v>
      </c>
      <c r="X11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-6.3022289203118476E-4</v>
      </c>
      <c r="Y1162" s="162" t="str">
        <f>ReportSummary___Track[[#This Row],[Track ID]]&amp;"-"&amp;ReportSummary___Track[[#This Row],[Epoch]]</f>
        <v>250-RL-OP-0039-45778.2708333333</v>
      </c>
      <c r="Z1162" s="126">
        <f>SUBTOTAL(103,ReportSummary___Track[[#This Row],[Track ID]])</f>
        <v>1</v>
      </c>
      <c r="AA1162" s="114">
        <f>_xlfn.NUMBERVALUE(RIGHT(ReportSummary___Track[[#This Row],[Track ID]],4))</f>
        <v>39</v>
      </c>
      <c r="AB1162" s="78"/>
    </row>
    <row r="1163" spans="5:28" ht="14.25" customHeight="1" x14ac:dyDescent="0.2">
      <c r="E1163" s="74">
        <v>45778.270833333336</v>
      </c>
      <c r="F1163" s="107" t="s">
        <v>279</v>
      </c>
      <c r="G1163" s="142">
        <v>51904.37691356564</v>
      </c>
      <c r="H1163" s="142">
        <v>159190.2466065172</v>
      </c>
      <c r="I1163" s="142">
        <v>18.867520809265276</v>
      </c>
      <c r="J1163" s="142">
        <v>51904.029206423358</v>
      </c>
      <c r="K1163" s="142">
        <v>159188.97710302711</v>
      </c>
      <c r="L1163" s="142">
        <v>18.857900000000001</v>
      </c>
      <c r="M1163" s="145">
        <v>9.6208092652751986E-3</v>
      </c>
      <c r="N1163" s="145">
        <v>1.316294772508696</v>
      </c>
      <c r="O1163" s="145">
        <v>2.092312461286383E-3</v>
      </c>
      <c r="P1163" s="145">
        <v>4.0593921756126861E-3</v>
      </c>
      <c r="Q11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1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0.96442571905486218</v>
      </c>
      <c r="S11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1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-0.28355365282806133</v>
      </c>
      <c r="U11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-1.3328790160471726E-7</v>
      </c>
      <c r="V11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2.6584276619812108E-4</v>
      </c>
      <c r="W11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-1.221536514606214E-5</v>
      </c>
      <c r="X11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-2.8186375885042025E-4</v>
      </c>
      <c r="Y1163" s="162" t="str">
        <f>ReportSummary___Track[[#This Row],[Track ID]]&amp;"-"&amp;ReportSummary___Track[[#This Row],[Epoch]]</f>
        <v>250-RL-OP-0040-45778.2708333333</v>
      </c>
      <c r="Z1163" s="126">
        <f>SUBTOTAL(103,ReportSummary___Track[[#This Row],[Track ID]])</f>
        <v>1</v>
      </c>
      <c r="AA1163" s="114">
        <f>_xlfn.NUMBERVALUE(RIGHT(ReportSummary___Track[[#This Row],[Track ID]],4))</f>
        <v>40</v>
      </c>
      <c r="AB1163" s="78"/>
    </row>
    <row r="1164" spans="5:28" ht="14.25" customHeight="1" x14ac:dyDescent="0.2">
      <c r="E1164" s="74">
        <v>45778.270833333336</v>
      </c>
      <c r="F1164" s="107" t="s">
        <v>280</v>
      </c>
      <c r="G1164" s="142">
        <v>51905.341841450259</v>
      </c>
      <c r="H1164" s="142">
        <v>159189.98417913547</v>
      </c>
      <c r="I1164" s="142">
        <v>18.868392406740742</v>
      </c>
      <c r="J1164" s="142">
        <v>51905.003861376892</v>
      </c>
      <c r="K1164" s="142">
        <v>159188.71199131437</v>
      </c>
      <c r="L1164" s="142">
        <v>18.858104705007346</v>
      </c>
      <c r="M1164" s="145">
        <v>1.0287701733396659E-2</v>
      </c>
      <c r="N1164" s="145">
        <v>1.3163579372492435</v>
      </c>
      <c r="O1164" s="145">
        <v>2.0628987700099799E-3</v>
      </c>
      <c r="P1164" s="145">
        <v>4.0651397504412046E-3</v>
      </c>
      <c r="Q11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-1.8847067906335724E-5</v>
      </c>
      <c r="R11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0.91816394749599795</v>
      </c>
      <c r="S11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-1.8847067906335724E-5</v>
      </c>
      <c r="T11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-1.8847067906335724E-5</v>
      </c>
      <c r="U11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-7.1051374561648117E-8</v>
      </c>
      <c r="V11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1.278506827873116E-5</v>
      </c>
      <c r="W11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-6.0113297450925529E-8</v>
      </c>
      <c r="X11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-3.7803718910822681E-7</v>
      </c>
      <c r="Y1164" s="162" t="str">
        <f>ReportSummary___Track[[#This Row],[Track ID]]&amp;"-"&amp;ReportSummary___Track[[#This Row],[Epoch]]</f>
        <v>250-RL-OP-0041-45778.2708333333</v>
      </c>
      <c r="Z1164" s="126">
        <f>SUBTOTAL(103,ReportSummary___Track[[#This Row],[Track ID]])</f>
        <v>1</v>
      </c>
      <c r="AA1164" s="114">
        <f>_xlfn.NUMBERVALUE(RIGHT(ReportSummary___Track[[#This Row],[Track ID]],4))</f>
        <v>41</v>
      </c>
      <c r="AB1164" s="78"/>
    </row>
    <row r="1165" spans="5:28" ht="14.25" customHeight="1" x14ac:dyDescent="0.2">
      <c r="E1165" s="74">
        <v>45778.270833333336</v>
      </c>
      <c r="F1165" s="107" t="s">
        <v>281</v>
      </c>
      <c r="G1165" s="142">
        <v>51906.308594977025</v>
      </c>
      <c r="H1165" s="142">
        <v>159189.72847487876</v>
      </c>
      <c r="I1165" s="142">
        <v>18.870110425193992</v>
      </c>
      <c r="J1165" s="142">
        <v>51905.970489987638</v>
      </c>
      <c r="K1165" s="142">
        <v>159188.45581371963</v>
      </c>
      <c r="L1165" s="142">
        <v>18.859577402901905</v>
      </c>
      <c r="M1165" s="145">
        <v>1.0533022292086969E-2</v>
      </c>
      <c r="N1165" s="145">
        <v>1.3168494045934811</v>
      </c>
      <c r="O1165" s="145">
        <v>1.6102161777560298E-3</v>
      </c>
      <c r="P1165" s="145">
        <v>3.6574928986148336E-3</v>
      </c>
      <c r="Q11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-1.5443748324628359E-4</v>
      </c>
      <c r="R11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0.57099666831272877</v>
      </c>
      <c r="S11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-1.5443747969356991E-4</v>
      </c>
      <c r="T11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-1.5443747969356991E-4</v>
      </c>
      <c r="U11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-5.8221229437549482E-7</v>
      </c>
      <c r="V11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1.0476375344681266E-4</v>
      </c>
      <c r="W11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-5.100993050177749E-7</v>
      </c>
      <c r="X11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-6.7767438203247821E-6</v>
      </c>
      <c r="Y1165" s="162" t="str">
        <f>ReportSummary___Track[[#This Row],[Track ID]]&amp;"-"&amp;ReportSummary___Track[[#This Row],[Epoch]]</f>
        <v>250-RL-OP-0042-45778.2708333333</v>
      </c>
      <c r="Z1165" s="126">
        <f>SUBTOTAL(103,ReportSummary___Track[[#This Row],[Track ID]])</f>
        <v>1</v>
      </c>
      <c r="AA1165" s="114">
        <f>_xlfn.NUMBERVALUE(RIGHT(ReportSummary___Track[[#This Row],[Track ID]],4))</f>
        <v>42</v>
      </c>
      <c r="AB1165" s="78"/>
    </row>
    <row r="1166" spans="5:28" ht="14.25" customHeight="1" x14ac:dyDescent="0.2">
      <c r="E1166" s="74">
        <v>45778.270833333336</v>
      </c>
      <c r="F1166" s="107" t="s">
        <v>282</v>
      </c>
      <c r="G1166" s="142">
        <v>51907.275348503783</v>
      </c>
      <c r="H1166" s="142">
        <v>159189.47277062206</v>
      </c>
      <c r="I1166" s="142">
        <v>18.871828443647242</v>
      </c>
      <c r="J1166" s="142">
        <v>51906.937118598384</v>
      </c>
      <c r="K1166" s="142">
        <v>159188.19963612489</v>
      </c>
      <c r="L1166" s="142">
        <v>18.861050100796465</v>
      </c>
      <c r="M1166" s="145">
        <v>1.0778342850777278E-2</v>
      </c>
      <c r="N1166" s="145">
        <v>1.3173409161878222</v>
      </c>
      <c r="O1166" s="145">
        <v>1.1575335855020796E-3</v>
      </c>
      <c r="P1166" s="145">
        <v>3.2498460467884627E-3</v>
      </c>
      <c r="Q11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-2.9002789858623146E-4</v>
      </c>
      <c r="R11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0.22383036219686403</v>
      </c>
      <c r="S11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-2.9002789503351778E-4</v>
      </c>
      <c r="T11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-2.9002789503351778E-4</v>
      </c>
      <c r="U11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-1.0933732177420552E-6</v>
      </c>
      <c r="V11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1.9674197882402211E-4</v>
      </c>
      <c r="W11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-9.6008531613733794E-7</v>
      </c>
      <c r="X11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-1.3175450462199478E-5</v>
      </c>
      <c r="Y1166" s="162" t="str">
        <f>ReportSummary___Track[[#This Row],[Track ID]]&amp;"-"&amp;ReportSummary___Track[[#This Row],[Epoch]]</f>
        <v>250-RL-OP-0043-45778.2708333333</v>
      </c>
      <c r="Z1166" s="126">
        <f>SUBTOTAL(103,ReportSummary___Track[[#This Row],[Track ID]])</f>
        <v>1</v>
      </c>
      <c r="AA1166" s="114">
        <f>_xlfn.NUMBERVALUE(RIGHT(ReportSummary___Track[[#This Row],[Track ID]],4))</f>
        <v>43</v>
      </c>
      <c r="AB1166" s="78"/>
    </row>
    <row r="1167" spans="5:28" ht="14.25" customHeight="1" x14ac:dyDescent="0.2">
      <c r="E1167" s="74">
        <v>45778.270833333336</v>
      </c>
      <c r="F1167" s="107" t="s">
        <v>283</v>
      </c>
      <c r="G1167" s="142">
        <v>51908.242837315098</v>
      </c>
      <c r="H1167" s="142">
        <v>159189.22062192488</v>
      </c>
      <c r="I1167" s="142">
        <v>18.873859426244497</v>
      </c>
      <c r="J1167" s="142">
        <v>51907.904517584328</v>
      </c>
      <c r="K1167" s="142">
        <v>159187.94720456348</v>
      </c>
      <c r="L1167" s="142">
        <v>18.86283128862453</v>
      </c>
      <c r="M1167" s="145">
        <v>1.1028137619966571E-2</v>
      </c>
      <c r="N1167" s="145">
        <v>1.317639418188757</v>
      </c>
      <c r="O1167" s="145">
        <v>7.4043588656991233E-4</v>
      </c>
      <c r="P1167" s="145">
        <v>2.8033346565798922E-3</v>
      </c>
      <c r="Q11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-2.6521638218923727E-4</v>
      </c>
      <c r="R11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1.5376391334864792E-2</v>
      </c>
      <c r="S11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-2.4636931428290154E-4</v>
      </c>
      <c r="T11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-2.6521638218923727E-4</v>
      </c>
      <c r="U11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-6.4718353343096169E-8</v>
      </c>
      <c r="V11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1.4753418776281002E-4</v>
      </c>
      <c r="W11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6.3330212185519486E-9</v>
      </c>
      <c r="X11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-5.3780276232373581E-8</v>
      </c>
      <c r="Y1167" s="162" t="str">
        <f>ReportSummary___Track[[#This Row],[Track ID]]&amp;"-"&amp;ReportSummary___Track[[#This Row],[Epoch]]</f>
        <v>250-RL-OP-0044-45778.2708333333</v>
      </c>
      <c r="Z1167" s="126">
        <f>SUBTOTAL(103,ReportSummary___Track[[#This Row],[Track ID]])</f>
        <v>1</v>
      </c>
      <c r="AA1167" s="114">
        <f>_xlfn.NUMBERVALUE(RIGHT(ReportSummary___Track[[#This Row],[Track ID]],4))</f>
        <v>44</v>
      </c>
      <c r="AB1167" s="78"/>
    </row>
    <row r="1168" spans="5:28" ht="14.25" customHeight="1" x14ac:dyDescent="0.2">
      <c r="E1168" s="74">
        <v>45778.270833333336</v>
      </c>
      <c r="F1168" s="107" t="s">
        <v>284</v>
      </c>
      <c r="G1168" s="142">
        <v>51909.212441955213</v>
      </c>
      <c r="H1168" s="142">
        <v>159188.97595984521</v>
      </c>
      <c r="I1168" s="142">
        <v>18.87656287463863</v>
      </c>
      <c r="J1168" s="142">
        <v>51908.873845612303</v>
      </c>
      <c r="K1168" s="142">
        <v>159187.7014451595</v>
      </c>
      <c r="L1168" s="142">
        <v>18.865174266709456</v>
      </c>
      <c r="M1168" s="145">
        <v>1.1388607929173844E-2</v>
      </c>
      <c r="N1168" s="145">
        <v>1.3187740018291623</v>
      </c>
      <c r="O1168" s="145">
        <v>8.5558563708687529E-4</v>
      </c>
      <c r="P1168" s="145">
        <v>2.4658018148429051E-3</v>
      </c>
      <c r="Q11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-1.078319645131387E-3</v>
      </c>
      <c r="R11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9.9362713157802318E-2</v>
      </c>
      <c r="S11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-9.2388216188510341E-4</v>
      </c>
      <c r="T11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-1.0783196415786733E-3</v>
      </c>
      <c r="U11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-2.4712633361900771E-7</v>
      </c>
      <c r="V11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-1.5933404168055887E-4</v>
      </c>
      <c r="W11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3.3508596075648711E-7</v>
      </c>
      <c r="X11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-1.7501334426128778E-7</v>
      </c>
      <c r="Y1168" s="162" t="str">
        <f>ReportSummary___Track[[#This Row],[Track ID]]&amp;"-"&amp;ReportSummary___Track[[#This Row],[Epoch]]</f>
        <v>250-RL-OP-0045-45778.2708333333</v>
      </c>
      <c r="Z1168" s="126">
        <f>SUBTOTAL(103,ReportSummary___Track[[#This Row],[Track ID]])</f>
        <v>1</v>
      </c>
      <c r="AA1168" s="114">
        <f>_xlfn.NUMBERVALUE(RIGHT(ReportSummary___Track[[#This Row],[Track ID]],4))</f>
        <v>45</v>
      </c>
      <c r="AB1168" s="78"/>
    </row>
    <row r="1169" spans="5:28" ht="14.25" customHeight="1" x14ac:dyDescent="0.2">
      <c r="E1169" s="74">
        <v>45778.270833333336</v>
      </c>
      <c r="F1169" s="107" t="s">
        <v>285</v>
      </c>
      <c r="G1169" s="142">
        <v>51910.182046595335</v>
      </c>
      <c r="H1169" s="142">
        <v>159188.73129776554</v>
      </c>
      <c r="I1169" s="142">
        <v>18.879266323032763</v>
      </c>
      <c r="J1169" s="142">
        <v>51909.843173640271</v>
      </c>
      <c r="K1169" s="142">
        <v>159187.45568575553</v>
      </c>
      <c r="L1169" s="142">
        <v>18.867517244794382</v>
      </c>
      <c r="M1169" s="145">
        <v>1.1749078238381117E-2</v>
      </c>
      <c r="N1169" s="145">
        <v>1.3199086788840959</v>
      </c>
      <c r="O1169" s="145">
        <v>9.7073538760383826E-4</v>
      </c>
      <c r="P1169" s="145">
        <v>2.1282689731059179E-3</v>
      </c>
      <c r="Q11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-1.8914229045208231E-3</v>
      </c>
      <c r="R11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0.18334818460785662</v>
      </c>
      <c r="S11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-1.6013950059345916E-3</v>
      </c>
      <c r="T11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-1.8914229009681094E-3</v>
      </c>
      <c r="U11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-4.2953431389491925E-7</v>
      </c>
      <c r="V11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-4.662009773692688E-4</v>
      </c>
      <c r="W11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6.6383890384713595E-7</v>
      </c>
      <c r="X11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-2.9624641229020199E-7</v>
      </c>
      <c r="Y1169" s="162" t="str">
        <f>ReportSummary___Track[[#This Row],[Track ID]]&amp;"-"&amp;ReportSummary___Track[[#This Row],[Epoch]]</f>
        <v>250-RL-OP-0046-45778.2708333333</v>
      </c>
      <c r="Z1169" s="126">
        <f>SUBTOTAL(103,ReportSummary___Track[[#This Row],[Track ID]])</f>
        <v>1</v>
      </c>
      <c r="AA1169" s="114">
        <f>_xlfn.NUMBERVALUE(RIGHT(ReportSummary___Track[[#This Row],[Track ID]],4))</f>
        <v>46</v>
      </c>
      <c r="AB1169" s="78"/>
    </row>
    <row r="1170" spans="5:28" ht="14.25" customHeight="1" x14ac:dyDescent="0.2">
      <c r="E1170" s="74">
        <v>45778.270833333336</v>
      </c>
      <c r="F1170" s="107" t="s">
        <v>286</v>
      </c>
      <c r="G1170" s="142">
        <v>51911.15212013515</v>
      </c>
      <c r="H1170" s="142">
        <v>159188.48835677281</v>
      </c>
      <c r="I1170" s="142">
        <v>18.882402466562812</v>
      </c>
      <c r="J1170" s="142">
        <v>51910.834175044969</v>
      </c>
      <c r="K1170" s="142">
        <v>159187.20644558506</v>
      </c>
      <c r="L1170" s="142">
        <v>18.870138804746514</v>
      </c>
      <c r="M1170" s="145">
        <v>1.2263661816298566E-2</v>
      </c>
      <c r="N1170" s="145">
        <v>1.320808756422432</v>
      </c>
      <c r="O1170" s="145">
        <v>1.2355241963319941E-3</v>
      </c>
      <c r="P1170" s="145">
        <v>1.9759600829019064E-3</v>
      </c>
      <c r="Q11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7.6829865115257689E-2</v>
      </c>
      <c r="R11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0.20866055135981831</v>
      </c>
      <c r="S11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7.7095081497446927E-2</v>
      </c>
      <c r="T11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7.6848712183164025E-2</v>
      </c>
      <c r="U11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-2.1757298185320906E-8</v>
      </c>
      <c r="V11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-7.2801195930205509E-4</v>
      </c>
      <c r="W11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4.2961055157775263E-8</v>
      </c>
      <c r="X11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4.9294076376327212E-8</v>
      </c>
      <c r="Y1170" s="162" t="str">
        <f>ReportSummary___Track[[#This Row],[Track ID]]&amp;"-"&amp;ReportSummary___Track[[#This Row],[Epoch]]</f>
        <v>250-RL-OP-0047-45778.2708333333</v>
      </c>
      <c r="Z1170" s="126">
        <f>SUBTOTAL(103,ReportSummary___Track[[#This Row],[Track ID]])</f>
        <v>1</v>
      </c>
      <c r="AA1170" s="114">
        <f>_xlfn.NUMBERVALUE(RIGHT(ReportSummary___Track[[#This Row],[Track ID]],4))</f>
        <v>47</v>
      </c>
      <c r="AB1170" s="78"/>
    </row>
    <row r="1171" spans="5:28" ht="14.25" customHeight="1" x14ac:dyDescent="0.2">
      <c r="E1171" s="74">
        <v>45778.270833333336</v>
      </c>
      <c r="F1171" s="107" t="s">
        <v>287</v>
      </c>
      <c r="G1171" s="142">
        <v>51912.12375265485</v>
      </c>
      <c r="H1171" s="142">
        <v>159188.251908826</v>
      </c>
      <c r="I1171" s="142">
        <v>18.88715800054198</v>
      </c>
      <c r="J1171" s="142">
        <v>51911.805659447018</v>
      </c>
      <c r="K1171" s="142">
        <v>159186.96936626773</v>
      </c>
      <c r="L1171" s="142">
        <v>18.873523159975598</v>
      </c>
      <c r="M1171" s="145">
        <v>1.3634840566382422E-2</v>
      </c>
      <c r="N1171" s="145">
        <v>1.3214706245396695</v>
      </c>
      <c r="O1171" s="145">
        <v>2.2462326372085784E-3</v>
      </c>
      <c r="P1171" s="145">
        <v>3.1018182742954536E-3</v>
      </c>
      <c r="Q11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0.42887358312171386</v>
      </c>
      <c r="R11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4.6472159521693257E-2</v>
      </c>
      <c r="S11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0.42995190276684525</v>
      </c>
      <c r="T11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0.42902802060496015</v>
      </c>
      <c r="U11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-1.3492429573602749E-7</v>
      </c>
      <c r="V11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-7.288130993030606E-4</v>
      </c>
      <c r="W11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1.1220203788298022E-7</v>
      </c>
      <c r="X11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4.4728799863946733E-7</v>
      </c>
      <c r="Y1171" s="162" t="str">
        <f>ReportSummary___Track[[#This Row],[Track ID]]&amp;"-"&amp;ReportSummary___Track[[#This Row],[Epoch]]</f>
        <v>250-RL-OP-0048-45778.2708333333</v>
      </c>
      <c r="Z1171" s="126">
        <f>SUBTOTAL(103,ReportSummary___Track[[#This Row],[Track ID]])</f>
        <v>1</v>
      </c>
      <c r="AA1171" s="114">
        <f>_xlfn.NUMBERVALUE(RIGHT(ReportSummary___Track[[#This Row],[Track ID]],4))</f>
        <v>48</v>
      </c>
      <c r="AB1171" s="78"/>
    </row>
    <row r="1172" spans="5:28" ht="14.25" customHeight="1" x14ac:dyDescent="0.2">
      <c r="E1172" s="74">
        <v>45778.270833333336</v>
      </c>
      <c r="F1172" s="107" t="s">
        <v>288</v>
      </c>
      <c r="G1172" s="142">
        <v>51913.095385174551</v>
      </c>
      <c r="H1172" s="142">
        <v>159188.01546087916</v>
      </c>
      <c r="I1172" s="142">
        <v>18.891913534521148</v>
      </c>
      <c r="J1172" s="142">
        <v>51912.777143849067</v>
      </c>
      <c r="K1172" s="142">
        <v>159186.73228695037</v>
      </c>
      <c r="L1172" s="142">
        <v>18.876907515204685</v>
      </c>
      <c r="M1172" s="145">
        <v>1.5006019316462726E-2</v>
      </c>
      <c r="N1172" s="145">
        <v>1.3221339014630247</v>
      </c>
      <c r="O1172" s="145">
        <v>3.2569410780816099E-3</v>
      </c>
      <c r="P1172" s="145">
        <v>4.2276764656854482E-3</v>
      </c>
      <c r="Q11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0.78091730112817004</v>
      </c>
      <c r="R11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-0.11508088851019949</v>
      </c>
      <c r="S11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0.78280872403269086</v>
      </c>
      <c r="T11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0.78120732902675627</v>
      </c>
      <c r="U11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-2.4809130039216143E-7</v>
      </c>
      <c r="V11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-7.2961368051549513E-4</v>
      </c>
      <c r="W11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1.8144301350275782E-7</v>
      </c>
      <c r="X11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8.4528191734989377E-7</v>
      </c>
      <c r="Y1172" s="162" t="str">
        <f>ReportSummary___Track[[#This Row],[Track ID]]&amp;"-"&amp;ReportSummary___Track[[#This Row],[Epoch]]</f>
        <v>250-RL-OP-0049-45778.2708333333</v>
      </c>
      <c r="Z1172" s="126">
        <f>SUBTOTAL(103,ReportSummary___Track[[#This Row],[Track ID]])</f>
        <v>1</v>
      </c>
      <c r="AA1172" s="114">
        <f>_xlfn.NUMBERVALUE(RIGHT(ReportSummary___Track[[#This Row],[Track ID]],4))</f>
        <v>49</v>
      </c>
      <c r="AB1172" s="78"/>
    </row>
    <row r="1173" spans="5:28" ht="14.25" customHeight="1" x14ac:dyDescent="0.2">
      <c r="E1173" s="74">
        <v>45777.298611111109</v>
      </c>
      <c r="F1173" s="107" t="s">
        <v>235</v>
      </c>
      <c r="G1173" s="142">
        <v>51886.101813691566</v>
      </c>
      <c r="H1173" s="142">
        <v>159195.44642123292</v>
      </c>
      <c r="I1173" s="142">
        <v>18.869056334450995</v>
      </c>
      <c r="J1173" s="142">
        <v>51885.743029335979</v>
      </c>
      <c r="K1173" s="142">
        <v>159194.18688073062</v>
      </c>
      <c r="L1173" s="142">
        <v>18.865068715969191</v>
      </c>
      <c r="M1173" s="145">
        <v>3.9876184818048444E-3</v>
      </c>
      <c r="N1173" s="145">
        <v>1.3096504846158707</v>
      </c>
      <c r="O1173" s="145"/>
      <c r="P1173" s="145"/>
      <c r="Q11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-0.28114626418940247</v>
      </c>
      <c r="R11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-0.46769177153893615</v>
      </c>
      <c r="S117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7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5.4739024335503927E-7</v>
      </c>
      <c r="V11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2.2383550038518329E-4</v>
      </c>
      <c r="W117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7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73" s="162" t="str">
        <f>ReportSummary___Track[[#This Row],[Track ID]]&amp;"-"&amp;ReportSummary___Track[[#This Row],[Epoch]]</f>
        <v>250-RL-OP-0021-45777.2986111111</v>
      </c>
      <c r="Z1173" s="126">
        <f>SUBTOTAL(103,ReportSummary___Track[[#This Row],[Track ID]])</f>
        <v>1</v>
      </c>
      <c r="AA1173" s="114">
        <f>_xlfn.NUMBERVALUE(RIGHT(ReportSummary___Track[[#This Row],[Track ID]],4))</f>
        <v>21</v>
      </c>
      <c r="AB1173" s="78"/>
    </row>
    <row r="1174" spans="5:28" ht="14.25" customHeight="1" x14ac:dyDescent="0.2">
      <c r="E1174" s="74">
        <v>45777.298611111109</v>
      </c>
      <c r="F1174" s="107" t="s">
        <v>236</v>
      </c>
      <c r="G1174" s="142">
        <v>51887.063368977339</v>
      </c>
      <c r="H1174" s="142">
        <v>159195.17180982089</v>
      </c>
      <c r="I1174" s="142">
        <v>18.869125558401592</v>
      </c>
      <c r="J1174" s="142">
        <v>51886.704122287876</v>
      </c>
      <c r="K1174" s="142">
        <v>159193.91065564725</v>
      </c>
      <c r="L1174" s="142">
        <v>18.865271499586004</v>
      </c>
      <c r="M1174" s="145">
        <v>3.8540588155875355E-3</v>
      </c>
      <c r="N1174" s="145">
        <v>1.3113286725112148</v>
      </c>
      <c r="O1174" s="145"/>
      <c r="P1174" s="145"/>
      <c r="Q11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-0.61906244711096292</v>
      </c>
      <c r="R11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-0.70014058387135591</v>
      </c>
      <c r="S117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7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8.7772560348753359E-6</v>
      </c>
      <c r="V11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-3.4035405048071787E-4</v>
      </c>
      <c r="W117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7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74" s="162" t="str">
        <f>ReportSummary___Track[[#This Row],[Track ID]]&amp;"-"&amp;ReportSummary___Track[[#This Row],[Epoch]]</f>
        <v>250-RL-OP-0022-45777.2986111111</v>
      </c>
      <c r="Z1174" s="126">
        <f>SUBTOTAL(103,ReportSummary___Track[[#This Row],[Track ID]])</f>
        <v>1</v>
      </c>
      <c r="AA1174" s="114">
        <f>_xlfn.NUMBERVALUE(RIGHT(ReportSummary___Track[[#This Row],[Track ID]],4))</f>
        <v>22</v>
      </c>
      <c r="AB1174" s="78"/>
    </row>
    <row r="1175" spans="5:28" ht="14.25" customHeight="1" x14ac:dyDescent="0.2">
      <c r="E1175" s="74">
        <v>45777.298611111109</v>
      </c>
      <c r="F1175" s="107" t="s">
        <v>237</v>
      </c>
      <c r="G1175" s="142">
        <v>51888.024924263111</v>
      </c>
      <c r="H1175" s="142">
        <v>159194.89719840887</v>
      </c>
      <c r="I1175" s="142">
        <v>18.869194782352192</v>
      </c>
      <c r="J1175" s="142">
        <v>51887.665215239773</v>
      </c>
      <c r="K1175" s="142">
        <v>159193.63443056386</v>
      </c>
      <c r="L1175" s="142">
        <v>18.865474283202822</v>
      </c>
      <c r="M1175" s="145">
        <v>3.7204991493702266E-3</v>
      </c>
      <c r="N1175" s="145">
        <v>1.3130068750661352</v>
      </c>
      <c r="O1175" s="145"/>
      <c r="P1175" s="145"/>
      <c r="Q11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-0.95697863003252337</v>
      </c>
      <c r="R11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-0.93260454425236894</v>
      </c>
      <c r="S117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17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1.7007121822842919E-5</v>
      </c>
      <c r="V11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-9.045457503729093E-4</v>
      </c>
      <c r="W117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17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75" s="162" t="str">
        <f>ReportSummary___Track[[#This Row],[Track ID]]&amp;"-"&amp;ReportSummary___Track[[#This Row],[Epoch]]</f>
        <v>250-RL-OP-0023-45777.2986111111</v>
      </c>
      <c r="Z1175" s="126">
        <f>SUBTOTAL(103,ReportSummary___Track[[#This Row],[Track ID]])</f>
        <v>1</v>
      </c>
      <c r="AA1175" s="114">
        <f>_xlfn.NUMBERVALUE(RIGHT(ReportSummary___Track[[#This Row],[Track ID]],4))</f>
        <v>23</v>
      </c>
      <c r="AB1175" s="78"/>
    </row>
    <row r="1176" spans="5:28" ht="14.25" customHeight="1" x14ac:dyDescent="0.2">
      <c r="E1176" s="74">
        <v>45777.298611111109</v>
      </c>
      <c r="F1176" s="107" t="s">
        <v>238</v>
      </c>
      <c r="G1176" s="142">
        <v>51888.98628832103</v>
      </c>
      <c r="H1176" s="142">
        <v>159194.62201573106</v>
      </c>
      <c r="I1176" s="142">
        <v>18.868514730242751</v>
      </c>
      <c r="J1176" s="142">
        <v>51888.624024107339</v>
      </c>
      <c r="K1176" s="142">
        <v>159193.3577967032</v>
      </c>
      <c r="L1176" s="142">
        <v>18.864453321526579</v>
      </c>
      <c r="M1176" s="145">
        <v>4.0614087161721102E-3</v>
      </c>
      <c r="N1176" s="145">
        <v>1.3151051691618987</v>
      </c>
      <c r="O1176" s="145">
        <v>7.3790234367265839E-5</v>
      </c>
      <c r="P1176" s="145"/>
      <c r="Q11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-0.70101284290657873</v>
      </c>
      <c r="R11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-0.66426016991716352</v>
      </c>
      <c r="S11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-0.41986657871717625</v>
      </c>
      <c r="T117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-9.9613568949052933E-8</v>
      </c>
      <c r="V11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-6.7399160645176259E-4</v>
      </c>
      <c r="W11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-6.4700381230409221E-7</v>
      </c>
      <c r="X117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76" s="162" t="str">
        <f>ReportSummary___Track[[#This Row],[Track ID]]&amp;"-"&amp;ReportSummary___Track[[#This Row],[Epoch]]</f>
        <v>250-RL-OP-0024-45777.2986111111</v>
      </c>
      <c r="Z1176" s="126">
        <f>SUBTOTAL(103,ReportSummary___Track[[#This Row],[Track ID]])</f>
        <v>1</v>
      </c>
      <c r="AA1176" s="114">
        <f>_xlfn.NUMBERVALUE(RIGHT(ReportSummary___Track[[#This Row],[Track ID]],4))</f>
        <v>24</v>
      </c>
      <c r="AB1176" s="78"/>
    </row>
    <row r="1177" spans="5:28" ht="14.25" customHeight="1" x14ac:dyDescent="0.2">
      <c r="E1177" s="74">
        <v>45777.298611111109</v>
      </c>
      <c r="F1177" s="107" t="s">
        <v>239</v>
      </c>
      <c r="G1177" s="142">
        <v>51889.947664398285</v>
      </c>
      <c r="H1177" s="142">
        <v>159194.34677858101</v>
      </c>
      <c r="I1177" s="142">
        <v>18.867773577574297</v>
      </c>
      <c r="J1177" s="142">
        <v>51889.58479107709</v>
      </c>
      <c r="K1177" s="142">
        <v>159193.08044244221</v>
      </c>
      <c r="L1177" s="142">
        <v>18.86325176203465</v>
      </c>
      <c r="M1177" s="145">
        <v>4.5218155396469228E-3</v>
      </c>
      <c r="N1177" s="145">
        <v>1.3173096486680025</v>
      </c>
      <c r="O1177" s="145">
        <v>6.6775672405938735E-4</v>
      </c>
      <c r="P1177" s="145"/>
      <c r="Q11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-0.35777918949619902</v>
      </c>
      <c r="R11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-0.33934164896098906</v>
      </c>
      <c r="S11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0.2612832576147639</v>
      </c>
      <c r="T117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-2.1396733629330811E-7</v>
      </c>
      <c r="V11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-3.4412781465142928E-4</v>
      </c>
      <c r="W11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-8.991223371168644E-6</v>
      </c>
      <c r="X117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77" s="162" t="str">
        <f>ReportSummary___Track[[#This Row],[Track ID]]&amp;"-"&amp;ReportSummary___Track[[#This Row],[Epoch]]</f>
        <v>250-RL-OP-0025-45777.2986111111</v>
      </c>
      <c r="Z1177" s="126">
        <f>SUBTOTAL(103,ReportSummary___Track[[#This Row],[Track ID]])</f>
        <v>1</v>
      </c>
      <c r="AA1177" s="114">
        <f>_xlfn.NUMBERVALUE(RIGHT(ReportSummary___Track[[#This Row],[Track ID]],4))</f>
        <v>25</v>
      </c>
      <c r="AB1177" s="78"/>
    </row>
    <row r="1178" spans="5:28" ht="14.25" customHeight="1" x14ac:dyDescent="0.2">
      <c r="E1178" s="74">
        <v>45777.298611111109</v>
      </c>
      <c r="F1178" s="107" t="s">
        <v>240</v>
      </c>
      <c r="G1178" s="142">
        <v>51890.909040475541</v>
      </c>
      <c r="H1178" s="142">
        <v>159194.07154143095</v>
      </c>
      <c r="I1178" s="142">
        <v>18.867032424905847</v>
      </c>
      <c r="J1178" s="142">
        <v>51890.545558046833</v>
      </c>
      <c r="K1178" s="142">
        <v>159192.80308818122</v>
      </c>
      <c r="L1178" s="142">
        <v>18.862050202542722</v>
      </c>
      <c r="M1178" s="145">
        <v>4.9822223631252882E-3</v>
      </c>
      <c r="N1178" s="145">
        <v>1.3195142838510057</v>
      </c>
      <c r="O1178" s="145">
        <v>1.2617232137550616E-3</v>
      </c>
      <c r="P1178" s="145"/>
      <c r="Q11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-1.4545536082266608E-2</v>
      </c>
      <c r="R11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-1.427669820253108E-2</v>
      </c>
      <c r="S11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0.94243309395025676</v>
      </c>
      <c r="T117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1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-3.2832110363756328E-7</v>
      </c>
      <c r="V11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-1.4264836395661007E-5</v>
      </c>
      <c r="W11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-1.7335442926480482E-5</v>
      </c>
      <c r="X117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178" s="162" t="str">
        <f>ReportSummary___Track[[#This Row],[Track ID]]&amp;"-"&amp;ReportSummary___Track[[#This Row],[Epoch]]</f>
        <v>250-RL-OP-0026-45777.2986111111</v>
      </c>
      <c r="Z1178" s="126">
        <f>SUBTOTAL(103,ReportSummary___Track[[#This Row],[Track ID]])</f>
        <v>1</v>
      </c>
      <c r="AA1178" s="114">
        <f>_xlfn.NUMBERVALUE(RIGHT(ReportSummary___Track[[#This Row],[Track ID]],4))</f>
        <v>26</v>
      </c>
      <c r="AB1178" s="78"/>
    </row>
    <row r="1179" spans="5:28" ht="14.25" customHeight="1" x14ac:dyDescent="0.2">
      <c r="E1179" s="74">
        <v>45777.298611111109</v>
      </c>
      <c r="F1179" s="107" t="s">
        <v>241</v>
      </c>
      <c r="G1179" s="142">
        <v>51891.869998393515</v>
      </c>
      <c r="H1179" s="142">
        <v>159193.7950380058</v>
      </c>
      <c r="I1179" s="142">
        <v>18.864991011003045</v>
      </c>
      <c r="J1179" s="142">
        <v>51891.504242386545</v>
      </c>
      <c r="K1179" s="142">
        <v>159192.52652276491</v>
      </c>
      <c r="L1179" s="142">
        <v>18.860282734964652</v>
      </c>
      <c r="M1179" s="145">
        <v>4.7082760383929667E-3</v>
      </c>
      <c r="N1179" s="145">
        <v>1.3202009471601357</v>
      </c>
      <c r="O1179" s="145">
        <v>6.4686732222085652E-4</v>
      </c>
      <c r="P1179" s="145">
        <v>7.2065755658812236E-4</v>
      </c>
      <c r="Q11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5.3297168598476219E-3</v>
      </c>
      <c r="R11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1.944313399171449E-5</v>
      </c>
      <c r="S11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0.70634255976642635</v>
      </c>
      <c r="T11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0.28647598104925009</v>
      </c>
      <c r="U11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3.2996122822481766E-4</v>
      </c>
      <c r="V11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8.5642233661031852E-5</v>
      </c>
      <c r="W11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3.3006084179376671E-4</v>
      </c>
      <c r="X11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3.2941383798146262E-4</v>
      </c>
      <c r="Y1179" s="162" t="str">
        <f>ReportSummary___Track[[#This Row],[Track ID]]&amp;"-"&amp;ReportSummary___Track[[#This Row],[Epoch]]</f>
        <v>250-RL-OP-0027-45777.2986111111</v>
      </c>
      <c r="Z1179" s="126">
        <f>SUBTOTAL(103,ReportSummary___Track[[#This Row],[Track ID]])</f>
        <v>1</v>
      </c>
      <c r="AA1179" s="114">
        <f>_xlfn.NUMBERVALUE(RIGHT(ReportSummary___Track[[#This Row],[Track ID]],4))</f>
        <v>27</v>
      </c>
      <c r="AB1179" s="78"/>
    </row>
    <row r="1180" spans="5:28" ht="14.25" customHeight="1" x14ac:dyDescent="0.2">
      <c r="E1180" s="74">
        <v>45777.298611111109</v>
      </c>
      <c r="F1180" s="107" t="s">
        <v>242</v>
      </c>
      <c r="G1180" s="142">
        <v>51892.830988137823</v>
      </c>
      <c r="H1180" s="142">
        <v>159193.51846198176</v>
      </c>
      <c r="I1180" s="142">
        <v>18.862889997619913</v>
      </c>
      <c r="J1180" s="142">
        <v>51892.465060782524</v>
      </c>
      <c r="K1180" s="142">
        <v>159192.24934992488</v>
      </c>
      <c r="L1180" s="142">
        <v>18.858486432626421</v>
      </c>
      <c r="M1180" s="145">
        <v>4.4035649934919263E-3</v>
      </c>
      <c r="N1180" s="145">
        <v>1.3208208181480645</v>
      </c>
      <c r="O1180" s="145">
        <v>-1.1825054615499653E-4</v>
      </c>
      <c r="P1180" s="145">
        <v>5.4950617790439082E-4</v>
      </c>
      <c r="Q11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1.0832678739802759E-2</v>
      </c>
      <c r="R11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3.6999853403330007E-5</v>
      </c>
      <c r="S11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0.36861186823600178</v>
      </c>
      <c r="T11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0.62989512585076568</v>
      </c>
      <c r="U11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6.7503685202652264E-4</v>
      </c>
      <c r="V11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1.7505042219179145E-4</v>
      </c>
      <c r="W11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6.7525081936281595E-4</v>
      </c>
      <c r="X11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6.662595959916473E-4</v>
      </c>
      <c r="Y1180" s="162" t="str">
        <f>ReportSummary___Track[[#This Row],[Track ID]]&amp;"-"&amp;ReportSummary___Track[[#This Row],[Epoch]]</f>
        <v>250-RL-OP-0028-45777.2986111111</v>
      </c>
      <c r="Z1180" s="126">
        <f>SUBTOTAL(103,ReportSummary___Track[[#This Row],[Track ID]])</f>
        <v>1</v>
      </c>
      <c r="AA1180" s="114">
        <f>_xlfn.NUMBERVALUE(RIGHT(ReportSummary___Track[[#This Row],[Track ID]],4))</f>
        <v>28</v>
      </c>
      <c r="AB1180" s="78"/>
    </row>
    <row r="1181" spans="5:28" ht="14.25" customHeight="1" x14ac:dyDescent="0.2">
      <c r="E1181" s="74">
        <v>45777.298611111109</v>
      </c>
      <c r="F1181" s="107" t="s">
        <v>243</v>
      </c>
      <c r="G1181" s="142">
        <v>51893.791832902716</v>
      </c>
      <c r="H1181" s="142">
        <v>159193.24188497054</v>
      </c>
      <c r="I1181" s="142">
        <v>18.86090880847965</v>
      </c>
      <c r="J1181" s="142">
        <v>51893.425692236284</v>
      </c>
      <c r="K1181" s="142">
        <v>159191.97223060479</v>
      </c>
      <c r="L1181" s="142">
        <v>18.856702718082136</v>
      </c>
      <c r="M1181" s="145">
        <v>4.2060903975134067E-3</v>
      </c>
      <c r="N1181" s="145">
        <v>1.321400350871381</v>
      </c>
      <c r="O1181" s="145">
        <v>-7.7613196561188147E-4</v>
      </c>
      <c r="P1181" s="145">
        <v>4.8559124814318011E-4</v>
      </c>
      <c r="Q11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2.5752200372153311E-7</v>
      </c>
      <c r="R11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1.741173618396985E-3</v>
      </c>
      <c r="S11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1.454579360427033E-2</v>
      </c>
      <c r="T11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0.95697888755452709</v>
      </c>
      <c r="U11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9.8239267918387441E-4</v>
      </c>
      <c r="V11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2.7585346125458265E-4</v>
      </c>
      <c r="W11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9.8272100028751197E-4</v>
      </c>
      <c r="X11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9.6538555736103149E-4</v>
      </c>
      <c r="Y1181" s="162" t="str">
        <f>ReportSummary___Track[[#This Row],[Track ID]]&amp;"-"&amp;ReportSummary___Track[[#This Row],[Epoch]]</f>
        <v>250-RL-OP-0029-45777.2986111111</v>
      </c>
      <c r="Z1181" s="126">
        <f>SUBTOTAL(103,ReportSummary___Track[[#This Row],[Track ID]])</f>
        <v>1</v>
      </c>
      <c r="AA1181" s="114">
        <f>_xlfn.NUMBERVALUE(RIGHT(ReportSummary___Track[[#This Row],[Track ID]],4))</f>
        <v>29</v>
      </c>
      <c r="AB1181" s="78"/>
    </row>
    <row r="1182" spans="5:28" ht="14.25" customHeight="1" x14ac:dyDescent="0.2">
      <c r="E1182" s="74">
        <v>45777.298611111109</v>
      </c>
      <c r="F1182" s="107" t="s">
        <v>269</v>
      </c>
      <c r="G1182" s="142">
        <v>51894.752609045274</v>
      </c>
      <c r="H1182" s="142">
        <v>159192.9645599339</v>
      </c>
      <c r="I1182" s="142">
        <v>18.861075952305988</v>
      </c>
      <c r="J1182" s="142">
        <v>51894.386491534708</v>
      </c>
      <c r="K1182" s="142">
        <v>159191.69498622679</v>
      </c>
      <c r="L1182" s="142">
        <v>18.857215563768435</v>
      </c>
      <c r="M1182" s="145">
        <v>3.8603885375536606E-3</v>
      </c>
      <c r="N1182" s="145">
        <v>1.3213153794283075</v>
      </c>
      <c r="O1182" s="145">
        <v>-8.4788750083930609E-4</v>
      </c>
      <c r="P1182" s="145">
        <v>-2.0102017861844956E-4</v>
      </c>
      <c r="Q11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4.8846612088482289E-5</v>
      </c>
      <c r="R11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0.33026561531612764</v>
      </c>
      <c r="S11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-5.2808702477591396E-3</v>
      </c>
      <c r="T11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0.70106168951866721</v>
      </c>
      <c r="U11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6.4848323754418402E-4</v>
      </c>
      <c r="V11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4.1595449265763307E-4</v>
      </c>
      <c r="W11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3.1852200931936636E-4</v>
      </c>
      <c r="X11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6.4858285111313307E-4</v>
      </c>
      <c r="Y1182" s="162" t="str">
        <f>ReportSummary___Track[[#This Row],[Track ID]]&amp;"-"&amp;ReportSummary___Track[[#This Row],[Epoch]]</f>
        <v>250-RL-OP-0030-45777.2986111111</v>
      </c>
      <c r="Z1182" s="126">
        <f>SUBTOTAL(103,ReportSummary___Track[[#This Row],[Track ID]])</f>
        <v>1</v>
      </c>
      <c r="AA1182" s="114">
        <f>_xlfn.NUMBERVALUE(RIGHT(ReportSummary___Track[[#This Row],[Track ID]],4))</f>
        <v>30</v>
      </c>
      <c r="AB1182" s="78"/>
    </row>
    <row r="1183" spans="5:28" ht="14.25" customHeight="1" x14ac:dyDescent="0.2">
      <c r="E1183" s="74">
        <v>45777.298611111109</v>
      </c>
      <c r="F1183" s="107" t="s">
        <v>270</v>
      </c>
      <c r="G1183" s="142">
        <v>51895.713385187832</v>
      </c>
      <c r="H1183" s="142">
        <v>159192.68723489722</v>
      </c>
      <c r="I1183" s="142">
        <v>18.861243096132323</v>
      </c>
      <c r="J1183" s="142">
        <v>51895.347290833131</v>
      </c>
      <c r="K1183" s="142">
        <v>159191.41774184877</v>
      </c>
      <c r="L1183" s="142">
        <v>18.857728409454733</v>
      </c>
      <c r="M1183" s="145">
        <v>3.5146866775903618E-3</v>
      </c>
      <c r="N1183" s="145">
        <v>1.321230498303801</v>
      </c>
      <c r="O1183" s="145">
        <v>-8.8887831590156452E-4</v>
      </c>
      <c r="P1183" s="145">
        <v>-1.007128862056561E-3</v>
      </c>
      <c r="Q11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9.7435698620529365E-5</v>
      </c>
      <c r="R11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0.65879051054840154</v>
      </c>
      <c r="S11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-1.073524304118223E-2</v>
      </c>
      <c r="T11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0.35787662519481955</v>
      </c>
      <c r="U11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3.1457379590094092E-4</v>
      </c>
      <c r="V11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5.5614577283202848E-4</v>
      </c>
      <c r="W11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-3.6046305612558172E-4</v>
      </c>
      <c r="X11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3.1478776323723423E-4</v>
      </c>
      <c r="Y1183" s="162" t="str">
        <f>ReportSummary___Track[[#This Row],[Track ID]]&amp;"-"&amp;ReportSummary___Track[[#This Row],[Epoch]]</f>
        <v>250-RL-OP-0031-45777.2986111111</v>
      </c>
      <c r="Z1183" s="126">
        <f>SUBTOTAL(103,ReportSummary___Track[[#This Row],[Track ID]])</f>
        <v>1</v>
      </c>
      <c r="AA1183" s="114">
        <f>_xlfn.NUMBERVALUE(RIGHT(ReportSummary___Track[[#This Row],[Track ID]],4))</f>
        <v>31</v>
      </c>
      <c r="AB1183" s="78"/>
    </row>
    <row r="1184" spans="5:28" ht="14.25" customHeight="1" x14ac:dyDescent="0.2">
      <c r="E1184" s="74">
        <v>45777.298611111109</v>
      </c>
      <c r="F1184" s="107" t="s">
        <v>271</v>
      </c>
      <c r="G1184" s="142">
        <v>51896.674400289477</v>
      </c>
      <c r="H1184" s="142">
        <v>159192.40988835372</v>
      </c>
      <c r="I1184" s="142">
        <v>18.861498357934735</v>
      </c>
      <c r="J1184" s="142">
        <v>51896.30852141809</v>
      </c>
      <c r="K1184" s="142">
        <v>159191.14070884953</v>
      </c>
      <c r="L1184" s="142">
        <v>18.858247340168667</v>
      </c>
      <c r="M1184" s="145">
        <v>3.2510177660682871E-3</v>
      </c>
      <c r="N1184" s="145">
        <v>1.3208688547696443</v>
      </c>
      <c r="O1184" s="145">
        <v>-9.5507263144511967E-4</v>
      </c>
      <c r="P1184" s="145">
        <v>-1.7312045970570011E-3</v>
      </c>
      <c r="Q11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1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0.96083810884728393</v>
      </c>
      <c r="S11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-2.5752200372153311E-7</v>
      </c>
      <c r="T11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1.4545536082266608E-2</v>
      </c>
      <c r="U11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-5.8026000004929301E-8</v>
      </c>
      <c r="V11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6.7625940651017125E-4</v>
      </c>
      <c r="W11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-9.8245070518387934E-4</v>
      </c>
      <c r="X11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2.7029510363263398E-7</v>
      </c>
      <c r="Y1184" s="162" t="str">
        <f>ReportSummary___Track[[#This Row],[Track ID]]&amp;"-"&amp;ReportSummary___Track[[#This Row],[Epoch]]</f>
        <v>250-RL-OP-0032-45777.2986111111</v>
      </c>
      <c r="Z1184" s="126">
        <f>SUBTOTAL(103,ReportSummary___Track[[#This Row],[Track ID]])</f>
        <v>1</v>
      </c>
      <c r="AA1184" s="114">
        <f>_xlfn.NUMBERVALUE(RIGHT(ReportSummary___Track[[#This Row],[Track ID]],4))</f>
        <v>32</v>
      </c>
      <c r="AB1184" s="78"/>
    </row>
    <row r="1185" spans="5:28" ht="14.25" customHeight="1" x14ac:dyDescent="0.2">
      <c r="E1185" s="74">
        <v>45777.298611111109</v>
      </c>
      <c r="F1185" s="107" t="s">
        <v>272</v>
      </c>
      <c r="G1185" s="142">
        <v>51897.635380606233</v>
      </c>
      <c r="H1185" s="142">
        <v>159192.13327621913</v>
      </c>
      <c r="I1185" s="142">
        <v>18.863097673946697</v>
      </c>
      <c r="J1185" s="142">
        <v>51897.270420156819</v>
      </c>
      <c r="K1185" s="142">
        <v>159190.8673035219</v>
      </c>
      <c r="L1185" s="142">
        <v>18.858833233345248</v>
      </c>
      <c r="M1185" s="145">
        <v>4.2644406014495928E-3</v>
      </c>
      <c r="N1185" s="145">
        <v>1.317536028058425</v>
      </c>
      <c r="O1185" s="145">
        <v>4.0405206389593218E-4</v>
      </c>
      <c r="P1185" s="145">
        <v>-4.4383543694337391E-4</v>
      </c>
      <c r="Q11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1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0.96083468879504252</v>
      </c>
      <c r="S11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-4.8846615641195967E-5</v>
      </c>
      <c r="T11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-5.3297168634003356E-3</v>
      </c>
      <c r="U11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-9.4060393962536182E-7</v>
      </c>
      <c r="V11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5.3240203509830053E-4</v>
      </c>
      <c r="W11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-6.4942384148380938E-4</v>
      </c>
      <c r="X11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-3.3090183216444302E-4</v>
      </c>
      <c r="Y1185" s="162" t="str">
        <f>ReportSummary___Track[[#This Row],[Track ID]]&amp;"-"&amp;ReportSummary___Track[[#This Row],[Epoch]]</f>
        <v>250-RL-OP-0033-45777.2986111111</v>
      </c>
      <c r="Z1185" s="126">
        <f>SUBTOTAL(103,ReportSummary___Track[[#This Row],[Track ID]])</f>
        <v>1</v>
      </c>
      <c r="AA1185" s="114">
        <f>_xlfn.NUMBERVALUE(RIGHT(ReportSummary___Track[[#This Row],[Track ID]],4))</f>
        <v>33</v>
      </c>
      <c r="AB1185" s="78"/>
    </row>
    <row r="1186" spans="5:28" ht="14.25" customHeight="1" x14ac:dyDescent="0.2">
      <c r="E1186" s="74">
        <v>45777.298611111109</v>
      </c>
      <c r="F1186" s="107" t="s">
        <v>273</v>
      </c>
      <c r="G1186" s="142">
        <v>51898.596360922988</v>
      </c>
      <c r="H1186" s="142">
        <v>159191.85666408454</v>
      </c>
      <c r="I1186" s="142">
        <v>18.864696989958659</v>
      </c>
      <c r="J1186" s="142">
        <v>51898.232318895542</v>
      </c>
      <c r="K1186" s="142">
        <v>159190.59389819429</v>
      </c>
      <c r="L1186" s="142">
        <v>18.859419126521825</v>
      </c>
      <c r="M1186" s="145">
        <v>5.2778634368344512E-3</v>
      </c>
      <c r="N1186" s="145">
        <v>1.3142039975462336</v>
      </c>
      <c r="O1186" s="145">
        <v>1.7631767592440895E-3</v>
      </c>
      <c r="P1186" s="145">
        <v>8.7429844334252493E-4</v>
      </c>
      <c r="Q11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1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0.96083064288832176</v>
      </c>
      <c r="S11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-9.7435702173243044E-5</v>
      </c>
      <c r="T11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-1.0832678743355473E-2</v>
      </c>
      <c r="U11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-1.8231818792457943E-6</v>
      </c>
      <c r="V11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3.8854359114370851E-4</v>
      </c>
      <c r="W11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-3.1639697778018672E-4</v>
      </c>
      <c r="X11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-6.7686003390576843E-4</v>
      </c>
      <c r="Y1186" s="162" t="str">
        <f>ReportSummary___Track[[#This Row],[Track ID]]&amp;"-"&amp;ReportSummary___Track[[#This Row],[Epoch]]</f>
        <v>250-RL-OP-0034-45777.2986111111</v>
      </c>
      <c r="Z1186" s="126">
        <f>SUBTOTAL(103,ReportSummary___Track[[#This Row],[Track ID]])</f>
        <v>1</v>
      </c>
      <c r="AA1186" s="114">
        <f>_xlfn.NUMBERVALUE(RIGHT(ReportSummary___Track[[#This Row],[Track ID]],4))</f>
        <v>34</v>
      </c>
      <c r="AB1186" s="78"/>
    </row>
    <row r="1187" spans="5:28" ht="14.25" customHeight="1" x14ac:dyDescent="0.2">
      <c r="E1187" s="74">
        <v>45777.298611111109</v>
      </c>
      <c r="F1187" s="107" t="s">
        <v>274</v>
      </c>
      <c r="G1187" s="142">
        <v>51899.557732431109</v>
      </c>
      <c r="H1187" s="142">
        <v>159191.5813204289</v>
      </c>
      <c r="I1187" s="142">
        <v>18.866</v>
      </c>
      <c r="J1187" s="142">
        <v>51899.202472361336</v>
      </c>
      <c r="K1187" s="142">
        <v>159190.31862001549</v>
      </c>
      <c r="L1187" s="142">
        <v>18.859777427163273</v>
      </c>
      <c r="M1187" s="145">
        <v>6.2225728367266697E-3</v>
      </c>
      <c r="N1187" s="145">
        <v>1.3117395974882282</v>
      </c>
      <c r="O1187" s="145">
        <v>2.9715550706583826E-3</v>
      </c>
      <c r="P1187" s="145">
        <v>2.016482439213263E-3</v>
      </c>
      <c r="Q11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1.0853771215124652E-5</v>
      </c>
      <c r="R11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0.90360129034405823</v>
      </c>
      <c r="S11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1.0853771215124652E-5</v>
      </c>
      <c r="T11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1.0596249211403119E-5</v>
      </c>
      <c r="U11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3.1783958576170335E-7</v>
      </c>
      <c r="V11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2.5351958757835469E-4</v>
      </c>
      <c r="W11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3.7586558576663265E-7</v>
      </c>
      <c r="X11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-9.820748395981127E-4</v>
      </c>
      <c r="Y1187" s="162" t="str">
        <f>ReportSummary___Track[[#This Row],[Track ID]]&amp;"-"&amp;ReportSummary___Track[[#This Row],[Epoch]]</f>
        <v>250-RL-OP-0035-45777.2986111111</v>
      </c>
      <c r="Z1187" s="126">
        <f>SUBTOTAL(103,ReportSummary___Track[[#This Row],[Track ID]])</f>
        <v>1</v>
      </c>
      <c r="AA1187" s="114">
        <f>_xlfn.NUMBERVALUE(RIGHT(ReportSummary___Track[[#This Row],[Track ID]],4))</f>
        <v>35</v>
      </c>
      <c r="AB1187" s="78"/>
    </row>
    <row r="1188" spans="5:28" ht="14.25" customHeight="1" x14ac:dyDescent="0.2">
      <c r="E1188" s="74">
        <v>45777.298611111109</v>
      </c>
      <c r="F1188" s="107" t="s">
        <v>275</v>
      </c>
      <c r="G1188" s="142">
        <v>51900.520670537458</v>
      </c>
      <c r="H1188" s="142">
        <v>159191.31159797279</v>
      </c>
      <c r="I1188" s="142">
        <v>18.866</v>
      </c>
      <c r="J1188" s="142">
        <v>51900.165031558645</v>
      </c>
      <c r="K1188" s="142">
        <v>159190.04754924017</v>
      </c>
      <c r="L1188" s="142">
        <v>18.859124401927652</v>
      </c>
      <c r="M1188" s="145">
        <v>6.8755980723480548E-3</v>
      </c>
      <c r="N1188" s="145">
        <v>1.3131433872666511</v>
      </c>
      <c r="O1188" s="145">
        <v>2.611157470898462E-3</v>
      </c>
      <c r="P1188" s="145">
        <v>3.0152095347943941E-3</v>
      </c>
      <c r="Q11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6.8678872366945143E-5</v>
      </c>
      <c r="R11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0.58934384892639358</v>
      </c>
      <c r="S11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6.8678875919658822E-5</v>
      </c>
      <c r="T11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1.9832260278462854E-5</v>
      </c>
      <c r="U11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6.2632104018689461E-6</v>
      </c>
      <c r="V11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1.5795302292787028E-4</v>
      </c>
      <c r="W11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7.2038143414943079E-6</v>
      </c>
      <c r="X11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-6.4222002714231508E-4</v>
      </c>
      <c r="Y1188" s="162" t="str">
        <f>ReportSummary___Track[[#This Row],[Track ID]]&amp;"-"&amp;ReportSummary___Track[[#This Row],[Epoch]]</f>
        <v>250-RL-OP-0036-45777.2986111111</v>
      </c>
      <c r="Z1188" s="126">
        <f>SUBTOTAL(103,ReportSummary___Track[[#This Row],[Track ID]])</f>
        <v>1</v>
      </c>
      <c r="AA1188" s="114">
        <f>_xlfn.NUMBERVALUE(RIGHT(ReportSummary___Track[[#This Row],[Track ID]],4))</f>
        <v>36</v>
      </c>
      <c r="AB1188" s="78"/>
    </row>
    <row r="1189" spans="5:28" ht="14.25" customHeight="1" x14ac:dyDescent="0.2">
      <c r="E1189" s="74">
        <v>45777.298611111109</v>
      </c>
      <c r="F1189" s="107" t="s">
        <v>276</v>
      </c>
      <c r="G1189" s="142">
        <v>51901.483608643815</v>
      </c>
      <c r="H1189" s="142">
        <v>159191.04187551665</v>
      </c>
      <c r="I1189" s="142">
        <v>18.866</v>
      </c>
      <c r="J1189" s="142">
        <v>51901.127590755954</v>
      </c>
      <c r="K1189" s="142">
        <v>159189.77647846486</v>
      </c>
      <c r="L1189" s="142">
        <v>18.858471376692027</v>
      </c>
      <c r="M1189" s="145">
        <v>7.5286233079729925E-3</v>
      </c>
      <c r="N1189" s="145">
        <v>1.3145474945069846</v>
      </c>
      <c r="O1189" s="145">
        <v>2.2507598711385413E-3</v>
      </c>
      <c r="P1189" s="145">
        <v>4.0139366303826307E-3</v>
      </c>
      <c r="Q11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1.2650398062419299E-4</v>
      </c>
      <c r="R11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0.27508791402719446</v>
      </c>
      <c r="S118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1.2650398417690667E-4</v>
      </c>
      <c r="T118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2.9068282003663626E-5</v>
      </c>
      <c r="U11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1.220858122863433E-5</v>
      </c>
      <c r="V11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6.2392724099025187E-5</v>
      </c>
      <c r="W118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1.4031763107880124E-5</v>
      </c>
      <c r="X118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-3.0236521467230659E-4</v>
      </c>
      <c r="Y1189" s="162" t="str">
        <f>ReportSummary___Track[[#This Row],[Track ID]]&amp;"-"&amp;ReportSummary___Track[[#This Row],[Epoch]]</f>
        <v>250-RL-OP-0037-45777.2986111111</v>
      </c>
      <c r="Z1189" s="126">
        <f>SUBTOTAL(103,ReportSummary___Track[[#This Row],[Track ID]])</f>
        <v>1</v>
      </c>
      <c r="AA1189" s="114">
        <f>_xlfn.NUMBERVALUE(RIGHT(ReportSummary___Track[[#This Row],[Track ID]],4))</f>
        <v>37</v>
      </c>
      <c r="AB1189" s="78"/>
    </row>
    <row r="1190" spans="5:28" ht="14.25" customHeight="1" x14ac:dyDescent="0.2">
      <c r="E1190" s="74">
        <v>45777.298611111109</v>
      </c>
      <c r="F1190" s="107" t="s">
        <v>277</v>
      </c>
      <c r="G1190" s="142">
        <v>51902.446769974056</v>
      </c>
      <c r="H1190" s="142">
        <v>159190.77324553276</v>
      </c>
      <c r="I1190" s="142">
        <v>18.866065352039769</v>
      </c>
      <c r="J1190" s="142">
        <v>51902.098872443268</v>
      </c>
      <c r="K1190" s="142">
        <v>159189.50404742008</v>
      </c>
      <c r="L1190" s="142">
        <v>18.857900000000001</v>
      </c>
      <c r="M1190" s="145">
        <v>8.1653520397679813E-3</v>
      </c>
      <c r="N1190" s="145">
        <v>1.316040734226843</v>
      </c>
      <c r="O1190" s="145">
        <v>1.9427792030413116E-3</v>
      </c>
      <c r="P1190" s="145">
        <v>4.9143342736996942E-3</v>
      </c>
      <c r="Q11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-5.9450923618697971E-2</v>
      </c>
      <c r="R11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1.5302826955609916E-2</v>
      </c>
      <c r="S119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-5.9461777389913095E-2</v>
      </c>
      <c r="T119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-5.9450923618697971E-2</v>
      </c>
      <c r="U11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-5.9461861695808693E-5</v>
      </c>
      <c r="V11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-4.2025750870866574E-5</v>
      </c>
      <c r="W119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-5.9779701281570397E-5</v>
      </c>
      <c r="X119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-5.9403835695803764E-5</v>
      </c>
      <c r="Y1190" s="162" t="str">
        <f>ReportSummary___Track[[#This Row],[Track ID]]&amp;"-"&amp;ReportSummary___Track[[#This Row],[Epoch]]</f>
        <v>250-RL-OP-0038-45777.2986111111</v>
      </c>
      <c r="Z1190" s="126">
        <f>SUBTOTAL(103,ReportSummary___Track[[#This Row],[Track ID]])</f>
        <v>1</v>
      </c>
      <c r="AA1190" s="114">
        <f>_xlfn.NUMBERVALUE(RIGHT(ReportSummary___Track[[#This Row],[Track ID]],4))</f>
        <v>38</v>
      </c>
      <c r="AB1190" s="78"/>
    </row>
    <row r="1191" spans="5:28" ht="14.25" customHeight="1" x14ac:dyDescent="0.2">
      <c r="E1191" s="74">
        <v>45777.298611111109</v>
      </c>
      <c r="F1191" s="107" t="s">
        <v>278</v>
      </c>
      <c r="G1191" s="142">
        <v>51903.411367144348</v>
      </c>
      <c r="H1191" s="142">
        <v>159190.50951808732</v>
      </c>
      <c r="I1191" s="142">
        <v>18.866430855617903</v>
      </c>
      <c r="J1191" s="142">
        <v>51903.063539433308</v>
      </c>
      <c r="K1191" s="142">
        <v>159189.24057522361</v>
      </c>
      <c r="L1191" s="142">
        <v>18.857900000000001</v>
      </c>
      <c r="M1191" s="145">
        <v>8.5308556179022332E-3</v>
      </c>
      <c r="N1191" s="145">
        <v>1.3157784324971831</v>
      </c>
      <c r="O1191" s="145">
        <v>1.6552575455541785E-3</v>
      </c>
      <c r="P1191" s="145">
        <v>4.2664150164526404E-3</v>
      </c>
      <c r="Q11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-0.39195049643225843</v>
      </c>
      <c r="R11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0.10072983251130374</v>
      </c>
      <c r="S119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-0.39201917530462538</v>
      </c>
      <c r="T119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-0.39195049642870572</v>
      </c>
      <c r="U11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-3.9202260941806344E-4</v>
      </c>
      <c r="V11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-2.7722711129340993E-4</v>
      </c>
      <c r="W119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-3.9828581981993239E-4</v>
      </c>
      <c r="X119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-3.9108200547843808E-4</v>
      </c>
      <c r="Y1191" s="162" t="str">
        <f>ReportSummary___Track[[#This Row],[Track ID]]&amp;"-"&amp;ReportSummary___Track[[#This Row],[Epoch]]</f>
        <v>250-RL-OP-0039-45777.2986111111</v>
      </c>
      <c r="Z1191" s="126">
        <f>SUBTOTAL(103,ReportSummary___Track[[#This Row],[Track ID]])</f>
        <v>1</v>
      </c>
      <c r="AA1191" s="114">
        <f>_xlfn.NUMBERVALUE(RIGHT(ReportSummary___Track[[#This Row],[Track ID]],4))</f>
        <v>39</v>
      </c>
      <c r="AB1191" s="78"/>
    </row>
    <row r="1192" spans="5:28" ht="14.25" customHeight="1" x14ac:dyDescent="0.2">
      <c r="E1192" s="74">
        <v>45777.298611111109</v>
      </c>
      <c r="F1192" s="107" t="s">
        <v>279</v>
      </c>
      <c r="G1192" s="142">
        <v>51904.37596431464</v>
      </c>
      <c r="H1192" s="142">
        <v>159190.2457906419</v>
      </c>
      <c r="I1192" s="142">
        <v>18.866796359196037</v>
      </c>
      <c r="J1192" s="142">
        <v>51904.028206423354</v>
      </c>
      <c r="K1192" s="142">
        <v>159188.97710302711</v>
      </c>
      <c r="L1192" s="142">
        <v>18.857900000000001</v>
      </c>
      <c r="M1192" s="145">
        <v>8.8963591960364852E-3</v>
      </c>
      <c r="N1192" s="145">
        <v>1.3155162333043247</v>
      </c>
      <c r="O1192" s="145">
        <v>1.3677358880634927E-3</v>
      </c>
      <c r="P1192" s="145">
        <v>3.6184957592020339E-3</v>
      </c>
      <c r="Q11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-0.72445006924226618</v>
      </c>
      <c r="R11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0.185886514683542</v>
      </c>
      <c r="S11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-0.72457657322289037</v>
      </c>
      <c r="T119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-0.72445006923871347</v>
      </c>
      <c r="U11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-7.2458335714031818E-4</v>
      </c>
      <c r="V11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-5.126964381731991E-4</v>
      </c>
      <c r="W11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-7.3679193836895251E-4</v>
      </c>
      <c r="X119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-7.2276017526107239E-4</v>
      </c>
      <c r="Y1192" s="162" t="str">
        <f>ReportSummary___Track[[#This Row],[Track ID]]&amp;"-"&amp;ReportSummary___Track[[#This Row],[Epoch]]</f>
        <v>250-RL-OP-0040-45777.2986111111</v>
      </c>
      <c r="Z1192" s="126">
        <f>SUBTOTAL(103,ReportSummary___Track[[#This Row],[Track ID]])</f>
        <v>1</v>
      </c>
      <c r="AA1192" s="114">
        <f>_xlfn.NUMBERVALUE(RIGHT(ReportSummary___Track[[#This Row],[Track ID]],4))</f>
        <v>40</v>
      </c>
      <c r="AB1192" s="78"/>
    </row>
    <row r="1193" spans="5:28" ht="14.25" customHeight="1" x14ac:dyDescent="0.2">
      <c r="E1193" s="74">
        <v>45777.298611111109</v>
      </c>
      <c r="F1193" s="107" t="s">
        <v>280</v>
      </c>
      <c r="G1193" s="142">
        <v>51905.341841341033</v>
      </c>
      <c r="H1193" s="142">
        <v>159189.98317916438</v>
      </c>
      <c r="I1193" s="142">
        <v>18.86745208135207</v>
      </c>
      <c r="J1193" s="142">
        <v>51905.002852289632</v>
      </c>
      <c r="K1193" s="142">
        <v>159188.71195704277</v>
      </c>
      <c r="L1193" s="142">
        <v>18.858104615128525</v>
      </c>
      <c r="M1193" s="145">
        <v>9.3474662235450978E-3</v>
      </c>
      <c r="N1193" s="145">
        <v>1.3156772531875769</v>
      </c>
      <c r="O1193" s="145">
        <v>1.1821141837771165E-3</v>
      </c>
      <c r="P1193" s="145">
        <v>3.1248933868184281E-3</v>
      </c>
      <c r="Q11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-0.94025435691946768</v>
      </c>
      <c r="R11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0.23747988582933921</v>
      </c>
      <c r="S11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-0.88080343330076971</v>
      </c>
      <c r="T119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-0.94026521069068281</v>
      </c>
      <c r="U11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-9.4030656122612299E-4</v>
      </c>
      <c r="V11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-6.6789899338792758E-4</v>
      </c>
      <c r="W11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-8.808446995303143E-4</v>
      </c>
      <c r="X119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-9.406244008118847E-4</v>
      </c>
      <c r="Y1193" s="162" t="str">
        <f>ReportSummary___Track[[#This Row],[Track ID]]&amp;"-"&amp;ReportSummary___Track[[#This Row],[Epoch]]</f>
        <v>250-RL-OP-0041-45777.2986111111</v>
      </c>
      <c r="Z1193" s="126">
        <f>SUBTOTAL(103,ReportSummary___Track[[#This Row],[Track ID]])</f>
        <v>1</v>
      </c>
      <c r="AA1193" s="114">
        <f>_xlfn.NUMBERVALUE(RIGHT(ReportSummary___Track[[#This Row],[Track ID]],4))</f>
        <v>41</v>
      </c>
      <c r="AB1193" s="78"/>
    </row>
    <row r="1194" spans="5:28" ht="14.25" customHeight="1" x14ac:dyDescent="0.2">
      <c r="E1194" s="74">
        <v>45777.298611111109</v>
      </c>
      <c r="F1194" s="107" t="s">
        <v>281</v>
      </c>
      <c r="G1194" s="142">
        <v>51906.308594226037</v>
      </c>
      <c r="H1194" s="142">
        <v>159189.72747507741</v>
      </c>
      <c r="I1194" s="142">
        <v>18.869520714442967</v>
      </c>
      <c r="J1194" s="142">
        <v>51905.969415524407</v>
      </c>
      <c r="K1194" s="142">
        <v>159188.45553288975</v>
      </c>
      <c r="L1194" s="142">
        <v>18.85957666641286</v>
      </c>
      <c r="M1194" s="145">
        <v>9.9440480301069556E-3</v>
      </c>
      <c r="N1194" s="145">
        <v>1.3164262244666904</v>
      </c>
      <c r="O1194" s="145">
        <v>1.4131924122047224E-3</v>
      </c>
      <c r="P1194" s="145">
        <v>3.0684499577589008E-3</v>
      </c>
      <c r="Q11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-0.58912869946325941</v>
      </c>
      <c r="R11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0.14781654152207224</v>
      </c>
      <c r="S11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-0.19717820303100098</v>
      </c>
      <c r="T119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-0.58919737833562635</v>
      </c>
      <c r="U11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-5.8955647427438862E-4</v>
      </c>
      <c r="V11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-3.1841637334384387E-4</v>
      </c>
      <c r="W11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-1.9753386485632518E-4</v>
      </c>
      <c r="X119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-5.9581968467625757E-4</v>
      </c>
      <c r="Y1194" s="162" t="str">
        <f>ReportSummary___Track[[#This Row],[Track ID]]&amp;"-"&amp;ReportSummary___Track[[#This Row],[Epoch]]</f>
        <v>250-RL-OP-0042-45777.2986111111</v>
      </c>
      <c r="Z1194" s="126">
        <f>SUBTOTAL(103,ReportSummary___Track[[#This Row],[Track ID]])</f>
        <v>1</v>
      </c>
      <c r="AA1194" s="114">
        <f>_xlfn.NUMBERVALUE(RIGHT(ReportSummary___Track[[#This Row],[Track ID]],4))</f>
        <v>42</v>
      </c>
      <c r="AB1194" s="78"/>
    </row>
    <row r="1195" spans="5:28" ht="14.25" customHeight="1" x14ac:dyDescent="0.2">
      <c r="E1195" s="74">
        <v>45777.298611111109</v>
      </c>
      <c r="F1195" s="107" t="s">
        <v>282</v>
      </c>
      <c r="G1195" s="142">
        <v>51907.275347111034</v>
      </c>
      <c r="H1195" s="142">
        <v>159189.47177099044</v>
      </c>
      <c r="I1195" s="142">
        <v>18.87158934753386</v>
      </c>
      <c r="J1195" s="142">
        <v>51906.935978759182</v>
      </c>
      <c r="K1195" s="142">
        <v>159188.19910873674</v>
      </c>
      <c r="L1195" s="142">
        <v>18.861048717697198</v>
      </c>
      <c r="M1195" s="145">
        <v>1.0540629836661708E-2</v>
      </c>
      <c r="N1195" s="145">
        <v>1.3171754610193178</v>
      </c>
      <c r="O1195" s="145">
        <v>1.6442706406252228E-3</v>
      </c>
      <c r="P1195" s="145">
        <v>3.0120065286887154E-3</v>
      </c>
      <c r="Q11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-0.23800304201415656</v>
      </c>
      <c r="R11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5.8375193692450367E-2</v>
      </c>
      <c r="S11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0.48644702722810962</v>
      </c>
      <c r="T11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-0.23812954599478076</v>
      </c>
      <c r="U11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-2.3880638733331239E-4</v>
      </c>
      <c r="V11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3.1286810319608449E-5</v>
      </c>
      <c r="W11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4.857769698070058E-4</v>
      </c>
      <c r="X11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-2.5101496856194672E-4</v>
      </c>
      <c r="Y1195" s="162" t="str">
        <f>ReportSummary___Track[[#This Row],[Track ID]]&amp;"-"&amp;ReportSummary___Track[[#This Row],[Epoch]]</f>
        <v>250-RL-OP-0043-45777.2986111111</v>
      </c>
      <c r="Z1195" s="126">
        <f>SUBTOTAL(103,ReportSummary___Track[[#This Row],[Track ID]])</f>
        <v>1</v>
      </c>
      <c r="AA1195" s="114">
        <f>_xlfn.NUMBERVALUE(RIGHT(ReportSummary___Track[[#This Row],[Track ID]],4))</f>
        <v>43</v>
      </c>
      <c r="AB1195" s="78"/>
    </row>
    <row r="1196" spans="5:28" ht="14.25" customHeight="1" x14ac:dyDescent="0.2">
      <c r="E1196" s="74">
        <v>45777.298611111109</v>
      </c>
      <c r="F1196" s="107" t="s">
        <v>283</v>
      </c>
      <c r="G1196" s="142">
        <v>51908.242806888149</v>
      </c>
      <c r="H1196" s="142">
        <v>159189.21950144329</v>
      </c>
      <c r="I1196" s="142">
        <v>18.873859626742529</v>
      </c>
      <c r="J1196" s="142">
        <v>51907.904517584328</v>
      </c>
      <c r="K1196" s="142">
        <v>159187.94620456346</v>
      </c>
      <c r="L1196" s="142">
        <v>18.86283128862453</v>
      </c>
      <c r="M1196" s="145">
        <v>1.102833811799897E-2</v>
      </c>
      <c r="N1196" s="145">
        <v>1.3175151693718994</v>
      </c>
      <c r="O1196" s="145">
        <v>1.6808718944538725E-3</v>
      </c>
      <c r="P1196" s="145">
        <v>2.8629860782309891E-3</v>
      </c>
      <c r="Q11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-6.471834979038249E-5</v>
      </c>
      <c r="R11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-0.10887242552271026</v>
      </c>
      <c r="S11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0.9401896385696773</v>
      </c>
      <c r="T11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5.9386205268907588E-2</v>
      </c>
      <c r="U11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1.3577967905575861E-7</v>
      </c>
      <c r="V11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2.328537090523497E-5</v>
      </c>
      <c r="W11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9.4044234090517875E-4</v>
      </c>
      <c r="X11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5.9597641374864452E-5</v>
      </c>
      <c r="Y1196" s="162" t="str">
        <f>ReportSummary___Track[[#This Row],[Track ID]]&amp;"-"&amp;ReportSummary___Track[[#This Row],[Epoch]]</f>
        <v>250-RL-OP-0044-45777.2986111111</v>
      </c>
      <c r="Z1196" s="126">
        <f>SUBTOTAL(103,ReportSummary___Track[[#This Row],[Track ID]])</f>
        <v>1</v>
      </c>
      <c r="AA1196" s="114">
        <f>_xlfn.NUMBERVALUE(RIGHT(ReportSummary___Track[[#This Row],[Track ID]],4))</f>
        <v>44</v>
      </c>
      <c r="AB1196" s="78"/>
    </row>
    <row r="1197" spans="5:28" ht="14.25" customHeight="1" x14ac:dyDescent="0.2">
      <c r="E1197" s="74">
        <v>45777.298611111109</v>
      </c>
      <c r="F1197" s="107" t="s">
        <v>284</v>
      </c>
      <c r="G1197" s="142">
        <v>51909.212315815959</v>
      </c>
      <c r="H1197" s="142">
        <v>159188.97446037151</v>
      </c>
      <c r="I1197" s="142">
        <v>18.876563705831948</v>
      </c>
      <c r="J1197" s="142">
        <v>51908.873845612303</v>
      </c>
      <c r="K1197" s="142">
        <v>159187.70044515948</v>
      </c>
      <c r="L1197" s="142">
        <v>18.865174266709456</v>
      </c>
      <c r="M1197" s="145">
        <v>1.1389439122492462E-2</v>
      </c>
      <c r="N1197" s="145">
        <v>1.3182589118058641</v>
      </c>
      <c r="O1197" s="145">
        <v>1.4453910923855062E-3</v>
      </c>
      <c r="P1197" s="145">
        <v>2.8585835045902286E-3</v>
      </c>
      <c r="Q11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-2.4712632651358035E-4</v>
      </c>
      <c r="R11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-0.41572731014039022</v>
      </c>
      <c r="S11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0.58888157313674583</v>
      </c>
      <c r="T11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0.39170337010574485</v>
      </c>
      <c r="U11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5.8406698499879894E-7</v>
      </c>
      <c r="V11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-6.744240649787514E-4</v>
      </c>
      <c r="W11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5.9014054125938742E-4</v>
      </c>
      <c r="X11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3.9260667640306224E-4</v>
      </c>
      <c r="Y1197" s="162" t="str">
        <f>ReportSummary___Track[[#This Row],[Track ID]]&amp;"-"&amp;ReportSummary___Track[[#This Row],[Epoch]]</f>
        <v>250-RL-OP-0045-45777.2986111111</v>
      </c>
      <c r="Z1197" s="126">
        <f>SUBTOTAL(103,ReportSummary___Track[[#This Row],[Track ID]])</f>
        <v>1</v>
      </c>
      <c r="AA1197" s="114">
        <f>_xlfn.NUMBERVALUE(RIGHT(ReportSummary___Track[[#This Row],[Track ID]],4))</f>
        <v>45</v>
      </c>
      <c r="AB1197" s="78"/>
    </row>
    <row r="1198" spans="5:28" ht="14.25" customHeight="1" x14ac:dyDescent="0.2">
      <c r="E1198" s="74">
        <v>45777.298611111109</v>
      </c>
      <c r="F1198" s="107" t="s">
        <v>285</v>
      </c>
      <c r="G1198" s="142">
        <v>51910.18182474377</v>
      </c>
      <c r="H1198" s="142">
        <v>159188.72941929975</v>
      </c>
      <c r="I1198" s="142">
        <v>18.879267784921367</v>
      </c>
      <c r="J1198" s="142">
        <v>51909.843173640271</v>
      </c>
      <c r="K1198" s="142">
        <v>159187.45468575551</v>
      </c>
      <c r="L1198" s="142">
        <v>18.867517244794382</v>
      </c>
      <c r="M1198" s="145">
        <v>1.1750540126985953E-2</v>
      </c>
      <c r="N1198" s="145">
        <v>1.3190027497715298</v>
      </c>
      <c r="O1198" s="145">
        <v>1.2099102903242454E-3</v>
      </c>
      <c r="P1198" s="145">
        <v>2.8541809309494681E-3</v>
      </c>
      <c r="Q11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-4.2953429968406454E-4</v>
      </c>
      <c r="R11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-0.72258092795829398</v>
      </c>
      <c r="S11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0.2375735077144725</v>
      </c>
      <c r="T11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0.72402053494258212</v>
      </c>
      <c r="U11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1.0323542909418393E-6</v>
      </c>
      <c r="V11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-1.3721300899354194E-3</v>
      </c>
      <c r="W11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2.3983874162425423E-4</v>
      </c>
      <c r="X11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7.2561571143126002E-4</v>
      </c>
      <c r="Y1198" s="162" t="str">
        <f>ReportSummary___Track[[#This Row],[Track ID]]&amp;"-"&amp;ReportSummary___Track[[#This Row],[Epoch]]</f>
        <v>250-RL-OP-0046-45777.2986111111</v>
      </c>
      <c r="Z1198" s="126">
        <f>SUBTOTAL(103,ReportSummary___Track[[#This Row],[Track ID]])</f>
        <v>1</v>
      </c>
      <c r="AA1198" s="114">
        <f>_xlfn.NUMBERVALUE(RIGHT(ReportSummary___Track[[#This Row],[Track ID]],4))</f>
        <v>46</v>
      </c>
      <c r="AB1198" s="78"/>
    </row>
    <row r="1199" spans="5:28" ht="14.25" customHeight="1" x14ac:dyDescent="0.2">
      <c r="E1199" s="74">
        <v>45777.298611111109</v>
      </c>
      <c r="F1199" s="107" t="s">
        <v>286</v>
      </c>
      <c r="G1199" s="142">
        <v>51911.151141168484</v>
      </c>
      <c r="H1199" s="142">
        <v>159188.48644327914</v>
      </c>
      <c r="I1199" s="142">
        <v>18.882402208832403</v>
      </c>
      <c r="J1199" s="142">
        <v>51910.834170497415</v>
      </c>
      <c r="K1199" s="142">
        <v>159187.20542810127</v>
      </c>
      <c r="L1199" s="142">
        <v>18.870215245499153</v>
      </c>
      <c r="M1199" s="145">
        <v>1.2186963333249423E-2</v>
      </c>
      <c r="N1199" s="145">
        <v>1.3197040631605994</v>
      </c>
      <c r="O1199" s="145">
        <v>1.1586252152504528E-3</v>
      </c>
      <c r="P1199" s="145">
        <v>2.8394971097043253E-3</v>
      </c>
      <c r="Q11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1.3138206611529313E-4</v>
      </c>
      <c r="R11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-0.89603271047278277</v>
      </c>
      <c r="S11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1.9610041590567562E-4</v>
      </c>
      <c r="T11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0.94038573898558298</v>
      </c>
      <c r="U11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-7.6720240347327717E-5</v>
      </c>
      <c r="V11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-1.8327052211346562E-3</v>
      </c>
      <c r="W11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-7.6856020026383476E-5</v>
      </c>
      <c r="X11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8.6358632087879528E-4</v>
      </c>
      <c r="Y1199" s="162" t="str">
        <f>ReportSummary___Track[[#This Row],[Track ID]]&amp;"-"&amp;ReportSummary___Track[[#This Row],[Epoch]]</f>
        <v>250-RL-OP-0047-45777.2986111111</v>
      </c>
      <c r="Z1199" s="126">
        <f>SUBTOTAL(103,ReportSummary___Track[[#This Row],[Track ID]])</f>
        <v>1</v>
      </c>
      <c r="AA1199" s="114">
        <f>_xlfn.NUMBERVALUE(RIGHT(ReportSummary___Track[[#This Row],[Track ID]],4))</f>
        <v>47</v>
      </c>
      <c r="AB1199" s="78"/>
    </row>
    <row r="1200" spans="5:28" ht="14.25" customHeight="1" x14ac:dyDescent="0.2">
      <c r="E1200" s="74">
        <v>45777.298611111109</v>
      </c>
      <c r="F1200" s="107" t="s">
        <v>287</v>
      </c>
      <c r="G1200" s="142">
        <v>51912.122873466811</v>
      </c>
      <c r="H1200" s="142">
        <v>159188.25040570393</v>
      </c>
      <c r="I1200" s="142">
        <v>18.887156520181541</v>
      </c>
      <c r="J1200" s="142">
        <v>51911.805634067801</v>
      </c>
      <c r="K1200" s="142">
        <v>159186.96826869331</v>
      </c>
      <c r="L1200" s="142">
        <v>18.873949764505809</v>
      </c>
      <c r="M1200" s="145">
        <v>1.320675567573204E-2</v>
      </c>
      <c r="N1200" s="145">
        <v>1.3208673546929965</v>
      </c>
      <c r="O1200" s="145">
        <v>1.8173165532395785E-3</v>
      </c>
      <c r="P1200" s="145">
        <v>3.2627076456250848E-3</v>
      </c>
      <c r="Q12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7.8869247133184217E-4</v>
      </c>
      <c r="R12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-0.55679768715122258</v>
      </c>
      <c r="S12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1.0358187978454225E-3</v>
      </c>
      <c r="T12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0.58991739193459125</v>
      </c>
      <c r="U12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-4.2821981494611805E-4</v>
      </c>
      <c r="V12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-1.3320829459759764E-3</v>
      </c>
      <c r="W12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-4.2880388193111685E-4</v>
      </c>
      <c r="X12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1.6133665932827057E-4</v>
      </c>
      <c r="Y1200" s="162" t="str">
        <f>ReportSummary___Track[[#This Row],[Track ID]]&amp;"-"&amp;ReportSummary___Track[[#This Row],[Epoch]]</f>
        <v>250-RL-OP-0048-45777.2986111111</v>
      </c>
      <c r="Z1200" s="126">
        <f>SUBTOTAL(103,ReportSummary___Track[[#This Row],[Track ID]])</f>
        <v>1</v>
      </c>
      <c r="AA1200" s="114">
        <f>_xlfn.NUMBERVALUE(RIGHT(ReportSummary___Track[[#This Row],[Track ID]],4))</f>
        <v>48</v>
      </c>
      <c r="AB1200" s="78"/>
    </row>
    <row r="1201" spans="5:28" ht="14.25" customHeight="1" x14ac:dyDescent="0.2">
      <c r="E1201" s="74">
        <v>45777.298611111109</v>
      </c>
      <c r="F1201" s="107" t="s">
        <v>288</v>
      </c>
      <c r="G1201" s="142">
        <v>51913.094605765138</v>
      </c>
      <c r="H1201" s="142">
        <v>159188.01436812873</v>
      </c>
      <c r="I1201" s="142">
        <v>18.89191083153068</v>
      </c>
      <c r="J1201" s="142">
        <v>51912.777097638187</v>
      </c>
      <c r="K1201" s="142">
        <v>159186.73110928535</v>
      </c>
      <c r="L1201" s="142">
        <v>18.877684283512465</v>
      </c>
      <c r="M1201" s="145">
        <v>1.4226548018214658E-2</v>
      </c>
      <c r="N1201" s="145">
        <v>1.3220314158386994</v>
      </c>
      <c r="O1201" s="145">
        <v>2.4760078912287042E-3</v>
      </c>
      <c r="P1201" s="145">
        <v>3.6859181815529496E-3</v>
      </c>
      <c r="Q12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1.4460028801011049E-3</v>
      </c>
      <c r="R12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-0.21756651283544315</v>
      </c>
      <c r="S12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1.8755371797851694E-3</v>
      </c>
      <c r="T12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0.23944904489425767</v>
      </c>
      <c r="U12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-7.7971938954846109E-4</v>
      </c>
      <c r="V12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-8.320993048407388E-4</v>
      </c>
      <c r="W12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-7.8075174383940293E-4</v>
      </c>
      <c r="X12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-5.4091300221514871E-4</v>
      </c>
      <c r="Y1201" s="162" t="str">
        <f>ReportSummary___Track[[#This Row],[Track ID]]&amp;"-"&amp;ReportSummary___Track[[#This Row],[Epoch]]</f>
        <v>250-RL-OP-0049-45777.2986111111</v>
      </c>
      <c r="Z1201" s="126">
        <f>SUBTOTAL(103,ReportSummary___Track[[#This Row],[Track ID]])</f>
        <v>1</v>
      </c>
      <c r="AA1201" s="114">
        <f>_xlfn.NUMBERVALUE(RIGHT(ReportSummary___Track[[#This Row],[Track ID]],4))</f>
        <v>49</v>
      </c>
      <c r="AB1201" s="78"/>
    </row>
    <row r="1202" spans="5:28" ht="14.25" customHeight="1" x14ac:dyDescent="0.2">
      <c r="E1202" s="74">
        <v>45776.284722222219</v>
      </c>
      <c r="F1202" s="107" t="s">
        <v>235</v>
      </c>
      <c r="G1202" s="142">
        <v>51886.101888003854</v>
      </c>
      <c r="H1202" s="142">
        <v>159195.44568170901</v>
      </c>
      <c r="I1202" s="142">
        <v>18.868774640796559</v>
      </c>
      <c r="J1202" s="142">
        <v>51885.74197615045</v>
      </c>
      <c r="K1202" s="142">
        <v>159194.186695724</v>
      </c>
      <c r="L1202" s="142">
        <v>18.864787569705001</v>
      </c>
      <c r="M1202" s="145">
        <v>3.9870710915579366E-3</v>
      </c>
      <c r="N1202" s="145">
        <v>1.3094266491154856</v>
      </c>
      <c r="O1202" s="145"/>
      <c r="P1202" s="145"/>
      <c r="Q12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-0.28169365443631023</v>
      </c>
      <c r="R12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-0.69152727192411945</v>
      </c>
      <c r="S120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0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-3.5527136788005009E-15</v>
      </c>
      <c r="V12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20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0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02" s="162" t="str">
        <f>ReportSummary___Track[[#This Row],[Track ID]]&amp;"-"&amp;ReportSummary___Track[[#This Row],[Epoch]]</f>
        <v>250-RL-OP-0021-45776.2847222222</v>
      </c>
      <c r="Z1202" s="126">
        <f>SUBTOTAL(103,ReportSummary___Track[[#This Row],[Track ID]])</f>
        <v>1</v>
      </c>
      <c r="AA1202" s="114">
        <f>_xlfn.NUMBERVALUE(RIGHT(ReportSummary___Track[[#This Row],[Track ID]],4))</f>
        <v>21</v>
      </c>
      <c r="AB1202" s="78"/>
    </row>
    <row r="1203" spans="5:28" ht="14.25" customHeight="1" x14ac:dyDescent="0.2">
      <c r="E1203" s="74">
        <v>45776.284722222219</v>
      </c>
      <c r="F1203" s="107" t="s">
        <v>236</v>
      </c>
      <c r="G1203" s="142">
        <v>51887.0635346048</v>
      </c>
      <c r="H1203" s="142">
        <v>159195.17139037082</v>
      </c>
      <c r="I1203" s="142">
        <v>18.86849771869845</v>
      </c>
      <c r="J1203" s="142">
        <v>51886.703005177442</v>
      </c>
      <c r="K1203" s="142">
        <v>159193.91024827689</v>
      </c>
      <c r="L1203" s="142">
        <v>18.864652437138897</v>
      </c>
      <c r="M1203" s="145">
        <v>3.8452815595526602E-3</v>
      </c>
      <c r="N1203" s="145">
        <v>1.3116690265616955</v>
      </c>
      <c r="O1203" s="145"/>
      <c r="P1203" s="145"/>
      <c r="Q12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-0.62783970314583826</v>
      </c>
      <c r="R12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-0.35978653339063804</v>
      </c>
      <c r="S120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0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2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20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0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03" s="162" t="str">
        <f>ReportSummary___Track[[#This Row],[Track ID]]&amp;"-"&amp;ReportSummary___Track[[#This Row],[Epoch]]</f>
        <v>250-RL-OP-0022-45776.2847222222</v>
      </c>
      <c r="Z1203" s="126">
        <f>SUBTOTAL(103,ReportSummary___Track[[#This Row],[Track ID]])</f>
        <v>1</v>
      </c>
      <c r="AA1203" s="114">
        <f>_xlfn.NUMBERVALUE(RIGHT(ReportSummary___Track[[#This Row],[Track ID]],4))</f>
        <v>22</v>
      </c>
      <c r="AB1203" s="78"/>
    </row>
    <row r="1204" spans="5:28" ht="14.25" customHeight="1" x14ac:dyDescent="0.2">
      <c r="E1204" s="74">
        <v>45776.284722222219</v>
      </c>
      <c r="F1204" s="107" t="s">
        <v>237</v>
      </c>
      <c r="G1204" s="142">
        <v>51888.025181205747</v>
      </c>
      <c r="H1204" s="142">
        <v>159194.89709903265</v>
      </c>
      <c r="I1204" s="142">
        <v>18.86822079660034</v>
      </c>
      <c r="J1204" s="142">
        <v>51887.664034204441</v>
      </c>
      <c r="K1204" s="142">
        <v>159193.63380082979</v>
      </c>
      <c r="L1204" s="142">
        <v>18.864517304572793</v>
      </c>
      <c r="M1204" s="145">
        <v>3.7034920275473837E-3</v>
      </c>
      <c r="N1204" s="145">
        <v>1.3139114208165081</v>
      </c>
      <c r="O1204" s="145"/>
      <c r="P1204" s="145"/>
      <c r="Q12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-0.97398575185536629</v>
      </c>
      <c r="R12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-2.8058793879459643E-2</v>
      </c>
      <c r="S120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0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0</v>
      </c>
      <c r="V12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0</v>
      </c>
      <c r="W120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0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04" s="162" t="str">
        <f>ReportSummary___Track[[#This Row],[Track ID]]&amp;"-"&amp;ReportSummary___Track[[#This Row],[Epoch]]</f>
        <v>250-RL-OP-0023-45776.2847222222</v>
      </c>
      <c r="Z1204" s="126">
        <f>SUBTOTAL(103,ReportSummary___Track[[#This Row],[Track ID]])</f>
        <v>1</v>
      </c>
      <c r="AA1204" s="114">
        <f>_xlfn.NUMBERVALUE(RIGHT(ReportSummary___Track[[#This Row],[Track ID]],4))</f>
        <v>23</v>
      </c>
      <c r="AB1204" s="78"/>
    </row>
    <row r="1205" spans="5:28" ht="14.25" customHeight="1" x14ac:dyDescent="0.2">
      <c r="E1205" s="74">
        <v>45776.284722222219</v>
      </c>
      <c r="F1205" s="107" t="s">
        <v>238</v>
      </c>
      <c r="G1205" s="142">
        <v>51888.986288492531</v>
      </c>
      <c r="H1205" s="142">
        <v>159194.62201568196</v>
      </c>
      <c r="I1205" s="142">
        <v>18.867826216423929</v>
      </c>
      <c r="J1205" s="142">
        <v>51888.624024403252</v>
      </c>
      <c r="K1205" s="142">
        <v>159193.35679661779</v>
      </c>
      <c r="L1205" s="142">
        <v>18.863752372254648</v>
      </c>
      <c r="M1205" s="145">
        <v>4.0738441692802496E-3</v>
      </c>
      <c r="N1205" s="145">
        <v>1.3160665435000996</v>
      </c>
      <c r="O1205" s="145">
        <v>8.6773077722313019E-5</v>
      </c>
      <c r="P1205" s="145"/>
      <c r="Q12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-0.6885773897984393</v>
      </c>
      <c r="R12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0.29711416828370751</v>
      </c>
      <c r="S12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-0.40688373536212907</v>
      </c>
      <c r="T120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1.2335839539190374E-5</v>
      </c>
      <c r="V12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2.8738273174910844E-4</v>
      </c>
      <c r="W12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1.2335839542743088E-5</v>
      </c>
      <c r="X120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05" s="162" t="str">
        <f>ReportSummary___Track[[#This Row],[Track ID]]&amp;"-"&amp;ReportSummary___Track[[#This Row],[Epoch]]</f>
        <v>250-RL-OP-0024-45776.2847222222</v>
      </c>
      <c r="Z1205" s="126">
        <f>SUBTOTAL(103,ReportSummary___Track[[#This Row],[Track ID]])</f>
        <v>1</v>
      </c>
      <c r="AA1205" s="114">
        <f>_xlfn.NUMBERVALUE(RIGHT(ReportSummary___Track[[#This Row],[Track ID]],4))</f>
        <v>24</v>
      </c>
      <c r="AB1205" s="78"/>
    </row>
    <row r="1206" spans="5:28" ht="14.25" customHeight="1" x14ac:dyDescent="0.2">
      <c r="E1206" s="74">
        <v>45776.284722222219</v>
      </c>
      <c r="F1206" s="107" t="s">
        <v>239</v>
      </c>
      <c r="G1206" s="142">
        <v>51889.947664755273</v>
      </c>
      <c r="H1206" s="142">
        <v>159194.34677847879</v>
      </c>
      <c r="I1206" s="142">
        <v>18.867421951254048</v>
      </c>
      <c r="J1206" s="142">
        <v>51889.584791712696</v>
      </c>
      <c r="K1206" s="142">
        <v>159193.07944225875</v>
      </c>
      <c r="L1206" s="142">
        <v>18.862894115171244</v>
      </c>
      <c r="M1206" s="145">
        <v>4.5278360828042707E-3</v>
      </c>
      <c r="N1206" s="145">
        <v>1.3182710043705135</v>
      </c>
      <c r="O1206" s="145">
        <v>6.8255452325161059E-4</v>
      </c>
      <c r="P1206" s="145"/>
      <c r="Q12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-0.35175864633885112</v>
      </c>
      <c r="R12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0.62201405355000183</v>
      </c>
      <c r="S12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0.27608105680698714</v>
      </c>
      <c r="T120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5.8065758210545937E-6</v>
      </c>
      <c r="V12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6.1722788785956162E-4</v>
      </c>
      <c r="W12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5.8065758210545937E-6</v>
      </c>
      <c r="X120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06" s="162" t="str">
        <f>ReportSummary___Track[[#This Row],[Track ID]]&amp;"-"&amp;ReportSummary___Track[[#This Row],[Epoch]]</f>
        <v>250-RL-OP-0025-45776.2847222222</v>
      </c>
      <c r="Z1206" s="126">
        <f>SUBTOTAL(103,ReportSummary___Track[[#This Row],[Track ID]])</f>
        <v>1</v>
      </c>
      <c r="AA1206" s="114">
        <f>_xlfn.NUMBERVALUE(RIGHT(ReportSummary___Track[[#This Row],[Track ID]],4))</f>
        <v>25</v>
      </c>
      <c r="AB1206" s="78"/>
    </row>
    <row r="1207" spans="5:28" ht="14.25" customHeight="1" x14ac:dyDescent="0.2">
      <c r="E1207" s="74">
        <v>45776.284722222219</v>
      </c>
      <c r="F1207" s="107" t="s">
        <v>240</v>
      </c>
      <c r="G1207" s="142">
        <v>51890.909041018014</v>
      </c>
      <c r="H1207" s="142">
        <v>159194.07154127565</v>
      </c>
      <c r="I1207" s="142">
        <v>18.867017686084164</v>
      </c>
      <c r="J1207" s="142">
        <v>51890.545559022146</v>
      </c>
      <c r="K1207" s="142">
        <v>159192.80208789968</v>
      </c>
      <c r="L1207" s="142">
        <v>18.86203585808784</v>
      </c>
      <c r="M1207" s="145">
        <v>4.9818279963247392E-3</v>
      </c>
      <c r="N1207" s="145">
        <v>1.3204756164783369</v>
      </c>
      <c r="O1207" s="145">
        <v>1.2783359687773554E-3</v>
      </c>
      <c r="P1207" s="145"/>
      <c r="Q12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-1.4939902882815659E-2</v>
      </c>
      <c r="R12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0.94705592912869285</v>
      </c>
      <c r="S12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0.95904584897255063</v>
      </c>
      <c r="T120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-7.2268790418661411E-7</v>
      </c>
      <c r="V12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9.4706779093556293E-4</v>
      </c>
      <c r="W12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-7.2268790418661411E-7</v>
      </c>
      <c r="X120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07" s="162" t="str">
        <f>ReportSummary___Track[[#This Row],[Track ID]]&amp;"-"&amp;ReportSummary___Track[[#This Row],[Epoch]]</f>
        <v>250-RL-OP-0026-45776.2847222222</v>
      </c>
      <c r="Z1207" s="126">
        <f>SUBTOTAL(103,ReportSummary___Track[[#This Row],[Track ID]])</f>
        <v>1</v>
      </c>
      <c r="AA1207" s="114">
        <f>_xlfn.NUMBERVALUE(RIGHT(ReportSummary___Track[[#This Row],[Track ID]],4))</f>
        <v>26</v>
      </c>
      <c r="AB1207" s="78"/>
    </row>
    <row r="1208" spans="5:28" ht="14.25" customHeight="1" x14ac:dyDescent="0.2">
      <c r="E1208" s="74">
        <v>45776.284722222219</v>
      </c>
      <c r="F1208" s="107" t="s">
        <v>241</v>
      </c>
      <c r="G1208" s="142">
        <v>51891.869997674046</v>
      </c>
      <c r="H1208" s="142">
        <v>159193.79503821288</v>
      </c>
      <c r="I1208" s="142">
        <v>18.864661670375355</v>
      </c>
      <c r="J1208" s="142">
        <v>51891.504328634539</v>
      </c>
      <c r="K1208" s="142">
        <v>159192.52582192715</v>
      </c>
      <c r="L1208" s="142">
        <v>18.860282573719331</v>
      </c>
      <c r="M1208" s="145">
        <v>4.3790966560237621E-3</v>
      </c>
      <c r="N1208" s="145">
        <v>1.320849349054438</v>
      </c>
      <c r="O1208" s="145">
        <v>3.0525248674351246E-4</v>
      </c>
      <c r="P1208" s="145">
        <v>3.9202556446582548E-4</v>
      </c>
      <c r="Q12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-0.32384966550935701</v>
      </c>
      <c r="R12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0.64842133743625574</v>
      </c>
      <c r="S12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0.36472772428908229</v>
      </c>
      <c r="T12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-4.2156011073046784E-2</v>
      </c>
      <c r="U12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7.8184585561302811E-7</v>
      </c>
      <c r="V12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7.3404412796329588E-4</v>
      </c>
      <c r="W12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-1.1553993683577346E-5</v>
      </c>
      <c r="X12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7.8184585916574179E-7</v>
      </c>
      <c r="Y1208" s="162" t="str">
        <f>ReportSummary___Track[[#This Row],[Track ID]]&amp;"-"&amp;ReportSummary___Track[[#This Row],[Epoch]]</f>
        <v>250-RL-OP-0027-45776.2847222222</v>
      </c>
      <c r="Z1208" s="126">
        <f>SUBTOTAL(103,ReportSummary___Track[[#This Row],[Track ID]])</f>
        <v>1</v>
      </c>
      <c r="AA1208" s="114">
        <f>_xlfn.NUMBERVALUE(RIGHT(ReportSummary___Track[[#This Row],[Track ID]],4))</f>
        <v>27</v>
      </c>
      <c r="AB1208" s="78"/>
    </row>
    <row r="1209" spans="5:28" ht="14.25" customHeight="1" x14ac:dyDescent="0.2">
      <c r="E1209" s="74">
        <v>45776.284722222219</v>
      </c>
      <c r="F1209" s="107" t="s">
        <v>242</v>
      </c>
      <c r="G1209" s="142">
        <v>51892.83098666594</v>
      </c>
      <c r="H1209" s="142">
        <v>159193.51846240537</v>
      </c>
      <c r="I1209" s="142">
        <v>18.862216230483451</v>
      </c>
      <c r="J1209" s="142">
        <v>51892.465237248078</v>
      </c>
      <c r="K1209" s="142">
        <v>159192.24896201835</v>
      </c>
      <c r="L1209" s="142">
        <v>18.858486102714448</v>
      </c>
      <c r="M1209" s="145">
        <v>3.7301277690033885E-3</v>
      </c>
      <c r="N1209" s="145">
        <v>1.3211426051557509</v>
      </c>
      <c r="O1209" s="145">
        <v>-7.9770831380088225E-4</v>
      </c>
      <c r="P1209" s="145">
        <v>-1.1515379054927166E-4</v>
      </c>
      <c r="Q12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-0.66260454574873506</v>
      </c>
      <c r="R12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0.32182400753977269</v>
      </c>
      <c r="S12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-0.31084589940988394</v>
      </c>
      <c r="T12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-3.4764842602896806E-2</v>
      </c>
      <c r="U12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1.5996275379848157E-6</v>
      </c>
      <c r="V12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4.9683742987816082E-4</v>
      </c>
      <c r="W12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-4.206948283069778E-6</v>
      </c>
      <c r="X12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1.5996275379848157E-6</v>
      </c>
      <c r="Y1209" s="162" t="str">
        <f>ReportSummary___Track[[#This Row],[Track ID]]&amp;"-"&amp;ReportSummary___Track[[#This Row],[Epoch]]</f>
        <v>250-RL-OP-0028-45776.2847222222</v>
      </c>
      <c r="Z1209" s="126">
        <f>SUBTOTAL(103,ReportSummary___Track[[#This Row],[Track ID]])</f>
        <v>1</v>
      </c>
      <c r="AA1209" s="114">
        <f>_xlfn.NUMBERVALUE(RIGHT(ReportSummary___Track[[#This Row],[Track ID]],4))</f>
        <v>28</v>
      </c>
      <c r="AB1209" s="78"/>
    </row>
    <row r="1210" spans="5:28" ht="14.25" customHeight="1" x14ac:dyDescent="0.2">
      <c r="E1210" s="74">
        <v>45776.284722222219</v>
      </c>
      <c r="F1210" s="107" t="s">
        <v>243</v>
      </c>
      <c r="G1210" s="142">
        <v>51893.791834251315</v>
      </c>
      <c r="H1210" s="142">
        <v>159193.24188966473</v>
      </c>
      <c r="I1210" s="142">
        <v>18.859926416951399</v>
      </c>
      <c r="J1210" s="142">
        <v>51893.42569223688</v>
      </c>
      <c r="K1210" s="142">
        <v>159191.97223060462</v>
      </c>
      <c r="L1210" s="142">
        <v>18.856700906027484</v>
      </c>
      <c r="M1210" s="145">
        <v>3.2255109239152091E-3</v>
      </c>
      <c r="N1210" s="145">
        <v>1.3214024775134363</v>
      </c>
      <c r="O1210" s="145">
        <v>-1.7563170724095301E-3</v>
      </c>
      <c r="P1210" s="145">
        <v>-4.7798110363217461E-4</v>
      </c>
      <c r="Q12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-0.98057921607619392</v>
      </c>
      <c r="R12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3.8678156737415037E-3</v>
      </c>
      <c r="S12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-0.96563931319337826</v>
      </c>
      <c r="T12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-6.5934642208276273E-3</v>
      </c>
      <c r="U12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1.8132055856767693E-6</v>
      </c>
      <c r="V12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2.7798010330992717E-4</v>
      </c>
      <c r="W12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2.5358934898633834E-6</v>
      </c>
      <c r="X12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1.8132055856767693E-6</v>
      </c>
      <c r="Y1210" s="162" t="str">
        <f>ReportSummary___Track[[#This Row],[Track ID]]&amp;"-"&amp;ReportSummary___Track[[#This Row],[Epoch]]</f>
        <v>250-RL-OP-0029-45776.2847222222</v>
      </c>
      <c r="Z1210" s="126">
        <f>SUBTOTAL(103,ReportSummary___Track[[#This Row],[Track ID]])</f>
        <v>1</v>
      </c>
      <c r="AA1210" s="114">
        <f>_xlfn.NUMBERVALUE(RIGHT(ReportSummary___Track[[#This Row],[Track ID]],4))</f>
        <v>29</v>
      </c>
      <c r="AB1210" s="78"/>
    </row>
    <row r="1211" spans="5:28" ht="14.25" customHeight="1" x14ac:dyDescent="0.2">
      <c r="E1211" s="74">
        <v>45776.284722222219</v>
      </c>
      <c r="F1211" s="107" t="s">
        <v>269</v>
      </c>
      <c r="G1211" s="142">
        <v>51894.75263598399</v>
      </c>
      <c r="H1211" s="142">
        <v>159192.96465370167</v>
      </c>
      <c r="I1211" s="142">
        <v>18.860427687376433</v>
      </c>
      <c r="J1211" s="142">
        <v>51894.386491647616</v>
      </c>
      <c r="K1211" s="142">
        <v>159191.6949861942</v>
      </c>
      <c r="L1211" s="142">
        <v>18.856871854609565</v>
      </c>
      <c r="M1211" s="145">
        <v>3.5558327668674394E-3</v>
      </c>
      <c r="N1211" s="145">
        <v>1.3214120850549771</v>
      </c>
      <c r="O1211" s="145">
        <v>-8.2326388915632265E-4</v>
      </c>
      <c r="P1211" s="145">
        <v>-5.1801140241281018E-4</v>
      </c>
      <c r="Q12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-0.30450692407413271</v>
      </c>
      <c r="R12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0.42697124198576297</v>
      </c>
      <c r="S12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1.9342741435224298E-2</v>
      </c>
      <c r="T12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0.38407046572430659</v>
      </c>
      <c r="U12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3.4392746685796283E-4</v>
      </c>
      <c r="V12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5.126601193272684E-4</v>
      </c>
      <c r="W12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3.431456210023498E-4</v>
      </c>
      <c r="X12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3.3159162731877245E-4</v>
      </c>
      <c r="Y1211" s="162" t="str">
        <f>ReportSummary___Track[[#This Row],[Track ID]]&amp;"-"&amp;ReportSummary___Track[[#This Row],[Epoch]]</f>
        <v>250-RL-OP-0030-45776.2847222222</v>
      </c>
      <c r="Z1211" s="126">
        <f>SUBTOTAL(103,ReportSummary___Track[[#This Row],[Track ID]])</f>
        <v>1</v>
      </c>
      <c r="AA1211" s="114">
        <f>_xlfn.NUMBERVALUE(RIGHT(ReportSummary___Track[[#This Row],[Track ID]],4))</f>
        <v>30</v>
      </c>
      <c r="AB1211" s="78"/>
    </row>
    <row r="1212" spans="5:28" ht="14.25" customHeight="1" x14ac:dyDescent="0.2">
      <c r="E1212" s="74">
        <v>45776.284722222219</v>
      </c>
      <c r="F1212" s="107" t="s">
        <v>270</v>
      </c>
      <c r="G1212" s="142">
        <v>51895.713437716666</v>
      </c>
      <c r="H1212" s="142">
        <v>159192.68741773861</v>
      </c>
      <c r="I1212" s="142">
        <v>18.860928957801466</v>
      </c>
      <c r="J1212" s="142">
        <v>51895.347291058351</v>
      </c>
      <c r="K1212" s="142">
        <v>159191.41774178378</v>
      </c>
      <c r="L1212" s="142">
        <v>18.857042803191646</v>
      </c>
      <c r="M1212" s="145">
        <v>3.8861546098196698E-3</v>
      </c>
      <c r="N1212" s="145">
        <v>1.3214217751568098</v>
      </c>
      <c r="O1212" s="145">
        <v>1.5602684081628126E-4</v>
      </c>
      <c r="P1212" s="145">
        <v>-6.4168147298460099E-4</v>
      </c>
      <c r="Q12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0.37156536792792849</v>
      </c>
      <c r="R12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0.85006736355719426</v>
      </c>
      <c r="S12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1.0341699136766636</v>
      </c>
      <c r="T12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0.72332401426677961</v>
      </c>
      <c r="U12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6.8604172813024888E-4</v>
      </c>
      <c r="V12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7.474226258408212E-4</v>
      </c>
      <c r="W12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6.8444210059226407E-4</v>
      </c>
      <c r="X12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6.8023515230919429E-4</v>
      </c>
      <c r="Y1212" s="162" t="str">
        <f>ReportSummary___Track[[#This Row],[Track ID]]&amp;"-"&amp;ReportSummary___Track[[#This Row],[Epoch]]</f>
        <v>250-RL-OP-0031-45776.2847222222</v>
      </c>
      <c r="Z1212" s="126">
        <f>SUBTOTAL(103,ReportSummary___Track[[#This Row],[Track ID]])</f>
        <v>1</v>
      </c>
      <c r="AA1212" s="114">
        <f>_xlfn.NUMBERVALUE(RIGHT(ReportSummary___Track[[#This Row],[Track ID]],4))</f>
        <v>31</v>
      </c>
      <c r="AB1212" s="78"/>
    </row>
    <row r="1213" spans="5:28" ht="14.25" customHeight="1" x14ac:dyDescent="0.2">
      <c r="E1213" s="74">
        <v>45776.284722222219</v>
      </c>
      <c r="F1213" s="107" t="s">
        <v>271</v>
      </c>
      <c r="G1213" s="142">
        <v>51896.675398681873</v>
      </c>
      <c r="H1213" s="142">
        <v>159192.40988265967</v>
      </c>
      <c r="I1213" s="142">
        <v>18.8614770015399</v>
      </c>
      <c r="J1213" s="142">
        <v>51896.30852141809</v>
      </c>
      <c r="K1213" s="142">
        <v>159191.14070884953</v>
      </c>
      <c r="L1213" s="142">
        <v>18.857247340168666</v>
      </c>
      <c r="M1213" s="145">
        <v>4.2296613712338171E-3</v>
      </c>
      <c r="N1213" s="145">
        <v>1.3211430570028282</v>
      </c>
      <c r="O1213" s="145">
        <v>1.004150447318608E-3</v>
      </c>
      <c r="P1213" s="145">
        <v>-7.5216662509092203E-4</v>
      </c>
      <c r="Q12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0.97864360516553006</v>
      </c>
      <c r="R12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1.2350403420311462</v>
      </c>
      <c r="S12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1.959222821241724</v>
      </c>
      <c r="T12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0.99358350804834572</v>
      </c>
      <c r="U12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9.7858557916552513E-4</v>
      </c>
      <c r="V12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9.5046163969403352E-4</v>
      </c>
      <c r="W12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9.7677237357984836E-4</v>
      </c>
      <c r="X12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9.7930826706971175E-4</v>
      </c>
      <c r="Y1213" s="162" t="str">
        <f>ReportSummary___Track[[#This Row],[Track ID]]&amp;"-"&amp;ReportSummary___Track[[#This Row],[Epoch]]</f>
        <v>250-RL-OP-0032-45776.2847222222</v>
      </c>
      <c r="Z1213" s="126">
        <f>SUBTOTAL(103,ReportSummary___Track[[#This Row],[Track ID]])</f>
        <v>1</v>
      </c>
      <c r="AA1213" s="114">
        <f>_xlfn.NUMBERVALUE(RIGHT(ReportSummary___Track[[#This Row],[Track ID]],4))</f>
        <v>32</v>
      </c>
      <c r="AB1213" s="78"/>
    </row>
    <row r="1214" spans="5:28" ht="14.25" customHeight="1" x14ac:dyDescent="0.2">
      <c r="E1214" s="74">
        <v>45776.284722222219</v>
      </c>
      <c r="F1214" s="107" t="s">
        <v>272</v>
      </c>
      <c r="G1214" s="142">
        <v>51897.636352858695</v>
      </c>
      <c r="H1214" s="142">
        <v>159192.13317793905</v>
      </c>
      <c r="I1214" s="142">
        <v>18.862729059099273</v>
      </c>
      <c r="J1214" s="142">
        <v>51897.270420156819</v>
      </c>
      <c r="K1214" s="142">
        <v>159190.8673035219</v>
      </c>
      <c r="L1214" s="142">
        <v>18.857833233345247</v>
      </c>
      <c r="M1214" s="145">
        <v>4.8958257540263617E-3</v>
      </c>
      <c r="N1214" s="145">
        <v>1.3177134557275618</v>
      </c>
      <c r="O1214" s="145">
        <v>1.3399929871589222E-3</v>
      </c>
      <c r="P1214" s="145">
        <v>5.1672909800259959E-4</v>
      </c>
      <c r="Q12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0.63138515257321615</v>
      </c>
      <c r="R12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1.1382623579319073</v>
      </c>
      <c r="S12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0.93589207664734886</v>
      </c>
      <c r="T12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0.95523481808257316</v>
      </c>
      <c r="U12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6.304445486371435E-4</v>
      </c>
      <c r="V12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7.0982970423516534E-4</v>
      </c>
      <c r="W12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2.8651708177918067E-4</v>
      </c>
      <c r="X12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6.2966270278153047E-4</v>
      </c>
      <c r="Y1214" s="162" t="str">
        <f>ReportSummary___Track[[#This Row],[Track ID]]&amp;"-"&amp;ReportSummary___Track[[#This Row],[Epoch]]</f>
        <v>250-RL-OP-0033-45776.2847222222</v>
      </c>
      <c r="Z1214" s="126">
        <f>SUBTOTAL(103,ReportSummary___Track[[#This Row],[Track ID]])</f>
        <v>1</v>
      </c>
      <c r="AA1214" s="114">
        <f>_xlfn.NUMBERVALUE(RIGHT(ReportSummary___Track[[#This Row],[Track ID]],4))</f>
        <v>33</v>
      </c>
      <c r="AB1214" s="78"/>
    </row>
    <row r="1215" spans="5:28" ht="14.25" customHeight="1" x14ac:dyDescent="0.2">
      <c r="E1215" s="74">
        <v>45776.284722222219</v>
      </c>
      <c r="F1215" s="107" t="s">
        <v>273</v>
      </c>
      <c r="G1215" s="142">
        <v>51898.59730703551</v>
      </c>
      <c r="H1215" s="142">
        <v>159191.85647321845</v>
      </c>
      <c r="I1215" s="142">
        <v>18.863981116658643</v>
      </c>
      <c r="J1215" s="142">
        <v>51898.232318895542</v>
      </c>
      <c r="K1215" s="142">
        <v>159190.59389819429</v>
      </c>
      <c r="L1215" s="142">
        <v>18.858419126521824</v>
      </c>
      <c r="M1215" s="145">
        <v>5.5619901368189062E-3</v>
      </c>
      <c r="N1215" s="145">
        <v>1.3142842043016303</v>
      </c>
      <c r="O1215" s="145">
        <v>1.6758355269992364E-3</v>
      </c>
      <c r="P1215" s="145">
        <v>1.8318623678155177E-3</v>
      </c>
      <c r="Q12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0.28412669998090223</v>
      </c>
      <c r="R12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1.041037398284983</v>
      </c>
      <c r="S12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-8.7438667947026261E-2</v>
      </c>
      <c r="T12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0.94673124572963729</v>
      </c>
      <c r="U12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2.8230351810520915E-4</v>
      </c>
      <c r="V12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4.6875034654036973E-4</v>
      </c>
      <c r="W12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-4.0373821002503973E-4</v>
      </c>
      <c r="X12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2.8070389056722433E-4</v>
      </c>
      <c r="Y1215" s="162" t="str">
        <f>ReportSummary___Track[[#This Row],[Track ID]]&amp;"-"&amp;ReportSummary___Track[[#This Row],[Epoch]]</f>
        <v>250-RL-OP-0034-45776.2847222222</v>
      </c>
      <c r="Z1215" s="126">
        <f>SUBTOTAL(103,ReportSummary___Track[[#This Row],[Track ID]])</f>
        <v>1</v>
      </c>
      <c r="AA1215" s="114">
        <f>_xlfn.NUMBERVALUE(RIGHT(ReportSummary___Track[[#This Row],[Track ID]],4))</f>
        <v>34</v>
      </c>
      <c r="AB1215" s="78"/>
    </row>
    <row r="1216" spans="5:28" ht="14.25" customHeight="1" x14ac:dyDescent="0.2">
      <c r="E1216" s="74">
        <v>45776.284722222219</v>
      </c>
      <c r="F1216" s="107" t="s">
        <v>274</v>
      </c>
      <c r="G1216" s="142">
        <v>51899.557732431109</v>
      </c>
      <c r="H1216" s="142">
        <v>159191.5813204289</v>
      </c>
      <c r="I1216" s="142">
        <v>18.865000000000002</v>
      </c>
      <c r="J1216" s="142">
        <v>51899.202472361336</v>
      </c>
      <c r="K1216" s="142">
        <v>159190.31862001549</v>
      </c>
      <c r="L1216" s="142">
        <v>18.858777427163272</v>
      </c>
      <c r="M1216" s="145">
        <v>6.2225728367302224E-3</v>
      </c>
      <c r="N1216" s="145">
        <v>1.3117395974882282</v>
      </c>
      <c r="O1216" s="145">
        <v>1.9929114654964053E-3</v>
      </c>
      <c r="P1216" s="145">
        <v>2.9970619128150133E-3</v>
      </c>
      <c r="Q12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1.0853774767838331E-5</v>
      </c>
      <c r="R12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0.90360129034405823</v>
      </c>
      <c r="S12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-0.97863275139076222</v>
      </c>
      <c r="T12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0.98059006985096175</v>
      </c>
      <c r="U12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3.1783958931441703E-7</v>
      </c>
      <c r="V12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2.5351958757835469E-4</v>
      </c>
      <c r="W12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-9.7826773957621072E-4</v>
      </c>
      <c r="X12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-1.4953659963623522E-6</v>
      </c>
      <c r="Y1216" s="162" t="str">
        <f>ReportSummary___Track[[#This Row],[Track ID]]&amp;"-"&amp;ReportSummary___Track[[#This Row],[Epoch]]</f>
        <v>250-RL-OP-0035-45776.2847222222</v>
      </c>
      <c r="Z1216" s="126">
        <f>SUBTOTAL(103,ReportSummary___Track[[#This Row],[Track ID]])</f>
        <v>1</v>
      </c>
      <c r="AA1216" s="114">
        <f>_xlfn.NUMBERVALUE(RIGHT(ReportSummary___Track[[#This Row],[Track ID]],4))</f>
        <v>35</v>
      </c>
      <c r="AB1216" s="78"/>
    </row>
    <row r="1217" spans="5:28" ht="14.25" customHeight="1" x14ac:dyDescent="0.2">
      <c r="E1217" s="74">
        <v>45776.284722222219</v>
      </c>
      <c r="F1217" s="107" t="s">
        <v>275</v>
      </c>
      <c r="G1217" s="142">
        <v>51900.520670537458</v>
      </c>
      <c r="H1217" s="142">
        <v>159191.31159797279</v>
      </c>
      <c r="I1217" s="142">
        <v>18.865000000000002</v>
      </c>
      <c r="J1217" s="142">
        <v>51900.165031558645</v>
      </c>
      <c r="K1217" s="142">
        <v>159190.04754924017</v>
      </c>
      <c r="L1217" s="142">
        <v>18.85812440192765</v>
      </c>
      <c r="M1217" s="145">
        <v>6.8755980723516075E-3</v>
      </c>
      <c r="N1217" s="145">
        <v>1.3131433872666511</v>
      </c>
      <c r="O1217" s="145">
        <v>1.9797723183252458E-3</v>
      </c>
      <c r="P1217" s="145">
        <v>3.319765305484168E-3</v>
      </c>
      <c r="Q12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6.8678875919658822E-5</v>
      </c>
      <c r="R12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0.58934384892639358</v>
      </c>
      <c r="S12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-0.63131647369729649</v>
      </c>
      <c r="T12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0.30457560295005237</v>
      </c>
      <c r="U12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6.2632104054216597E-6</v>
      </c>
      <c r="V12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1.5795302292787028E-4</v>
      </c>
      <c r="W12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-6.2418133823172184E-4</v>
      </c>
      <c r="X12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-3.3766425645254117E-4</v>
      </c>
      <c r="Y1217" s="162" t="str">
        <f>ReportSummary___Track[[#This Row],[Track ID]]&amp;"-"&amp;ReportSummary___Track[[#This Row],[Epoch]]</f>
        <v>250-RL-OP-0036-45776.2847222222</v>
      </c>
      <c r="Z1217" s="126">
        <f>SUBTOTAL(103,ReportSummary___Track[[#This Row],[Track ID]])</f>
        <v>1</v>
      </c>
      <c r="AA1217" s="114">
        <f>_xlfn.NUMBERVALUE(RIGHT(ReportSummary___Track[[#This Row],[Track ID]],4))</f>
        <v>36</v>
      </c>
      <c r="AB1217" s="78"/>
    </row>
    <row r="1218" spans="5:28" ht="14.25" customHeight="1" x14ac:dyDescent="0.2">
      <c r="E1218" s="74">
        <v>45776.284722222219</v>
      </c>
      <c r="F1218" s="107" t="s">
        <v>276</v>
      </c>
      <c r="G1218" s="142">
        <v>51901.483608643815</v>
      </c>
      <c r="H1218" s="142">
        <v>159191.04187551665</v>
      </c>
      <c r="I1218" s="142">
        <v>18.864999999999998</v>
      </c>
      <c r="J1218" s="142">
        <v>51901.127590755954</v>
      </c>
      <c r="K1218" s="142">
        <v>159189.77647846486</v>
      </c>
      <c r="L1218" s="142">
        <v>18.857471376692025</v>
      </c>
      <c r="M1218" s="145">
        <v>7.5286233079729925E-3</v>
      </c>
      <c r="N1218" s="145">
        <v>1.3145474945069846</v>
      </c>
      <c r="O1218" s="145">
        <v>1.9666331711540863E-3</v>
      </c>
      <c r="P1218" s="145">
        <v>3.6424686981533227E-3</v>
      </c>
      <c r="Q12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1.2650398062419299E-4</v>
      </c>
      <c r="R12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0.27508791402719446</v>
      </c>
      <c r="S121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-0.28400019600027804</v>
      </c>
      <c r="T121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-0.3714388639473043</v>
      </c>
      <c r="U12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1.220858122863433E-5</v>
      </c>
      <c r="V12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6.2392724099025187E-5</v>
      </c>
      <c r="W121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-2.7009493687657482E-4</v>
      </c>
      <c r="X121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-6.7383314690161455E-4</v>
      </c>
      <c r="Y1218" s="162" t="str">
        <f>ReportSummary___Track[[#This Row],[Track ID]]&amp;"-"&amp;ReportSummary___Track[[#This Row],[Epoch]]</f>
        <v>250-RL-OP-0037-45776.2847222222</v>
      </c>
      <c r="Z1218" s="126">
        <f>SUBTOTAL(103,ReportSummary___Track[[#This Row],[Track ID]])</f>
        <v>1</v>
      </c>
      <c r="AA1218" s="114">
        <f>_xlfn.NUMBERVALUE(RIGHT(ReportSummary___Track[[#This Row],[Track ID]],4))</f>
        <v>37</v>
      </c>
      <c r="AB1218" s="78"/>
    </row>
    <row r="1219" spans="5:28" ht="14.25" customHeight="1" x14ac:dyDescent="0.2">
      <c r="E1219" s="74">
        <v>45776.284722222219</v>
      </c>
      <c r="F1219" s="107" t="s">
        <v>277</v>
      </c>
      <c r="G1219" s="142">
        <v>51902.446765809415</v>
      </c>
      <c r="H1219" s="142">
        <v>159190.77323042284</v>
      </c>
      <c r="I1219" s="142">
        <v>18.865124802963386</v>
      </c>
      <c r="J1219" s="142">
        <v>51902.098872436116</v>
      </c>
      <c r="K1219" s="142">
        <v>159189.50404742203</v>
      </c>
      <c r="L1219" s="142">
        <v>18.856944527697284</v>
      </c>
      <c r="M1219" s="145">
        <v>8.1802752661026545E-3</v>
      </c>
      <c r="N1219" s="145">
        <v>1.3160251538772541</v>
      </c>
      <c r="O1219" s="145">
        <v>1.9577024293724321E-3</v>
      </c>
      <c r="P1219" s="145">
        <v>3.9506138948688374E-3</v>
      </c>
      <c r="Q12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-4.4527697284024725E-2</v>
      </c>
      <c r="R12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-2.7752263331848326E-4</v>
      </c>
      <c r="S121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-4.4538551058792564E-2</v>
      </c>
      <c r="T121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-1.0231713024495548</v>
      </c>
      <c r="U12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-4.4538635361135448E-5</v>
      </c>
      <c r="V12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-5.7606100459794973E-5</v>
      </c>
      <c r="W121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-4.4856474950449865E-5</v>
      </c>
      <c r="X121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-1.0231242145266606E-3</v>
      </c>
      <c r="Y1219" s="162" t="str">
        <f>ReportSummary___Track[[#This Row],[Track ID]]&amp;"-"&amp;ReportSummary___Track[[#This Row],[Epoch]]</f>
        <v>250-RL-OP-0038-45776.2847222222</v>
      </c>
      <c r="Z1219" s="126">
        <f>SUBTOTAL(103,ReportSummary___Track[[#This Row],[Track ID]])</f>
        <v>1</v>
      </c>
      <c r="AA1219" s="114">
        <f>_xlfn.NUMBERVALUE(RIGHT(ReportSummary___Track[[#This Row],[Track ID]],4))</f>
        <v>38</v>
      </c>
      <c r="AB1219" s="78"/>
    </row>
    <row r="1220" spans="5:28" ht="14.25" customHeight="1" x14ac:dyDescent="0.2">
      <c r="E1220" s="74">
        <v>45776.284722222219</v>
      </c>
      <c r="F1220" s="107" t="s">
        <v>278</v>
      </c>
      <c r="G1220" s="142">
        <v>51903.411339687525</v>
      </c>
      <c r="H1220" s="142">
        <v>159190.50941847003</v>
      </c>
      <c r="I1220" s="142">
        <v>18.865822806114334</v>
      </c>
      <c r="J1220" s="142">
        <v>51903.063539372743</v>
      </c>
      <c r="K1220" s="142">
        <v>159189.24057524014</v>
      </c>
      <c r="L1220" s="142">
        <v>18.857277320651583</v>
      </c>
      <c r="M1220" s="145">
        <v>8.5454854627506904E-3</v>
      </c>
      <c r="N1220" s="145">
        <v>1.3156751978814882</v>
      </c>
      <c r="O1220" s="145">
        <v>1.669887390399083E-3</v>
      </c>
      <c r="P1220" s="145">
        <v>3.6496597087243288E-3</v>
      </c>
      <c r="Q12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-0.37732065158380124</v>
      </c>
      <c r="R12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-2.5047831835323109E-3</v>
      </c>
      <c r="S122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-0.3773893304597209</v>
      </c>
      <c r="T122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-1.0087058041570174</v>
      </c>
      <c r="U12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-3.7739276456960624E-4</v>
      </c>
      <c r="V12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-3.8046172698824599E-4</v>
      </c>
      <c r="W122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-3.836559749750279E-4</v>
      </c>
      <c r="X122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-1.0078373132067497E-3</v>
      </c>
      <c r="Y1220" s="162" t="str">
        <f>ReportSummary___Track[[#This Row],[Track ID]]&amp;"-"&amp;ReportSummary___Track[[#This Row],[Epoch]]</f>
        <v>250-RL-OP-0039-45776.2847222222</v>
      </c>
      <c r="Z1220" s="126">
        <f>SUBTOTAL(103,ReportSummary___Track[[#This Row],[Track ID]])</f>
        <v>1</v>
      </c>
      <c r="AA1220" s="114">
        <f>_xlfn.NUMBERVALUE(RIGHT(ReportSummary___Track[[#This Row],[Track ID]],4))</f>
        <v>39</v>
      </c>
      <c r="AB1220" s="78"/>
    </row>
    <row r="1221" spans="5:28" ht="14.25" customHeight="1" x14ac:dyDescent="0.2">
      <c r="E1221" s="74">
        <v>45776.284722222219</v>
      </c>
      <c r="F1221" s="107" t="s">
        <v>279</v>
      </c>
      <c r="G1221" s="142">
        <v>51904.375913565644</v>
      </c>
      <c r="H1221" s="142">
        <v>159190.24560651722</v>
      </c>
      <c r="I1221" s="142">
        <v>18.866520809265282</v>
      </c>
      <c r="J1221" s="142">
        <v>51904.028206309369</v>
      </c>
      <c r="K1221" s="142">
        <v>159188.97710305825</v>
      </c>
      <c r="L1221" s="142">
        <v>18.857610113605883</v>
      </c>
      <c r="M1221" s="145">
        <v>8.9106956593987263E-3</v>
      </c>
      <c r="N1221" s="145">
        <v>1.3153253445340836</v>
      </c>
      <c r="O1221" s="145">
        <v>1.3820723514257338E-3</v>
      </c>
      <c r="P1221" s="145">
        <v>3.3487055225798201E-3</v>
      </c>
      <c r="Q12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-0.71011360588002503</v>
      </c>
      <c r="R12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-5.0022555575512939E-3</v>
      </c>
      <c r="S12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-0.71024010986064923</v>
      </c>
      <c r="T122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-0.99424030586092726</v>
      </c>
      <c r="U12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-7.1024689377807704E-4</v>
      </c>
      <c r="V12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-7.035852084142924E-4</v>
      </c>
      <c r="W12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-7.2245547500671137E-4</v>
      </c>
      <c r="X122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-9.9255041188328619E-4</v>
      </c>
      <c r="Y1221" s="162" t="str">
        <f>ReportSummary___Track[[#This Row],[Track ID]]&amp;"-"&amp;ReportSummary___Track[[#This Row],[Epoch]]</f>
        <v>250-RL-OP-0040-45776.2847222222</v>
      </c>
      <c r="Z1221" s="126">
        <f>SUBTOTAL(103,ReportSummary___Track[[#This Row],[Track ID]])</f>
        <v>1</v>
      </c>
      <c r="AA1221" s="114">
        <f>_xlfn.NUMBERVALUE(RIGHT(ReportSummary___Track[[#This Row],[Track ID]],4))</f>
        <v>40</v>
      </c>
      <c r="AB1221" s="78"/>
    </row>
    <row r="1222" spans="5:28" ht="14.25" customHeight="1" x14ac:dyDescent="0.2">
      <c r="E1222" s="74">
        <v>45776.284722222219</v>
      </c>
      <c r="F1222" s="107" t="s">
        <v>280</v>
      </c>
      <c r="G1222" s="142">
        <v>51905.340845350271</v>
      </c>
      <c r="H1222" s="142">
        <v>159189.98319388248</v>
      </c>
      <c r="I1222" s="142">
        <v>18.867392307659181</v>
      </c>
      <c r="J1222" s="142">
        <v>51905.00285235198</v>
      </c>
      <c r="K1222" s="142">
        <v>159188.71195702621</v>
      </c>
      <c r="L1222" s="142">
        <v>18.858054709071411</v>
      </c>
      <c r="M1222" s="145">
        <v>9.3375985877699463E-3</v>
      </c>
      <c r="N1222" s="145">
        <v>1.315435138030743</v>
      </c>
      <c r="O1222" s="145">
        <v>1.1573233216672918E-3</v>
      </c>
      <c r="P1222" s="145">
        <v>3.1150257510397239E-3</v>
      </c>
      <c r="Q12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-0.95012199269461917</v>
      </c>
      <c r="R12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-4.6352710045827195E-3</v>
      </c>
      <c r="S12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-0.90559429541059444</v>
      </c>
      <c r="T122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-0.950132846469387</v>
      </c>
      <c r="U12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-9.5017419700127448E-4</v>
      </c>
      <c r="V12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-9.100141502218495E-4</v>
      </c>
      <c r="W12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-9.0563556164013903E-4</v>
      </c>
      <c r="X122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-9.504920365905889E-4</v>
      </c>
      <c r="Y1222" s="162" t="str">
        <f>ReportSummary___Track[[#This Row],[Track ID]]&amp;"-"&amp;ReportSummary___Track[[#This Row],[Epoch]]</f>
        <v>250-RL-OP-0041-45776.2847222222</v>
      </c>
      <c r="Z1222" s="126">
        <f>SUBTOTAL(103,ReportSummary___Track[[#This Row],[Track ID]])</f>
        <v>1</v>
      </c>
      <c r="AA1222" s="114">
        <f>_xlfn.NUMBERVALUE(RIGHT(ReportSummary___Track[[#This Row],[Track ID]],4))</f>
        <v>41</v>
      </c>
      <c r="AB1222" s="78"/>
    </row>
    <row r="1223" spans="5:28" ht="14.25" customHeight="1" x14ac:dyDescent="0.2">
      <c r="E1223" s="74">
        <v>45776.284722222219</v>
      </c>
      <c r="F1223" s="107" t="s">
        <v>281</v>
      </c>
      <c r="G1223" s="142">
        <v>51906.307621791326</v>
      </c>
      <c r="H1223" s="142">
        <v>159189.72757627073</v>
      </c>
      <c r="I1223" s="142">
        <v>18.869109743964579</v>
      </c>
      <c r="J1223" s="142">
        <v>51905.969416035303</v>
      </c>
      <c r="K1223" s="142">
        <v>159188.45553275422</v>
      </c>
      <c r="L1223" s="142">
        <v>18.859167723973641</v>
      </c>
      <c r="M1223" s="145">
        <v>9.9420199909374674E-3</v>
      </c>
      <c r="N1223" s="145">
        <v>1.3162737880335158</v>
      </c>
      <c r="O1223" s="145">
        <v>1.3965345281867769E-3</v>
      </c>
      <c r="P1223" s="145">
        <v>3.0664219185858599E-3</v>
      </c>
      <c r="Q12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-0.59115673863274765</v>
      </c>
      <c r="R12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-4.6198916525685974E-3</v>
      </c>
      <c r="S12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-0.21383608704894641</v>
      </c>
      <c r="T122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-0.59122541750866731</v>
      </c>
      <c r="U12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-5.9158451344387686E-4</v>
      </c>
      <c r="V12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-4.7085280651848471E-4</v>
      </c>
      <c r="W12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-2.1419174887427062E-4</v>
      </c>
      <c r="X122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-5.9784772384929852E-4</v>
      </c>
      <c r="Y1223" s="162" t="str">
        <f>ReportSummary___Track[[#This Row],[Track ID]]&amp;"-"&amp;ReportSummary___Track[[#This Row],[Epoch]]</f>
        <v>250-RL-OP-0042-45776.2847222222</v>
      </c>
      <c r="Z1223" s="126">
        <f>SUBTOTAL(103,ReportSummary___Track[[#This Row],[Track ID]])</f>
        <v>1</v>
      </c>
      <c r="AA1223" s="114">
        <f>_xlfn.NUMBERVALUE(RIGHT(ReportSummary___Track[[#This Row],[Track ID]],4))</f>
        <v>42</v>
      </c>
      <c r="AB1223" s="78"/>
    </row>
    <row r="1224" spans="5:28" ht="14.25" customHeight="1" x14ac:dyDescent="0.2">
      <c r="E1224" s="74">
        <v>45776.284722222219</v>
      </c>
      <c r="F1224" s="107" t="s">
        <v>282</v>
      </c>
      <c r="G1224" s="142">
        <v>51907.274398232381</v>
      </c>
      <c r="H1224" s="142">
        <v>159189.47195865901</v>
      </c>
      <c r="I1224" s="142">
        <v>18.870827180269977</v>
      </c>
      <c r="J1224" s="142">
        <v>51906.935979718626</v>
      </c>
      <c r="K1224" s="142">
        <v>159188.19910848219</v>
      </c>
      <c r="L1224" s="142">
        <v>18.860280738875872</v>
      </c>
      <c r="M1224" s="145">
        <v>1.0546441394104988E-2</v>
      </c>
      <c r="N1224" s="145">
        <v>1.3171127098673432</v>
      </c>
      <c r="O1224" s="145">
        <v>1.6357457347062621E-3</v>
      </c>
      <c r="P1224" s="145">
        <v>3.0178180861319959E-3</v>
      </c>
      <c r="Q12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-0.23219148457087613</v>
      </c>
      <c r="R12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-4.3759582821767395E-3</v>
      </c>
      <c r="S12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0.47792212130914891</v>
      </c>
      <c r="T12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-0.23231798855150032</v>
      </c>
      <c r="U12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-2.3299482989003195E-4</v>
      </c>
      <c r="V12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-3.1464341655018657E-5</v>
      </c>
      <c r="W12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4.7725206388804509E-4</v>
      </c>
      <c r="X12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-2.4520341111866628E-4</v>
      </c>
      <c r="Y1224" s="162" t="str">
        <f>ReportSummary___Track[[#This Row],[Track ID]]&amp;"-"&amp;ReportSummary___Track[[#This Row],[Epoch]]</f>
        <v>250-RL-OP-0043-45776.2847222222</v>
      </c>
      <c r="Z1224" s="126">
        <f>SUBTOTAL(103,ReportSummary___Track[[#This Row],[Track ID]])</f>
        <v>1</v>
      </c>
      <c r="AA1224" s="114">
        <f>_xlfn.NUMBERVALUE(RIGHT(ReportSummary___Track[[#This Row],[Track ID]],4))</f>
        <v>43</v>
      </c>
      <c r="AB1224" s="78"/>
    </row>
    <row r="1225" spans="5:28" ht="14.25" customHeight="1" x14ac:dyDescent="0.2">
      <c r="E1225" s="74">
        <v>45776.284722222219</v>
      </c>
      <c r="F1225" s="107" t="s">
        <v>283</v>
      </c>
      <c r="G1225" s="142">
        <v>51908.242806603892</v>
      </c>
      <c r="H1225" s="142">
        <v>159189.21950151515</v>
      </c>
      <c r="I1225" s="142">
        <v>18.87296196237228</v>
      </c>
      <c r="J1225" s="142">
        <v>51907.904490536996</v>
      </c>
      <c r="K1225" s="142">
        <v>159187.94609909345</v>
      </c>
      <c r="L1225" s="142">
        <v>18.861943550713935</v>
      </c>
      <c r="M1225" s="145">
        <v>1.1018411658344718E-2</v>
      </c>
      <c r="N1225" s="145">
        <v>1.3176239577826141</v>
      </c>
      <c r="O1225" s="145">
        <v>1.6808130705747715E-3</v>
      </c>
      <c r="P1225" s="145">
        <v>2.8381363922420633E-3</v>
      </c>
      <c r="Q12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-9.9911780040429221E-3</v>
      </c>
      <c r="R12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-8.4014807999466257E-5</v>
      </c>
      <c r="S12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0.94013081469057624</v>
      </c>
      <c r="T12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3.4536519279981803E-2</v>
      </c>
      <c r="U12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-9.790679975196781E-6</v>
      </c>
      <c r="V12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1.3207378161994576E-4</v>
      </c>
      <c r="W12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9.403835170260777E-4</v>
      </c>
      <c r="X12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3.4747955385938667E-5</v>
      </c>
      <c r="Y1225" s="162" t="str">
        <f>ReportSummary___Track[[#This Row],[Track ID]]&amp;"-"&amp;ReportSummary___Track[[#This Row],[Epoch]]</f>
        <v>250-RL-OP-0044-45776.2847222222</v>
      </c>
      <c r="Z1225" s="126">
        <f>SUBTOTAL(103,ReportSummary___Track[[#This Row],[Track ID]])</f>
        <v>1</v>
      </c>
      <c r="AA1225" s="114">
        <f>_xlfn.NUMBERVALUE(RIGHT(ReportSummary___Track[[#This Row],[Track ID]],4))</f>
        <v>44</v>
      </c>
      <c r="AB1225" s="78"/>
    </row>
    <row r="1226" spans="5:28" ht="14.25" customHeight="1" x14ac:dyDescent="0.2">
      <c r="E1226" s="74">
        <v>45776.284722222219</v>
      </c>
      <c r="F1226" s="107" t="s">
        <v>284</v>
      </c>
      <c r="G1226" s="142">
        <v>51909.212314637531</v>
      </c>
      <c r="H1226" s="142">
        <v>159188.97446066936</v>
      </c>
      <c r="I1226" s="142">
        <v>18.875987952848156</v>
      </c>
      <c r="J1226" s="142">
        <v>51908.873742332347</v>
      </c>
      <c r="K1226" s="142">
        <v>159187.70004242341</v>
      </c>
      <c r="L1226" s="142">
        <v>18.864602938295501</v>
      </c>
      <c r="M1226" s="145">
        <v>1.1385014552654837E-2</v>
      </c>
      <c r="N1226" s="145">
        <v>1.3186745959430011</v>
      </c>
      <c r="O1226" s="145">
        <v>1.4429945617173701E-3</v>
      </c>
      <c r="P1226" s="145">
        <v>2.839529089904147E-3</v>
      </c>
      <c r="Q12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-4.6716961641379839E-3</v>
      </c>
      <c r="R12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-4.3173003394514353E-5</v>
      </c>
      <c r="S12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0.58648504246860966</v>
      </c>
      <c r="T12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0.37264895541966325</v>
      </c>
      <c r="U12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-3.8405028526256046E-6</v>
      </c>
      <c r="V12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-2.587399278417557E-4</v>
      </c>
      <c r="W12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5.8774401059125125E-4</v>
      </c>
      <c r="X12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3.7355226171698064E-4</v>
      </c>
      <c r="Y1226" s="162" t="str">
        <f>ReportSummary___Track[[#This Row],[Track ID]]&amp;"-"&amp;ReportSummary___Track[[#This Row],[Epoch]]</f>
        <v>250-RL-OP-0045-45776.2847222222</v>
      </c>
      <c r="Z1226" s="126">
        <f>SUBTOTAL(103,ReportSummary___Track[[#This Row],[Track ID]])</f>
        <v>1</v>
      </c>
      <c r="AA1226" s="114">
        <f>_xlfn.NUMBERVALUE(RIGHT(ReportSummary___Track[[#This Row],[Track ID]],4))</f>
        <v>45</v>
      </c>
      <c r="AB1226" s="78"/>
    </row>
    <row r="1227" spans="5:28" ht="14.25" customHeight="1" x14ac:dyDescent="0.2">
      <c r="E1227" s="74">
        <v>45776.284722222219</v>
      </c>
      <c r="F1227" s="107" t="s">
        <v>285</v>
      </c>
      <c r="G1227" s="142">
        <v>51910.181822671162</v>
      </c>
      <c r="H1227" s="142">
        <v>159188.72941982359</v>
      </c>
      <c r="I1227" s="142">
        <v>18.879013943324033</v>
      </c>
      <c r="J1227" s="142">
        <v>51909.842994127699</v>
      </c>
      <c r="K1227" s="142">
        <v>159187.45398575338</v>
      </c>
      <c r="L1227" s="142">
        <v>18.867262325877068</v>
      </c>
      <c r="M1227" s="145">
        <v>1.1751617446964957E-2</v>
      </c>
      <c r="N1227" s="145">
        <v>1.31972533120597</v>
      </c>
      <c r="O1227" s="145">
        <v>1.2051760528599686E-3</v>
      </c>
      <c r="P1227" s="145">
        <v>2.8409217875662307E-3</v>
      </c>
      <c r="Q12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6.4778567931966791E-4</v>
      </c>
      <c r="R12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5.0648196747715701E-7</v>
      </c>
      <c r="S12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0.2328392702501958</v>
      </c>
      <c r="T12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0.7107613915593447</v>
      </c>
      <c r="U12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2.1096742699455717E-6</v>
      </c>
      <c r="V12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-6.4954865549515794E-4</v>
      </c>
      <c r="W12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2.3510450415997752E-4</v>
      </c>
      <c r="X12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7.1235656804802261E-4</v>
      </c>
      <c r="Y1227" s="162" t="str">
        <f>ReportSummary___Track[[#This Row],[Track ID]]&amp;"-"&amp;ReportSummary___Track[[#This Row],[Epoch]]</f>
        <v>250-RL-OP-0046-45776.2847222222</v>
      </c>
      <c r="Z1227" s="126">
        <f>SUBTOTAL(103,ReportSummary___Track[[#This Row],[Track ID]])</f>
        <v>1</v>
      </c>
      <c r="AA1227" s="114">
        <f>_xlfn.NUMBERVALUE(RIGHT(ReportSummary___Track[[#This Row],[Track ID]],4))</f>
        <v>46</v>
      </c>
      <c r="AB1227" s="78"/>
    </row>
    <row r="1228" spans="5:28" ht="14.25" customHeight="1" x14ac:dyDescent="0.2">
      <c r="E1228" s="74">
        <v>45776.284722222219</v>
      </c>
      <c r="F1228" s="107" t="s">
        <v>286</v>
      </c>
      <c r="G1228" s="142">
        <v>51911.151141496419</v>
      </c>
      <c r="H1228" s="142">
        <v>159188.48644319948</v>
      </c>
      <c r="I1228" s="142">
        <v>18.882328518492972</v>
      </c>
      <c r="J1228" s="142">
        <v>51910.834188304056</v>
      </c>
      <c r="K1228" s="142">
        <v>159187.20449995177</v>
      </c>
      <c r="L1228" s="142">
        <v>18.870139116386202</v>
      </c>
      <c r="M1228" s="145">
        <v>1.2189402106770331E-2</v>
      </c>
      <c r="N1228" s="145">
        <v>1.3206007716288304</v>
      </c>
      <c r="O1228" s="145">
        <v>1.1709904484256128E-3</v>
      </c>
      <c r="P1228" s="145">
        <v>2.8518035190003843E-3</v>
      </c>
      <c r="Q12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2.5701555870227821E-3</v>
      </c>
      <c r="R12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6.7575775819506134E-4</v>
      </c>
      <c r="S12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1.2561333591065704E-2</v>
      </c>
      <c r="T12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0.95269214828164195</v>
      </c>
      <c r="U12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-7.4281466826420228E-5</v>
      </c>
      <c r="V12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-9.3599675290367834E-4</v>
      </c>
      <c r="W12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-6.4490786851223447E-5</v>
      </c>
      <c r="X12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8.7589273017485425E-4</v>
      </c>
      <c r="Y1228" s="162" t="str">
        <f>ReportSummary___Track[[#This Row],[Track ID]]&amp;"-"&amp;ReportSummary___Track[[#This Row],[Epoch]]</f>
        <v>250-RL-OP-0047-45776.2847222222</v>
      </c>
      <c r="Z1228" s="126">
        <f>SUBTOTAL(103,ReportSummary___Track[[#This Row],[Track ID]])</f>
        <v>1</v>
      </c>
      <c r="AA1228" s="114">
        <f>_xlfn.NUMBERVALUE(RIGHT(ReportSummary___Track[[#This Row],[Track ID]],4))</f>
        <v>47</v>
      </c>
      <c r="AB1228" s="78"/>
    </row>
    <row r="1229" spans="5:28" ht="14.25" customHeight="1" x14ac:dyDescent="0.2">
      <c r="E1229" s="74">
        <v>45776.284722222219</v>
      </c>
      <c r="F1229" s="107" t="s">
        <v>287</v>
      </c>
      <c r="G1229" s="142">
        <v>51912.122875350411</v>
      </c>
      <c r="H1229" s="142">
        <v>159188.25040524639</v>
      </c>
      <c r="I1229" s="142">
        <v>18.886733255176882</v>
      </c>
      <c r="J1229" s="142">
        <v>51911.805733444031</v>
      </c>
      <c r="K1229" s="142">
        <v>159186.96766968034</v>
      </c>
      <c r="L1229" s="142">
        <v>18.873524899190596</v>
      </c>
      <c r="M1229" s="145">
        <v>1.3208355986286335E-2</v>
      </c>
      <c r="N1229" s="145">
        <v>1.3214249815537595</v>
      </c>
      <c r="O1229" s="145">
        <v>1.8233414336314979E-3</v>
      </c>
      <c r="P1229" s="145">
        <v>3.266335995348868E-3</v>
      </c>
      <c r="Q12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2.3890030256268346E-3</v>
      </c>
      <c r="R12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8.2917361177159421E-4</v>
      </c>
      <c r="S12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7.0606991897648186E-3</v>
      </c>
      <c r="T12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0.59354574165837448</v>
      </c>
      <c r="U12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-4.2661950439182306E-4</v>
      </c>
      <c r="V12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-7.7445608521298226E-4</v>
      </c>
      <c r="W12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-4.2277900153919745E-4</v>
      </c>
      <c r="X12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1.649650090520538E-4</v>
      </c>
      <c r="Y1229" s="162" t="str">
        <f>ReportSummary___Track[[#This Row],[Track ID]]&amp;"-"&amp;ReportSummary___Track[[#This Row],[Epoch]]</f>
        <v>250-RL-OP-0048-45776.2847222222</v>
      </c>
      <c r="Z1229" s="126">
        <f>SUBTOTAL(103,ReportSummary___Track[[#This Row],[Track ID]])</f>
        <v>1</v>
      </c>
      <c r="AA1229" s="114">
        <f>_xlfn.NUMBERVALUE(RIGHT(ReportSummary___Track[[#This Row],[Track ID]],4))</f>
        <v>48</v>
      </c>
      <c r="AB1229" s="78"/>
    </row>
    <row r="1230" spans="5:28" ht="14.25" customHeight="1" x14ac:dyDescent="0.2">
      <c r="E1230" s="74">
        <v>45776.284722222219</v>
      </c>
      <c r="F1230" s="107" t="s">
        <v>288</v>
      </c>
      <c r="G1230" s="142">
        <v>51913.094609204403</v>
      </c>
      <c r="H1230" s="142">
        <v>159188.0143672933</v>
      </c>
      <c r="I1230" s="142">
        <v>18.891137991860795</v>
      </c>
      <c r="J1230" s="142">
        <v>51912.777278584006</v>
      </c>
      <c r="K1230" s="142">
        <v>159186.73083940891</v>
      </c>
      <c r="L1230" s="142">
        <v>18.876910681994985</v>
      </c>
      <c r="M1230" s="145">
        <v>1.4227309865809445E-2</v>
      </c>
      <c r="N1230" s="145">
        <v>1.3222499646506856</v>
      </c>
      <c r="O1230" s="145">
        <v>2.4756924188444884E-3</v>
      </c>
      <c r="P1230" s="145">
        <v>3.6808684717044571E-3</v>
      </c>
      <c r="Q12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2.2078504748890282E-3</v>
      </c>
      <c r="R12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9.8229915068692719E-4</v>
      </c>
      <c r="S12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1.5600647955693603E-3</v>
      </c>
      <c r="T12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0.23439933504576516</v>
      </c>
      <c r="U12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-7.7895754195367317E-4</v>
      </c>
      <c r="V12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-6.1355049285460872E-4</v>
      </c>
      <c r="W12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-7.8106721622361874E-4</v>
      </c>
      <c r="X12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-5.4596271206364122E-4</v>
      </c>
      <c r="Y1230" s="162" t="str">
        <f>ReportSummary___Track[[#This Row],[Track ID]]&amp;"-"&amp;ReportSummary___Track[[#This Row],[Epoch]]</f>
        <v>250-RL-OP-0049-45776.2847222222</v>
      </c>
      <c r="Z1230" s="126">
        <f>SUBTOTAL(103,ReportSummary___Track[[#This Row],[Track ID]])</f>
        <v>1</v>
      </c>
      <c r="AA1230" s="114">
        <f>_xlfn.NUMBERVALUE(RIGHT(ReportSummary___Track[[#This Row],[Track ID]],4))</f>
        <v>49</v>
      </c>
      <c r="AB1230" s="78"/>
    </row>
    <row r="1231" spans="5:28" ht="14.25" customHeight="1" x14ac:dyDescent="0.2">
      <c r="E1231" s="74">
        <v>45775.28125</v>
      </c>
      <c r="F1231" s="107" t="s">
        <v>235</v>
      </c>
      <c r="G1231" s="142">
        <v>51886.102866799411</v>
      </c>
      <c r="H1231" s="142">
        <v>159195.44660738113</v>
      </c>
      <c r="I1231" s="142">
        <v>18.870774565755816</v>
      </c>
      <c r="J1231" s="142">
        <v>51885.743050789795</v>
      </c>
      <c r="K1231" s="142">
        <v>159194.1869553554</v>
      </c>
      <c r="L1231" s="142">
        <v>18.866787559209786</v>
      </c>
      <c r="M1231" s="145">
        <v>3.9870065460299031E-3</v>
      </c>
      <c r="N1231" s="145">
        <v>1.3100407180453399</v>
      </c>
      <c r="O1231" s="145"/>
      <c r="P1231" s="145"/>
      <c r="Q12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-0.2817581999643437</v>
      </c>
      <c r="R12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-7.7458342069736119E-2</v>
      </c>
      <c r="S123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3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-6.4545531586190918E-8</v>
      </c>
      <c r="V12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6.1406892985438333E-4</v>
      </c>
      <c r="W123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3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31" s="162" t="str">
        <f>ReportSummary___Track[[#This Row],[Track ID]]&amp;"-"&amp;ReportSummary___Track[[#This Row],[Epoch]]</f>
        <v>250-RL-OP-0021-45775.28125</v>
      </c>
      <c r="Z1231" s="126">
        <f>SUBTOTAL(103,ReportSummary___Track[[#This Row],[Track ID]])</f>
        <v>1</v>
      </c>
      <c r="AA1231" s="114">
        <f>_xlfn.NUMBERVALUE(RIGHT(ReportSummary___Track[[#This Row],[Track ID]],4))</f>
        <v>21</v>
      </c>
      <c r="AB1231" s="78"/>
    </row>
    <row r="1232" spans="5:28" ht="14.25" customHeight="1" x14ac:dyDescent="0.2">
      <c r="E1232" s="74">
        <v>45775.28125</v>
      </c>
      <c r="F1232" s="107" t="s">
        <v>236</v>
      </c>
      <c r="G1232" s="142">
        <v>51887.064487344272</v>
      </c>
      <c r="H1232" s="142">
        <v>159195.17222470866</v>
      </c>
      <c r="I1232" s="142">
        <v>18.870497551447404</v>
      </c>
      <c r="J1232" s="142">
        <v>51886.70416952754</v>
      </c>
      <c r="K1232" s="142">
        <v>159193.91081996524</v>
      </c>
      <c r="L1232" s="142">
        <v>18.86665241402924</v>
      </c>
      <c r="M1232" s="145">
        <v>3.8451374181640574E-3</v>
      </c>
      <c r="N1232" s="145">
        <v>1.3118634230948569</v>
      </c>
      <c r="O1232" s="145"/>
      <c r="P1232" s="145"/>
      <c r="Q12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-0.627983844534441</v>
      </c>
      <c r="R12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-0.16539000022919303</v>
      </c>
      <c r="S123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3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-1.4414138860274761E-7</v>
      </c>
      <c r="V12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1.9439653316144501E-4</v>
      </c>
      <c r="W123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3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32" s="162" t="str">
        <f>ReportSummary___Track[[#This Row],[Track ID]]&amp;"-"&amp;ReportSummary___Track[[#This Row],[Epoch]]</f>
        <v>250-RL-OP-0022-45775.28125</v>
      </c>
      <c r="Z1232" s="126">
        <f>SUBTOTAL(103,ReportSummary___Track[[#This Row],[Track ID]])</f>
        <v>1</v>
      </c>
      <c r="AA1232" s="114">
        <f>_xlfn.NUMBERVALUE(RIGHT(ReportSummary___Track[[#This Row],[Track ID]],4))</f>
        <v>22</v>
      </c>
      <c r="AB1232" s="78"/>
    </row>
    <row r="1233" spans="5:28" ht="14.25" customHeight="1" x14ac:dyDescent="0.2">
      <c r="E1233" s="74">
        <v>45775.28125</v>
      </c>
      <c r="F1233" s="107" t="s">
        <v>237</v>
      </c>
      <c r="G1233" s="142">
        <v>51888.026107889134</v>
      </c>
      <c r="H1233" s="142">
        <v>159194.89784203618</v>
      </c>
      <c r="I1233" s="142">
        <v>18.870220537138991</v>
      </c>
      <c r="J1233" s="142">
        <v>51887.665288265285</v>
      </c>
      <c r="K1233" s="142">
        <v>159193.63468457508</v>
      </c>
      <c r="L1233" s="142">
        <v>18.866517268848696</v>
      </c>
      <c r="M1233" s="145">
        <v>3.703268290294659E-3</v>
      </c>
      <c r="N1233" s="145">
        <v>1.3136861446649171</v>
      </c>
      <c r="O1233" s="145"/>
      <c r="P1233" s="145"/>
      <c r="Q12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-0.97420948910809102</v>
      </c>
      <c r="R12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-0.25333494547052915</v>
      </c>
      <c r="S1233"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3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-2.2373725272473166E-7</v>
      </c>
      <c r="V12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-2.2527615159106951E-4</v>
      </c>
      <c r="W1233"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3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33" s="162" t="str">
        <f>ReportSummary___Track[[#This Row],[Track ID]]&amp;"-"&amp;ReportSummary___Track[[#This Row],[Epoch]]</f>
        <v>250-RL-OP-0023-45775.28125</v>
      </c>
      <c r="Z1233" s="126">
        <f>SUBTOTAL(103,ReportSummary___Track[[#This Row],[Track ID]])</f>
        <v>1</v>
      </c>
      <c r="AA1233" s="114">
        <f>_xlfn.NUMBERVALUE(RIGHT(ReportSummary___Track[[#This Row],[Track ID]],4))</f>
        <v>23</v>
      </c>
      <c r="AB1233" s="78"/>
    </row>
    <row r="1234" spans="5:28" ht="14.25" customHeight="1" x14ac:dyDescent="0.2">
      <c r="E1234" s="74">
        <v>45775.28125</v>
      </c>
      <c r="F1234" s="107" t="s">
        <v>238</v>
      </c>
      <c r="G1234" s="142">
        <v>51888.986229668852</v>
      </c>
      <c r="H1234" s="142">
        <v>159194.62281030611</v>
      </c>
      <c r="I1234" s="142">
        <v>18.869826372087218</v>
      </c>
      <c r="J1234" s="142">
        <v>51888.625001387016</v>
      </c>
      <c r="K1234" s="142">
        <v>159193.35771690356</v>
      </c>
      <c r="L1234" s="142">
        <v>18.865752125583523</v>
      </c>
      <c r="M1234" s="145">
        <v>4.0742465036949227E-3</v>
      </c>
      <c r="N1234" s="145">
        <v>1.3156609701135673</v>
      </c>
      <c r="O1234" s="145">
        <v>8.7239957665019574E-5</v>
      </c>
      <c r="P1234" s="145"/>
      <c r="Q12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-0.68817505538376622</v>
      </c>
      <c r="R12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-0.10845921824853555</v>
      </c>
      <c r="S12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-0.40641685541942252</v>
      </c>
      <c r="T123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1.2738173953863452E-5</v>
      </c>
      <c r="V12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-1.1819065478313462E-4</v>
      </c>
      <c r="W12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1.2802719485449643E-5</v>
      </c>
      <c r="X123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34" s="162" t="str">
        <f>ReportSummary___Track[[#This Row],[Track ID]]&amp;"-"&amp;ReportSummary___Track[[#This Row],[Epoch]]</f>
        <v>250-RL-OP-0024-45775.28125</v>
      </c>
      <c r="Z1234" s="126">
        <f>SUBTOTAL(103,ReportSummary___Track[[#This Row],[Track ID]])</f>
        <v>1</v>
      </c>
      <c r="AA1234" s="114">
        <f>_xlfn.NUMBERVALUE(RIGHT(ReportSummary___Track[[#This Row],[Track ID]],4))</f>
        <v>24</v>
      </c>
      <c r="AB1234" s="78"/>
    </row>
    <row r="1235" spans="5:28" ht="14.25" customHeight="1" x14ac:dyDescent="0.2">
      <c r="E1235" s="74">
        <v>45775.28125</v>
      </c>
      <c r="F1235" s="107" t="s">
        <v>239</v>
      </c>
      <c r="G1235" s="142">
        <v>51889.947542310918</v>
      </c>
      <c r="H1235" s="142">
        <v>159194.34735097896</v>
      </c>
      <c r="I1235" s="142">
        <v>18.869422275274776</v>
      </c>
      <c r="J1235" s="142">
        <v>51889.585742274416</v>
      </c>
      <c r="K1235" s="142">
        <v>159193.08027103462</v>
      </c>
      <c r="L1235" s="142">
        <v>18.864893585328126</v>
      </c>
      <c r="M1235" s="145">
        <v>4.5286899466496777E-3</v>
      </c>
      <c r="N1235" s="145">
        <v>1.3177296235588183</v>
      </c>
      <c r="O1235" s="145">
        <v>6.8355252848562031E-4</v>
      </c>
      <c r="P1235" s="145"/>
      <c r="Q12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-0.35090478249344415</v>
      </c>
      <c r="R12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8.0633241854810578E-2</v>
      </c>
      <c r="S12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0.27707906204099686</v>
      </c>
      <c r="T123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6.6604396664615706E-6</v>
      </c>
      <c r="V12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7.5847076164370364E-5</v>
      </c>
      <c r="W12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6.8045810550643182E-6</v>
      </c>
      <c r="X123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35" s="162" t="str">
        <f>ReportSummary___Track[[#This Row],[Track ID]]&amp;"-"&amp;ReportSummary___Track[[#This Row],[Epoch]]</f>
        <v>250-RL-OP-0025-45775.28125</v>
      </c>
      <c r="Z1235" s="126">
        <f>SUBTOTAL(103,ReportSummary___Track[[#This Row],[Track ID]])</f>
        <v>1</v>
      </c>
      <c r="AA1235" s="114">
        <f>_xlfn.NUMBERVALUE(RIGHT(ReportSummary___Track[[#This Row],[Track ID]],4))</f>
        <v>25</v>
      </c>
      <c r="AB1235" s="78"/>
    </row>
    <row r="1236" spans="5:28" ht="14.25" customHeight="1" x14ac:dyDescent="0.2">
      <c r="E1236" s="74">
        <v>45775.28125</v>
      </c>
      <c r="F1236" s="107" t="s">
        <v>240</v>
      </c>
      <c r="G1236" s="142">
        <v>51890.908854952984</v>
      </c>
      <c r="H1236" s="142">
        <v>159194.07189165184</v>
      </c>
      <c r="I1236" s="142">
        <v>18.869018178462333</v>
      </c>
      <c r="J1236" s="142">
        <v>51890.546483161816</v>
      </c>
      <c r="K1236" s="142">
        <v>159192.80282516568</v>
      </c>
      <c r="L1236" s="142">
        <v>18.864035045072725</v>
      </c>
      <c r="M1236" s="145">
        <v>4.9831333896079855E-3</v>
      </c>
      <c r="N1236" s="145">
        <v>1.319798428906338</v>
      </c>
      <c r="O1236" s="145">
        <v>1.2798650993133265E-3</v>
      </c>
      <c r="P1236" s="145"/>
      <c r="Q12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-1.3634509599569355E-2</v>
      </c>
      <c r="R12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0.26986835712983215</v>
      </c>
      <c r="S12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0.96057497950852166</v>
      </c>
      <c r="T123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5.8270537905968922E-7</v>
      </c>
      <c r="V12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2.6988021893670222E-4</v>
      </c>
      <c r="W12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8.0644263178442088E-7</v>
      </c>
      <c r="X123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36" s="162" t="str">
        <f>ReportSummary___Track[[#This Row],[Track ID]]&amp;"-"&amp;ReportSummary___Track[[#This Row],[Epoch]]</f>
        <v>250-RL-OP-0026-45775.28125</v>
      </c>
      <c r="Z1236" s="126">
        <f>SUBTOTAL(103,ReportSummary___Track[[#This Row],[Track ID]])</f>
        <v>1</v>
      </c>
      <c r="AA1236" s="114">
        <f>_xlfn.NUMBERVALUE(RIGHT(ReportSummary___Track[[#This Row],[Track ID]],4))</f>
        <v>26</v>
      </c>
      <c r="AB1236" s="78"/>
    </row>
    <row r="1237" spans="5:28" ht="14.25" customHeight="1" x14ac:dyDescent="0.2">
      <c r="E1237" s="74">
        <v>45775.28125</v>
      </c>
      <c r="F1237" s="107" t="s">
        <v>241</v>
      </c>
      <c r="G1237" s="142">
        <v>51891.870972466801</v>
      </c>
      <c r="H1237" s="142">
        <v>159193.79495065045</v>
      </c>
      <c r="I1237" s="142">
        <v>18.866660896162106</v>
      </c>
      <c r="J1237" s="142">
        <v>51891.504267267614</v>
      </c>
      <c r="K1237" s="142">
        <v>159192.52660902659</v>
      </c>
      <c r="L1237" s="142">
        <v>18.862283294009536</v>
      </c>
      <c r="M1237" s="145">
        <v>4.3776021525694375E-3</v>
      </c>
      <c r="N1237" s="145">
        <v>1.3202963081527335</v>
      </c>
      <c r="O1237" s="145">
        <v>3.0335564887451483E-4</v>
      </c>
      <c r="P1237" s="145">
        <v>3.905956065395344E-4</v>
      </c>
      <c r="Q12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-0.32534416896368157</v>
      </c>
      <c r="R12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9.5380435731762248E-2</v>
      </c>
      <c r="S12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0.36283088642008465</v>
      </c>
      <c r="T12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-4.3585968999337865E-2</v>
      </c>
      <c r="U12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-7.1265759871153023E-7</v>
      </c>
      <c r="V12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1.8100322625880239E-4</v>
      </c>
      <c r="W12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-1.3450831552574982E-5</v>
      </c>
      <c r="X12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-6.4811206712533931E-7</v>
      </c>
      <c r="Y1237" s="162" t="str">
        <f>ReportSummary___Track[[#This Row],[Track ID]]&amp;"-"&amp;ReportSummary___Track[[#This Row],[Epoch]]</f>
        <v>250-RL-OP-0027-45775.28125</v>
      </c>
      <c r="Z1237" s="126">
        <f>SUBTOTAL(103,ReportSummary___Track[[#This Row],[Track ID]])</f>
        <v>1</v>
      </c>
      <c r="AA1237" s="114">
        <f>_xlfn.NUMBERVALUE(RIGHT(ReportSummary___Track[[#This Row],[Track ID]],4))</f>
        <v>27</v>
      </c>
      <c r="AB1237" s="78"/>
    </row>
    <row r="1238" spans="5:28" ht="14.25" customHeight="1" x14ac:dyDescent="0.2">
      <c r="E1238" s="74">
        <v>45775.28125</v>
      </c>
      <c r="F1238" s="107" t="s">
        <v>242</v>
      </c>
      <c r="G1238" s="142">
        <v>51892.831935096794</v>
      </c>
      <c r="H1238" s="142">
        <v>159193.5182832696</v>
      </c>
      <c r="I1238" s="142">
        <v>18.864214646593087</v>
      </c>
      <c r="J1238" s="142">
        <v>51892.465111689802</v>
      </c>
      <c r="K1238" s="142">
        <v>159192.24952641845</v>
      </c>
      <c r="L1238" s="142">
        <v>18.860487576446289</v>
      </c>
      <c r="M1238" s="145">
        <v>3.7270701467981837E-3</v>
      </c>
      <c r="N1238" s="145">
        <v>1.3207260315069556</v>
      </c>
      <c r="O1238" s="145">
        <v>-8.0161979985149401E-4</v>
      </c>
      <c r="P1238" s="145">
        <v>-1.1806727136587369E-4</v>
      </c>
      <c r="Q12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-0.66566216795393984</v>
      </c>
      <c r="R12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-9.474964125555374E-2</v>
      </c>
      <c r="S12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-0.3147573854604957</v>
      </c>
      <c r="T12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-3.7678323419498838E-2</v>
      </c>
      <c r="U12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-1.457994667219964E-6</v>
      </c>
      <c r="V12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8.0263781082834385E-5</v>
      </c>
      <c r="W12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-8.1184343336815346E-6</v>
      </c>
      <c r="X12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-1.3138532786172163E-6</v>
      </c>
      <c r="Y1238" s="162" t="str">
        <f>ReportSummary___Track[[#This Row],[Track ID]]&amp;"-"&amp;ReportSummary___Track[[#This Row],[Epoch]]</f>
        <v>250-RL-OP-0028-45775.28125</v>
      </c>
      <c r="Z1238" s="126">
        <f>SUBTOTAL(103,ReportSummary___Track[[#This Row],[Track ID]])</f>
        <v>1</v>
      </c>
      <c r="AA1238" s="114">
        <f>_xlfn.NUMBERVALUE(RIGHT(ReportSummary___Track[[#This Row],[Track ID]],4))</f>
        <v>28</v>
      </c>
      <c r="AB1238" s="78"/>
    </row>
    <row r="1239" spans="5:28" ht="14.25" customHeight="1" x14ac:dyDescent="0.2">
      <c r="E1239" s="74">
        <v>45775.28125</v>
      </c>
      <c r="F1239" s="107" t="s">
        <v>243</v>
      </c>
      <c r="G1239" s="142">
        <v>51893.791834256968</v>
      </c>
      <c r="H1239" s="142">
        <v>159193.2418896631</v>
      </c>
      <c r="I1239" s="142">
        <v>18.861908805651449</v>
      </c>
      <c r="J1239" s="142">
        <v>51893.426692580288</v>
      </c>
      <c r="K1239" s="142">
        <v>159191.97223179525</v>
      </c>
      <c r="L1239" s="142">
        <v>18.85870090641113</v>
      </c>
      <c r="M1239" s="145">
        <v>3.2078992403192785E-3</v>
      </c>
      <c r="N1239" s="145">
        <v>1.3211244589535895</v>
      </c>
      <c r="O1239" s="145">
        <v>-1.7752341492887069E-3</v>
      </c>
      <c r="P1239" s="145">
        <v>-4.9536904997538045E-4</v>
      </c>
      <c r="Q12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-0.99819089967212449</v>
      </c>
      <c r="R12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-0.27415074417302954</v>
      </c>
      <c r="S12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-0.98455639007255513</v>
      </c>
      <c r="T12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-2.3981410564033467E-2</v>
      </c>
      <c r="U12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-1.5798478010253802E-5</v>
      </c>
      <c r="V12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-3.8456536843867184E-8</v>
      </c>
      <c r="W12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-1.6381183389313492E-5</v>
      </c>
      <c r="X12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-1.5574740757529071E-5</v>
      </c>
      <c r="Y1239" s="162" t="str">
        <f>ReportSummary___Track[[#This Row],[Track ID]]&amp;"-"&amp;ReportSummary___Track[[#This Row],[Epoch]]</f>
        <v>250-RL-OP-0029-45775.28125</v>
      </c>
      <c r="Z1239" s="126">
        <f>SUBTOTAL(103,ReportSummary___Track[[#This Row],[Track ID]])</f>
        <v>1</v>
      </c>
      <c r="AA1239" s="114">
        <f>_xlfn.NUMBERVALUE(RIGHT(ReportSummary___Track[[#This Row],[Track ID]],4))</f>
        <v>29</v>
      </c>
      <c r="AB1239" s="78"/>
    </row>
    <row r="1240" spans="5:28" ht="14.25" customHeight="1" x14ac:dyDescent="0.2">
      <c r="E1240" s="74">
        <v>45775.28125</v>
      </c>
      <c r="F1240" s="107" t="s">
        <v>269</v>
      </c>
      <c r="G1240" s="142">
        <v>51894.752636096942</v>
      </c>
      <c r="H1240" s="142">
        <v>159192.96465366907</v>
      </c>
      <c r="I1240" s="142">
        <v>18.862075895811785</v>
      </c>
      <c r="J1240" s="142">
        <v>51894.387556785739</v>
      </c>
      <c r="K1240" s="142">
        <v>159191.69521203163</v>
      </c>
      <c r="L1240" s="142">
        <v>18.858871927378921</v>
      </c>
      <c r="M1240" s="145">
        <v>3.2039684328637463E-3</v>
      </c>
      <c r="N1240" s="145">
        <v>1.3208994056161134</v>
      </c>
      <c r="O1240" s="145">
        <v>-1.1736337197056912E-3</v>
      </c>
      <c r="P1240" s="145">
        <v>-8.7027807083117636E-4</v>
      </c>
      <c r="Q12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-0.65637125807782581</v>
      </c>
      <c r="R12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-8.5708196877920528E-2</v>
      </c>
      <c r="S12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-0.33102708911414425</v>
      </c>
      <c r="T12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3.1803797305940407E-2</v>
      </c>
      <c r="U12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-7.9368671457302753E-6</v>
      </c>
      <c r="V12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-1.931953641509665E-8</v>
      </c>
      <c r="W12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-7.2242095470187451E-6</v>
      </c>
      <c r="X12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-2.0675041099593727E-5</v>
      </c>
      <c r="Y1240" s="162" t="str">
        <f>ReportSummary___Track[[#This Row],[Track ID]]&amp;"-"&amp;ReportSummary___Track[[#This Row],[Epoch]]</f>
        <v>250-RL-OP-0030-45775.28125</v>
      </c>
      <c r="Z1240" s="126">
        <f>SUBTOTAL(103,ReportSummary___Track[[#This Row],[Track ID]])</f>
        <v>1</v>
      </c>
      <c r="AA1240" s="114">
        <f>_xlfn.NUMBERVALUE(RIGHT(ReportSummary___Track[[#This Row],[Track ID]],4))</f>
        <v>30</v>
      </c>
      <c r="AB1240" s="78"/>
    </row>
    <row r="1241" spans="5:28" ht="14.25" customHeight="1" x14ac:dyDescent="0.2">
      <c r="E1241" s="74">
        <v>45775.28125</v>
      </c>
      <c r="F1241" s="107" t="s">
        <v>270</v>
      </c>
      <c r="G1241" s="142">
        <v>51895.713437936916</v>
      </c>
      <c r="H1241" s="142">
        <v>159192.68741767504</v>
      </c>
      <c r="I1241" s="142">
        <v>18.862242985972124</v>
      </c>
      <c r="J1241" s="142">
        <v>51895.348420991184</v>
      </c>
      <c r="K1241" s="142">
        <v>159191.418192268</v>
      </c>
      <c r="L1241" s="142">
        <v>18.859042948346715</v>
      </c>
      <c r="M1241" s="145">
        <v>3.2000376254082141E-3</v>
      </c>
      <c r="N1241" s="145">
        <v>1.3206743522893447</v>
      </c>
      <c r="O1241" s="145">
        <v>-5.2703252138996959E-4</v>
      </c>
      <c r="P1241" s="145">
        <v>-1.3286523212414636E-3</v>
      </c>
      <c r="Q12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-0.31455161648352714</v>
      </c>
      <c r="R12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0.10264449609209692</v>
      </c>
      <c r="S12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0.3511105514704127</v>
      </c>
      <c r="T12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3.6353166009917004E-2</v>
      </c>
      <c r="U12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-7.5256281206748099E-8</v>
      </c>
      <c r="V12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-2.4162427614271564E-10</v>
      </c>
      <c r="W12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1.3827383860132159E-6</v>
      </c>
      <c r="X12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-6.7356959476683187E-6</v>
      </c>
      <c r="Y1241" s="162" t="str">
        <f>ReportSummary___Track[[#This Row],[Track ID]]&amp;"-"&amp;ReportSummary___Track[[#This Row],[Epoch]]</f>
        <v>250-RL-OP-0031-45775.28125</v>
      </c>
      <c r="Z1241" s="126">
        <f>SUBTOTAL(103,ReportSummary___Track[[#This Row],[Track ID]])</f>
        <v>1</v>
      </c>
      <c r="AA1241" s="114">
        <f>_xlfn.NUMBERVALUE(RIGHT(ReportSummary___Track[[#This Row],[Track ID]],4))</f>
        <v>31</v>
      </c>
      <c r="AB1241" s="78"/>
    </row>
    <row r="1242" spans="5:28" ht="14.25" customHeight="1" x14ac:dyDescent="0.2">
      <c r="E1242" s="74">
        <v>45775.28125</v>
      </c>
      <c r="F1242" s="107" t="s">
        <v>271</v>
      </c>
      <c r="G1242" s="142">
        <v>51896.675398652565</v>
      </c>
      <c r="H1242" s="142">
        <v>159192.40988266811</v>
      </c>
      <c r="I1242" s="142">
        <v>18.862498390807744</v>
      </c>
      <c r="J1242" s="142">
        <v>51896.30852141809</v>
      </c>
      <c r="K1242" s="142">
        <v>159191.14170884955</v>
      </c>
      <c r="L1242" s="142">
        <v>18.859247340168668</v>
      </c>
      <c r="M1242" s="145">
        <v>3.2510506390757143E-3</v>
      </c>
      <c r="N1242" s="145">
        <v>1.3201796501223941</v>
      </c>
      <c r="O1242" s="145">
        <v>4.315139875643581E-5</v>
      </c>
      <c r="P1242" s="145">
        <v>-1.7320827505322711E-3</v>
      </c>
      <c r="Q12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3.287300742726984E-5</v>
      </c>
      <c r="R12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0.27163346159708723</v>
      </c>
      <c r="S12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0.99822377267955176</v>
      </c>
      <c r="T12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1.3667382606996625E-2</v>
      </c>
      <c r="U12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-2.5152992577659461E-8</v>
      </c>
      <c r="V12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-1.2945240740025454E-5</v>
      </c>
      <c r="W12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1.5773325017676143E-5</v>
      </c>
      <c r="X12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-6.0785837163734868E-7</v>
      </c>
      <c r="Y1242" s="162" t="str">
        <f>ReportSummary___Track[[#This Row],[Track ID]]&amp;"-"&amp;ReportSummary___Track[[#This Row],[Epoch]]</f>
        <v>250-RL-OP-0032-45775.28125</v>
      </c>
      <c r="Z1242" s="126">
        <f>SUBTOTAL(103,ReportSummary___Track[[#This Row],[Track ID]])</f>
        <v>1</v>
      </c>
      <c r="AA1242" s="114">
        <f>_xlfn.NUMBERVALUE(RIGHT(ReportSummary___Track[[#This Row],[Track ID]],4))</f>
        <v>32</v>
      </c>
      <c r="AB1242" s="78"/>
    </row>
    <row r="1243" spans="5:28" ht="14.25" customHeight="1" x14ac:dyDescent="0.2">
      <c r="E1243" s="74">
        <v>45775.28125</v>
      </c>
      <c r="F1243" s="107" t="s">
        <v>272</v>
      </c>
      <c r="G1243" s="142">
        <v>51897.636352352813</v>
      </c>
      <c r="H1243" s="142">
        <v>159192.13317808474</v>
      </c>
      <c r="I1243" s="142">
        <v>18.86409824134018</v>
      </c>
      <c r="J1243" s="142">
        <v>51897.270420156812</v>
      </c>
      <c r="K1243" s="142">
        <v>159190.86830352191</v>
      </c>
      <c r="L1243" s="142">
        <v>18.859833233345245</v>
      </c>
      <c r="M1243" s="145">
        <v>4.2650079949346775E-3</v>
      </c>
      <c r="N1243" s="145">
        <v>1.3167506301666159</v>
      </c>
      <c r="O1243" s="145">
        <v>1.0610395620709312E-3</v>
      </c>
      <c r="P1243" s="145">
        <v>-1.1259415763475999E-4</v>
      </c>
      <c r="Q12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5.6739348153200808E-4</v>
      </c>
      <c r="R12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0.17543679698595049</v>
      </c>
      <c r="S12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0.65693865155935782</v>
      </c>
      <c r="T12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0.32591156244521358</v>
      </c>
      <c r="U12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-3.7321045454064006E-7</v>
      </c>
      <c r="V12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-2.529958567107915E-4</v>
      </c>
      <c r="W12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7.5636566911896352E-6</v>
      </c>
      <c r="X12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3.3944714417089017E-7</v>
      </c>
      <c r="Y1243" s="162" t="str">
        <f>ReportSummary___Track[[#This Row],[Track ID]]&amp;"-"&amp;ReportSummary___Track[[#This Row],[Epoch]]</f>
        <v>250-RL-OP-0033-45775.28125</v>
      </c>
      <c r="Z1243" s="126">
        <f>SUBTOTAL(103,ReportSummary___Track[[#This Row],[Track ID]])</f>
        <v>1</v>
      </c>
      <c r="AA1243" s="114">
        <f>_xlfn.NUMBERVALUE(RIGHT(ReportSummary___Track[[#This Row],[Track ID]],4))</f>
        <v>33</v>
      </c>
      <c r="AB1243" s="78"/>
    </row>
    <row r="1244" spans="5:28" ht="14.25" customHeight="1" x14ac:dyDescent="0.2">
      <c r="E1244" s="74">
        <v>45775.28125</v>
      </c>
      <c r="F1244" s="107" t="s">
        <v>273</v>
      </c>
      <c r="G1244" s="142">
        <v>51898.597306053052</v>
      </c>
      <c r="H1244" s="142">
        <v>159191.85647350134</v>
      </c>
      <c r="I1244" s="142">
        <v>18.865698091872616</v>
      </c>
      <c r="J1244" s="142">
        <v>51898.232318895534</v>
      </c>
      <c r="K1244" s="142">
        <v>159190.59489819428</v>
      </c>
      <c r="L1244" s="142">
        <v>18.860419126521819</v>
      </c>
      <c r="M1244" s="145">
        <v>5.2789653507971934E-3</v>
      </c>
      <c r="N1244" s="145">
        <v>1.3133224082469883</v>
      </c>
      <c r="O1244" s="145">
        <v>2.0789277253889793E-3</v>
      </c>
      <c r="P1244" s="145">
        <v>1.5518952039990097E-3</v>
      </c>
      <c r="Q12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1.10191395918946E-3</v>
      </c>
      <c r="R12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7.9241343643010609E-2</v>
      </c>
      <c r="S124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0.3156535304427166</v>
      </c>
      <c r="T124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0.6667640819131293</v>
      </c>
      <c r="U12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-7.2126791650362065E-7</v>
      </c>
      <c r="V12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-4.9304570810160264E-4</v>
      </c>
      <c r="W124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-6.4601163529687256E-7</v>
      </c>
      <c r="X124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7.367267507163433E-7</v>
      </c>
      <c r="Y1244" s="162" t="str">
        <f>ReportSummary___Track[[#This Row],[Track ID]]&amp;"-"&amp;ReportSummary___Track[[#This Row],[Epoch]]</f>
        <v>250-RL-OP-0034-45775.28125</v>
      </c>
      <c r="Z1244" s="126">
        <f>SUBTOTAL(103,ReportSummary___Track[[#This Row],[Track ID]])</f>
        <v>1</v>
      </c>
      <c r="AA1244" s="114">
        <f>_xlfn.NUMBERVALUE(RIGHT(ReportSummary___Track[[#This Row],[Track ID]],4))</f>
        <v>34</v>
      </c>
      <c r="AB1244" s="78"/>
    </row>
    <row r="1245" spans="5:28" ht="14.25" customHeight="1" x14ac:dyDescent="0.2">
      <c r="E1245" s="74">
        <v>45775.28125</v>
      </c>
      <c r="F1245" s="107" t="s">
        <v>274</v>
      </c>
      <c r="G1245" s="142">
        <v>51899.557752893597</v>
      </c>
      <c r="H1245" s="142">
        <v>159191.58139357786</v>
      </c>
      <c r="I1245" s="142">
        <v>18.866938379525692</v>
      </c>
      <c r="J1245" s="142">
        <v>51899.202460873719</v>
      </c>
      <c r="K1245" s="142">
        <v>159190.31957924104</v>
      </c>
      <c r="L1245" s="142">
        <v>18.860777476518329</v>
      </c>
      <c r="M1245" s="145">
        <v>6.1609030073626059E-3</v>
      </c>
      <c r="N1245" s="145">
        <v>1.3108950364961061</v>
      </c>
      <c r="O1245" s="145">
        <v>2.9098523682868915E-3</v>
      </c>
      <c r="P1245" s="145">
        <v>2.9530037670433273E-3</v>
      </c>
      <c r="Q12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-6.1658975592848719E-2</v>
      </c>
      <c r="R12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5.9040298221901821E-2</v>
      </c>
      <c r="S124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-6.1691848600275989E-2</v>
      </c>
      <c r="T124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0.93653192407927577</v>
      </c>
      <c r="U12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-6.1351989778302141E-5</v>
      </c>
      <c r="V12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-5.9104140454380172E-4</v>
      </c>
      <c r="W124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-6.1326836785724481E-5</v>
      </c>
      <c r="X124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-4.5553511768048338E-5</v>
      </c>
      <c r="Y1245" s="162" t="str">
        <f>ReportSummary___Track[[#This Row],[Track ID]]&amp;"-"&amp;ReportSummary___Track[[#This Row],[Epoch]]</f>
        <v>250-RL-OP-0035-45775.28125</v>
      </c>
      <c r="Z1245" s="126">
        <f>SUBTOTAL(103,ReportSummary___Track[[#This Row],[Track ID]])</f>
        <v>1</v>
      </c>
      <c r="AA1245" s="114">
        <f>_xlfn.NUMBERVALUE(RIGHT(ReportSummary___Track[[#This Row],[Track ID]],4))</f>
        <v>35</v>
      </c>
      <c r="AB1245" s="78"/>
    </row>
    <row r="1246" spans="5:28" ht="14.25" customHeight="1" x14ac:dyDescent="0.2">
      <c r="E1246" s="74">
        <v>45775.28125</v>
      </c>
      <c r="F1246" s="107" t="s">
        <v>275</v>
      </c>
      <c r="G1246" s="142">
        <v>51900.520801428909</v>
      </c>
      <c r="H1246" s="142">
        <v>159191.31206588147</v>
      </c>
      <c r="I1246" s="142">
        <v>18.866605835141954</v>
      </c>
      <c r="J1246" s="142">
        <v>51900.16495886902</v>
      </c>
      <c r="K1246" s="142">
        <v>159190.04829123366</v>
      </c>
      <c r="L1246" s="142">
        <v>18.860124714229215</v>
      </c>
      <c r="M1246" s="145">
        <v>6.4811209127384473E-3</v>
      </c>
      <c r="N1246" s="145">
        <v>1.3129327068872629</v>
      </c>
      <c r="O1246" s="145">
        <v>2.2161129178037697E-3</v>
      </c>
      <c r="P1246" s="145">
        <v>3.2771524798747009E-3</v>
      </c>
      <c r="Q12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-0.39440848073724055</v>
      </c>
      <c r="R12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0.37866346953818741</v>
      </c>
      <c r="S124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-0.39497587421877256</v>
      </c>
      <c r="T124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0.26196277734058526</v>
      </c>
      <c r="U12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-3.8821394920773855E-4</v>
      </c>
      <c r="V12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-5.2727356460335884E-5</v>
      </c>
      <c r="W124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-3.8784073875319791E-4</v>
      </c>
      <c r="X124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-3.8027708206200828E-4</v>
      </c>
      <c r="Y1246" s="162" t="str">
        <f>ReportSummary___Track[[#This Row],[Track ID]]&amp;"-"&amp;ReportSummary___Track[[#This Row],[Epoch]]</f>
        <v>250-RL-OP-0036-45775.28125</v>
      </c>
      <c r="Z1246" s="126">
        <f>SUBTOTAL(103,ReportSummary___Track[[#This Row],[Track ID]])</f>
        <v>1</v>
      </c>
      <c r="AA1246" s="114">
        <f>_xlfn.NUMBERVALUE(RIGHT(ReportSummary___Track[[#This Row],[Track ID]],4))</f>
        <v>36</v>
      </c>
      <c r="AB1246" s="78"/>
    </row>
    <row r="1247" spans="5:28" ht="14.25" customHeight="1" x14ac:dyDescent="0.2">
      <c r="E1247" s="74">
        <v>45775.28125</v>
      </c>
      <c r="F1247" s="107" t="s">
        <v>276</v>
      </c>
      <c r="G1247" s="142">
        <v>51901.483849964221</v>
      </c>
      <c r="H1247" s="142">
        <v>159191.04273818506</v>
      </c>
      <c r="I1247" s="142">
        <v>18.866273290758212</v>
      </c>
      <c r="J1247" s="142">
        <v>51901.12745686432</v>
      </c>
      <c r="K1247" s="142">
        <v>159189.77700322631</v>
      </c>
      <c r="L1247" s="142">
        <v>18.859471951940105</v>
      </c>
      <c r="M1247" s="145">
        <v>6.8013388181071832E-3</v>
      </c>
      <c r="N1247" s="145">
        <v>1.3149704504958242</v>
      </c>
      <c r="O1247" s="145">
        <v>1.5223734673099898E-3</v>
      </c>
      <c r="P1247" s="145">
        <v>3.6013011926989691E-3</v>
      </c>
      <c r="Q12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-0.7271579858851851</v>
      </c>
      <c r="R12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0.69804390286676288</v>
      </c>
      <c r="S12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-0.72825989984437456</v>
      </c>
      <c r="T124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-0.41260636940165796</v>
      </c>
      <c r="U12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-7.1507590863717496E-4</v>
      </c>
      <c r="V12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4.8534871293859361E-4</v>
      </c>
      <c r="W12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-7.1435464072067134E-4</v>
      </c>
      <c r="X124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-7.1500065235596821E-4</v>
      </c>
      <c r="Y1247" s="162" t="str">
        <f>ReportSummary___Track[[#This Row],[Track ID]]&amp;"-"&amp;ReportSummary___Track[[#This Row],[Epoch]]</f>
        <v>250-RL-OP-0037-45775.28125</v>
      </c>
      <c r="Z1247" s="126">
        <f>SUBTOTAL(103,ReportSummary___Track[[#This Row],[Track ID]])</f>
        <v>1</v>
      </c>
      <c r="AA1247" s="114">
        <f>_xlfn.NUMBERVALUE(RIGHT(ReportSummary___Track[[#This Row],[Track ID]],4))</f>
        <v>37</v>
      </c>
      <c r="AB1247" s="78"/>
    </row>
    <row r="1248" spans="5:28" ht="14.25" customHeight="1" x14ac:dyDescent="0.2">
      <c r="E1248" s="74">
        <v>45775.28125</v>
      </c>
      <c r="F1248" s="107" t="s">
        <v>277</v>
      </c>
      <c r="G1248" s="142">
        <v>51902.447765809411</v>
      </c>
      <c r="H1248" s="142">
        <v>159190.77423042283</v>
      </c>
      <c r="I1248" s="142">
        <v>18.866124802963387</v>
      </c>
      <c r="J1248" s="142">
        <v>51902.099872443272</v>
      </c>
      <c r="K1248" s="142">
        <v>159189.50404742008</v>
      </c>
      <c r="L1248" s="142">
        <v>18.858900000000002</v>
      </c>
      <c r="M1248" s="145">
        <v>7.2248029633854571E-3</v>
      </c>
      <c r="N1248" s="145">
        <v>1.3169839985582914</v>
      </c>
      <c r="O1248" s="145">
        <v>1.0638999560228513E-3</v>
      </c>
      <c r="P1248" s="145">
        <v>3.9737523243097428E-3</v>
      </c>
      <c r="Q12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-1.0000000000012221</v>
      </c>
      <c r="R12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0.95856715840403339</v>
      </c>
      <c r="S12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-0.93834102440837341</v>
      </c>
      <c r="T124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-1.0000328730086494</v>
      </c>
      <c r="U12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-1.0000109380783329E-3</v>
      </c>
      <c r="V12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9.012385805775569E-4</v>
      </c>
      <c r="W12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-9.3865894830003072E-4</v>
      </c>
      <c r="X124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-9.999857850857552E-4</v>
      </c>
      <c r="Y1248" s="162" t="str">
        <f>ReportSummary___Track[[#This Row],[Track ID]]&amp;"-"&amp;ReportSummary___Track[[#This Row],[Epoch]]</f>
        <v>250-RL-OP-0038-45775.28125</v>
      </c>
      <c r="Z1248" s="126">
        <f>SUBTOTAL(103,ReportSummary___Track[[#This Row],[Track ID]])</f>
        <v>1</v>
      </c>
      <c r="AA1248" s="114">
        <f>_xlfn.NUMBERVALUE(RIGHT(ReportSummary___Track[[#This Row],[Track ID]],4))</f>
        <v>38</v>
      </c>
      <c r="AB1248" s="78"/>
    </row>
    <row r="1249" spans="5:28" ht="14.25" customHeight="1" x14ac:dyDescent="0.2">
      <c r="E1249" s="74">
        <v>45775.28125</v>
      </c>
      <c r="F1249" s="107" t="s">
        <v>278</v>
      </c>
      <c r="G1249" s="142">
        <v>51903.412339687522</v>
      </c>
      <c r="H1249" s="142">
        <v>159190.51041847002</v>
      </c>
      <c r="I1249" s="142">
        <v>18.866822806114332</v>
      </c>
      <c r="J1249" s="142">
        <v>51903.064539433311</v>
      </c>
      <c r="K1249" s="142">
        <v>159189.24057522361</v>
      </c>
      <c r="L1249" s="142">
        <v>18.858900000000002</v>
      </c>
      <c r="M1249" s="145">
        <v>7.9228061143297168E-3</v>
      </c>
      <c r="N1249" s="145">
        <v>1.3166357347943047</v>
      </c>
      <c r="O1249" s="145">
        <v>1.4416852015912696E-3</v>
      </c>
      <c r="P1249" s="145">
        <v>3.6577981193950393E-3</v>
      </c>
      <c r="Q12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-1.0000000000047748</v>
      </c>
      <c r="R12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0.95803212963296858</v>
      </c>
      <c r="S12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-0.6055915192675343</v>
      </c>
      <c r="T124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-1.0005673934863069</v>
      </c>
      <c r="U12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-1.0000721129905799E-3</v>
      </c>
      <c r="V12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5.800751858282549E-4</v>
      </c>
      <c r="W12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-6.118581637828413E-4</v>
      </c>
      <c r="X124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-9.9969890253603921E-4</v>
      </c>
      <c r="Y1249" s="162" t="str">
        <f>ReportSummary___Track[[#This Row],[Track ID]]&amp;"-"&amp;ReportSummary___Track[[#This Row],[Epoch]]</f>
        <v>250-RL-OP-0039-45775.28125</v>
      </c>
      <c r="Z1249" s="126">
        <f>SUBTOTAL(103,ReportSummary___Track[[#This Row],[Track ID]])</f>
        <v>1</v>
      </c>
      <c r="AA1249" s="114">
        <f>_xlfn.NUMBERVALUE(RIGHT(ReportSummary___Track[[#This Row],[Track ID]],4))</f>
        <v>39</v>
      </c>
      <c r="AB1249" s="78"/>
    </row>
    <row r="1250" spans="5:28" ht="14.25" customHeight="1" x14ac:dyDescent="0.2">
      <c r="E1250" s="74">
        <v>45775.28125</v>
      </c>
      <c r="F1250" s="107" t="s">
        <v>279</v>
      </c>
      <c r="G1250" s="142">
        <v>51904.37691356564</v>
      </c>
      <c r="H1250" s="142">
        <v>159190.2466065172</v>
      </c>
      <c r="I1250" s="142">
        <v>18.867520809265276</v>
      </c>
      <c r="J1250" s="142">
        <v>51904.029206423358</v>
      </c>
      <c r="K1250" s="142">
        <v>159188.97710302711</v>
      </c>
      <c r="L1250" s="142">
        <v>18.858900000000002</v>
      </c>
      <c r="M1250" s="145">
        <v>8.6208092652739765E-3</v>
      </c>
      <c r="N1250" s="145">
        <v>1.3162878433363994</v>
      </c>
      <c r="O1250" s="145">
        <v>1.8194704471667933E-3</v>
      </c>
      <c r="P1250" s="145">
        <v>3.3418439144767831E-3</v>
      </c>
      <c r="Q12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-1.0000000000047748</v>
      </c>
      <c r="R12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0.95749654675825191</v>
      </c>
      <c r="S12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-0.27284201411958975</v>
      </c>
      <c r="T12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-1.0011019139639643</v>
      </c>
      <c r="U12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-1.0001332879028269E-3</v>
      </c>
      <c r="V12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2.5891359390151081E-4</v>
      </c>
      <c r="W12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-2.8505737926565189E-4</v>
      </c>
      <c r="X12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-9.9941201998632323E-4</v>
      </c>
      <c r="Y1250" s="162" t="str">
        <f>ReportSummary___Track[[#This Row],[Track ID]]&amp;"-"&amp;ReportSummary___Track[[#This Row],[Epoch]]</f>
        <v>250-RL-OP-0040-45775.28125</v>
      </c>
      <c r="Z1250" s="126">
        <f>SUBTOTAL(103,ReportSummary___Track[[#This Row],[Track ID]])</f>
        <v>1</v>
      </c>
      <c r="AA1250" s="114">
        <f>_xlfn.NUMBERVALUE(RIGHT(ReportSummary___Track[[#This Row],[Track ID]],4))</f>
        <v>40</v>
      </c>
      <c r="AB1250" s="78"/>
    </row>
    <row r="1251" spans="5:28" ht="14.25" customHeight="1" x14ac:dyDescent="0.2">
      <c r="E1251" s="74">
        <v>45775.28125</v>
      </c>
      <c r="F1251" s="107" t="s">
        <v>280</v>
      </c>
      <c r="G1251" s="142">
        <v>51905.341841450259</v>
      </c>
      <c r="H1251" s="142">
        <v>159189.98417913547</v>
      </c>
      <c r="I1251" s="142">
        <v>18.868392406740742</v>
      </c>
      <c r="J1251" s="142">
        <v>51905.003861439305</v>
      </c>
      <c r="K1251" s="142">
        <v>159188.71199129781</v>
      </c>
      <c r="L1251" s="142">
        <v>18.859054777028664</v>
      </c>
      <c r="M1251" s="145">
        <v>9.3376297120784102E-3</v>
      </c>
      <c r="N1251" s="145">
        <v>1.3163508549877663</v>
      </c>
      <c r="O1251" s="145">
        <v>2.1128267486929531E-3</v>
      </c>
      <c r="P1251" s="145">
        <v>3.1767267047158043E-3</v>
      </c>
      <c r="Q12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-0.95009086838615531</v>
      </c>
      <c r="R12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0.91108168601872208</v>
      </c>
      <c r="S12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4.9909131615066826E-2</v>
      </c>
      <c r="T12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-0.88843189279330659</v>
      </c>
      <c r="U12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-9.5014307269281062E-4</v>
      </c>
      <c r="V12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5.7028068014552957E-6</v>
      </c>
      <c r="W12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4.9867865385522236E-5</v>
      </c>
      <c r="X12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-8.8879108291450848E-4</v>
      </c>
      <c r="Y1251" s="162" t="str">
        <f>ReportSummary___Track[[#This Row],[Track ID]]&amp;"-"&amp;ReportSummary___Track[[#This Row],[Epoch]]</f>
        <v>250-RL-OP-0041-45775.28125</v>
      </c>
      <c r="Z1251" s="126">
        <f>SUBTOTAL(103,ReportSummary___Track[[#This Row],[Track ID]])</f>
        <v>1</v>
      </c>
      <c r="AA1251" s="114">
        <f>_xlfn.NUMBERVALUE(RIGHT(ReportSummary___Track[[#This Row],[Track ID]],4))</f>
        <v>41</v>
      </c>
      <c r="AB1251" s="78"/>
    </row>
    <row r="1252" spans="5:28" ht="14.25" customHeight="1" x14ac:dyDescent="0.2">
      <c r="E1252" s="74">
        <v>45775.28125</v>
      </c>
      <c r="F1252" s="107" t="s">
        <v>281</v>
      </c>
      <c r="G1252" s="142">
        <v>51906.308594977025</v>
      </c>
      <c r="H1252" s="142">
        <v>159189.72847487876</v>
      </c>
      <c r="I1252" s="142">
        <v>18.870110425193992</v>
      </c>
      <c r="J1252" s="142">
        <v>51905.970490499021</v>
      </c>
      <c r="K1252" s="142">
        <v>159188.45581358409</v>
      </c>
      <c r="L1252" s="142">
        <v>18.860168280831989</v>
      </c>
      <c r="M1252" s="145">
        <v>9.9421443620038019E-3</v>
      </c>
      <c r="N1252" s="145">
        <v>1.3168448106120969</v>
      </c>
      <c r="O1252" s="145">
        <v>2.0193382476740851E-3</v>
      </c>
      <c r="P1252" s="145">
        <v>3.4610234492653547E-3</v>
      </c>
      <c r="Q12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-0.59103236756641309</v>
      </c>
      <c r="R12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0.56640268692853546</v>
      </c>
      <c r="S12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0.40896763243836176</v>
      </c>
      <c r="T12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-0.19662388682917253</v>
      </c>
      <c r="U12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-5.914601423775423E-4</v>
      </c>
      <c r="V12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1.0016977206261934E-4</v>
      </c>
      <c r="W12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4.0861197061303756E-4</v>
      </c>
      <c r="X12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-2.0324619316980375E-4</v>
      </c>
      <c r="Y1252" s="162" t="str">
        <f>ReportSummary___Track[[#This Row],[Track ID]]&amp;"-"&amp;ReportSummary___Track[[#This Row],[Epoch]]</f>
        <v>250-RL-OP-0042-45775.28125</v>
      </c>
      <c r="Z1252" s="126">
        <f>SUBTOTAL(103,ReportSummary___Track[[#This Row],[Track ID]])</f>
        <v>1</v>
      </c>
      <c r="AA1252" s="114">
        <f>_xlfn.NUMBERVALUE(RIGHT(ReportSummary___Track[[#This Row],[Track ID]],4))</f>
        <v>42</v>
      </c>
      <c r="AB1252" s="78"/>
    </row>
    <row r="1253" spans="5:28" ht="14.25" customHeight="1" x14ac:dyDescent="0.2">
      <c r="E1253" s="74">
        <v>45775.28125</v>
      </c>
      <c r="F1253" s="107" t="s">
        <v>282</v>
      </c>
      <c r="G1253" s="142">
        <v>51907.275348503783</v>
      </c>
      <c r="H1253" s="142">
        <v>159189.47277062206</v>
      </c>
      <c r="I1253" s="142">
        <v>18.871828443647242</v>
      </c>
      <c r="J1253" s="142">
        <v>51906.937119558745</v>
      </c>
      <c r="K1253" s="142">
        <v>159188.19963587038</v>
      </c>
      <c r="L1253" s="142">
        <v>18.861281784635313</v>
      </c>
      <c r="M1253" s="145">
        <v>1.0546659011929194E-2</v>
      </c>
      <c r="N1253" s="145">
        <v>1.3173390403454419</v>
      </c>
      <c r="O1253" s="145">
        <v>1.9258497466552171E-3</v>
      </c>
      <c r="P1253" s="145">
        <v>3.7453201938220104E-3</v>
      </c>
      <c r="Q12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-0.23197386674667086</v>
      </c>
      <c r="R12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0.22195451981654735</v>
      </c>
      <c r="S12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0.76802613325810398</v>
      </c>
      <c r="T12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0.49518411913851423</v>
      </c>
      <c r="U12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-2.3277721206582669E-4</v>
      </c>
      <c r="V12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1.9486613644370543E-4</v>
      </c>
      <c r="W12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7.6735607583700016E-4</v>
      </c>
      <c r="X12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4.8229869657134827E-4</v>
      </c>
      <c r="Y1253" s="162" t="str">
        <f>ReportSummary___Track[[#This Row],[Track ID]]&amp;"-"&amp;ReportSummary___Track[[#This Row],[Epoch]]</f>
        <v>250-RL-OP-0043-45775.28125</v>
      </c>
      <c r="Z1253" s="126">
        <f>SUBTOTAL(103,ReportSummary___Track[[#This Row],[Track ID]])</f>
        <v>1</v>
      </c>
      <c r="AA1253" s="114">
        <f>_xlfn.NUMBERVALUE(RIGHT(ReportSummary___Track[[#This Row],[Track ID]],4))</f>
        <v>43</v>
      </c>
      <c r="AB1253" s="78"/>
    </row>
    <row r="1254" spans="5:28" ht="14.25" customHeight="1" x14ac:dyDescent="0.2">
      <c r="E1254" s="74">
        <v>45775.28125</v>
      </c>
      <c r="F1254" s="107" t="s">
        <v>283</v>
      </c>
      <c r="G1254" s="142">
        <v>51908.242806603892</v>
      </c>
      <c r="H1254" s="142">
        <v>159189.22050151514</v>
      </c>
      <c r="I1254" s="142">
        <v>18.873961962372285</v>
      </c>
      <c r="J1254" s="142">
        <v>51907.904490536996</v>
      </c>
      <c r="K1254" s="142">
        <v>159187.94709909346</v>
      </c>
      <c r="L1254" s="142">
        <v>18.862943550713936</v>
      </c>
      <c r="M1254" s="145">
        <v>1.1018411658348271E-2</v>
      </c>
      <c r="N1254" s="145">
        <v>1.317623957754487</v>
      </c>
      <c r="O1254" s="145">
        <v>1.6807819462698603E-3</v>
      </c>
      <c r="P1254" s="145">
        <v>3.7936086949628134E-3</v>
      </c>
      <c r="Q12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-9.9911780004902084E-3</v>
      </c>
      <c r="R12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-8.4042935055705925E-5</v>
      </c>
      <c r="S12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0.9400996903856651</v>
      </c>
      <c r="T12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0.99000882200073193</v>
      </c>
      <c r="U12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-9.7906799716440673E-6</v>
      </c>
      <c r="V12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1.3207375349288952E-4</v>
      </c>
      <c r="W12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9.4035239272116655E-4</v>
      </c>
      <c r="X12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9.9022025810668879E-4</v>
      </c>
      <c r="Y1254" s="162" t="str">
        <f>ReportSummary___Track[[#This Row],[Track ID]]&amp;"-"&amp;ReportSummary___Track[[#This Row],[Epoch]]</f>
        <v>250-RL-OP-0044-45775.28125</v>
      </c>
      <c r="Z1254" s="126">
        <f>SUBTOTAL(103,ReportSummary___Track[[#This Row],[Track ID]])</f>
        <v>1</v>
      </c>
      <c r="AA1254" s="114">
        <f>_xlfn.NUMBERVALUE(RIGHT(ReportSummary___Track[[#This Row],[Track ID]],4))</f>
        <v>44</v>
      </c>
      <c r="AB1254" s="78"/>
    </row>
    <row r="1255" spans="5:28" ht="14.25" customHeight="1" x14ac:dyDescent="0.2">
      <c r="E1255" s="74">
        <v>45775.28125</v>
      </c>
      <c r="F1255" s="107" t="s">
        <v>284</v>
      </c>
      <c r="G1255" s="142">
        <v>51909.212314637531</v>
      </c>
      <c r="H1255" s="142">
        <v>159188.97546066938</v>
      </c>
      <c r="I1255" s="142">
        <v>18.876987952848168</v>
      </c>
      <c r="J1255" s="142">
        <v>51908.87374233234</v>
      </c>
      <c r="K1255" s="142">
        <v>159187.70104242343</v>
      </c>
      <c r="L1255" s="142">
        <v>18.865602938295492</v>
      </c>
      <c r="M1255" s="145">
        <v>1.1385014552676154E-2</v>
      </c>
      <c r="N1255" s="145">
        <v>1.3186745959448694</v>
      </c>
      <c r="O1255" s="145">
        <v>1.4428701906723518E-3</v>
      </c>
      <c r="P1255" s="145">
        <v>3.4622084383464369E-3</v>
      </c>
      <c r="Q12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-4.6716961428217019E-3</v>
      </c>
      <c r="R12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-4.3171135111208514E-5</v>
      </c>
      <c r="S12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0.58636067142359138</v>
      </c>
      <c r="T12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0.99532830386195315</v>
      </c>
      <c r="U12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-3.8405028313093226E-6</v>
      </c>
      <c r="V12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-2.587399259734724E-4</v>
      </c>
      <c r="W12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5.8761963954623297E-4</v>
      </c>
      <c r="X12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9.9623161015927053E-4</v>
      </c>
      <c r="Y1255" s="162" t="str">
        <f>ReportSummary___Track[[#This Row],[Track ID]]&amp;"-"&amp;ReportSummary___Track[[#This Row],[Epoch]]</f>
        <v>250-RL-OP-0045-45775.28125</v>
      </c>
      <c r="Z1255" s="126">
        <f>SUBTOTAL(103,ReportSummary___Track[[#This Row],[Track ID]])</f>
        <v>1</v>
      </c>
      <c r="AA1255" s="114">
        <f>_xlfn.NUMBERVALUE(RIGHT(ReportSummary___Track[[#This Row],[Track ID]],4))</f>
        <v>45</v>
      </c>
      <c r="AB1255" s="78"/>
    </row>
    <row r="1256" spans="5:28" ht="14.25" customHeight="1" x14ac:dyDescent="0.2">
      <c r="E1256" s="74">
        <v>45775.28125</v>
      </c>
      <c r="F1256" s="107" t="s">
        <v>285</v>
      </c>
      <c r="G1256" s="142">
        <v>51910.181822671169</v>
      </c>
      <c r="H1256" s="142">
        <v>159188.73041982361</v>
      </c>
      <c r="I1256" s="142">
        <v>18.880013943324048</v>
      </c>
      <c r="J1256" s="142">
        <v>51909.842994127692</v>
      </c>
      <c r="K1256" s="142">
        <v>159187.4549857534</v>
      </c>
      <c r="L1256" s="142">
        <v>18.868262325877051</v>
      </c>
      <c r="M1256" s="145">
        <v>1.1751617446996931E-2</v>
      </c>
      <c r="N1256" s="145">
        <v>1.3197253312097066</v>
      </c>
      <c r="O1256" s="145">
        <v>1.2049584350677378E-3</v>
      </c>
      <c r="P1256" s="145">
        <v>3.1308081817229549E-3</v>
      </c>
      <c r="Q12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6.4778571129409102E-4</v>
      </c>
      <c r="R12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5.1021853408883544E-7</v>
      </c>
      <c r="S12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0.23262165245796496</v>
      </c>
      <c r="T12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1.0006477857160689</v>
      </c>
      <c r="U12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2.1096743019199948E-6</v>
      </c>
      <c r="V12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-6.4954865175859133E-4</v>
      </c>
      <c r="W12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2.3488688636774668E-4</v>
      </c>
      <c r="X12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1.0022429622047468E-3</v>
      </c>
      <c r="Y1256" s="162" t="str">
        <f>ReportSummary___Track[[#This Row],[Track ID]]&amp;"-"&amp;ReportSummary___Track[[#This Row],[Epoch]]</f>
        <v>250-RL-OP-0046-45775.28125</v>
      </c>
      <c r="Z1256" s="126">
        <f>SUBTOTAL(103,ReportSummary___Track[[#This Row],[Track ID]])</f>
        <v>1</v>
      </c>
      <c r="AA1256" s="114">
        <f>_xlfn.NUMBERVALUE(RIGHT(ReportSummary___Track[[#This Row],[Track ID]],4))</f>
        <v>46</v>
      </c>
      <c r="AB1256" s="78"/>
    </row>
    <row r="1257" spans="5:28" ht="14.25" customHeight="1" x14ac:dyDescent="0.2">
      <c r="E1257" s="74">
        <v>45775.28125</v>
      </c>
      <c r="F1257" s="107" t="s">
        <v>286</v>
      </c>
      <c r="G1257" s="142">
        <v>51911.151141496419</v>
      </c>
      <c r="H1257" s="142">
        <v>159188.4874431995</v>
      </c>
      <c r="I1257" s="142">
        <v>18.88332851849297</v>
      </c>
      <c r="J1257" s="142">
        <v>51910.834192576571</v>
      </c>
      <c r="K1257" s="142">
        <v>159187.2055174784</v>
      </c>
      <c r="L1257" s="142">
        <v>18.871138865821262</v>
      </c>
      <c r="M1257" s="145">
        <v>1.2189652671708018E-2</v>
      </c>
      <c r="N1257" s="145">
        <v>1.3205827349422377</v>
      </c>
      <c r="O1257" s="145">
        <v>1.1712410133597473E-3</v>
      </c>
      <c r="P1257" s="145">
        <v>2.8520229596296076E-3</v>
      </c>
      <c r="Q12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2.8207205247099409E-3</v>
      </c>
      <c r="R12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-1.7360928834531109E-2</v>
      </c>
      <c r="S12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1.2811898525200149E-2</v>
      </c>
      <c r="T12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0.95291158891086525</v>
      </c>
      <c r="U12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-7.4030901888733069E-5</v>
      </c>
      <c r="V12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-9.5403343949640451E-4</v>
      </c>
      <c r="W12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-6.4240221917089002E-5</v>
      </c>
      <c r="X12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8.7611217080407755E-4</v>
      </c>
      <c r="Y1257" s="162" t="str">
        <f>ReportSummary___Track[[#This Row],[Track ID]]&amp;"-"&amp;ReportSummary___Track[[#This Row],[Epoch]]</f>
        <v>250-RL-OP-0047-45775.28125</v>
      </c>
      <c r="Z1257" s="126">
        <f>SUBTOTAL(103,ReportSummary___Track[[#This Row],[Track ID]])</f>
        <v>1</v>
      </c>
      <c r="AA1257" s="114">
        <f>_xlfn.NUMBERVALUE(RIGHT(ReportSummary___Track[[#This Row],[Track ID]],4))</f>
        <v>47</v>
      </c>
      <c r="AB1257" s="78"/>
    </row>
    <row r="1258" spans="5:28" ht="14.25" customHeight="1" x14ac:dyDescent="0.2">
      <c r="E1258" s="74">
        <v>45775.28125</v>
      </c>
      <c r="F1258" s="107" t="s">
        <v>287</v>
      </c>
      <c r="G1258" s="142">
        <v>51912.122875350404</v>
      </c>
      <c r="H1258" s="142">
        <v>159188.25140524641</v>
      </c>
      <c r="I1258" s="142">
        <v>18.887733255176872</v>
      </c>
      <c r="J1258" s="142">
        <v>51911.805757288297</v>
      </c>
      <c r="K1258" s="142">
        <v>159186.96876749388</v>
      </c>
      <c r="L1258" s="142">
        <v>18.874523500824761</v>
      </c>
      <c r="M1258" s="145">
        <v>1.3209754352111247E-2</v>
      </c>
      <c r="N1258" s="145">
        <v>1.3213243232267669</v>
      </c>
      <c r="O1258" s="145">
        <v>1.8247397994350933E-3</v>
      </c>
      <c r="P1258" s="145">
        <v>3.2676099901074451E-3</v>
      </c>
      <c r="Q12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3.7873688505385417E-3</v>
      </c>
      <c r="R12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-9.9829153380914804E-2</v>
      </c>
      <c r="S12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8.4590649933602435E-3</v>
      </c>
      <c r="T12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0.59481973641695163</v>
      </c>
      <c r="U12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-4.2522113856691135E-4</v>
      </c>
      <c r="V12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-8.7511441220566866E-4</v>
      </c>
      <c r="W12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-4.2138063573560203E-4</v>
      </c>
      <c r="X12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1.6623900381063095E-4</v>
      </c>
      <c r="Y1258" s="162" t="str">
        <f>ReportSummary___Track[[#This Row],[Track ID]]&amp;"-"&amp;ReportSummary___Track[[#This Row],[Epoch]]</f>
        <v>250-RL-OP-0048-45775.28125</v>
      </c>
      <c r="Z1258" s="126">
        <f>SUBTOTAL(103,ReportSummary___Track[[#This Row],[Track ID]])</f>
        <v>1</v>
      </c>
      <c r="AA1258" s="114">
        <f>_xlfn.NUMBERVALUE(RIGHT(ReportSummary___Track[[#This Row],[Track ID]],4))</f>
        <v>48</v>
      </c>
      <c r="AB1258" s="78"/>
    </row>
    <row r="1259" spans="5:28" ht="14.25" customHeight="1" x14ac:dyDescent="0.2">
      <c r="E1259" s="74">
        <v>45775.28125</v>
      </c>
      <c r="F1259" s="107" t="s">
        <v>288</v>
      </c>
      <c r="G1259" s="142">
        <v>51913.094609204396</v>
      </c>
      <c r="H1259" s="142">
        <v>159188.01536729329</v>
      </c>
      <c r="I1259" s="142">
        <v>18.892137991860771</v>
      </c>
      <c r="J1259" s="142">
        <v>51912.777322000024</v>
      </c>
      <c r="K1259" s="142">
        <v>159186.73201750935</v>
      </c>
      <c r="L1259" s="142">
        <v>18.877908135828257</v>
      </c>
      <c r="M1259" s="145">
        <v>1.4229856032514476E-2</v>
      </c>
      <c r="N1259" s="145">
        <v>1.3220666877334026</v>
      </c>
      <c r="O1259" s="145">
        <v>2.4782385855175448E-3</v>
      </c>
      <c r="P1259" s="145">
        <v>3.6831970205852826E-3</v>
      </c>
      <c r="Q12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4.7540171799198561E-3</v>
      </c>
      <c r="R12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-0.18229461813223935</v>
      </c>
      <c r="S12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4.106231468625765E-3</v>
      </c>
      <c r="T12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0.23672788392659072</v>
      </c>
      <c r="U12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-7.7641137524864234E-4</v>
      </c>
      <c r="V12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-7.96827410137535E-4</v>
      </c>
      <c r="W12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-7.7852104955056234E-4</v>
      </c>
      <c r="X12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-5.4363416318281566E-4</v>
      </c>
      <c r="Y1259" s="162" t="str">
        <f>ReportSummary___Track[[#This Row],[Track ID]]&amp;"-"&amp;ReportSummary___Track[[#This Row],[Epoch]]</f>
        <v>250-RL-OP-0049-45775.28125</v>
      </c>
      <c r="Z1259" s="126">
        <f>SUBTOTAL(103,ReportSummary___Track[[#This Row],[Track ID]])</f>
        <v>1</v>
      </c>
      <c r="AA1259" s="114">
        <f>_xlfn.NUMBERVALUE(RIGHT(ReportSummary___Track[[#This Row],[Track ID]],4))</f>
        <v>49</v>
      </c>
      <c r="AB1259" s="78"/>
    </row>
    <row r="1260" spans="5:28" ht="14.25" customHeight="1" x14ac:dyDescent="0.2">
      <c r="E1260" s="74">
        <v>45750.28125</v>
      </c>
      <c r="F1260" s="107" t="s">
        <v>235</v>
      </c>
      <c r="G1260" s="142">
        <v>51886.101888031983</v>
      </c>
      <c r="H1260" s="142">
        <v>159195.44568170098</v>
      </c>
      <c r="I1260" s="142">
        <v>18.870056339802886</v>
      </c>
      <c r="J1260" s="142">
        <v>51885.742954659283</v>
      </c>
      <c r="K1260" s="142">
        <v>159194.18662102622</v>
      </c>
      <c r="L1260" s="142">
        <v>18.866787533191367</v>
      </c>
      <c r="M1260" s="145">
        <v>3.2688066115191816E-3</v>
      </c>
      <c r="N1260" s="145">
        <v>1.3092278769745274</v>
      </c>
      <c r="O1260" s="145"/>
      <c r="P1260" s="145"/>
      <c r="Q12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-0.99995813447506521</v>
      </c>
      <c r="R12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-0.89029941288232273</v>
      </c>
      <c r="S126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6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-7.182644800423077E-4</v>
      </c>
      <c r="V12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-1.9877214095820328E-4</v>
      </c>
      <c r="W126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6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60" s="162" t="str">
        <f>ReportSummary___Track[[#This Row],[Track ID]]&amp;"-"&amp;ReportSummary___Track[[#This Row],[Epoch]]</f>
        <v>250-RL-OP-0021-45750.28125</v>
      </c>
      <c r="Z1260" s="126">
        <f>SUBTOTAL(103,ReportSummary___Track[[#This Row],[Track ID]])</f>
        <v>1</v>
      </c>
      <c r="AA1260" s="114">
        <f>_xlfn.NUMBERVALUE(RIGHT(ReportSummary___Track[[#This Row],[Track ID]],4))</f>
        <v>21</v>
      </c>
      <c r="AB1260" s="78"/>
    </row>
    <row r="1261" spans="5:28" ht="14.25" customHeight="1" x14ac:dyDescent="0.2">
      <c r="E1261" s="74">
        <v>45750.28125</v>
      </c>
      <c r="F1261" s="107" t="s">
        <v>236</v>
      </c>
      <c r="G1261" s="142">
        <v>51887.063534667497</v>
      </c>
      <c r="H1261" s="142">
        <v>159195.17139035295</v>
      </c>
      <c r="I1261" s="142">
        <v>18.870125570329904</v>
      </c>
      <c r="J1261" s="142">
        <v>51886.703957855534</v>
      </c>
      <c r="K1261" s="142">
        <v>159193.91008379814</v>
      </c>
      <c r="L1261" s="142">
        <v>18.86665235673868</v>
      </c>
      <c r="M1261" s="145">
        <v>3.4732135912243223E-3</v>
      </c>
      <c r="N1261" s="145">
        <v>1.3115646275012098</v>
      </c>
      <c r="O1261" s="145"/>
      <c r="P1261" s="145"/>
      <c r="Q12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-0.99990767147417614</v>
      </c>
      <c r="R12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-0.46418559387628733</v>
      </c>
      <c r="S126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6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-3.7206796832833788E-4</v>
      </c>
      <c r="V12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-1.0439906048564929E-4</v>
      </c>
      <c r="W126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6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61" s="162" t="str">
        <f>ReportSummary___Track[[#This Row],[Track ID]]&amp;"-"&amp;ReportSummary___Track[[#This Row],[Epoch]]</f>
        <v>250-RL-OP-0022-45750.28125</v>
      </c>
      <c r="Z1261" s="126">
        <f>SUBTOTAL(103,ReportSummary___Track[[#This Row],[Track ID]])</f>
        <v>1</v>
      </c>
      <c r="AA1261" s="114">
        <f>_xlfn.NUMBERVALUE(RIGHT(ReportSummary___Track[[#This Row],[Track ID]],4))</f>
        <v>22</v>
      </c>
      <c r="AB1261" s="78"/>
    </row>
    <row r="1262" spans="5:28" ht="14.25" customHeight="1" x14ac:dyDescent="0.2">
      <c r="E1262" s="74">
        <v>45750.28125</v>
      </c>
      <c r="F1262" s="107" t="s">
        <v>237</v>
      </c>
      <c r="G1262" s="142">
        <v>51888.025181303019</v>
      </c>
      <c r="H1262" s="142">
        <v>159194.89709900491</v>
      </c>
      <c r="I1262" s="142">
        <v>18.870194800856918</v>
      </c>
      <c r="J1262" s="142">
        <v>51887.664961051785</v>
      </c>
      <c r="K1262" s="142">
        <v>159193.63354657005</v>
      </c>
      <c r="L1262" s="142">
        <v>18.866517180285992</v>
      </c>
      <c r="M1262" s="145">
        <v>3.6776205709259102E-3</v>
      </c>
      <c r="N1262" s="145">
        <v>1.3139014079944522</v>
      </c>
      <c r="O1262" s="145"/>
      <c r="P1262" s="145"/>
      <c r="Q12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-0.99985720847683979</v>
      </c>
      <c r="R12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-3.807161593538666E-2</v>
      </c>
      <c r="S1262"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6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-2.5871456621473499E-5</v>
      </c>
      <c r="V12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-1.0012822055927018E-5</v>
      </c>
      <c r="W1262"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6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62" s="162" t="str">
        <f>ReportSummary___Track[[#This Row],[Track ID]]&amp;"-"&amp;ReportSummary___Track[[#This Row],[Epoch]]</f>
        <v>250-RL-OP-0023-45750.28125</v>
      </c>
      <c r="Z1262" s="126">
        <f>SUBTOTAL(103,ReportSummary___Track[[#This Row],[Track ID]])</f>
        <v>1</v>
      </c>
      <c r="AA1262" s="114">
        <f>_xlfn.NUMBERVALUE(RIGHT(ReportSummary___Track[[#This Row],[Track ID]],4))</f>
        <v>23</v>
      </c>
      <c r="AB1262" s="78"/>
    </row>
    <row r="1263" spans="5:28" ht="14.25" customHeight="1" x14ac:dyDescent="0.2">
      <c r="E1263" s="74">
        <v>45750.28125</v>
      </c>
      <c r="F1263" s="107" t="s">
        <v>238</v>
      </c>
      <c r="G1263" s="142">
        <v>51888.986205860805</v>
      </c>
      <c r="H1263" s="142">
        <v>159194.62172788166</v>
      </c>
      <c r="I1263" s="142">
        <v>18.869514793813725</v>
      </c>
      <c r="J1263" s="142">
        <v>51888.624024107339</v>
      </c>
      <c r="K1263" s="142">
        <v>159193.35679670321</v>
      </c>
      <c r="L1263" s="142">
        <v>18.86545332152658</v>
      </c>
      <c r="M1263" s="145">
        <v>4.0614722871445963E-3</v>
      </c>
      <c r="N1263" s="145">
        <v>1.3157670782895583</v>
      </c>
      <c r="O1263" s="145">
        <v>7.9266567562541468E-4</v>
      </c>
      <c r="P1263" s="145"/>
      <c r="Q12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-0.70094927193409262</v>
      </c>
      <c r="R12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-2.3510422575423462E-3</v>
      </c>
      <c r="S12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0.29900886254097259</v>
      </c>
      <c r="T126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-3.6042596462948495E-8</v>
      </c>
      <c r="V12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-1.2082478792141416E-5</v>
      </c>
      <c r="W12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7.1822843744584475E-4</v>
      </c>
      <c r="X126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63" s="162" t="str">
        <f>ReportSummary___Track[[#This Row],[Track ID]]&amp;"-"&amp;ReportSummary___Track[[#This Row],[Epoch]]</f>
        <v>250-RL-OP-0024-45750.28125</v>
      </c>
      <c r="Z1263" s="126">
        <f>SUBTOTAL(103,ReportSummary___Track[[#This Row],[Track ID]])</f>
        <v>1</v>
      </c>
      <c r="AA1263" s="114">
        <f>_xlfn.NUMBERVALUE(RIGHT(ReportSummary___Track[[#This Row],[Track ID]],4))</f>
        <v>24</v>
      </c>
      <c r="AB1263" s="78"/>
    </row>
    <row r="1264" spans="5:28" ht="14.25" customHeight="1" x14ac:dyDescent="0.2">
      <c r="E1264" s="74">
        <v>45750.28125</v>
      </c>
      <c r="F1264" s="107" t="s">
        <v>239</v>
      </c>
      <c r="G1264" s="142">
        <v>51889.947492753308</v>
      </c>
      <c r="H1264" s="142">
        <v>159194.34617940843</v>
      </c>
      <c r="I1264" s="142">
        <v>18.868773709900385</v>
      </c>
      <c r="J1264" s="142">
        <v>51889.58479107709</v>
      </c>
      <c r="K1264" s="142">
        <v>159193.07944244222</v>
      </c>
      <c r="L1264" s="142">
        <v>18.864251762034648</v>
      </c>
      <c r="M1264" s="145">
        <v>4.5219478657365642E-3</v>
      </c>
      <c r="N1264" s="145">
        <v>1.3176477129731627</v>
      </c>
      <c r="O1264" s="145">
        <v>1.0487342745122419E-3</v>
      </c>
      <c r="P1264" s="145"/>
      <c r="Q12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-0.35764686340655771</v>
      </c>
      <c r="R12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-1.277343800731856E-3</v>
      </c>
      <c r="S12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0.64226080806761843</v>
      </c>
      <c r="T126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-8.164124665199779E-8</v>
      </c>
      <c r="V12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-6.0635094911720699E-6</v>
      </c>
      <c r="W12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3.7198632708168589E-4</v>
      </c>
      <c r="X126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64" s="162" t="str">
        <f>ReportSummary___Track[[#This Row],[Track ID]]&amp;"-"&amp;ReportSummary___Track[[#This Row],[Epoch]]</f>
        <v>250-RL-OP-0025-45750.28125</v>
      </c>
      <c r="Z1264" s="126">
        <f>SUBTOTAL(103,ReportSummary___Track[[#This Row],[Track ID]])</f>
        <v>1</v>
      </c>
      <c r="AA1264" s="114">
        <f>_xlfn.NUMBERVALUE(RIGHT(ReportSummary___Track[[#This Row],[Track ID]],4))</f>
        <v>25</v>
      </c>
      <c r="AB1264" s="78"/>
    </row>
    <row r="1265" spans="5:28" ht="14.25" customHeight="1" x14ac:dyDescent="0.2">
      <c r="E1265" s="74">
        <v>45750.28125</v>
      </c>
      <c r="F1265" s="107" t="s">
        <v>240</v>
      </c>
      <c r="G1265" s="142">
        <v>51890.908779645804</v>
      </c>
      <c r="H1265" s="142">
        <v>159194.0706309352</v>
      </c>
      <c r="I1265" s="142">
        <v>18.868032625987045</v>
      </c>
      <c r="J1265" s="142">
        <v>51890.545558046833</v>
      </c>
      <c r="K1265" s="142">
        <v>159192.80208818123</v>
      </c>
      <c r="L1265" s="142">
        <v>18.86305020254272</v>
      </c>
      <c r="M1265" s="145">
        <v>4.9824234443249793E-3</v>
      </c>
      <c r="N1265" s="145">
        <v>1.3195285041066367</v>
      </c>
      <c r="O1265" s="145">
        <v>1.3048028733990691E-3</v>
      </c>
      <c r="P1265" s="145"/>
      <c r="Q12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-1.4344454882575519E-2</v>
      </c>
      <c r="R12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-5.6442571505499473E-5</v>
      </c>
      <c r="S12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0.98551275359426427</v>
      </c>
      <c r="T126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-1.2723990394647444E-7</v>
      </c>
      <c r="V12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-4.4580764635426817E-8</v>
      </c>
      <c r="W12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2.5744216717527024E-5</v>
      </c>
      <c r="X126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65" s="162" t="str">
        <f>ReportSummary___Track[[#This Row],[Track ID]]&amp;"-"&amp;ReportSummary___Track[[#This Row],[Epoch]]</f>
        <v>250-RL-OP-0026-45750.28125</v>
      </c>
      <c r="Z1265" s="126">
        <f>SUBTOTAL(103,ReportSummary___Track[[#This Row],[Track ID]])</f>
        <v>1</v>
      </c>
      <c r="AA1265" s="114">
        <f>_xlfn.NUMBERVALUE(RIGHT(ReportSummary___Track[[#This Row],[Track ID]],4))</f>
        <v>26</v>
      </c>
      <c r="AB1265" s="78"/>
    </row>
    <row r="1266" spans="5:28" ht="14.25" customHeight="1" x14ac:dyDescent="0.2">
      <c r="E1266" s="74">
        <v>45750.28125</v>
      </c>
      <c r="F1266" s="107" t="s">
        <v>241</v>
      </c>
      <c r="G1266" s="142">
        <v>51891.869997674046</v>
      </c>
      <c r="H1266" s="142">
        <v>159193.79403821289</v>
      </c>
      <c r="I1266" s="142">
        <v>18.865661670375356</v>
      </c>
      <c r="J1266" s="142">
        <v>51891.504267267614</v>
      </c>
      <c r="K1266" s="142">
        <v>159192.5256090266</v>
      </c>
      <c r="L1266" s="142">
        <v>18.861283294009535</v>
      </c>
      <c r="M1266" s="145">
        <v>4.3783763658211683E-3</v>
      </c>
      <c r="N1266" s="145">
        <v>1.3201100336646869</v>
      </c>
      <c r="O1266" s="145">
        <v>3.16904078676572E-4</v>
      </c>
      <c r="P1266" s="145">
        <v>1.1095697543019867E-3</v>
      </c>
      <c r="Q12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12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12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0.37637931622214182</v>
      </c>
      <c r="T12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0.67538817876311441</v>
      </c>
      <c r="U12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12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12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9.7598249482189203E-8</v>
      </c>
      <c r="X12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7.1832603569532694E-4</v>
      </c>
      <c r="Y1266" s="162" t="str">
        <f>ReportSummary___Track[[#This Row],[Track ID]]&amp;"-"&amp;ReportSummary___Track[[#This Row],[Epoch]]</f>
        <v>250-RL-OP-0027-45750.28125</v>
      </c>
      <c r="Z1266" s="126">
        <f>SUBTOTAL(103,ReportSummary___Track[[#This Row],[Track ID]])</f>
        <v>1</v>
      </c>
      <c r="AA1266" s="114">
        <f>_xlfn.NUMBERVALUE(RIGHT(ReportSummary___Track[[#This Row],[Track ID]],4))</f>
        <v>27</v>
      </c>
      <c r="AB1266" s="78"/>
    </row>
    <row r="1267" spans="5:28" ht="14.25" customHeight="1" x14ac:dyDescent="0.2">
      <c r="E1267" s="74">
        <v>45750.28125</v>
      </c>
      <c r="F1267" s="107" t="s">
        <v>242</v>
      </c>
      <c r="G1267" s="142">
        <v>51892.83098666594</v>
      </c>
      <c r="H1267" s="142">
        <v>159193.51746240538</v>
      </c>
      <c r="I1267" s="142">
        <v>18.863216230483452</v>
      </c>
      <c r="J1267" s="142">
        <v>51892.465111689802</v>
      </c>
      <c r="K1267" s="142">
        <v>159192.24852641847</v>
      </c>
      <c r="L1267" s="142">
        <v>18.859487576446288</v>
      </c>
      <c r="M1267" s="145">
        <v>3.7286540371646026E-3</v>
      </c>
      <c r="N1267" s="145">
        <v>1.3206350517469128</v>
      </c>
      <c r="O1267" s="145">
        <v>-7.9329382857196151E-4</v>
      </c>
      <c r="P1267" s="145">
        <v>2.5544044594028037E-4</v>
      </c>
      <c r="Q12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12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12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-0.3064314141809632</v>
      </c>
      <c r="T12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0.33582939388665523</v>
      </c>
      <c r="U12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12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12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2.0753694585096127E-7</v>
      </c>
      <c r="X12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3.7219386402753685E-4</v>
      </c>
      <c r="Y1267" s="162" t="str">
        <f>ReportSummary___Track[[#This Row],[Track ID]]&amp;"-"&amp;ReportSummary___Track[[#This Row],[Epoch]]</f>
        <v>250-RL-OP-0028-45750.28125</v>
      </c>
      <c r="Z1267" s="126">
        <f>SUBTOTAL(103,ReportSummary___Track[[#This Row],[Track ID]])</f>
        <v>1</v>
      </c>
      <c r="AA1267" s="114">
        <f>_xlfn.NUMBERVALUE(RIGHT(ReportSummary___Track[[#This Row],[Track ID]],4))</f>
        <v>28</v>
      </c>
      <c r="AB1267" s="78"/>
    </row>
    <row r="1268" spans="5:28" ht="14.25" customHeight="1" x14ac:dyDescent="0.2">
      <c r="E1268" s="74">
        <v>45750.28125</v>
      </c>
      <c r="F1268" s="107" t="s">
        <v>243</v>
      </c>
      <c r="G1268" s="142">
        <v>51893.791834251315</v>
      </c>
      <c r="H1268" s="142">
        <v>159193.24088966474</v>
      </c>
      <c r="I1268" s="142">
        <v>18.860926416951401</v>
      </c>
      <c r="J1268" s="142">
        <v>51893.426692580288</v>
      </c>
      <c r="K1268" s="142">
        <v>159191.97123179527</v>
      </c>
      <c r="L1268" s="142">
        <v>18.857700906411129</v>
      </c>
      <c r="M1268" s="145">
        <v>3.2255105402718698E-3</v>
      </c>
      <c r="N1268" s="145">
        <v>1.3211245018377866</v>
      </c>
      <c r="O1268" s="145">
        <v>-1.7569129040531095E-3</v>
      </c>
      <c r="P1268" s="145">
        <v>-4.5211003065404043E-4</v>
      </c>
      <c r="Q12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-0.98057959971953323</v>
      </c>
      <c r="R12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-0.27410785997594722</v>
      </c>
      <c r="S12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-0.96623514483695772</v>
      </c>
      <c r="T12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1.9277608757306552E-2</v>
      </c>
      <c r="U12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1.8128219423374503E-6</v>
      </c>
      <c r="V12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4.4276602384485386E-9</v>
      </c>
      <c r="W12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1.9400618462839248E-6</v>
      </c>
      <c r="X12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2.7684278563810949E-5</v>
      </c>
      <c r="Y1268" s="162" t="str">
        <f>ReportSummary___Track[[#This Row],[Track ID]]&amp;"-"&amp;ReportSummary___Track[[#This Row],[Epoch]]</f>
        <v>250-RL-OP-0029-45750.28125</v>
      </c>
      <c r="Z1268" s="126">
        <f>SUBTOTAL(103,ReportSummary___Track[[#This Row],[Track ID]])</f>
        <v>1</v>
      </c>
      <c r="AA1268" s="114">
        <f>_xlfn.NUMBERVALUE(RIGHT(ReportSummary___Track[[#This Row],[Track ID]],4))</f>
        <v>29</v>
      </c>
      <c r="AB1268" s="78"/>
    </row>
    <row r="1269" spans="5:28" ht="14.25" customHeight="1" x14ac:dyDescent="0.2">
      <c r="E1269" s="74">
        <v>45750.28125</v>
      </c>
      <c r="F1269" s="107" t="s">
        <v>269</v>
      </c>
      <c r="G1269" s="142">
        <v>51894.75263598399</v>
      </c>
      <c r="H1269" s="142">
        <v>159192.96365370168</v>
      </c>
      <c r="I1269" s="142">
        <v>18.86142768737643</v>
      </c>
      <c r="J1269" s="142">
        <v>51894.387556785732</v>
      </c>
      <c r="K1269" s="142">
        <v>159191.69421203164</v>
      </c>
      <c r="L1269" s="142">
        <v>18.85787192737892</v>
      </c>
      <c r="M1269" s="145">
        <v>3.5557599975106768E-3</v>
      </c>
      <c r="N1269" s="145">
        <v>1.3209003058759177</v>
      </c>
      <c r="O1269" s="145">
        <v>-8.2261636831049145E-4</v>
      </c>
      <c r="P1269" s="145">
        <v>-5.0571228963391945E-4</v>
      </c>
      <c r="Q12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-0.3045796934308953</v>
      </c>
      <c r="R12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-8.4807937073660966E-2</v>
      </c>
      <c r="S12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1.9990262281055493E-2</v>
      </c>
      <c r="T12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0.39636957850319732</v>
      </c>
      <c r="U12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3.4385469750120023E-4</v>
      </c>
      <c r="V12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8.8094026784446555E-7</v>
      </c>
      <c r="W12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3.4379314184818099E-4</v>
      </c>
      <c r="X12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3.4389074009766318E-4</v>
      </c>
      <c r="Y1269" s="162" t="str">
        <f>ReportSummary___Track[[#This Row],[Track ID]]&amp;"-"&amp;ReportSummary___Track[[#This Row],[Epoch]]</f>
        <v>250-RL-OP-0030-45750.28125</v>
      </c>
      <c r="Z1269" s="126">
        <f>SUBTOTAL(103,ReportSummary___Track[[#This Row],[Track ID]])</f>
        <v>1</v>
      </c>
      <c r="AA1269" s="114">
        <f>_xlfn.NUMBERVALUE(RIGHT(ReportSummary___Track[[#This Row],[Track ID]],4))</f>
        <v>30</v>
      </c>
      <c r="AB1269" s="78"/>
    </row>
    <row r="1270" spans="5:28" ht="14.25" customHeight="1" x14ac:dyDescent="0.2">
      <c r="E1270" s="74">
        <v>45750.28125</v>
      </c>
      <c r="F1270" s="107" t="s">
        <v>270</v>
      </c>
      <c r="G1270" s="142">
        <v>51895.713437716666</v>
      </c>
      <c r="H1270" s="142">
        <v>159192.68641773862</v>
      </c>
      <c r="I1270" s="142">
        <v>18.861928957801464</v>
      </c>
      <c r="J1270" s="142">
        <v>51895.348420991184</v>
      </c>
      <c r="K1270" s="142">
        <v>159191.41719226798</v>
      </c>
      <c r="L1270" s="142">
        <v>18.858042948346714</v>
      </c>
      <c r="M1270" s="145">
        <v>3.8860094547494839E-3</v>
      </c>
      <c r="N1270" s="145">
        <v>1.3206761928111317</v>
      </c>
      <c r="O1270" s="145">
        <v>1.5735541758488125E-4</v>
      </c>
      <c r="P1270" s="145">
        <v>-6.3593841098708026E-4</v>
      </c>
      <c r="Q12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0.37142021285774263</v>
      </c>
      <c r="R12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0.1044850178790746</v>
      </c>
      <c r="S12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1.0354984904452635</v>
      </c>
      <c r="T12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0.72906707626430034</v>
      </c>
      <c r="U12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6.8589657306006302E-4</v>
      </c>
      <c r="V12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1.8402801627015464E-6</v>
      </c>
      <c r="W12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6.8577067736086406E-4</v>
      </c>
      <c r="X12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6.8597821430671502E-4</v>
      </c>
      <c r="Y1270" s="162" t="str">
        <f>ReportSummary___Track[[#This Row],[Track ID]]&amp;"-"&amp;ReportSummary___Track[[#This Row],[Epoch]]</f>
        <v>250-RL-OP-0031-45750.28125</v>
      </c>
      <c r="Z1270" s="126">
        <f>SUBTOTAL(103,ReportSummary___Track[[#This Row],[Track ID]])</f>
        <v>1</v>
      </c>
      <c r="AA1270" s="114">
        <f>_xlfn.NUMBERVALUE(RIGHT(ReportSummary___Track[[#This Row],[Track ID]],4))</f>
        <v>31</v>
      </c>
      <c r="AB1270" s="78"/>
    </row>
    <row r="1271" spans="5:28" ht="14.25" customHeight="1" x14ac:dyDescent="0.2">
      <c r="E1271" s="74">
        <v>45750.28125</v>
      </c>
      <c r="F1271" s="107" t="s">
        <v>271</v>
      </c>
      <c r="G1271" s="142">
        <v>51896.67540436655</v>
      </c>
      <c r="H1271" s="142">
        <v>159192.40890241417</v>
      </c>
      <c r="I1271" s="142">
        <v>18.862477008946644</v>
      </c>
      <c r="J1271" s="142">
        <v>51896.30852141809</v>
      </c>
      <c r="K1271" s="142">
        <v>159191.14070884953</v>
      </c>
      <c r="L1271" s="142">
        <v>18.858247340168667</v>
      </c>
      <c r="M1271" s="145">
        <v>4.22966877797748E-3</v>
      </c>
      <c r="N1271" s="145">
        <v>1.3202029788490022</v>
      </c>
      <c r="O1271" s="145">
        <v>1.0041582377056102E-3</v>
      </c>
      <c r="P1271" s="145">
        <v>-7.5275466634749932E-4</v>
      </c>
      <c r="Q12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0.9786510119091929</v>
      </c>
      <c r="R12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0.29496218820512787</v>
      </c>
      <c r="S12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1.9592306116287261</v>
      </c>
      <c r="T12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0.99299546679176842</v>
      </c>
      <c r="U12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9.7859298590918797E-4</v>
      </c>
      <c r="V12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1.0383485868015185E-5</v>
      </c>
      <c r="W12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9.7678016396685052E-4</v>
      </c>
      <c r="X12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9.7872022581313445E-4</v>
      </c>
      <c r="Y1271" s="162" t="str">
        <f>ReportSummary___Track[[#This Row],[Track ID]]&amp;"-"&amp;ReportSummary___Track[[#This Row],[Epoch]]</f>
        <v>250-RL-OP-0032-45750.28125</v>
      </c>
      <c r="Z1271" s="126">
        <f>SUBTOTAL(103,ReportSummary___Track[[#This Row],[Track ID]])</f>
        <v>1</v>
      </c>
      <c r="AA1271" s="114">
        <f>_xlfn.NUMBERVALUE(RIGHT(ReportSummary___Track[[#This Row],[Track ID]],4))</f>
        <v>32</v>
      </c>
      <c r="AB1271" s="78"/>
    </row>
    <row r="1272" spans="5:28" ht="14.25" customHeight="1" x14ac:dyDescent="0.2">
      <c r="E1272" s="74">
        <v>45750.28125</v>
      </c>
      <c r="F1272" s="107" t="s">
        <v>272</v>
      </c>
      <c r="G1272" s="142">
        <v>51897.636450977137</v>
      </c>
      <c r="H1272" s="142">
        <v>159192.13251890466</v>
      </c>
      <c r="I1272" s="142">
        <v>18.863729186940898</v>
      </c>
      <c r="J1272" s="142">
        <v>51897.270420156819</v>
      </c>
      <c r="K1272" s="142">
        <v>159190.8673035219</v>
      </c>
      <c r="L1272" s="142">
        <v>18.858833233345248</v>
      </c>
      <c r="M1272" s="145">
        <v>4.8959535956498712E-3</v>
      </c>
      <c r="N1272" s="145">
        <v>1.3171076252802321</v>
      </c>
      <c r="O1272" s="145">
        <v>1.3401935981391944E-3</v>
      </c>
      <c r="P1272" s="145">
        <v>5.1757722982870291E-4</v>
      </c>
      <c r="Q127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0.63151299419672569</v>
      </c>
      <c r="R127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0.53243191060214912</v>
      </c>
      <c r="S127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0.93609268762762099</v>
      </c>
      <c r="T127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0.95608294990867648</v>
      </c>
      <c r="U127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6.3057239026065304E-4</v>
      </c>
      <c r="V127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1.0399925690540712E-4</v>
      </c>
      <c r="W127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2.867176927594528E-4</v>
      </c>
      <c r="X127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6.305108346076338E-4</v>
      </c>
      <c r="Y1272" s="162" t="str">
        <f>ReportSummary___Track[[#This Row],[Track ID]]&amp;"-"&amp;ReportSummary___Track[[#This Row],[Epoch]]</f>
        <v>250-RL-OP-0033-45750.28125</v>
      </c>
      <c r="Z1272" s="126">
        <f>SUBTOTAL(103,ReportSummary___Track[[#This Row],[Track ID]])</f>
        <v>1</v>
      </c>
      <c r="AA1272" s="114">
        <f>_xlfn.NUMBERVALUE(RIGHT(ReportSummary___Track[[#This Row],[Track ID]],4))</f>
        <v>33</v>
      </c>
      <c r="AB1272" s="78"/>
    </row>
    <row r="1273" spans="5:28" ht="14.25" customHeight="1" x14ac:dyDescent="0.2">
      <c r="E1273" s="74">
        <v>45750.28125</v>
      </c>
      <c r="F1273" s="107" t="s">
        <v>273</v>
      </c>
      <c r="G1273" s="142">
        <v>51898.597497587733</v>
      </c>
      <c r="H1273" s="142">
        <v>159191.85613539515</v>
      </c>
      <c r="I1273" s="142">
        <v>18.864981364935151</v>
      </c>
      <c r="J1273" s="142">
        <v>51898.232318895542</v>
      </c>
      <c r="K1273" s="142">
        <v>159190.59389819429</v>
      </c>
      <c r="L1273" s="142">
        <v>18.859419126521825</v>
      </c>
      <c r="M1273" s="145">
        <v>5.5622384133258151E-3</v>
      </c>
      <c r="N1273" s="145">
        <v>1.3140126205513576</v>
      </c>
      <c r="O1273" s="145">
        <v>1.6762289585763313E-3</v>
      </c>
      <c r="P1273" s="145">
        <v>1.8335843761612125E-3</v>
      </c>
      <c r="Q127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0.28437497648781118</v>
      </c>
      <c r="R127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0.769453648012286</v>
      </c>
      <c r="S127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-8.7045236369931445E-2</v>
      </c>
      <c r="T127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0.9484532540753321</v>
      </c>
      <c r="U127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2.825517946121181E-4</v>
      </c>
      <c r="V127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1.9716659626767274E-4</v>
      </c>
      <c r="W127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-4.0334477844794492E-4</v>
      </c>
      <c r="X127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2.8242589891291914E-4</v>
      </c>
      <c r="Y1273" s="162" t="str">
        <f>ReportSummary___Track[[#This Row],[Track ID]]&amp;"-"&amp;ReportSummary___Track[[#This Row],[Epoch]]</f>
        <v>250-RL-OP-0034-45750.28125</v>
      </c>
      <c r="Z1273" s="126">
        <f>SUBTOTAL(103,ReportSummary___Track[[#This Row],[Track ID]])</f>
        <v>1</v>
      </c>
      <c r="AA1273" s="114">
        <f>_xlfn.NUMBERVALUE(RIGHT(ReportSummary___Track[[#This Row],[Track ID]],4))</f>
        <v>34</v>
      </c>
      <c r="AB1273" s="78"/>
    </row>
    <row r="1274" spans="5:28" ht="14.25" customHeight="1" x14ac:dyDescent="0.2">
      <c r="E1274" s="74">
        <v>45750.28125</v>
      </c>
      <c r="F1274" s="107" t="s">
        <v>274</v>
      </c>
      <c r="G1274" s="142">
        <v>51899.557732431109</v>
      </c>
      <c r="H1274" s="142">
        <v>159191.5813204289</v>
      </c>
      <c r="I1274" s="142">
        <v>18.866</v>
      </c>
      <c r="J1274" s="142">
        <v>51899.202460873719</v>
      </c>
      <c r="K1274" s="142">
        <v>159190.31857924105</v>
      </c>
      <c r="L1274" s="142">
        <v>18.859777476518332</v>
      </c>
      <c r="M1274" s="145">
        <v>6.2225234816679631E-3</v>
      </c>
      <c r="N1274" s="145">
        <v>1.3117819585509021</v>
      </c>
      <c r="O1274" s="145">
        <v>1.9928547036904831E-3</v>
      </c>
      <c r="P1274" s="145">
        <v>2.9970129413960933E-3</v>
      </c>
      <c r="Q127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-3.850128749149917E-5</v>
      </c>
      <c r="R127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0.94596235301791509</v>
      </c>
      <c r="S127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-0.9786895131966844</v>
      </c>
      <c r="T127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0.98054109843204174</v>
      </c>
      <c r="U127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2.6848452705507952E-7</v>
      </c>
      <c r="V127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2.9588065025221155E-4</v>
      </c>
      <c r="W127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-9.7832450138213289E-4</v>
      </c>
      <c r="X127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-1.5443374152823708E-6</v>
      </c>
      <c r="Y1274" s="162" t="str">
        <f>ReportSummary___Track[[#This Row],[Track ID]]&amp;"-"&amp;ReportSummary___Track[[#This Row],[Epoch]]</f>
        <v>250-RL-OP-0035-45750.28125</v>
      </c>
      <c r="Z1274" s="126">
        <f>SUBTOTAL(103,ReportSummary___Track[[#This Row],[Track ID]])</f>
        <v>1</v>
      </c>
      <c r="AA1274" s="114">
        <f>_xlfn.NUMBERVALUE(RIGHT(ReportSummary___Track[[#This Row],[Track ID]],4))</f>
        <v>35</v>
      </c>
      <c r="AB1274" s="78"/>
    </row>
    <row r="1275" spans="5:28" ht="14.25" customHeight="1" x14ac:dyDescent="0.2">
      <c r="E1275" s="74">
        <v>45750.28125</v>
      </c>
      <c r="F1275" s="107" t="s">
        <v>275</v>
      </c>
      <c r="G1275" s="142">
        <v>51900.520670537458</v>
      </c>
      <c r="H1275" s="142">
        <v>159191.31159797279</v>
      </c>
      <c r="I1275" s="142">
        <v>18.866</v>
      </c>
      <c r="J1275" s="142">
        <v>51900.16495886902</v>
      </c>
      <c r="K1275" s="142">
        <v>159190.04729123367</v>
      </c>
      <c r="L1275" s="142">
        <v>18.859124714229218</v>
      </c>
      <c r="M1275" s="145">
        <v>6.8752857707821136E-3</v>
      </c>
      <c r="N1275" s="145">
        <v>1.3134114325669464</v>
      </c>
      <c r="O1275" s="145">
        <v>1.9793321751322424E-3</v>
      </c>
      <c r="P1275" s="145">
        <v>3.3195257732714367E-3</v>
      </c>
      <c r="Q127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-2.4362269357425248E-4</v>
      </c>
      <c r="R127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0.85738914922162124</v>
      </c>
      <c r="S127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-0.63175661689029994</v>
      </c>
      <c r="T127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0.30433607073732105</v>
      </c>
      <c r="U127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5.9509088359277484E-6</v>
      </c>
      <c r="V127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4.2599832322309794E-4</v>
      </c>
      <c r="W127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-6.2462148142472529E-4</v>
      </c>
      <c r="X127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-3.3790378866527249E-4</v>
      </c>
      <c r="Y1275" s="162" t="str">
        <f>ReportSummary___Track[[#This Row],[Track ID]]&amp;"-"&amp;ReportSummary___Track[[#This Row],[Epoch]]</f>
        <v>250-RL-OP-0036-45750.28125</v>
      </c>
      <c r="Z1275" s="126">
        <f>SUBTOTAL(103,ReportSummary___Track[[#This Row],[Track ID]])</f>
        <v>1</v>
      </c>
      <c r="AA1275" s="114">
        <f>_xlfn.NUMBERVALUE(RIGHT(ReportSummary___Track[[#This Row],[Track ID]],4))</f>
        <v>36</v>
      </c>
      <c r="AB1275" s="78"/>
    </row>
    <row r="1276" spans="5:28" ht="14.25" customHeight="1" x14ac:dyDescent="0.2">
      <c r="E1276" s="74">
        <v>45750.28125</v>
      </c>
      <c r="F1276" s="107" t="s">
        <v>276</v>
      </c>
      <c r="G1276" s="142">
        <v>51901.483608643815</v>
      </c>
      <c r="H1276" s="142">
        <v>159191.04187551665</v>
      </c>
      <c r="I1276" s="142">
        <v>18.866</v>
      </c>
      <c r="J1276" s="142">
        <v>51901.12745686432</v>
      </c>
      <c r="K1276" s="142">
        <v>159189.77600322632</v>
      </c>
      <c r="L1276" s="142">
        <v>18.858471951940103</v>
      </c>
      <c r="M1276" s="145">
        <v>7.528048059896264E-3</v>
      </c>
      <c r="N1276" s="145">
        <v>1.315041222535448</v>
      </c>
      <c r="O1276" s="145">
        <v>1.9658096465704489E-3</v>
      </c>
      <c r="P1276" s="145">
        <v>3.6420386051467801E-3</v>
      </c>
      <c r="Q127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-4.4874409610429211E-4</v>
      </c>
      <c r="R127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0.76881594249056384</v>
      </c>
      <c r="S127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-0.28482372058391547</v>
      </c>
      <c r="T127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-0.37186895695384692</v>
      </c>
      <c r="U127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1.1633333151905845E-5</v>
      </c>
      <c r="V127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5.5612075256239457E-4</v>
      </c>
      <c r="W127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-2.7091846146021226E-4</v>
      </c>
      <c r="X127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-6.7426323990815717E-4</v>
      </c>
      <c r="Y1276" s="162" t="str">
        <f>ReportSummary___Track[[#This Row],[Track ID]]&amp;"-"&amp;ReportSummary___Track[[#This Row],[Epoch]]</f>
        <v>250-RL-OP-0037-45750.28125</v>
      </c>
      <c r="Z1276" s="126">
        <f>SUBTOTAL(103,ReportSummary___Track[[#This Row],[Track ID]])</f>
        <v>1</v>
      </c>
      <c r="AA1276" s="114">
        <f>_xlfn.NUMBERVALUE(RIGHT(ReportSummary___Track[[#This Row],[Track ID]],4))</f>
        <v>37</v>
      </c>
      <c r="AB1276" s="78"/>
    </row>
    <row r="1277" spans="5:28" ht="14.25" customHeight="1" x14ac:dyDescent="0.2">
      <c r="E1277" s="74">
        <v>45750.28125</v>
      </c>
      <c r="F1277" s="107" t="s">
        <v>277</v>
      </c>
      <c r="G1277" s="142">
        <v>51902.446769943585</v>
      </c>
      <c r="H1277" s="142">
        <v>159190.77324554109</v>
      </c>
      <c r="I1277" s="142">
        <v>18.866124762962976</v>
      </c>
      <c r="J1277" s="142">
        <v>51902.099872443272</v>
      </c>
      <c r="K1277" s="142">
        <v>159189.50304742009</v>
      </c>
      <c r="L1277" s="142">
        <v>18.857900000000001</v>
      </c>
      <c r="M1277" s="145">
        <v>8.2247629629748076E-3</v>
      </c>
      <c r="N1277" s="145">
        <v>1.3167417320926966</v>
      </c>
      <c r="O1277" s="145">
        <v>2.0022394813068445E-3</v>
      </c>
      <c r="P1277" s="145">
        <v>3.9950941849973276E-3</v>
      </c>
      <c r="Q127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127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0.71630069280925746</v>
      </c>
      <c r="S127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-1.4991243801887322E-6</v>
      </c>
      <c r="T127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-0.97869101232106459</v>
      </c>
      <c r="U127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127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6.5897211498278097E-4</v>
      </c>
      <c r="W127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-3.1942301603749002E-7</v>
      </c>
      <c r="X127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-9.7864392439817038E-4</v>
      </c>
      <c r="Y1277" s="162" t="str">
        <f>ReportSummary___Track[[#This Row],[Track ID]]&amp;"-"&amp;ReportSummary___Track[[#This Row],[Epoch]]</f>
        <v>250-RL-OP-0038-45750.28125</v>
      </c>
      <c r="Z1277" s="126">
        <f>SUBTOTAL(103,ReportSummary___Track[[#This Row],[Track ID]])</f>
        <v>1</v>
      </c>
      <c r="AA1277" s="114">
        <f>_xlfn.NUMBERVALUE(RIGHT(ReportSummary___Track[[#This Row],[Track ID]],4))</f>
        <v>38</v>
      </c>
      <c r="AB1277" s="78"/>
    </row>
    <row r="1278" spans="5:28" ht="14.25" customHeight="1" x14ac:dyDescent="0.2">
      <c r="E1278" s="74">
        <v>45750.28125</v>
      </c>
      <c r="F1278" s="107" t="s">
        <v>278</v>
      </c>
      <c r="G1278" s="142">
        <v>51903.411366943481</v>
      </c>
      <c r="H1278" s="142">
        <v>159190.50951814224</v>
      </c>
      <c r="I1278" s="142">
        <v>18.866822542397966</v>
      </c>
      <c r="J1278" s="142">
        <v>51903.064539433311</v>
      </c>
      <c r="K1278" s="142">
        <v>159189.23957522359</v>
      </c>
      <c r="L1278" s="142">
        <v>18.857900000000001</v>
      </c>
      <c r="M1278" s="145">
        <v>8.922542397964861E-3</v>
      </c>
      <c r="N1278" s="145">
        <v>1.3164816558518828</v>
      </c>
      <c r="O1278" s="145">
        <v>2.0472566271827475E-3</v>
      </c>
      <c r="P1278" s="145">
        <v>4.0265888023149898E-3</v>
      </c>
      <c r="Q127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-2.6371636963062883E-4</v>
      </c>
      <c r="R127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0.80395318721104836</v>
      </c>
      <c r="S127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-2.0093676056376353E-5</v>
      </c>
      <c r="T127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-0.63177671056635631</v>
      </c>
      <c r="U127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-3.3582935543563508E-7</v>
      </c>
      <c r="V127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4.2599624340633468E-4</v>
      </c>
      <c r="W127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-6.2867381913633835E-6</v>
      </c>
      <c r="X127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-6.3090821961608867E-4</v>
      </c>
      <c r="Y1278" s="162" t="str">
        <f>ReportSummary___Track[[#This Row],[Track ID]]&amp;"-"&amp;ReportSummary___Track[[#This Row],[Epoch]]</f>
        <v>250-RL-OP-0039-45750.28125</v>
      </c>
      <c r="Z1278" s="126">
        <f>SUBTOTAL(103,ReportSummary___Track[[#This Row],[Track ID]])</f>
        <v>1</v>
      </c>
      <c r="AA1278" s="114">
        <f>_xlfn.NUMBERVALUE(RIGHT(ReportSummary___Track[[#This Row],[Track ID]],4))</f>
        <v>39</v>
      </c>
      <c r="AB1278" s="78"/>
    </row>
    <row r="1279" spans="5:28" ht="14.25" customHeight="1" x14ac:dyDescent="0.2">
      <c r="E1279" s="74">
        <v>45750.28125</v>
      </c>
      <c r="F1279" s="107" t="s">
        <v>279</v>
      </c>
      <c r="G1279" s="142">
        <v>51904.375963943377</v>
      </c>
      <c r="H1279" s="142">
        <v>159190.24579074341</v>
      </c>
      <c r="I1279" s="142">
        <v>18.867520321832959</v>
      </c>
      <c r="J1279" s="142">
        <v>51904.029206423351</v>
      </c>
      <c r="K1279" s="142">
        <v>159188.97610302709</v>
      </c>
      <c r="L1279" s="142">
        <v>18.857900000000001</v>
      </c>
      <c r="M1279" s="145">
        <v>9.6203218329584672E-3</v>
      </c>
      <c r="N1279" s="145">
        <v>1.316221951372359</v>
      </c>
      <c r="O1279" s="145">
        <v>2.0922737730622032E-3</v>
      </c>
      <c r="P1279" s="145">
        <v>4.0580834196326521E-3</v>
      </c>
      <c r="Q127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-4.8743232028414241E-4</v>
      </c>
      <c r="R127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0.89160458271786425</v>
      </c>
      <c r="S127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-3.8688224179850295E-5</v>
      </c>
      <c r="T127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-0.28486240880809532</v>
      </c>
      <c r="U127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-6.2072021833614599E-7</v>
      </c>
      <c r="V127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1.9302162986112315E-4</v>
      </c>
      <c r="W127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-1.2254053370241991E-5</v>
      </c>
      <c r="X127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-2.8317251483045425E-4</v>
      </c>
      <c r="Y1279" s="162" t="str">
        <f>ReportSummary___Track[[#This Row],[Track ID]]&amp;"-"&amp;ReportSummary___Track[[#This Row],[Epoch]]</f>
        <v>250-RL-OP-0040-45750.28125</v>
      </c>
      <c r="Z1279" s="126">
        <f>SUBTOTAL(103,ReportSummary___Track[[#This Row],[Track ID]])</f>
        <v>1</v>
      </c>
      <c r="AA1279" s="114">
        <f>_xlfn.NUMBERVALUE(RIGHT(ReportSummary___Track[[#This Row],[Track ID]],4))</f>
        <v>40</v>
      </c>
      <c r="AB1279" s="78"/>
    </row>
    <row r="1280" spans="5:28" ht="14.25" customHeight="1" x14ac:dyDescent="0.2">
      <c r="E1280" s="74">
        <v>45750.28125</v>
      </c>
      <c r="F1280" s="107" t="s">
        <v>280</v>
      </c>
      <c r="G1280" s="142">
        <v>51905.341841450259</v>
      </c>
      <c r="H1280" s="142">
        <v>159189.98317913548</v>
      </c>
      <c r="I1280" s="142">
        <v>18.868392406740742</v>
      </c>
      <c r="J1280" s="142">
        <v>51905.003849006323</v>
      </c>
      <c r="K1280" s="142">
        <v>159188.71094466935</v>
      </c>
      <c r="L1280" s="142">
        <v>18.858104686160278</v>
      </c>
      <c r="M1280" s="145">
        <v>1.0287720580464566E-2</v>
      </c>
      <c r="N1280" s="145">
        <v>1.3164061934536693</v>
      </c>
      <c r="O1280" s="145">
        <v>2.0629576174897579E-3</v>
      </c>
      <c r="P1280" s="145">
        <v>4.0651970987966024E-3</v>
      </c>
      <c r="Q128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28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0.96642015192172082</v>
      </c>
      <c r="S128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4.0000411871687902E-5</v>
      </c>
      <c r="T128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3.850128749149917E-5</v>
      </c>
      <c r="U128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-5.2204306655312394E-8</v>
      </c>
      <c r="V128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6.104127270445403E-5</v>
      </c>
      <c r="W128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-1.2658176729019033E-9</v>
      </c>
      <c r="X128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-3.2068883371039192E-7</v>
      </c>
      <c r="Y1280" s="162" t="str">
        <f>ReportSummary___Track[[#This Row],[Track ID]]&amp;"-"&amp;ReportSummary___Track[[#This Row],[Epoch]]</f>
        <v>250-RL-OP-0041-45750.28125</v>
      </c>
      <c r="Z1280" s="126">
        <f>SUBTOTAL(103,ReportSummary___Track[[#This Row],[Track ID]])</f>
        <v>1</v>
      </c>
      <c r="AA1280" s="114">
        <f>_xlfn.NUMBERVALUE(RIGHT(ReportSummary___Track[[#This Row],[Track ID]],4))</f>
        <v>41</v>
      </c>
      <c r="AB1280" s="78"/>
    </row>
    <row r="1281" spans="5:28" ht="14.25" customHeight="1" x14ac:dyDescent="0.2">
      <c r="E1281" s="74">
        <v>45750.28125</v>
      </c>
      <c r="F1281" s="107" t="s">
        <v>281</v>
      </c>
      <c r="G1281" s="142">
        <v>51906.308594977025</v>
      </c>
      <c r="H1281" s="142">
        <v>159189.72747487877</v>
      </c>
      <c r="I1281" s="142">
        <v>18.870110425193992</v>
      </c>
      <c r="J1281" s="142">
        <v>51905.970388620146</v>
      </c>
      <c r="K1281" s="142">
        <v>159188.45443149921</v>
      </c>
      <c r="L1281" s="142">
        <v>18.859577248464422</v>
      </c>
      <c r="M1281" s="145">
        <v>1.0533176729570215E-2</v>
      </c>
      <c r="N1281" s="145">
        <v>1.317244826864733</v>
      </c>
      <c r="O1281" s="145">
        <v>1.610634331605354E-3</v>
      </c>
      <c r="P1281" s="145">
        <v>3.6578909587881014E-3</v>
      </c>
      <c r="Q128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28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0.96641893956461722</v>
      </c>
      <c r="S128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2.6371636963062883E-4</v>
      </c>
      <c r="T128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2.4362269357425248E-4</v>
      </c>
      <c r="U128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-4.2777481112921123E-7</v>
      </c>
      <c r="V128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5.001860246987011E-4</v>
      </c>
      <c r="W128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-9.194545569357615E-8</v>
      </c>
      <c r="X128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-6.3786836470569597E-6</v>
      </c>
      <c r="Y1281" s="162" t="str">
        <f>ReportSummary___Track[[#This Row],[Track ID]]&amp;"-"&amp;ReportSummary___Track[[#This Row],[Epoch]]</f>
        <v>250-RL-OP-0042-45750.28125</v>
      </c>
      <c r="Z1281" s="126">
        <f>SUBTOTAL(103,ReportSummary___Track[[#This Row],[Track ID]])</f>
        <v>1</v>
      </c>
      <c r="AA1281" s="114">
        <f>_xlfn.NUMBERVALUE(RIGHT(ReportSummary___Track[[#This Row],[Track ID]],4))</f>
        <v>42</v>
      </c>
      <c r="AB1281" s="78"/>
    </row>
    <row r="1282" spans="5:28" ht="14.25" customHeight="1" x14ac:dyDescent="0.2">
      <c r="E1282" s="74">
        <v>45750.28125</v>
      </c>
      <c r="F1282" s="107" t="s">
        <v>282</v>
      </c>
      <c r="G1282" s="142">
        <v>51907.275348503783</v>
      </c>
      <c r="H1282" s="142">
        <v>159189.47177062207</v>
      </c>
      <c r="I1282" s="142">
        <v>18.871828443647242</v>
      </c>
      <c r="J1282" s="142">
        <v>51906.936928233976</v>
      </c>
      <c r="K1282" s="142">
        <v>159188.19791832904</v>
      </c>
      <c r="L1282" s="142">
        <v>18.861049810768563</v>
      </c>
      <c r="M1282" s="145">
        <v>1.0778632878679417E-2</v>
      </c>
      <c r="N1282" s="145">
        <v>1.3180835035769731</v>
      </c>
      <c r="O1282" s="145">
        <v>1.15831104572095E-3</v>
      </c>
      <c r="P1282" s="145">
        <v>3.2505848187831532E-3</v>
      </c>
      <c r="Q128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3.5527136788005009E-12</v>
      </c>
      <c r="R128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0.96641775134775898</v>
      </c>
      <c r="S128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4.8743232383685609E-4</v>
      </c>
      <c r="T128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4.4874409965700579E-4</v>
      </c>
      <c r="U128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-8.0334531560311007E-7</v>
      </c>
      <c r="V128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9.3932936797491706E-4</v>
      </c>
      <c r="W128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-1.8262509726696408E-7</v>
      </c>
      <c r="X128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-1.2436678467508955E-5</v>
      </c>
      <c r="Y1282" s="162" t="str">
        <f>ReportSummary___Track[[#This Row],[Track ID]]&amp;"-"&amp;ReportSummary___Track[[#This Row],[Epoch]]</f>
        <v>250-RL-OP-0043-45750.28125</v>
      </c>
      <c r="Z1282" s="126">
        <f>SUBTOTAL(103,ReportSummary___Track[[#This Row],[Track ID]])</f>
        <v>1</v>
      </c>
      <c r="AA1282" s="114">
        <f>_xlfn.NUMBERVALUE(RIGHT(ReportSummary___Track[[#This Row],[Track ID]],4))</f>
        <v>43</v>
      </c>
      <c r="AB1282" s="78"/>
    </row>
    <row r="1283" spans="5:28" ht="14.25" customHeight="1" x14ac:dyDescent="0.2">
      <c r="E1283" s="74">
        <v>45750.28125</v>
      </c>
      <c r="F1283" s="107" t="s">
        <v>283</v>
      </c>
      <c r="G1283" s="142">
        <v>51908.242806603892</v>
      </c>
      <c r="H1283" s="142">
        <v>159189.21950151515</v>
      </c>
      <c r="I1283" s="142">
        <v>18.873961962372281</v>
      </c>
      <c r="J1283" s="142">
        <v>51907.904517311959</v>
      </c>
      <c r="K1283" s="142">
        <v>159187.94520463253</v>
      </c>
      <c r="L1283" s="142">
        <v>18.862943624177834</v>
      </c>
      <c r="M1283" s="145">
        <v>1.1018338194446642E-2</v>
      </c>
      <c r="N1283" s="145">
        <v>1.318481548550934</v>
      </c>
      <c r="O1283" s="145">
        <v>7.3061761398207636E-4</v>
      </c>
      <c r="P1283" s="145">
        <v>2.7935752314718343E-3</v>
      </c>
      <c r="Q128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-1.0064641902118865E-2</v>
      </c>
      <c r="R128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0.8575067535119274</v>
      </c>
      <c r="S128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-1.0064641902118865E-2</v>
      </c>
      <c r="T128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-1.0024641490247177E-2</v>
      </c>
      <c r="U128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-9.8641438732727238E-6</v>
      </c>
      <c r="V128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9.8966454993987263E-4</v>
      </c>
      <c r="W128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-9.8119395666174114E-6</v>
      </c>
      <c r="X128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-9.8132053842903133E-6</v>
      </c>
      <c r="Y1283" s="162" t="str">
        <f>ReportSummary___Track[[#This Row],[Track ID]]&amp;"-"&amp;ReportSummary___Track[[#This Row],[Epoch]]</f>
        <v>250-RL-OP-0044-45750.28125</v>
      </c>
      <c r="Z1283" s="126">
        <f>SUBTOTAL(103,ReportSummary___Track[[#This Row],[Track ID]])</f>
        <v>1</v>
      </c>
      <c r="AA1283" s="114">
        <f>_xlfn.NUMBERVALUE(RIGHT(ReportSummary___Track[[#This Row],[Track ID]],4))</f>
        <v>44</v>
      </c>
      <c r="AB1283" s="78"/>
    </row>
    <row r="1284" spans="5:28" ht="14.25" customHeight="1" x14ac:dyDescent="0.2">
      <c r="E1284" s="74">
        <v>45750.28125</v>
      </c>
      <c r="F1284" s="107" t="s">
        <v>284</v>
      </c>
      <c r="G1284" s="142">
        <v>51909.212314637531</v>
      </c>
      <c r="H1284" s="142">
        <v>159188.97446066936</v>
      </c>
      <c r="I1284" s="142">
        <v>18.876987952848157</v>
      </c>
      <c r="J1284" s="142">
        <v>51908.87384457227</v>
      </c>
      <c r="K1284" s="142">
        <v>159187.69944542318</v>
      </c>
      <c r="L1284" s="142">
        <v>18.865603218816609</v>
      </c>
      <c r="M1284" s="145">
        <v>1.1384734031548049E-2</v>
      </c>
      <c r="N1284" s="145">
        <v>1.3192253314885676</v>
      </c>
      <c r="O1284" s="145">
        <v>8.5155730197783441E-4</v>
      </c>
      <c r="P1284" s="145">
        <v>2.4621916335831884E-3</v>
      </c>
      <c r="Q128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-4.9522172709259848E-3</v>
      </c>
      <c r="R128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0.55069237256311077</v>
      </c>
      <c r="S128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-4.9522172709259848E-3</v>
      </c>
      <c r="T128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-4.688500901295356E-3</v>
      </c>
      <c r="U128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-4.1210239594136056E-6</v>
      </c>
      <c r="V128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2.9199561772474958E-4</v>
      </c>
      <c r="W128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-3.6932491482843943E-6</v>
      </c>
      <c r="X128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-3.7851946039779705E-6</v>
      </c>
      <c r="Y1284" s="162" t="str">
        <f>ReportSummary___Track[[#This Row],[Track ID]]&amp;"-"&amp;ReportSummary___Track[[#This Row],[Epoch]]</f>
        <v>250-RL-OP-0045-45750.28125</v>
      </c>
      <c r="Z1284" s="126">
        <f>SUBTOTAL(103,ReportSummary___Track[[#This Row],[Track ID]])</f>
        <v>1</v>
      </c>
      <c r="AA1284" s="114">
        <f>_xlfn.NUMBERVALUE(RIGHT(ReportSummary___Track[[#This Row],[Track ID]],4))</f>
        <v>45</v>
      </c>
      <c r="AB1284" s="78"/>
    </row>
    <row r="1285" spans="5:28" ht="14.25" customHeight="1" x14ac:dyDescent="0.2">
      <c r="E1285" s="74">
        <v>45750.28125</v>
      </c>
      <c r="F1285" s="107" t="s">
        <v>285</v>
      </c>
      <c r="G1285" s="142">
        <v>51910.181822671162</v>
      </c>
      <c r="H1285" s="142">
        <v>159188.72941982359</v>
      </c>
      <c r="I1285" s="142">
        <v>18.880013943324034</v>
      </c>
      <c r="J1285" s="142">
        <v>51909.843171832581</v>
      </c>
      <c r="K1285" s="142">
        <v>159187.45368621382</v>
      </c>
      <c r="L1285" s="142">
        <v>18.868262813455381</v>
      </c>
      <c r="M1285" s="145">
        <v>1.175112986865301E-2</v>
      </c>
      <c r="N1285" s="145">
        <v>1.3199692127563145</v>
      </c>
      <c r="O1285" s="145">
        <v>9.7249698997359246E-4</v>
      </c>
      <c r="P1285" s="145">
        <v>2.1308080356945425E-3</v>
      </c>
      <c r="Q128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1.6020736737232255E-4</v>
      </c>
      <c r="R128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0.24388205682646102</v>
      </c>
      <c r="S128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1.6020736381960887E-4</v>
      </c>
      <c r="T128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6.4763968765646496E-4</v>
      </c>
      <c r="U128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1.6220959579982264E-6</v>
      </c>
      <c r="V128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-4.056671051506644E-4</v>
      </c>
      <c r="W128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2.4254412736013364E-6</v>
      </c>
      <c r="X128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2.2428161763343724E-6</v>
      </c>
      <c r="Y1285" s="162" t="str">
        <f>ReportSummary___Track[[#This Row],[Track ID]]&amp;"-"&amp;ReportSummary___Track[[#This Row],[Epoch]]</f>
        <v>250-RL-OP-0046-45750.28125</v>
      </c>
      <c r="Z1285" s="126">
        <f>SUBTOTAL(103,ReportSummary___Track[[#This Row],[Track ID]])</f>
        <v>1</v>
      </c>
      <c r="AA1285" s="114">
        <f>_xlfn.NUMBERVALUE(RIGHT(ReportSummary___Track[[#This Row],[Track ID]],4))</f>
        <v>46</v>
      </c>
      <c r="AB1285" s="78"/>
    </row>
    <row r="1286" spans="5:28" ht="14.25" customHeight="1" x14ac:dyDescent="0.2">
      <c r="E1286" s="74">
        <v>45750.28125</v>
      </c>
      <c r="F1286" s="107" t="s">
        <v>286</v>
      </c>
      <c r="G1286" s="142">
        <v>51911.151141496419</v>
      </c>
      <c r="H1286" s="142">
        <v>159188.48644319948</v>
      </c>
      <c r="I1286" s="142">
        <v>18.883328518492974</v>
      </c>
      <c r="J1286" s="142">
        <v>51910.834192576571</v>
      </c>
      <c r="K1286" s="142">
        <v>159187.20451747841</v>
      </c>
      <c r="L1286" s="142">
        <v>18.871138865821262</v>
      </c>
      <c r="M1286" s="145">
        <v>1.2189652671711571E-2</v>
      </c>
      <c r="N1286" s="145">
        <v>1.3205827349139858</v>
      </c>
      <c r="O1286" s="145">
        <v>1.1713144772649287E-3</v>
      </c>
      <c r="P1286" s="145">
        <v>1.901932091247005E-3</v>
      </c>
      <c r="Q128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2.8207205282626546E-3</v>
      </c>
      <c r="R128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-1.7360957086376416E-2</v>
      </c>
      <c r="S128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1.288536243038152E-2</v>
      </c>
      <c r="T128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2.8207205282626546E-3</v>
      </c>
      <c r="U128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-7.4030901885180356E-5</v>
      </c>
      <c r="V128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-9.5403346774824982E-4</v>
      </c>
      <c r="W128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-6.4166758011907632E-5</v>
      </c>
      <c r="X128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-7.3978697578525043E-5</v>
      </c>
      <c r="Y1286" s="162" t="str">
        <f>ReportSummary___Track[[#This Row],[Track ID]]&amp;"-"&amp;ReportSummary___Track[[#This Row],[Epoch]]</f>
        <v>250-RL-OP-0047-45750.28125</v>
      </c>
      <c r="Z1286" s="126">
        <f>SUBTOTAL(103,ReportSummary___Track[[#This Row],[Track ID]])</f>
        <v>1</v>
      </c>
      <c r="AA1286" s="114">
        <f>_xlfn.NUMBERVALUE(RIGHT(ReportSummary___Track[[#This Row],[Track ID]],4))</f>
        <v>47</v>
      </c>
      <c r="AB1286" s="78"/>
    </row>
    <row r="1287" spans="5:28" ht="14.25" customHeight="1" x14ac:dyDescent="0.2">
      <c r="E1287" s="74">
        <v>45750.28125</v>
      </c>
      <c r="F1287" s="107" t="s">
        <v>287</v>
      </c>
      <c r="G1287" s="142">
        <v>51912.122875350411</v>
      </c>
      <c r="H1287" s="142">
        <v>159188.25040524639</v>
      </c>
      <c r="I1287" s="142">
        <v>18.887733255176883</v>
      </c>
      <c r="J1287" s="142">
        <v>51911.805757288297</v>
      </c>
      <c r="K1287" s="142">
        <v>159186.96776749389</v>
      </c>
      <c r="L1287" s="142">
        <v>18.87452350082475</v>
      </c>
      <c r="M1287" s="145">
        <v>1.3209754352132563E-2</v>
      </c>
      <c r="N1287" s="145">
        <v>1.3213243232002616</v>
      </c>
      <c r="O1287" s="145">
        <v>1.8250203205845139E-3</v>
      </c>
      <c r="P1287" s="145">
        <v>2.6765776225623483E-3</v>
      </c>
      <c r="Q128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3.7873688718548237E-3</v>
      </c>
      <c r="R128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-9.9829179886157249E-2</v>
      </c>
      <c r="S128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8.7395861427808086E-3</v>
      </c>
      <c r="T128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3.7873688718548237E-3</v>
      </c>
      <c r="U128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-4.2522113854559507E-4</v>
      </c>
      <c r="V128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-8.751144387109111E-4</v>
      </c>
      <c r="W128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-4.2110011458618146E-4</v>
      </c>
      <c r="X128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-4.2479336373446586E-4</v>
      </c>
      <c r="Y1287" s="162" t="str">
        <f>ReportSummary___Track[[#This Row],[Track ID]]&amp;"-"&amp;ReportSummary___Track[[#This Row],[Epoch]]</f>
        <v>250-RL-OP-0048-45750.28125</v>
      </c>
      <c r="Z1287" s="126">
        <f>SUBTOTAL(103,ReportSummary___Track[[#This Row],[Track ID]])</f>
        <v>1</v>
      </c>
      <c r="AA1287" s="114">
        <f>_xlfn.NUMBERVALUE(RIGHT(ReportSummary___Track[[#This Row],[Track ID]],4))</f>
        <v>48</v>
      </c>
      <c r="AB1287" s="78"/>
    </row>
    <row r="1288" spans="5:28" ht="14.25" customHeight="1" x14ac:dyDescent="0.2">
      <c r="E1288" s="74">
        <v>45750.28125</v>
      </c>
      <c r="F1288" s="107" t="s">
        <v>288</v>
      </c>
      <c r="G1288" s="142">
        <v>51913.094609204403</v>
      </c>
      <c r="H1288" s="142">
        <v>159188.0143672933</v>
      </c>
      <c r="I1288" s="142">
        <v>18.892137991860796</v>
      </c>
      <c r="J1288" s="142">
        <v>51912.777322000016</v>
      </c>
      <c r="K1288" s="142">
        <v>159186.73101750933</v>
      </c>
      <c r="L1288" s="142">
        <v>18.877908135828239</v>
      </c>
      <c r="M1288" s="145">
        <v>1.4229856032557109E-2</v>
      </c>
      <c r="N1288" s="145">
        <v>1.322066687765147</v>
      </c>
      <c r="O1288" s="145">
        <v>2.4787261639040992E-3</v>
      </c>
      <c r="P1288" s="145">
        <v>3.4512231538776916E-3</v>
      </c>
      <c r="Q128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4.7540172225524202E-3</v>
      </c>
      <c r="R128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-0.18229458638785445</v>
      </c>
      <c r="S128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4.5938098551800977E-3</v>
      </c>
      <c r="T128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4.7540172189997065E-3</v>
      </c>
      <c r="U128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-7.7641137520600978E-4</v>
      </c>
      <c r="V128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-7.968273783931501E-4</v>
      </c>
      <c r="W128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-7.7803347116400801E-4</v>
      </c>
      <c r="X128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-7.7560802989040667E-4</v>
      </c>
      <c r="Y1288" s="162" t="str">
        <f>ReportSummary___Track[[#This Row],[Track ID]]&amp;"-"&amp;ReportSummary___Track[[#This Row],[Epoch]]</f>
        <v>250-RL-OP-0049-45750.28125</v>
      </c>
      <c r="Z1288" s="126">
        <f>SUBTOTAL(103,ReportSummary___Track[[#This Row],[Track ID]])</f>
        <v>1</v>
      </c>
      <c r="AA1288" s="114">
        <f>_xlfn.NUMBERVALUE(RIGHT(ReportSummary___Track[[#This Row],[Track ID]],4))</f>
        <v>49</v>
      </c>
      <c r="AB1288" s="78"/>
    </row>
    <row r="1289" spans="5:28" ht="14.25" customHeight="1" x14ac:dyDescent="0.2">
      <c r="E1289" s="74">
        <v>45743.493055555555</v>
      </c>
      <c r="F1289" s="107" t="s">
        <v>235</v>
      </c>
      <c r="G1289" s="142">
        <v>51886.101888031983</v>
      </c>
      <c r="H1289" s="142">
        <v>159195.44568170098</v>
      </c>
      <c r="I1289" s="142">
        <v>18.870056339802886</v>
      </c>
      <c r="J1289" s="142">
        <v>51885.743029335979</v>
      </c>
      <c r="K1289" s="142">
        <v>159194.18588073063</v>
      </c>
      <c r="L1289" s="142">
        <v>18.866068715969192</v>
      </c>
      <c r="M1289" s="145">
        <v>3.9876238336944425E-3</v>
      </c>
      <c r="N1289" s="145">
        <v>1.3099213525007136</v>
      </c>
      <c r="O1289" s="145"/>
      <c r="P1289" s="145"/>
      <c r="Q128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-0.28114091229980431</v>
      </c>
      <c r="R128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-0.19682388669606254</v>
      </c>
      <c r="S128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8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8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5.5274213295319896E-7</v>
      </c>
      <c r="V128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4.947033852280569E-4</v>
      </c>
      <c r="W128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8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89" s="162" t="str">
        <f>ReportSummary___Track[[#This Row],[Track ID]]&amp;"-"&amp;ReportSummary___Track[[#This Row],[Epoch]]</f>
        <v>250-RL-OP-0021-45743.4930555556</v>
      </c>
      <c r="Z1289" s="126">
        <f>SUBTOTAL(103,ReportSummary___Track[[#This Row],[Track ID]])</f>
        <v>1</v>
      </c>
      <c r="AA1289" s="114">
        <f>_xlfn.NUMBERVALUE(RIGHT(ReportSummary___Track[[#This Row],[Track ID]],4))</f>
        <v>21</v>
      </c>
      <c r="AB1289" s="78"/>
    </row>
    <row r="1290" spans="5:28" ht="14.25" customHeight="1" x14ac:dyDescent="0.2">
      <c r="E1290" s="74">
        <v>45743.493055555555</v>
      </c>
      <c r="F1290" s="107" t="s">
        <v>236</v>
      </c>
      <c r="G1290" s="142">
        <v>51887.063534667497</v>
      </c>
      <c r="H1290" s="142">
        <v>159195.17139035295</v>
      </c>
      <c r="I1290" s="142">
        <v>18.870125570329904</v>
      </c>
      <c r="J1290" s="142">
        <v>51886.704122287876</v>
      </c>
      <c r="K1290" s="142">
        <v>159193.90965564727</v>
      </c>
      <c r="L1290" s="142">
        <v>18.866271499586006</v>
      </c>
      <c r="M1290" s="145">
        <v>3.8540707438983191E-3</v>
      </c>
      <c r="N1290" s="145">
        <v>1.3119323839300117</v>
      </c>
      <c r="O1290" s="145"/>
      <c r="P1290" s="145"/>
      <c r="Q129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-0.61905051880017936</v>
      </c>
      <c r="R129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-9.6429165074463086E-2</v>
      </c>
      <c r="S129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9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9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8.7891843456588958E-6</v>
      </c>
      <c r="V129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2.6335736831617496E-4</v>
      </c>
      <c r="W129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9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90" s="162" t="str">
        <f>ReportSummary___Track[[#This Row],[Track ID]]&amp;"-"&amp;ReportSummary___Track[[#This Row],[Epoch]]</f>
        <v>250-RL-OP-0022-45743.4930555556</v>
      </c>
      <c r="Z1290" s="126">
        <f>SUBTOTAL(103,ReportSummary___Track[[#This Row],[Track ID]])</f>
        <v>1</v>
      </c>
      <c r="AA1290" s="114">
        <f>_xlfn.NUMBERVALUE(RIGHT(ReportSummary___Track[[#This Row],[Track ID]],4))</f>
        <v>22</v>
      </c>
      <c r="AB1290" s="78"/>
    </row>
    <row r="1291" spans="5:28" ht="14.25" customHeight="1" x14ac:dyDescent="0.2">
      <c r="E1291" s="74">
        <v>45743.493055555555</v>
      </c>
      <c r="F1291" s="107" t="s">
        <v>237</v>
      </c>
      <c r="G1291" s="142">
        <v>51888.025181303019</v>
      </c>
      <c r="H1291" s="142">
        <v>159194.89709900491</v>
      </c>
      <c r="I1291" s="142">
        <v>18.870194800856918</v>
      </c>
      <c r="J1291" s="142">
        <v>51887.665215239773</v>
      </c>
      <c r="K1291" s="142">
        <v>159193.63343056387</v>
      </c>
      <c r="L1291" s="142">
        <v>18.866474283202823</v>
      </c>
      <c r="M1291" s="145">
        <v>3.7205176540950902E-3</v>
      </c>
      <c r="N1291" s="145">
        <v>1.3139434302201387</v>
      </c>
      <c r="O1291" s="145"/>
      <c r="P1291" s="145"/>
      <c r="Q129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-0.95696012530765984</v>
      </c>
      <c r="R129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3.9506097511132765E-3</v>
      </c>
      <c r="S1291"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29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9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1.7025626547706452E-5</v>
      </c>
      <c r="V129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3.2009403630572919E-5</v>
      </c>
      <c r="W1291"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29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91" s="162" t="str">
        <f>ReportSummary___Track[[#This Row],[Track ID]]&amp;"-"&amp;ReportSummary___Track[[#This Row],[Epoch]]</f>
        <v>250-RL-OP-0023-45743.4930555556</v>
      </c>
      <c r="Z1291" s="126">
        <f>SUBTOTAL(103,ReportSummary___Track[[#This Row],[Track ID]])</f>
        <v>1</v>
      </c>
      <c r="AA1291" s="114">
        <f>_xlfn.NUMBERVALUE(RIGHT(ReportSummary___Track[[#This Row],[Track ID]],4))</f>
        <v>23</v>
      </c>
      <c r="AB1291" s="78"/>
    </row>
    <row r="1292" spans="5:28" ht="14.25" customHeight="1" x14ac:dyDescent="0.2">
      <c r="E1292" s="74">
        <v>45743.493055555555</v>
      </c>
      <c r="F1292" s="107" t="s">
        <v>238</v>
      </c>
      <c r="G1292" s="142">
        <v>51888.986205860805</v>
      </c>
      <c r="H1292" s="142">
        <v>159194.62172788166</v>
      </c>
      <c r="I1292" s="142">
        <v>18.869514793813725</v>
      </c>
      <c r="J1292" s="142">
        <v>51888.624024107339</v>
      </c>
      <c r="K1292" s="142">
        <v>159193.35679670321</v>
      </c>
      <c r="L1292" s="142">
        <v>18.86545332152658</v>
      </c>
      <c r="M1292" s="145">
        <v>4.0614722871445963E-3</v>
      </c>
      <c r="N1292" s="145">
        <v>1.3157670782895583</v>
      </c>
      <c r="O1292" s="145">
        <v>7.3848453450153784E-5</v>
      </c>
      <c r="P1292" s="145"/>
      <c r="Q129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-0.70094927193409262</v>
      </c>
      <c r="R129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-2.3510422575423462E-3</v>
      </c>
      <c r="S129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-0.41980835963428831</v>
      </c>
      <c r="T129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9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-3.6042596462948495E-8</v>
      </c>
      <c r="V129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-1.2082478792141416E-5</v>
      </c>
      <c r="W129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-5.8878472941614746E-7</v>
      </c>
      <c r="X129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92" s="162" t="str">
        <f>ReportSummary___Track[[#This Row],[Track ID]]&amp;"-"&amp;ReportSummary___Track[[#This Row],[Epoch]]</f>
        <v>250-RL-OP-0024-45743.4930555556</v>
      </c>
      <c r="Z1292" s="126">
        <f>SUBTOTAL(103,ReportSummary___Track[[#This Row],[Track ID]])</f>
        <v>1</v>
      </c>
      <c r="AA1292" s="114">
        <f>_xlfn.NUMBERVALUE(RIGHT(ReportSummary___Track[[#This Row],[Track ID]],4))</f>
        <v>24</v>
      </c>
      <c r="AB1292" s="78"/>
    </row>
    <row r="1293" spans="5:28" ht="14.25" customHeight="1" x14ac:dyDescent="0.2">
      <c r="E1293" s="74">
        <v>45743.493055555555</v>
      </c>
      <c r="F1293" s="107" t="s">
        <v>239</v>
      </c>
      <c r="G1293" s="142">
        <v>51889.947492753308</v>
      </c>
      <c r="H1293" s="142">
        <v>159194.34617940843</v>
      </c>
      <c r="I1293" s="142">
        <v>18.868773709900385</v>
      </c>
      <c r="J1293" s="142">
        <v>51889.58479107709</v>
      </c>
      <c r="K1293" s="142">
        <v>159193.07944244222</v>
      </c>
      <c r="L1293" s="142">
        <v>18.864251762034648</v>
      </c>
      <c r="M1293" s="145">
        <v>4.5219478657365642E-3</v>
      </c>
      <c r="N1293" s="145">
        <v>1.3176477129731627</v>
      </c>
      <c r="O1293" s="145">
        <v>6.678771218382451E-4</v>
      </c>
      <c r="P1293" s="145"/>
      <c r="Q129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-0.35764686340655771</v>
      </c>
      <c r="R129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-1.277343800731856E-3</v>
      </c>
      <c r="S129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0.26140365539362165</v>
      </c>
      <c r="T129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9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-8.164124665199779E-8</v>
      </c>
      <c r="V129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-6.0635094911720699E-6</v>
      </c>
      <c r="W129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-8.8708255923108936E-6</v>
      </c>
      <c r="X129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93" s="162" t="str">
        <f>ReportSummary___Track[[#This Row],[Track ID]]&amp;"-"&amp;ReportSummary___Track[[#This Row],[Epoch]]</f>
        <v>250-RL-OP-0025-45743.4930555556</v>
      </c>
      <c r="Z1293" s="126">
        <f>SUBTOTAL(103,ReportSummary___Track[[#This Row],[Track ID]])</f>
        <v>1</v>
      </c>
      <c r="AA1293" s="114">
        <f>_xlfn.NUMBERVALUE(RIGHT(ReportSummary___Track[[#This Row],[Track ID]],4))</f>
        <v>25</v>
      </c>
      <c r="AB1293" s="78"/>
    </row>
    <row r="1294" spans="5:28" ht="14.25" customHeight="1" x14ac:dyDescent="0.2">
      <c r="E1294" s="74">
        <v>45743.493055555555</v>
      </c>
      <c r="F1294" s="107" t="s">
        <v>240</v>
      </c>
      <c r="G1294" s="142">
        <v>51890.908779645804</v>
      </c>
      <c r="H1294" s="142">
        <v>159194.0706309352</v>
      </c>
      <c r="I1294" s="142">
        <v>18.868032625987045</v>
      </c>
      <c r="J1294" s="142">
        <v>51890.545558046833</v>
      </c>
      <c r="K1294" s="142">
        <v>159192.80208818123</v>
      </c>
      <c r="L1294" s="142">
        <v>18.86305020254272</v>
      </c>
      <c r="M1294" s="145">
        <v>4.9824234443249793E-3</v>
      </c>
      <c r="N1294" s="145">
        <v>1.3195285041066367</v>
      </c>
      <c r="O1294" s="145">
        <v>1.2619057902298891E-3</v>
      </c>
      <c r="P1294" s="145"/>
      <c r="Q129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-1.4344454882575519E-2</v>
      </c>
      <c r="R129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-5.6442571505499473E-5</v>
      </c>
      <c r="S129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0.94261567042508432</v>
      </c>
      <c r="T129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29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-1.2723990394647444E-7</v>
      </c>
      <c r="V129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-4.4580764635426817E-8</v>
      </c>
      <c r="W129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-1.7152866451652926E-5</v>
      </c>
      <c r="X129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294" s="162" t="str">
        <f>ReportSummary___Track[[#This Row],[Track ID]]&amp;"-"&amp;ReportSummary___Track[[#This Row],[Epoch]]</f>
        <v>250-RL-OP-0026-45743.4930555556</v>
      </c>
      <c r="Z1294" s="126">
        <f>SUBTOTAL(103,ReportSummary___Track[[#This Row],[Track ID]])</f>
        <v>1</v>
      </c>
      <c r="AA1294" s="114">
        <f>_xlfn.NUMBERVALUE(RIGHT(ReportSummary___Track[[#This Row],[Track ID]],4))</f>
        <v>26</v>
      </c>
      <c r="AB1294" s="78"/>
    </row>
    <row r="1295" spans="5:28" ht="14.25" customHeight="1" x14ac:dyDescent="0.2">
      <c r="E1295" s="74">
        <v>45743.493055555555</v>
      </c>
      <c r="F1295" s="107" t="s">
        <v>241</v>
      </c>
      <c r="G1295" s="142">
        <v>51891.869997674046</v>
      </c>
      <c r="H1295" s="142">
        <v>159193.79403821289</v>
      </c>
      <c r="I1295" s="142">
        <v>18.865661670375356</v>
      </c>
      <c r="J1295" s="142">
        <v>51891.504267267614</v>
      </c>
      <c r="K1295" s="142">
        <v>159192.5256090266</v>
      </c>
      <c r="L1295" s="142">
        <v>18.861283294009535</v>
      </c>
      <c r="M1295" s="145">
        <v>4.3783763658211683E-3</v>
      </c>
      <c r="N1295" s="145">
        <v>1.3201100336646869</v>
      </c>
      <c r="O1295" s="145">
        <v>3.16904078676572E-4</v>
      </c>
      <c r="P1295" s="145">
        <v>3.9075253212672578E-4</v>
      </c>
      <c r="Q129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-0.3245699557119508</v>
      </c>
      <c r="R129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-9.0894052314771656E-2</v>
      </c>
      <c r="S129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0.37637931622214182</v>
      </c>
      <c r="T129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-4.3429043412146484E-2</v>
      </c>
      <c r="U129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6.1555653019240708E-8</v>
      </c>
      <c r="V129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-5.2712617877315182E-6</v>
      </c>
      <c r="W129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9.7598249482189203E-8</v>
      </c>
      <c r="X129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-4.9118647993395825E-7</v>
      </c>
      <c r="Y1295" s="162" t="str">
        <f>ReportSummary___Track[[#This Row],[Track ID]]&amp;"-"&amp;ReportSummary___Track[[#This Row],[Epoch]]</f>
        <v>250-RL-OP-0027-45743.4930555556</v>
      </c>
      <c r="Z1295" s="126">
        <f>SUBTOTAL(103,ReportSummary___Track[[#This Row],[Track ID]])</f>
        <v>1</v>
      </c>
      <c r="AA1295" s="114">
        <f>_xlfn.NUMBERVALUE(RIGHT(ReportSummary___Track[[#This Row],[Track ID]],4))</f>
        <v>27</v>
      </c>
      <c r="AB1295" s="78"/>
    </row>
    <row r="1296" spans="5:28" ht="14.25" customHeight="1" x14ac:dyDescent="0.2">
      <c r="E1296" s="74">
        <v>45743.493055555555</v>
      </c>
      <c r="F1296" s="107" t="s">
        <v>242</v>
      </c>
      <c r="G1296" s="142">
        <v>51892.83098666594</v>
      </c>
      <c r="H1296" s="142">
        <v>159193.51746240538</v>
      </c>
      <c r="I1296" s="142">
        <v>18.863216230483452</v>
      </c>
      <c r="J1296" s="142">
        <v>51892.465111689802</v>
      </c>
      <c r="K1296" s="142">
        <v>159192.24852641847</v>
      </c>
      <c r="L1296" s="142">
        <v>18.859487576446288</v>
      </c>
      <c r="M1296" s="145">
        <v>3.7286540371646026E-3</v>
      </c>
      <c r="N1296" s="145">
        <v>1.3206350517469128</v>
      </c>
      <c r="O1296" s="145">
        <v>-7.9329382857196151E-4</v>
      </c>
      <c r="P1296" s="145">
        <v>-1.2541670673371641E-4</v>
      </c>
      <c r="Q129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-0.66407827758752092</v>
      </c>
      <c r="R129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-0.18572940129835125</v>
      </c>
      <c r="S129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-0.3064314141809632</v>
      </c>
      <c r="T129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-4.5027758787341554E-2</v>
      </c>
      <c r="U129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1.2589569919896348E-7</v>
      </c>
      <c r="V129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-1.0715978959963124E-5</v>
      </c>
      <c r="W129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2.0753694585096127E-7</v>
      </c>
      <c r="X129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-8.6632886464599324E-6</v>
      </c>
      <c r="Y1296" s="162" t="str">
        <f>ReportSummary___Track[[#This Row],[Track ID]]&amp;"-"&amp;ReportSummary___Track[[#This Row],[Epoch]]</f>
        <v>250-RL-OP-0028-45743.4930555556</v>
      </c>
      <c r="Z1296" s="126">
        <f>SUBTOTAL(103,ReportSummary___Track[[#This Row],[Track ID]])</f>
        <v>1</v>
      </c>
      <c r="AA1296" s="114">
        <f>_xlfn.NUMBERVALUE(RIGHT(ReportSummary___Track[[#This Row],[Track ID]],4))</f>
        <v>28</v>
      </c>
      <c r="AB1296" s="78"/>
    </row>
    <row r="1297" spans="5:28" ht="14.25" customHeight="1" x14ac:dyDescent="0.2">
      <c r="E1297" s="74">
        <v>45743.493055555555</v>
      </c>
      <c r="F1297" s="107" t="s">
        <v>243</v>
      </c>
      <c r="G1297" s="142">
        <v>51893.791834256968</v>
      </c>
      <c r="H1297" s="142">
        <v>159193.24088966311</v>
      </c>
      <c r="I1297" s="142">
        <v>18.860908805651452</v>
      </c>
      <c r="J1297" s="142">
        <v>51893.426692580288</v>
      </c>
      <c r="K1297" s="142">
        <v>159191.97123179527</v>
      </c>
      <c r="L1297" s="142">
        <v>18.857700906411129</v>
      </c>
      <c r="M1297" s="145">
        <v>3.2078992403228312E-3</v>
      </c>
      <c r="N1297" s="145">
        <v>1.3211244589535895</v>
      </c>
      <c r="O1297" s="145">
        <v>-1.7745242040021481E-3</v>
      </c>
      <c r="P1297" s="145">
        <v>-5.1261841377225892E-4</v>
      </c>
      <c r="Q129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-0.99819089966857177</v>
      </c>
      <c r="R129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-0.27415074417302954</v>
      </c>
      <c r="S129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-0.98384644478599625</v>
      </c>
      <c r="T129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-4.1230774360911937E-2</v>
      </c>
      <c r="U129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-1.5798478006701089E-5</v>
      </c>
      <c r="V129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-3.8456536843867184E-8</v>
      </c>
      <c r="W129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-1.5671238102754614E-5</v>
      </c>
      <c r="X129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-3.282410455440754E-5</v>
      </c>
      <c r="Y1297" s="162" t="str">
        <f>ReportSummary___Track[[#This Row],[Track ID]]&amp;"-"&amp;ReportSummary___Track[[#This Row],[Epoch]]</f>
        <v>250-RL-OP-0029-45743.4930555556</v>
      </c>
      <c r="Z1297" s="126">
        <f>SUBTOTAL(103,ReportSummary___Track[[#This Row],[Track ID]])</f>
        <v>1</v>
      </c>
      <c r="AA1297" s="114">
        <f>_xlfn.NUMBERVALUE(RIGHT(ReportSummary___Track[[#This Row],[Track ID]],4))</f>
        <v>29</v>
      </c>
      <c r="AB1297" s="78"/>
    </row>
    <row r="1298" spans="5:28" ht="14.25" customHeight="1" x14ac:dyDescent="0.2">
      <c r="E1298" s="74">
        <v>45743.493055555555</v>
      </c>
      <c r="F1298" s="107" t="s">
        <v>269</v>
      </c>
      <c r="G1298" s="142">
        <v>51894.752636096942</v>
      </c>
      <c r="H1298" s="142">
        <v>159192.96365366908</v>
      </c>
      <c r="I1298" s="142">
        <v>18.861075895811787</v>
      </c>
      <c r="J1298" s="142">
        <v>51894.387556785732</v>
      </c>
      <c r="K1298" s="142">
        <v>159191.69421203164</v>
      </c>
      <c r="L1298" s="142">
        <v>18.85787192737892</v>
      </c>
      <c r="M1298" s="145">
        <v>3.203968432867299E-3</v>
      </c>
      <c r="N1298" s="145">
        <v>1.3208994056181242</v>
      </c>
      <c r="O1298" s="145">
        <v>-1.1744079329538692E-3</v>
      </c>
      <c r="P1298" s="145">
        <v>-8.5750385427729725E-4</v>
      </c>
      <c r="Q129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-0.6563712580742731</v>
      </c>
      <c r="R129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-8.5708194867084586E-2</v>
      </c>
      <c r="S129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-0.3318013023623223</v>
      </c>
      <c r="T129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4.4578013859819521E-2</v>
      </c>
      <c r="U129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-7.9368671421775616E-6</v>
      </c>
      <c r="V129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-1.9317525579154449E-8</v>
      </c>
      <c r="W129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-7.9984227951968023E-6</v>
      </c>
      <c r="X129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-7.9008245457146131E-6</v>
      </c>
      <c r="Y1298" s="162" t="str">
        <f>ReportSummary___Track[[#This Row],[Track ID]]&amp;"-"&amp;ReportSummary___Track[[#This Row],[Epoch]]</f>
        <v>250-RL-OP-0030-45743.4930555556</v>
      </c>
      <c r="Z1298" s="126">
        <f>SUBTOTAL(103,ReportSummary___Track[[#This Row],[Track ID]])</f>
        <v>1</v>
      </c>
      <c r="AA1298" s="114">
        <f>_xlfn.NUMBERVALUE(RIGHT(ReportSummary___Track[[#This Row],[Track ID]],4))</f>
        <v>30</v>
      </c>
      <c r="AB1298" s="78"/>
    </row>
    <row r="1299" spans="5:28" ht="14.25" customHeight="1" x14ac:dyDescent="0.2">
      <c r="E1299" s="74">
        <v>45743.493055555555</v>
      </c>
      <c r="F1299" s="107" t="s">
        <v>270</v>
      </c>
      <c r="G1299" s="142">
        <v>51895.713437936916</v>
      </c>
      <c r="H1299" s="142">
        <v>159192.68641767505</v>
      </c>
      <c r="I1299" s="142">
        <v>18.861242985972126</v>
      </c>
      <c r="J1299" s="142">
        <v>51895.348420991184</v>
      </c>
      <c r="K1299" s="142">
        <v>159191.41719226798</v>
      </c>
      <c r="L1299" s="142">
        <v>18.858042948346714</v>
      </c>
      <c r="M1299" s="145">
        <v>3.2000376254117668E-3</v>
      </c>
      <c r="N1299" s="145">
        <v>1.3206743523173148</v>
      </c>
      <c r="O1299" s="145">
        <v>-5.286164117528358E-4</v>
      </c>
      <c r="P1299" s="145">
        <v>-1.3219102403247973E-3</v>
      </c>
      <c r="Q129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-0.31455161647997443</v>
      </c>
      <c r="R129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0.10264452406216762</v>
      </c>
      <c r="S129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0.34952666110754649</v>
      </c>
      <c r="T129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4.3095246926583286E-2</v>
      </c>
      <c r="U129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-7.525627765403442E-8</v>
      </c>
      <c r="V129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-2.1365420543872915E-10</v>
      </c>
      <c r="W129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-2.011519768529979E-7</v>
      </c>
      <c r="X129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6.3849689979633695E-9</v>
      </c>
      <c r="Y1299" s="162" t="str">
        <f>ReportSummary___Track[[#This Row],[Track ID]]&amp;"-"&amp;ReportSummary___Track[[#This Row],[Epoch]]</f>
        <v>250-RL-OP-0031-45743.4930555556</v>
      </c>
      <c r="Z1299" s="126">
        <f>SUBTOTAL(103,ReportSummary___Track[[#This Row],[Track ID]])</f>
        <v>1</v>
      </c>
      <c r="AA1299" s="114">
        <f>_xlfn.NUMBERVALUE(RIGHT(ReportSummary___Track[[#This Row],[Track ID]],4))</f>
        <v>31</v>
      </c>
      <c r="AB1299" s="78"/>
    </row>
    <row r="1300" spans="5:28" ht="14.25" customHeight="1" x14ac:dyDescent="0.2">
      <c r="E1300" s="74">
        <v>45743.493055555555</v>
      </c>
      <c r="F1300" s="107" t="s">
        <v>271</v>
      </c>
      <c r="G1300" s="142">
        <v>51896.675404337235</v>
      </c>
      <c r="H1300" s="142">
        <v>159192.40890242261</v>
      </c>
      <c r="I1300" s="142">
        <v>18.861498400271905</v>
      </c>
      <c r="J1300" s="142">
        <v>51896.30852141809</v>
      </c>
      <c r="K1300" s="142">
        <v>159191.14070884953</v>
      </c>
      <c r="L1300" s="142">
        <v>18.858247340168667</v>
      </c>
      <c r="M1300" s="145">
        <v>3.2510601032385011E-3</v>
      </c>
      <c r="N1300" s="145">
        <v>1.320200206238723</v>
      </c>
      <c r="O1300" s="145">
        <v>4.3160862915669895E-5</v>
      </c>
      <c r="P1300" s="145">
        <v>-1.7313633410864782E-3</v>
      </c>
      <c r="Q130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4.2337170214068465E-5</v>
      </c>
      <c r="R130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0.2921895779259831</v>
      </c>
      <c r="S130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0.99823323683878584</v>
      </c>
      <c r="T130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1.4386792052789588E-2</v>
      </c>
      <c r="U130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-1.5688829790860837E-8</v>
      </c>
      <c r="V130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7.6108755888704138E-6</v>
      </c>
      <c r="W130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1.5782789176910228E-5</v>
      </c>
      <c r="X130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1.1155107415561361E-7</v>
      </c>
      <c r="Y1300" s="162" t="str">
        <f>ReportSummary___Track[[#This Row],[Track ID]]&amp;"-"&amp;ReportSummary___Track[[#This Row],[Epoch]]</f>
        <v>250-RL-OP-0032-45743.4930555556</v>
      </c>
      <c r="Z1300" s="126">
        <f>SUBTOTAL(103,ReportSummary___Track[[#This Row],[Track ID]])</f>
        <v>1</v>
      </c>
      <c r="AA1300" s="114">
        <f>_xlfn.NUMBERVALUE(RIGHT(ReportSummary___Track[[#This Row],[Track ID]],4))</f>
        <v>32</v>
      </c>
      <c r="AB1300" s="78"/>
    </row>
    <row r="1301" spans="5:28" ht="14.25" customHeight="1" x14ac:dyDescent="0.2">
      <c r="E1301" s="74">
        <v>45743.493055555555</v>
      </c>
      <c r="F1301" s="107" t="s">
        <v>272</v>
      </c>
      <c r="G1301" s="142">
        <v>51897.636450471109</v>
      </c>
      <c r="H1301" s="142">
        <v>159192.13251905018</v>
      </c>
      <c r="I1301" s="142">
        <v>18.863098404693126</v>
      </c>
      <c r="J1301" s="142">
        <v>51897.270420156819</v>
      </c>
      <c r="K1301" s="142">
        <v>159190.8673035219</v>
      </c>
      <c r="L1301" s="142">
        <v>18.858833233345248</v>
      </c>
      <c r="M1301" s="145">
        <v>4.2651713478782938E-3</v>
      </c>
      <c r="N1301" s="145">
        <v>1.3171054307377439</v>
      </c>
      <c r="O1301" s="145">
        <v>1.0612029150109947E-3</v>
      </c>
      <c r="P1301" s="145">
        <v>-1.1320501794287452E-4</v>
      </c>
      <c r="Q130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7.3074642514825427E-4</v>
      </c>
      <c r="R130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0.53023736811397271</v>
      </c>
      <c r="S130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0.65710200449942135</v>
      </c>
      <c r="T130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0.32530070213709905</v>
      </c>
      <c r="U130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-2.0985751092439386E-7</v>
      </c>
      <c r="V130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1.0180471441723071E-4</v>
      </c>
      <c r="W130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7.7270096312531678E-6</v>
      </c>
      <c r="X130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-2.7141316394363457E-7</v>
      </c>
      <c r="Y1301" s="162" t="str">
        <f>ReportSummary___Track[[#This Row],[Track ID]]&amp;"-"&amp;ReportSummary___Track[[#This Row],[Epoch]]</f>
        <v>250-RL-OP-0033-45743.4930555556</v>
      </c>
      <c r="Z1301" s="126">
        <f>SUBTOTAL(103,ReportSummary___Track[[#This Row],[Track ID]])</f>
        <v>1</v>
      </c>
      <c r="AA1301" s="114">
        <f>_xlfn.NUMBERVALUE(RIGHT(ReportSummary___Track[[#This Row],[Track ID]],4))</f>
        <v>33</v>
      </c>
      <c r="AB1301" s="78"/>
    </row>
    <row r="1302" spans="5:28" ht="14.25" customHeight="1" x14ac:dyDescent="0.2">
      <c r="E1302" s="74">
        <v>45743.493055555555</v>
      </c>
      <c r="F1302" s="107" t="s">
        <v>273</v>
      </c>
      <c r="G1302" s="142">
        <v>51898.597496604991</v>
      </c>
      <c r="H1302" s="142">
        <v>159191.85613567778</v>
      </c>
      <c r="I1302" s="142">
        <v>18.86469840911435</v>
      </c>
      <c r="J1302" s="142">
        <v>51898.232318895542</v>
      </c>
      <c r="K1302" s="142">
        <v>159190.59389819429</v>
      </c>
      <c r="L1302" s="142">
        <v>18.859419126521825</v>
      </c>
      <c r="M1302" s="145">
        <v>5.2792825925251918E-3</v>
      </c>
      <c r="N1302" s="145">
        <v>1.3140114516359771</v>
      </c>
      <c r="O1302" s="145">
        <v>2.079244967113425E-3</v>
      </c>
      <c r="P1302" s="145">
        <v>1.5506285553605892E-3</v>
      </c>
      <c r="Q130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1.4191556871878674E-3</v>
      </c>
      <c r="R130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0.76828473263179653</v>
      </c>
      <c r="S130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0.31597077216716229</v>
      </c>
      <c r="T130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0.66549743327470878</v>
      </c>
      <c r="U130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-4.0402618850521321E-7</v>
      </c>
      <c r="V130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1.9599768088718328E-4</v>
      </c>
      <c r="W130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-3.2876991085117879E-7</v>
      </c>
      <c r="X130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-5.299218877041767E-7</v>
      </c>
      <c r="Y1302" s="162" t="str">
        <f>ReportSummary___Track[[#This Row],[Track ID]]&amp;"-"&amp;ReportSummary___Track[[#This Row],[Epoch]]</f>
        <v>250-RL-OP-0034-45743.4930555556</v>
      </c>
      <c r="Z1302" s="126">
        <f>SUBTOTAL(103,ReportSummary___Track[[#This Row],[Track ID]])</f>
        <v>1</v>
      </c>
      <c r="AA1302" s="114">
        <f>_xlfn.NUMBERVALUE(RIGHT(ReportSummary___Track[[#This Row],[Track ID]],4))</f>
        <v>34</v>
      </c>
      <c r="AB1302" s="78"/>
    </row>
    <row r="1303" spans="5:28" ht="14.25" customHeight="1" x14ac:dyDescent="0.2">
      <c r="E1303" s="74">
        <v>45743.493055555555</v>
      </c>
      <c r="F1303" s="107" t="s">
        <v>274</v>
      </c>
      <c r="G1303" s="142">
        <v>51899.557732431109</v>
      </c>
      <c r="H1303" s="142">
        <v>159191.5813204289</v>
      </c>
      <c r="I1303" s="142">
        <v>18.866</v>
      </c>
      <c r="J1303" s="142">
        <v>51899.20245636288</v>
      </c>
      <c r="K1303" s="142">
        <v>159190.31856323991</v>
      </c>
      <c r="L1303" s="142">
        <v>18.859777438017044</v>
      </c>
      <c r="M1303" s="145">
        <v>6.2225619829554546E-3</v>
      </c>
      <c r="N1303" s="145">
        <v>1.3117985833499943</v>
      </c>
      <c r="O1303" s="145">
        <v>2.9715018797169535E-3</v>
      </c>
      <c r="P1303" s="145">
        <v>3.0146627426326233E-3</v>
      </c>
      <c r="Q130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0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0.96258715211017254</v>
      </c>
      <c r="S130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-4.2337170214068465E-5</v>
      </c>
      <c r="T130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0.99819089966857177</v>
      </c>
      <c r="U130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3.0698581454657869E-7</v>
      </c>
      <c r="V130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3.12505449344469E-4</v>
      </c>
      <c r="W130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3.2267464433743953E-7</v>
      </c>
      <c r="X130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1.6105463821247668E-5</v>
      </c>
      <c r="Y1303" s="162" t="str">
        <f>ReportSummary___Track[[#This Row],[Track ID]]&amp;"-"&amp;ReportSummary___Track[[#This Row],[Epoch]]</f>
        <v>250-RL-OP-0035-45743.4930555556</v>
      </c>
      <c r="Z1303" s="126">
        <f>SUBTOTAL(103,ReportSummary___Track[[#This Row],[Track ID]])</f>
        <v>1</v>
      </c>
      <c r="AA1303" s="114">
        <f>_xlfn.NUMBERVALUE(RIGHT(ReportSummary___Track[[#This Row],[Track ID]],4))</f>
        <v>35</v>
      </c>
      <c r="AB1303" s="78"/>
    </row>
    <row r="1304" spans="5:28" ht="14.25" customHeight="1" x14ac:dyDescent="0.2">
      <c r="E1304" s="74">
        <v>45743.493055555555</v>
      </c>
      <c r="F1304" s="107" t="s">
        <v>275</v>
      </c>
      <c r="G1304" s="142">
        <v>51900.520670537458</v>
      </c>
      <c r="H1304" s="142">
        <v>159191.31159797279</v>
      </c>
      <c r="I1304" s="142">
        <v>18.866</v>
      </c>
      <c r="J1304" s="142">
        <v>51900.164930325984</v>
      </c>
      <c r="K1304" s="142">
        <v>159190.04718998409</v>
      </c>
      <c r="L1304" s="142">
        <v>18.859124470606524</v>
      </c>
      <c r="M1304" s="145">
        <v>6.8755293934756878E-3</v>
      </c>
      <c r="N1304" s="145">
        <v>1.3135166283083544</v>
      </c>
      <c r="O1304" s="145">
        <v>2.610358045597394E-3</v>
      </c>
      <c r="P1304" s="145">
        <v>3.6715609606083888E-3</v>
      </c>
      <c r="Q130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0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0.96258489062961416</v>
      </c>
      <c r="S130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-7.3074642514825427E-4</v>
      </c>
      <c r="T130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0.6563712580742731</v>
      </c>
      <c r="U130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6.1945315295020009E-6</v>
      </c>
      <c r="V130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5.3119406463109087E-4</v>
      </c>
      <c r="W130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6.4043890404263948E-6</v>
      </c>
      <c r="X130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1.4131398671679563E-5</v>
      </c>
      <c r="Y1304" s="162" t="str">
        <f>ReportSummary___Track[[#This Row],[Track ID]]&amp;"-"&amp;ReportSummary___Track[[#This Row],[Epoch]]</f>
        <v>250-RL-OP-0036-45743.4930555556</v>
      </c>
      <c r="Z1304" s="126">
        <f>SUBTOTAL(103,ReportSummary___Track[[#This Row],[Track ID]])</f>
        <v>1</v>
      </c>
      <c r="AA1304" s="114">
        <f>_xlfn.NUMBERVALUE(RIGHT(ReportSummary___Track[[#This Row],[Track ID]],4))</f>
        <v>36</v>
      </c>
      <c r="AB1304" s="78"/>
    </row>
    <row r="1305" spans="5:28" ht="14.25" customHeight="1" x14ac:dyDescent="0.2">
      <c r="E1305" s="74">
        <v>45743.493055555555</v>
      </c>
      <c r="F1305" s="107" t="s">
        <v>276</v>
      </c>
      <c r="G1305" s="142">
        <v>51901.483608643815</v>
      </c>
      <c r="H1305" s="142">
        <v>159191.04187551665</v>
      </c>
      <c r="I1305" s="142">
        <v>18.866</v>
      </c>
      <c r="J1305" s="142">
        <v>51901.127404289087</v>
      </c>
      <c r="K1305" s="142">
        <v>159189.77581672824</v>
      </c>
      <c r="L1305" s="142">
        <v>18.858471503196007</v>
      </c>
      <c r="M1305" s="145">
        <v>7.5284968039923683E-3</v>
      </c>
      <c r="N1305" s="145">
        <v>1.3152349889967763</v>
      </c>
      <c r="O1305" s="145">
        <v>2.2492142114671765E-3</v>
      </c>
      <c r="P1305" s="145">
        <v>4.3284591785806015E-3</v>
      </c>
      <c r="Q130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0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0.96258240381885685</v>
      </c>
      <c r="S130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-1.4191556871878674E-3</v>
      </c>
      <c r="T130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0.31455161647997443</v>
      </c>
      <c r="U130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1.2082077248010137E-5</v>
      </c>
      <c r="V130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7.4988721389068758E-4</v>
      </c>
      <c r="W130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1.248610343651535E-5</v>
      </c>
      <c r="X130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1.2157333525664171E-5</v>
      </c>
      <c r="Y1305" s="162" t="str">
        <f>ReportSummary___Track[[#This Row],[Track ID]]&amp;"-"&amp;ReportSummary___Track[[#This Row],[Epoch]]</f>
        <v>250-RL-OP-0037-45743.4930555556</v>
      </c>
      <c r="Z1305" s="126">
        <f>SUBTOTAL(103,ReportSummary___Track[[#This Row],[Track ID]])</f>
        <v>1</v>
      </c>
      <c r="AA1305" s="114">
        <f>_xlfn.NUMBERVALUE(RIGHT(ReportSummary___Track[[#This Row],[Track ID]],4))</f>
        <v>37</v>
      </c>
      <c r="AB1305" s="78"/>
    </row>
    <row r="1306" spans="5:28" ht="14.25" customHeight="1" x14ac:dyDescent="0.2">
      <c r="E1306" s="74">
        <v>45743.493055555555</v>
      </c>
      <c r="F1306" s="107" t="s">
        <v>277</v>
      </c>
      <c r="G1306" s="142">
        <v>51902.446769943585</v>
      </c>
      <c r="H1306" s="142">
        <v>159190.77324554109</v>
      </c>
      <c r="I1306" s="142">
        <v>18.866124762962976</v>
      </c>
      <c r="J1306" s="142">
        <v>51902.098875532785</v>
      </c>
      <c r="K1306" s="142">
        <v>159189.50305873388</v>
      </c>
      <c r="L1306" s="142">
        <v>18.857900000000001</v>
      </c>
      <c r="M1306" s="145">
        <v>8.2247629629748076E-3</v>
      </c>
      <c r="N1306" s="145">
        <v>1.316993809015488</v>
      </c>
      <c r="O1306" s="145">
        <v>2.002200980019353E-3</v>
      </c>
      <c r="P1306" s="145">
        <v>4.9737028597363064E-3</v>
      </c>
      <c r="Q130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-4.0000411871687902E-5</v>
      </c>
      <c r="R130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0.96837761560064628</v>
      </c>
      <c r="S130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-4.0000411871687902E-5</v>
      </c>
      <c r="T130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-8.2337582085756367E-5</v>
      </c>
      <c r="U130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-5.093848898241049E-8</v>
      </c>
      <c r="V130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9.1104903777416979E-4</v>
      </c>
      <c r="W130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-3.5792430352898918E-7</v>
      </c>
      <c r="X130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-3.5249659191549654E-8</v>
      </c>
      <c r="Y1306" s="162" t="str">
        <f>ReportSummary___Track[[#This Row],[Track ID]]&amp;"-"&amp;ReportSummary___Track[[#This Row],[Epoch]]</f>
        <v>250-RL-OP-0038-45743.4930555556</v>
      </c>
      <c r="Z1306" s="126">
        <f>SUBTOTAL(103,ReportSummary___Track[[#This Row],[Track ID]])</f>
        <v>1</v>
      </c>
      <c r="AA1306" s="114">
        <f>_xlfn.NUMBERVALUE(RIGHT(ReportSummary___Track[[#This Row],[Track ID]],4))</f>
        <v>38</v>
      </c>
      <c r="AB1306" s="78"/>
    </row>
    <row r="1307" spans="5:28" ht="14.25" customHeight="1" x14ac:dyDescent="0.2">
      <c r="E1307" s="74">
        <v>45743.493055555555</v>
      </c>
      <c r="F1307" s="107" t="s">
        <v>278</v>
      </c>
      <c r="G1307" s="142">
        <v>51903.411366943481</v>
      </c>
      <c r="H1307" s="142">
        <v>159190.50951814224</v>
      </c>
      <c r="I1307" s="142">
        <v>18.866822542397966</v>
      </c>
      <c r="J1307" s="142">
        <v>51903.063565613396</v>
      </c>
      <c r="K1307" s="142">
        <v>159189.2396710949</v>
      </c>
      <c r="L1307" s="142">
        <v>18.857900000000001</v>
      </c>
      <c r="M1307" s="145">
        <v>8.922542397964861E-3</v>
      </c>
      <c r="N1307" s="145">
        <v>1.3166460802398992</v>
      </c>
      <c r="O1307" s="145">
        <v>2.0470130044891732E-3</v>
      </c>
      <c r="P1307" s="145">
        <v>4.6573710500865673E-3</v>
      </c>
      <c r="Q130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-2.6371636963062883E-4</v>
      </c>
      <c r="R130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0.96837757522738599</v>
      </c>
      <c r="S130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-2.6371636963062883E-4</v>
      </c>
      <c r="T130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-9.9446279477888311E-4</v>
      </c>
      <c r="U130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-3.3582935543563508E-7</v>
      </c>
      <c r="V130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5.9042063142267232E-4</v>
      </c>
      <c r="W130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-6.530360884937636E-6</v>
      </c>
      <c r="X130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-1.2597184451124122E-7</v>
      </c>
      <c r="Y1307" s="162" t="str">
        <f>ReportSummary___Track[[#This Row],[Track ID]]&amp;"-"&amp;ReportSummary___Track[[#This Row],[Epoch]]</f>
        <v>250-RL-OP-0039-45743.4930555556</v>
      </c>
      <c r="Z1307" s="126">
        <f>SUBTOTAL(103,ReportSummary___Track[[#This Row],[Track ID]])</f>
        <v>1</v>
      </c>
      <c r="AA1307" s="114">
        <f>_xlfn.NUMBERVALUE(RIGHT(ReportSummary___Track[[#This Row],[Track ID]],4))</f>
        <v>39</v>
      </c>
      <c r="AB1307" s="78"/>
    </row>
    <row r="1308" spans="5:28" ht="14.25" customHeight="1" x14ac:dyDescent="0.2">
      <c r="E1308" s="74">
        <v>45743.493055555555</v>
      </c>
      <c r="F1308" s="107" t="s">
        <v>279</v>
      </c>
      <c r="G1308" s="142">
        <v>51904.375963943377</v>
      </c>
      <c r="H1308" s="142">
        <v>159190.24579074341</v>
      </c>
      <c r="I1308" s="142">
        <v>18.867520321832959</v>
      </c>
      <c r="J1308" s="142">
        <v>51904.028255694</v>
      </c>
      <c r="K1308" s="142">
        <v>159188.97628345591</v>
      </c>
      <c r="L1308" s="142">
        <v>18.857900000000001</v>
      </c>
      <c r="M1308" s="145">
        <v>9.6203218329584672E-3</v>
      </c>
      <c r="N1308" s="145">
        <v>1.3162987238122892</v>
      </c>
      <c r="O1308" s="145">
        <v>2.0918250289660989E-3</v>
      </c>
      <c r="P1308" s="145">
        <v>4.3410392404332754E-3</v>
      </c>
      <c r="Q130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-4.8743232028414241E-4</v>
      </c>
      <c r="R130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0.96837702264807035</v>
      </c>
      <c r="S130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-4.8743232028414241E-4</v>
      </c>
      <c r="T130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-1.9065880074720098E-3</v>
      </c>
      <c r="U130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-6.2072021833614599E-7</v>
      </c>
      <c r="V130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2.6979406979132925E-4</v>
      </c>
      <c r="W130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-1.2702797466346283E-5</v>
      </c>
      <c r="X130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-2.1669402983093278E-7</v>
      </c>
      <c r="Y1308" s="162" t="str">
        <f>ReportSummary___Track[[#This Row],[Track ID]]&amp;"-"&amp;ReportSummary___Track[[#This Row],[Epoch]]</f>
        <v>250-RL-OP-0040-45743.4930555556</v>
      </c>
      <c r="Z1308" s="126">
        <f>SUBTOTAL(103,ReportSummary___Track[[#This Row],[Track ID]])</f>
        <v>1</v>
      </c>
      <c r="AA1308" s="114">
        <f>_xlfn.NUMBERVALUE(RIGHT(ReportSummary___Track[[#This Row],[Track ID]],4))</f>
        <v>40</v>
      </c>
      <c r="AB1308" s="78"/>
    </row>
    <row r="1309" spans="5:28" ht="14.25" customHeight="1" x14ac:dyDescent="0.2">
      <c r="E1309" s="74">
        <v>45743.493055555555</v>
      </c>
      <c r="F1309" s="107" t="s">
        <v>280</v>
      </c>
      <c r="G1309" s="142">
        <v>51905.341841450259</v>
      </c>
      <c r="H1309" s="142">
        <v>159189.98317913548</v>
      </c>
      <c r="I1309" s="142">
        <v>18.868392406740742</v>
      </c>
      <c r="J1309" s="142">
        <v>51905.003861376892</v>
      </c>
      <c r="K1309" s="142">
        <v>159188.71099131435</v>
      </c>
      <c r="L1309" s="142">
        <v>18.858104705007346</v>
      </c>
      <c r="M1309" s="145">
        <v>1.0287701733396659E-2</v>
      </c>
      <c r="N1309" s="145">
        <v>1.3163579372773708</v>
      </c>
      <c r="O1309" s="145">
        <v>2.0629387704218516E-3</v>
      </c>
      <c r="P1309" s="145">
        <v>4.0651397504412046E-3</v>
      </c>
      <c r="Q130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-1.8847067906335724E-5</v>
      </c>
      <c r="R130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0.91816397562327623</v>
      </c>
      <c r="S130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2.1153343965352178E-5</v>
      </c>
      <c r="T130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-1.8847067906335724E-5</v>
      </c>
      <c r="U130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-7.1051374561648117E-8</v>
      </c>
      <c r="V130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1.2785096406009444E-5</v>
      </c>
      <c r="W130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-2.0112885579237627E-8</v>
      </c>
      <c r="X130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-3.7803718910822681E-7</v>
      </c>
      <c r="Y1309" s="162" t="str">
        <f>ReportSummary___Track[[#This Row],[Track ID]]&amp;"-"&amp;ReportSummary___Track[[#This Row],[Epoch]]</f>
        <v>250-RL-OP-0041-45743.4930555556</v>
      </c>
      <c r="Z1309" s="126">
        <f>SUBTOTAL(103,ReportSummary___Track[[#This Row],[Track ID]])</f>
        <v>1</v>
      </c>
      <c r="AA1309" s="114">
        <f>_xlfn.NUMBERVALUE(RIGHT(ReportSummary___Track[[#This Row],[Track ID]],4))</f>
        <v>41</v>
      </c>
      <c r="AB1309" s="78"/>
    </row>
    <row r="1310" spans="5:28" ht="14.25" customHeight="1" x14ac:dyDescent="0.2">
      <c r="E1310" s="74">
        <v>45743.493055555555</v>
      </c>
      <c r="F1310" s="107" t="s">
        <v>281</v>
      </c>
      <c r="G1310" s="142">
        <v>51906.308594977025</v>
      </c>
      <c r="H1310" s="142">
        <v>159189.72747487877</v>
      </c>
      <c r="I1310" s="142">
        <v>18.870110425193992</v>
      </c>
      <c r="J1310" s="142">
        <v>51905.970489987638</v>
      </c>
      <c r="K1310" s="142">
        <v>159188.45481371961</v>
      </c>
      <c r="L1310" s="142">
        <v>18.859577402901905</v>
      </c>
      <c r="M1310" s="145">
        <v>1.0533022292086969E-2</v>
      </c>
      <c r="N1310" s="145">
        <v>1.3168494046216082</v>
      </c>
      <c r="O1310" s="145">
        <v>1.6104798941221077E-3</v>
      </c>
      <c r="P1310" s="145">
        <v>3.6574928986112809E-3</v>
      </c>
      <c r="Q131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-1.5443748324628359E-4</v>
      </c>
      <c r="R131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0.57099669643978501</v>
      </c>
      <c r="S131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1.0927888638434524E-4</v>
      </c>
      <c r="T131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-1.5443748324628359E-4</v>
      </c>
      <c r="U131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-5.8221229437549482E-7</v>
      </c>
      <c r="V131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1.047637815738689E-4</v>
      </c>
      <c r="W131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-2.4638293893985974E-7</v>
      </c>
      <c r="X131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-6.7767438238774957E-6</v>
      </c>
      <c r="Y1310" s="162" t="str">
        <f>ReportSummary___Track[[#This Row],[Track ID]]&amp;"-"&amp;ReportSummary___Track[[#This Row],[Epoch]]</f>
        <v>250-RL-OP-0042-45743.4930555556</v>
      </c>
      <c r="Z1310" s="126">
        <f>SUBTOTAL(103,ReportSummary___Track[[#This Row],[Track ID]])</f>
        <v>1</v>
      </c>
      <c r="AA1310" s="114">
        <f>_xlfn.NUMBERVALUE(RIGHT(ReportSummary___Track[[#This Row],[Track ID]],4))</f>
        <v>42</v>
      </c>
      <c r="AB1310" s="78"/>
    </row>
    <row r="1311" spans="5:28" ht="14.25" customHeight="1" x14ac:dyDescent="0.2">
      <c r="E1311" s="74">
        <v>45743.493055555555</v>
      </c>
      <c r="F1311" s="107" t="s">
        <v>282</v>
      </c>
      <c r="G1311" s="142">
        <v>51907.275348503783</v>
      </c>
      <c r="H1311" s="142">
        <v>159189.47177062207</v>
      </c>
      <c r="I1311" s="142">
        <v>18.871828443647242</v>
      </c>
      <c r="J1311" s="142">
        <v>51906.937118598384</v>
      </c>
      <c r="K1311" s="142">
        <v>159188.19863612487</v>
      </c>
      <c r="L1311" s="142">
        <v>18.861050100796465</v>
      </c>
      <c r="M1311" s="145">
        <v>1.0778342850777278E-2</v>
      </c>
      <c r="N1311" s="145">
        <v>1.3173409162159495</v>
      </c>
      <c r="O1311" s="145">
        <v>1.1580210178188111E-3</v>
      </c>
      <c r="P1311" s="145">
        <v>3.24984604678491E-3</v>
      </c>
      <c r="Q131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-2.9002789858623146E-4</v>
      </c>
      <c r="R131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0.22383039032414231</v>
      </c>
      <c r="S131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1.9740442169791095E-4</v>
      </c>
      <c r="T131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-2.9002789858623146E-4</v>
      </c>
      <c r="U131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-1.0933732177420552E-6</v>
      </c>
      <c r="V131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1.967420069513004E-4</v>
      </c>
      <c r="W131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-4.7265299940590921E-7</v>
      </c>
      <c r="X131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-1.3175450465752192E-5</v>
      </c>
      <c r="Y1311" s="162" t="str">
        <f>ReportSummary___Track[[#This Row],[Track ID]]&amp;"-"&amp;ReportSummary___Track[[#This Row],[Epoch]]</f>
        <v>250-RL-OP-0043-45743.4930555556</v>
      </c>
      <c r="Z1311" s="126">
        <f>SUBTOTAL(103,ReportSummary___Track[[#This Row],[Track ID]])</f>
        <v>1</v>
      </c>
      <c r="AA1311" s="114">
        <f>_xlfn.NUMBERVALUE(RIGHT(ReportSummary___Track[[#This Row],[Track ID]],4))</f>
        <v>43</v>
      </c>
      <c r="AB1311" s="78"/>
    </row>
    <row r="1312" spans="5:28" ht="14.25" customHeight="1" x14ac:dyDescent="0.2">
      <c r="E1312" s="74">
        <v>45743.493055555555</v>
      </c>
      <c r="F1312" s="107" t="s">
        <v>283</v>
      </c>
      <c r="G1312" s="142">
        <v>51908.242806603892</v>
      </c>
      <c r="H1312" s="142">
        <v>159189.21950151515</v>
      </c>
      <c r="I1312" s="142">
        <v>18.873961962372281</v>
      </c>
      <c r="J1312" s="142">
        <v>51907.904490809298</v>
      </c>
      <c r="K1312" s="142">
        <v>159187.94609902432</v>
      </c>
      <c r="L1312" s="142">
        <v>18.862831223906181</v>
      </c>
      <c r="M1312" s="145">
        <v>1.1130738466100354E-2</v>
      </c>
      <c r="N1312" s="145">
        <v>1.3176248987692134</v>
      </c>
      <c r="O1312" s="145">
        <v>8.4303673270369472E-4</v>
      </c>
      <c r="P1312" s="145">
        <v>2.9059755031255463E-3</v>
      </c>
      <c r="Q131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0.10233562975159316</v>
      </c>
      <c r="R131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8.5697179130761469E-4</v>
      </c>
      <c r="S131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0.1023544768194995</v>
      </c>
      <c r="T131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0.10237563016346485</v>
      </c>
      <c r="U131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1.025361277804393E-4</v>
      </c>
      <c r="V131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1.3301476821925284E-4</v>
      </c>
      <c r="W131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1.0260717915500095E-4</v>
      </c>
      <c r="X131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1.0258706626942171E-4</v>
      </c>
      <c r="Y1312" s="162" t="str">
        <f>ReportSummary___Track[[#This Row],[Track ID]]&amp;"-"&amp;ReportSummary___Track[[#This Row],[Epoch]]</f>
        <v>250-RL-OP-0044-45743.4930555556</v>
      </c>
      <c r="Z1312" s="126">
        <f>SUBTOTAL(103,ReportSummary___Track[[#This Row],[Track ID]])</f>
        <v>1</v>
      </c>
      <c r="AA1312" s="114">
        <f>_xlfn.NUMBERVALUE(RIGHT(ReportSummary___Track[[#This Row],[Track ID]],4))</f>
        <v>44</v>
      </c>
      <c r="AB1312" s="78"/>
    </row>
    <row r="1313" spans="5:28" ht="14.25" customHeight="1" x14ac:dyDescent="0.2">
      <c r="E1313" s="74">
        <v>45743.493055555555</v>
      </c>
      <c r="F1313" s="107" t="s">
        <v>284</v>
      </c>
      <c r="G1313" s="142">
        <v>51909.212314637531</v>
      </c>
      <c r="H1313" s="142">
        <v>159188.97446066936</v>
      </c>
      <c r="I1313" s="142">
        <v>18.876987952848157</v>
      </c>
      <c r="J1313" s="142">
        <v>51908.873743372133</v>
      </c>
      <c r="K1313" s="142">
        <v>159187.70004215947</v>
      </c>
      <c r="L1313" s="142">
        <v>18.865174019583129</v>
      </c>
      <c r="M1313" s="145">
        <v>1.1813933265027998E-2</v>
      </c>
      <c r="N1313" s="145">
        <v>1.318678356958606</v>
      </c>
      <c r="O1313" s="145">
        <v>1.2809109729410295E-3</v>
      </c>
      <c r="P1313" s="145">
        <v>2.8913908670631372E-3</v>
      </c>
      <c r="Q131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0.42424701620902283</v>
      </c>
      <c r="R131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3.7178426015582744E-3</v>
      </c>
      <c r="S131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0.42440145369226911</v>
      </c>
      <c r="T131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0.42451073257865346</v>
      </c>
      <c r="U131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4.2507820952053521E-4</v>
      </c>
      <c r="V131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-2.5497891223680291E-4</v>
      </c>
      <c r="W131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4.2566042181491071E-4</v>
      </c>
      <c r="X131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4.2541403887597085E-4</v>
      </c>
      <c r="Y1313" s="162" t="str">
        <f>ReportSummary___Track[[#This Row],[Track ID]]&amp;"-"&amp;ReportSummary___Track[[#This Row],[Epoch]]</f>
        <v>250-RL-OP-0045-45743.4930555556</v>
      </c>
      <c r="Z1313" s="126">
        <f>SUBTOTAL(103,ReportSummary___Track[[#This Row],[Track ID]])</f>
        <v>1</v>
      </c>
      <c r="AA1313" s="114">
        <f>_xlfn.NUMBERVALUE(RIGHT(ReportSummary___Track[[#This Row],[Track ID]],4))</f>
        <v>45</v>
      </c>
      <c r="AB1313" s="78"/>
    </row>
    <row r="1314" spans="5:28" ht="14.25" customHeight="1" x14ac:dyDescent="0.2">
      <c r="E1314" s="74">
        <v>45743.493055555555</v>
      </c>
      <c r="F1314" s="107" t="s">
        <v>285</v>
      </c>
      <c r="G1314" s="142">
        <v>51910.181822671162</v>
      </c>
      <c r="H1314" s="142">
        <v>159188.72941982359</v>
      </c>
      <c r="I1314" s="142">
        <v>18.880013943324034</v>
      </c>
      <c r="J1314" s="142">
        <v>51909.842995934967</v>
      </c>
      <c r="K1314" s="142">
        <v>159187.45398529459</v>
      </c>
      <c r="L1314" s="142">
        <v>18.867516815260082</v>
      </c>
      <c r="M1314" s="145">
        <v>1.249712806395209E-2</v>
      </c>
      <c r="N1314" s="145">
        <v>1.3197321596215834</v>
      </c>
      <c r="O1314" s="145">
        <v>1.7187852131748116E-3</v>
      </c>
      <c r="P1314" s="145">
        <v>2.8768062309936226E-3</v>
      </c>
      <c r="Q131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0.7461584026664525</v>
      </c>
      <c r="R131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6.8289220953587915E-3</v>
      </c>
      <c r="S131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0.74644843056503873</v>
      </c>
      <c r="T131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0.74664583498673665</v>
      </c>
      <c r="U131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7.4762029125707841E-4</v>
      </c>
      <c r="V131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-6.4272023988176663E-4</v>
      </c>
      <c r="W131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7.4871366447482046E-4</v>
      </c>
      <c r="X131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7.4824101147541455E-4</v>
      </c>
      <c r="Y1314" s="162" t="str">
        <f>ReportSummary___Track[[#This Row],[Track ID]]&amp;"-"&amp;ReportSummary___Track[[#This Row],[Epoch]]</f>
        <v>250-RL-OP-0046-45743.4930555556</v>
      </c>
      <c r="Z1314" s="126">
        <f>SUBTOTAL(103,ReportSummary___Track[[#This Row],[Track ID]])</f>
        <v>1</v>
      </c>
      <c r="AA1314" s="114">
        <f>_xlfn.NUMBERVALUE(RIGHT(ReportSummary___Track[[#This Row],[Track ID]],4))</f>
        <v>46</v>
      </c>
      <c r="AB1314" s="78"/>
    </row>
    <row r="1315" spans="5:28" ht="14.25" customHeight="1" x14ac:dyDescent="0.2">
      <c r="E1315" s="74">
        <v>45743.493055555555</v>
      </c>
      <c r="F1315" s="107" t="s">
        <v>286</v>
      </c>
      <c r="G1315" s="142">
        <v>51911.151141496419</v>
      </c>
      <c r="H1315" s="142">
        <v>159188.48644319948</v>
      </c>
      <c r="I1315" s="142">
        <v>18.883328518492974</v>
      </c>
      <c r="J1315" s="142">
        <v>51910.834188040491</v>
      </c>
      <c r="K1315" s="142">
        <v>159187.20450001603</v>
      </c>
      <c r="L1315" s="142">
        <v>18.87021531293858</v>
      </c>
      <c r="M1315" s="145">
        <v>1.3113205554393659E-2</v>
      </c>
      <c r="N1315" s="145">
        <v>1.3206096224772261</v>
      </c>
      <c r="O1315" s="145">
        <v>1.9824670882933049E-3</v>
      </c>
      <c r="P1315" s="145">
        <v>2.8255038209969996E-3</v>
      </c>
      <c r="Q131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0.92637360321035089</v>
      </c>
      <c r="R131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9.5266061539422964E-3</v>
      </c>
      <c r="S131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0.82403797345875773</v>
      </c>
      <c r="T131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0.92639245027825723</v>
      </c>
      <c r="U131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8.4952198079690788E-4</v>
      </c>
      <c r="V131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-9.2714590450793111E-4</v>
      </c>
      <c r="W131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7.4698585301646858E-4</v>
      </c>
      <c r="X131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8.4959303217146953E-4</v>
      </c>
      <c r="Y1315" s="162" t="str">
        <f>ReportSummary___Track[[#This Row],[Track ID]]&amp;"-"&amp;ReportSummary___Track[[#This Row],[Epoch]]</f>
        <v>250-RL-OP-0047-45743.4930555556</v>
      </c>
      <c r="Z1315" s="126">
        <f>SUBTOTAL(103,ReportSummary___Track[[#This Row],[Track ID]])</f>
        <v>1</v>
      </c>
      <c r="AA1315" s="114">
        <f>_xlfn.NUMBERVALUE(RIGHT(ReportSummary___Track[[#This Row],[Track ID]],4))</f>
        <v>47</v>
      </c>
      <c r="AB1315" s="78"/>
    </row>
    <row r="1316" spans="5:28" ht="14.25" customHeight="1" x14ac:dyDescent="0.2">
      <c r="E1316" s="74">
        <v>45743.493055555555</v>
      </c>
      <c r="F1316" s="107" t="s">
        <v>287</v>
      </c>
      <c r="G1316" s="142">
        <v>51912.122875350411</v>
      </c>
      <c r="H1316" s="142">
        <v>159188.25040524639</v>
      </c>
      <c r="I1316" s="142">
        <v>18.887733255176883</v>
      </c>
      <c r="J1316" s="142">
        <v>51911.805731973102</v>
      </c>
      <c r="K1316" s="142">
        <v>159186.9676700389</v>
      </c>
      <c r="L1316" s="142">
        <v>18.873950140875262</v>
      </c>
      <c r="M1316" s="145">
        <v>1.3783114301620714E-2</v>
      </c>
      <c r="N1316" s="145">
        <v>1.321430856519592</v>
      </c>
      <c r="O1316" s="145">
        <v>1.9691810365927154E-3</v>
      </c>
      <c r="P1316" s="145">
        <v>3.2500920095337449E-3</v>
      </c>
      <c r="Q131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0.5771473183600051</v>
      </c>
      <c r="R131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6.7041394442579616E-3</v>
      </c>
      <c r="S131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0.15290030215098227</v>
      </c>
      <c r="T131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0.57730175584325139</v>
      </c>
      <c r="U131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1.4813881094255521E-4</v>
      </c>
      <c r="V131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-7.6858111938049589E-4</v>
      </c>
      <c r="W131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-2.7693939857798E-4</v>
      </c>
      <c r="X131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1.4872102323693071E-4</v>
      </c>
      <c r="Y1316" s="162" t="str">
        <f>ReportSummary___Track[[#This Row],[Track ID]]&amp;"-"&amp;ReportSummary___Track[[#This Row],[Epoch]]</f>
        <v>250-RL-OP-0048-45743.4930555556</v>
      </c>
      <c r="Z1316" s="126">
        <f>SUBTOTAL(103,ReportSummary___Track[[#This Row],[Track ID]])</f>
        <v>1</v>
      </c>
      <c r="AA1316" s="114">
        <f>_xlfn.NUMBERVALUE(RIGHT(ReportSummary___Track[[#This Row],[Track ID]],4))</f>
        <v>48</v>
      </c>
      <c r="AB1316" s="78"/>
    </row>
    <row r="1317" spans="5:28" ht="14.25" customHeight="1" x14ac:dyDescent="0.2">
      <c r="E1317" s="74">
        <v>45743.493055555555</v>
      </c>
      <c r="F1317" s="107" t="s">
        <v>288</v>
      </c>
      <c r="G1317" s="142">
        <v>51913.094609204403</v>
      </c>
      <c r="H1317" s="142">
        <v>159188.0143672933</v>
      </c>
      <c r="I1317" s="142">
        <v>18.892137991860796</v>
      </c>
      <c r="J1317" s="142">
        <v>51912.777275905719</v>
      </c>
      <c r="K1317" s="142">
        <v>159186.73084006179</v>
      </c>
      <c r="L1317" s="142">
        <v>18.877684968811945</v>
      </c>
      <c r="M1317" s="145">
        <v>1.4453023048851321E-2</v>
      </c>
      <c r="N1317" s="145">
        <v>1.322252421576658</v>
      </c>
      <c r="O1317" s="145">
        <v>1.9558949848992313E-3</v>
      </c>
      <c r="P1317" s="145">
        <v>3.6746801980740429E-3</v>
      </c>
      <c r="Q131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0.22792103351676474</v>
      </c>
      <c r="R131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3.4392251231363247E-3</v>
      </c>
      <c r="S131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-0.51823736914968777</v>
      </c>
      <c r="T131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0.22821106141535097</v>
      </c>
      <c r="U131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-5.5324435891179746E-4</v>
      </c>
      <c r="V131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-6.1109356688215932E-4</v>
      </c>
      <c r="W131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-1.3008646501688759E-3</v>
      </c>
      <c r="X131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-5.5215098569405541E-4</v>
      </c>
      <c r="Y1317" s="162" t="str">
        <f>ReportSummary___Track[[#This Row],[Track ID]]&amp;"-"&amp;ReportSummary___Track[[#This Row],[Epoch]]</f>
        <v>250-RL-OP-0049-45743.4930555556</v>
      </c>
      <c r="Z1317" s="126">
        <f>SUBTOTAL(103,ReportSummary___Track[[#This Row],[Track ID]])</f>
        <v>1</v>
      </c>
      <c r="AA1317" s="114">
        <f>_xlfn.NUMBERVALUE(RIGHT(ReportSummary___Track[[#This Row],[Track ID]],4))</f>
        <v>49</v>
      </c>
      <c r="AB1317" s="78"/>
    </row>
    <row r="1318" spans="5:28" ht="14.25" customHeight="1" x14ac:dyDescent="0.2">
      <c r="E1318" s="74">
        <v>45733.840277777781</v>
      </c>
      <c r="F1318" s="107" t="s">
        <v>238</v>
      </c>
      <c r="G1318" s="142">
        <v>51888.986438969237</v>
      </c>
      <c r="H1318" s="142">
        <v>159194.62164297886</v>
      </c>
      <c r="I1318" s="142">
        <v>18.869101649665076</v>
      </c>
      <c r="J1318" s="142">
        <v>51888.624310629704</v>
      </c>
      <c r="K1318" s="142">
        <v>159193.35614941941</v>
      </c>
      <c r="L1318" s="142">
        <v>18.865102893525883</v>
      </c>
      <c r="M1318" s="145">
        <v>3.9987561391932047E-3</v>
      </c>
      <c r="N1318" s="145">
        <v>1.3162928524255069</v>
      </c>
      <c r="O1318" s="145"/>
      <c r="P1318" s="145"/>
      <c r="Q131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-0.7636654198854842</v>
      </c>
      <c r="R131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0.52342309369102225</v>
      </c>
      <c r="S1318"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1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1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-6.2752190547854525E-5</v>
      </c>
      <c r="V131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5.1369165715642318E-4</v>
      </c>
      <c r="W1318"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1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18" s="162" t="str">
        <f>ReportSummary___Track[[#This Row],[Track ID]]&amp;"-"&amp;ReportSummary___Track[[#This Row],[Epoch]]</f>
        <v>250-RL-OP-0024-45733.8402777778</v>
      </c>
      <c r="Z1318" s="126">
        <f>SUBTOTAL(103,ReportSummary___Track[[#This Row],[Track ID]])</f>
        <v>1</v>
      </c>
      <c r="AA1318" s="114">
        <f>_xlfn.NUMBERVALUE(RIGHT(ReportSummary___Track[[#This Row],[Track ID]],4))</f>
        <v>24</v>
      </c>
      <c r="AB1318" s="78"/>
    </row>
    <row r="1319" spans="5:28" ht="14.25" customHeight="1" x14ac:dyDescent="0.2">
      <c r="E1319" s="74">
        <v>45733.840277777781</v>
      </c>
      <c r="F1319" s="107" t="s">
        <v>239</v>
      </c>
      <c r="G1319" s="142">
        <v>51889.947761670119</v>
      </c>
      <c r="H1319" s="142">
        <v>159194.34621898888</v>
      </c>
      <c r="I1319" s="142">
        <v>18.868562659469397</v>
      </c>
      <c r="J1319" s="142">
        <v>51889.585062127466</v>
      </c>
      <c r="K1319" s="142">
        <v>159193.07874087783</v>
      </c>
      <c r="L1319" s="142">
        <v>18.864073038774286</v>
      </c>
      <c r="M1319" s="145">
        <v>4.4896206951108297E-3</v>
      </c>
      <c r="N1319" s="145">
        <v>1.3183595400864654</v>
      </c>
      <c r="O1319" s="145"/>
      <c r="P1319" s="145"/>
      <c r="Q131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-0.38997403403229214</v>
      </c>
      <c r="R131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0.7105497695019114</v>
      </c>
      <c r="S1319"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1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1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-3.2408811872386423E-5</v>
      </c>
      <c r="V131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7.0576360381147119E-4</v>
      </c>
      <c r="W1319"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1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19" s="162" t="str">
        <f>ReportSummary___Track[[#This Row],[Track ID]]&amp;"-"&amp;ReportSummary___Track[[#This Row],[Epoch]]</f>
        <v>250-RL-OP-0025-45733.8402777778</v>
      </c>
      <c r="Z1319" s="126">
        <f>SUBTOTAL(103,ReportSummary___Track[[#This Row],[Track ID]])</f>
        <v>1</v>
      </c>
      <c r="AA1319" s="114">
        <f>_xlfn.NUMBERVALUE(RIGHT(ReportSummary___Track[[#This Row],[Track ID]],4))</f>
        <v>25</v>
      </c>
      <c r="AB1319" s="78"/>
    </row>
    <row r="1320" spans="5:28" ht="14.25" customHeight="1" x14ac:dyDescent="0.2">
      <c r="E1320" s="74">
        <v>45733.840277777781</v>
      </c>
      <c r="F1320" s="107" t="s">
        <v>240</v>
      </c>
      <c r="G1320" s="142">
        <v>51890.909084371</v>
      </c>
      <c r="H1320" s="142">
        <v>159194.0707949989</v>
      </c>
      <c r="I1320" s="142">
        <v>18.868023669273718</v>
      </c>
      <c r="J1320" s="142">
        <v>51890.545813625227</v>
      </c>
      <c r="K1320" s="142">
        <v>159192.80133233624</v>
      </c>
      <c r="L1320" s="142">
        <v>18.863043184022686</v>
      </c>
      <c r="M1320" s="145">
        <v>4.9804852510320075E-3</v>
      </c>
      <c r="N1320" s="145">
        <v>1.3204264053175065</v>
      </c>
      <c r="O1320" s="145"/>
      <c r="P1320" s="145"/>
      <c r="Q132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-1.6282648175547365E-2</v>
      </c>
      <c r="R132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0.89784476829835036</v>
      </c>
      <c r="S1320"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20"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2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-2.0654331969183204E-6</v>
      </c>
      <c r="V132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8.9785663010522043E-4</v>
      </c>
      <c r="W1320"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20"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20" s="162" t="str">
        <f>ReportSummary___Track[[#This Row],[Track ID]]&amp;"-"&amp;ReportSummary___Track[[#This Row],[Epoch]]</f>
        <v>250-RL-OP-0026-45733.8402777778</v>
      </c>
      <c r="Z1320" s="126">
        <f>SUBTOTAL(103,ReportSummary___Track[[#This Row],[Track ID]])</f>
        <v>1</v>
      </c>
      <c r="AA1320" s="114">
        <f>_xlfn.NUMBERVALUE(RIGHT(ReportSummary___Track[[#This Row],[Track ID]],4))</f>
        <v>26</v>
      </c>
      <c r="AB1320" s="78"/>
    </row>
    <row r="1321" spans="5:28" ht="14.25" customHeight="1" x14ac:dyDescent="0.2">
      <c r="E1321" s="74">
        <v>45733.840277777781</v>
      </c>
      <c r="F1321" s="107" t="s">
        <v>241</v>
      </c>
      <c r="G1321" s="142">
        <v>51891.870197974917</v>
      </c>
      <c r="H1321" s="142">
        <v>159193.79423812628</v>
      </c>
      <c r="I1321" s="142">
        <v>18.865793406533136</v>
      </c>
      <c r="J1321" s="142">
        <v>51891.504697950804</v>
      </c>
      <c r="K1321" s="142">
        <v>159192.52491545278</v>
      </c>
      <c r="L1321" s="142">
        <v>18.861282933928443</v>
      </c>
      <c r="M1321" s="145">
        <v>4.51047260469295E-3</v>
      </c>
      <c r="N1321" s="145">
        <v>1.3209052431753907</v>
      </c>
      <c r="O1321" s="145">
        <v>5.1171646549974525E-4</v>
      </c>
      <c r="P1321" s="145"/>
      <c r="Q132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-0.19247371684016912</v>
      </c>
      <c r="R132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0.70431545838900433</v>
      </c>
      <c r="S132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0.57119170304531508</v>
      </c>
      <c r="T1321"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2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1.3215779452480092E-4</v>
      </c>
      <c r="V132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7.8993824891604447E-4</v>
      </c>
      <c r="W132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1.9490998507265545E-4</v>
      </c>
      <c r="X1321"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21" s="162" t="str">
        <f>ReportSummary___Track[[#This Row],[Track ID]]&amp;"-"&amp;ReportSummary___Track[[#This Row],[Epoch]]</f>
        <v>250-RL-OP-0027-45733.8402777778</v>
      </c>
      <c r="Z1321" s="126">
        <f>SUBTOTAL(103,ReportSummary___Track[[#This Row],[Track ID]])</f>
        <v>1</v>
      </c>
      <c r="AA1321" s="114">
        <f>_xlfn.NUMBERVALUE(RIGHT(ReportSummary___Track[[#This Row],[Track ID]],4))</f>
        <v>27</v>
      </c>
      <c r="AB1321" s="78"/>
    </row>
    <row r="1322" spans="5:28" ht="14.25" customHeight="1" x14ac:dyDescent="0.2">
      <c r="E1322" s="74">
        <v>45733.840277777781</v>
      </c>
      <c r="F1322" s="107" t="s">
        <v>242</v>
      </c>
      <c r="G1322" s="142">
        <v>51892.831187281452</v>
      </c>
      <c r="H1322" s="142">
        <v>159193.51766222823</v>
      </c>
      <c r="I1322" s="142">
        <v>18.863485737147165</v>
      </c>
      <c r="J1322" s="142">
        <v>51892.465574468391</v>
      </c>
      <c r="K1322" s="142">
        <v>159192.24794416907</v>
      </c>
      <c r="L1322" s="142">
        <v>18.859486839711334</v>
      </c>
      <c r="M1322" s="145">
        <v>3.9988974358315943E-3</v>
      </c>
      <c r="N1322" s="145">
        <v>1.3213147505503688</v>
      </c>
      <c r="O1322" s="145">
        <v>-4.9072325927923544E-4</v>
      </c>
      <c r="P1322" s="145"/>
      <c r="Q132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-0.39383487892052926</v>
      </c>
      <c r="R132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0.49396940215773455</v>
      </c>
      <c r="S132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-3.8608448882371249E-3</v>
      </c>
      <c r="T1322"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2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2.7036929436619062E-4</v>
      </c>
      <c r="V132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6.6898282449612267E-4</v>
      </c>
      <c r="W132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3.0277810623857704E-4</v>
      </c>
      <c r="X1322"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22" s="162" t="str">
        <f>ReportSummary___Track[[#This Row],[Track ID]]&amp;"-"&amp;ReportSummary___Track[[#This Row],[Epoch]]</f>
        <v>250-RL-OP-0028-45733.8402777778</v>
      </c>
      <c r="Z1322" s="126">
        <f>SUBTOTAL(103,ReportSummary___Track[[#This Row],[Track ID]])</f>
        <v>1</v>
      </c>
      <c r="AA1322" s="114">
        <f>_xlfn.NUMBERVALUE(RIGHT(ReportSummary___Track[[#This Row],[Track ID]],4))</f>
        <v>28</v>
      </c>
      <c r="AB1322" s="78"/>
    </row>
    <row r="1323" spans="5:28" ht="14.25" customHeight="1" x14ac:dyDescent="0.2">
      <c r="E1323" s="74">
        <v>45733.840277777781</v>
      </c>
      <c r="F1323" s="107" t="s">
        <v>243</v>
      </c>
      <c r="G1323" s="142">
        <v>51893.792034787009</v>
      </c>
      <c r="H1323" s="142">
        <v>159193.24109150813</v>
      </c>
      <c r="I1323" s="142">
        <v>18.861317613325106</v>
      </c>
      <c r="J1323" s="142">
        <v>51893.426592297961</v>
      </c>
      <c r="K1323" s="142">
        <v>159191.97093081693</v>
      </c>
      <c r="L1323" s="142">
        <v>18.85770163121731</v>
      </c>
      <c r="M1323" s="145">
        <v>3.6159821077959009E-3</v>
      </c>
      <c r="N1323" s="145">
        <v>1.3216918966240847</v>
      </c>
      <c r="O1323" s="145">
        <v>-1.3645031432361066E-3</v>
      </c>
      <c r="P1323" s="145"/>
      <c r="Q132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-0.59010803219550212</v>
      </c>
      <c r="R132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0.29328692632213382</v>
      </c>
      <c r="S132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-0.57382538401995475</v>
      </c>
      <c r="T1323"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2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3.9228438946636857E-4</v>
      </c>
      <c r="V132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5.6739921395831949E-4</v>
      </c>
      <c r="W132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3.9434982266328689E-4</v>
      </c>
      <c r="X1323"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23" s="162" t="str">
        <f>ReportSummary___Track[[#This Row],[Track ID]]&amp;"-"&amp;ReportSummary___Track[[#This Row],[Epoch]]</f>
        <v>250-RL-OP-0029-45733.8402777778</v>
      </c>
      <c r="Z1323" s="126">
        <f>SUBTOTAL(103,ReportSummary___Track[[#This Row],[Track ID]])</f>
        <v>1</v>
      </c>
      <c r="AA1323" s="114">
        <f>_xlfn.NUMBERVALUE(RIGHT(ReportSummary___Track[[#This Row],[Track ID]],4))</f>
        <v>29</v>
      </c>
      <c r="AB1323" s="78"/>
    </row>
    <row r="1324" spans="5:28" ht="14.25" customHeight="1" x14ac:dyDescent="0.2">
      <c r="E1324" s="74">
        <v>45733.840277777781</v>
      </c>
      <c r="F1324" s="107" t="s">
        <v>269</v>
      </c>
      <c r="G1324" s="142">
        <v>51894.752846684794</v>
      </c>
      <c r="H1324" s="142">
        <v>159192.96389052441</v>
      </c>
      <c r="I1324" s="142">
        <v>18.861651832017809</v>
      </c>
      <c r="J1324" s="142">
        <v>51894.387403233144</v>
      </c>
      <c r="K1324" s="142">
        <v>159191.69372646612</v>
      </c>
      <c r="L1324" s="142">
        <v>18.8580094080687</v>
      </c>
      <c r="M1324" s="145">
        <v>3.642423949109741E-3</v>
      </c>
      <c r="N1324" s="145">
        <v>1.3216954711873508</v>
      </c>
      <c r="O1324" s="145">
        <v>-8.6804865558320898E-4</v>
      </c>
      <c r="P1324" s="145">
        <v>-3.5633219008346373E-4</v>
      </c>
      <c r="Q132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-0.21791574183183116</v>
      </c>
      <c r="R132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0.71035737435942714</v>
      </c>
      <c r="S132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-2.5442024991662038E-2</v>
      </c>
      <c r="T132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0.54574967805365304</v>
      </c>
      <c r="U132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4.3051864910026438E-4</v>
      </c>
      <c r="V132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7.9604625170093257E-4</v>
      </c>
      <c r="W132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2.9836085457546346E-4</v>
      </c>
      <c r="X132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4.9327083964811891E-4</v>
      </c>
      <c r="Y1324" s="162" t="str">
        <f>ReportSummary___Track[[#This Row],[Track ID]]&amp;"-"&amp;ReportSummary___Track[[#This Row],[Epoch]]</f>
        <v>250-RL-OP-0030-45733.8402777778</v>
      </c>
      <c r="Z1324" s="126">
        <f>SUBTOTAL(103,ReportSummary___Track[[#This Row],[Track ID]])</f>
        <v>1</v>
      </c>
      <c r="AA1324" s="114">
        <f>_xlfn.NUMBERVALUE(RIGHT(ReportSummary___Track[[#This Row],[Track ID]],4))</f>
        <v>30</v>
      </c>
      <c r="AB1324" s="78"/>
    </row>
    <row r="1325" spans="5:28" ht="14.25" customHeight="1" x14ac:dyDescent="0.2">
      <c r="E1325" s="74">
        <v>45733.840277777781</v>
      </c>
      <c r="F1325" s="107" t="s">
        <v>270</v>
      </c>
      <c r="G1325" s="142">
        <v>51895.713658582579</v>
      </c>
      <c r="H1325" s="142">
        <v>159192.68668954069</v>
      </c>
      <c r="I1325" s="142">
        <v>18.861986050710509</v>
      </c>
      <c r="J1325" s="142">
        <v>51895.34821416832</v>
      </c>
      <c r="K1325" s="142">
        <v>159191.41652211529</v>
      </c>
      <c r="L1325" s="142">
        <v>18.858317184920089</v>
      </c>
      <c r="M1325" s="145">
        <v>3.6688657904200284E-3</v>
      </c>
      <c r="N1325" s="145">
        <v>1.3216990463092031</v>
      </c>
      <c r="O1325" s="145">
        <v>-3.3003164541156593E-4</v>
      </c>
      <c r="P1325" s="145">
        <v>-8.2075490469080137E-4</v>
      </c>
      <c r="Q132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0.15427654852828709</v>
      </c>
      <c r="R132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1.1273385159504823</v>
      </c>
      <c r="S132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0.54811142744881636</v>
      </c>
      <c r="T132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0.54425058256057923</v>
      </c>
      <c r="U132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4.6875290873060749E-4</v>
      </c>
      <c r="V132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1.0246937782341092E-3</v>
      </c>
      <c r="W132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1.9838361436441687E-4</v>
      </c>
      <c r="X132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5.0116172060299391E-4</v>
      </c>
      <c r="Y1325" s="162" t="str">
        <f>ReportSummary___Track[[#This Row],[Track ID]]&amp;"-"&amp;ReportSummary___Track[[#This Row],[Epoch]]</f>
        <v>250-RL-OP-0031-45733.8402777778</v>
      </c>
      <c r="Z1325" s="126">
        <f>SUBTOTAL(103,ReportSummary___Track[[#This Row],[Track ID]])</f>
        <v>1</v>
      </c>
      <c r="AA1325" s="114">
        <f>_xlfn.NUMBERVALUE(RIGHT(ReportSummary___Track[[#This Row],[Track ID]],4))</f>
        <v>31</v>
      </c>
      <c r="AB1325" s="78"/>
    </row>
    <row r="1326" spans="5:28" ht="14.25" customHeight="1" x14ac:dyDescent="0.2">
      <c r="E1326" s="74">
        <v>45733.840277777781</v>
      </c>
      <c r="F1326" s="107" t="s">
        <v>271</v>
      </c>
      <c r="G1326" s="142">
        <v>51896.675300873474</v>
      </c>
      <c r="H1326" s="142">
        <v>159192.4092902925</v>
      </c>
      <c r="I1326" s="142">
        <v>18.862381273592884</v>
      </c>
      <c r="J1326" s="142">
        <v>51896.3088228856</v>
      </c>
      <c r="K1326" s="142">
        <v>159191.13971400194</v>
      </c>
      <c r="L1326" s="142">
        <v>18.858641771525757</v>
      </c>
      <c r="M1326" s="145">
        <v>3.7395020671269208E-3</v>
      </c>
      <c r="N1326" s="145">
        <v>1.3214174423833267</v>
      </c>
      <c r="O1326" s="145">
        <v>1.2351995933101989E-4</v>
      </c>
      <c r="P1326" s="145">
        <v>-1.2409831839050867E-3</v>
      </c>
      <c r="Q132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0.48848430105863372</v>
      </c>
      <c r="R132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1.5094257225296559</v>
      </c>
      <c r="S132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1.0785923332541358</v>
      </c>
      <c r="T132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0.50476694923418108</v>
      </c>
      <c r="U132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4.8842627505862879E-4</v>
      </c>
      <c r="V132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1.2248470201925432E-3</v>
      </c>
      <c r="W132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9.6141885592260223E-5</v>
      </c>
      <c r="X132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4.9049170825554711E-4</v>
      </c>
      <c r="Y1326" s="162" t="str">
        <f>ReportSummary___Track[[#This Row],[Track ID]]&amp;"-"&amp;ReportSummary___Track[[#This Row],[Epoch]]</f>
        <v>250-RL-OP-0032-45733.8402777778</v>
      </c>
      <c r="Z1326" s="126">
        <f>SUBTOTAL(103,ReportSummary___Track[[#This Row],[Track ID]])</f>
        <v>1</v>
      </c>
      <c r="AA1326" s="114">
        <f>_xlfn.NUMBERVALUE(RIGHT(ReportSummary___Track[[#This Row],[Track ID]],4))</f>
        <v>32</v>
      </c>
      <c r="AB1326" s="78"/>
    </row>
    <row r="1327" spans="5:28" ht="14.25" customHeight="1" x14ac:dyDescent="0.2">
      <c r="E1327" s="74">
        <v>45733.840277777781</v>
      </c>
      <c r="F1327" s="107" t="s">
        <v>272</v>
      </c>
      <c r="G1327" s="142">
        <v>51897.636290686154</v>
      </c>
      <c r="H1327" s="142">
        <v>159192.13270968309</v>
      </c>
      <c r="I1327" s="142">
        <v>18.863702795428431</v>
      </c>
      <c r="J1327" s="142">
        <v>51897.270739786523</v>
      </c>
      <c r="K1327" s="142">
        <v>159190.8663724419</v>
      </c>
      <c r="L1327" s="142">
        <v>18.859158745854455</v>
      </c>
      <c r="M1327" s="145">
        <v>4.5440495739761388E-3</v>
      </c>
      <c r="N1327" s="145">
        <v>1.3180508780150593</v>
      </c>
      <c r="O1327" s="145">
        <v>9.0162562486639786E-4</v>
      </c>
      <c r="P1327" s="145">
        <v>3.3576969283188873E-5</v>
      </c>
      <c r="Q132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0.27960897252299333</v>
      </c>
      <c r="R132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1.4756846454293537</v>
      </c>
      <c r="S132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0.49752471435482448</v>
      </c>
      <c r="T132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0.47208268936316244</v>
      </c>
      <c r="U132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2.7866836858692068E-4</v>
      </c>
      <c r="V132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1.0472519917326117E-3</v>
      </c>
      <c r="W132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-1.5185028051334371E-4</v>
      </c>
      <c r="X132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1.4651057406211976E-4</v>
      </c>
      <c r="Y1327" s="162" t="str">
        <f>ReportSummary___Track[[#This Row],[Track ID]]&amp;"-"&amp;ReportSummary___Track[[#This Row],[Epoch]]</f>
        <v>250-RL-OP-0033-45733.8402777778</v>
      </c>
      <c r="Z1327" s="126">
        <f>SUBTOTAL(103,ReportSummary___Track[[#This Row],[Track ID]])</f>
        <v>1</v>
      </c>
      <c r="AA1327" s="114">
        <f>_xlfn.NUMBERVALUE(RIGHT(ReportSummary___Track[[#This Row],[Track ID]],4))</f>
        <v>33</v>
      </c>
      <c r="AB1327" s="78"/>
    </row>
    <row r="1328" spans="5:28" ht="14.25" customHeight="1" x14ac:dyDescent="0.2">
      <c r="E1328" s="74">
        <v>45733.840277777781</v>
      </c>
      <c r="F1328" s="107" t="s">
        <v>273</v>
      </c>
      <c r="G1328" s="142">
        <v>51898.597280498834</v>
      </c>
      <c r="H1328" s="142">
        <v>159191.85612907365</v>
      </c>
      <c r="I1328" s="142">
        <v>18.86502431726398</v>
      </c>
      <c r="J1328" s="142">
        <v>51898.232656687447</v>
      </c>
      <c r="K1328" s="142">
        <v>159190.59303088184</v>
      </c>
      <c r="L1328" s="142">
        <v>18.859675720183148</v>
      </c>
      <c r="M1328" s="145">
        <v>5.3485970808324623E-3</v>
      </c>
      <c r="N1328" s="145">
        <v>1.3146848190718279</v>
      </c>
      <c r="O1328" s="145">
        <v>1.679731290412434E-3</v>
      </c>
      <c r="P1328" s="145">
        <v>1.349699645000868E-3</v>
      </c>
      <c r="Q132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7.0733643994458362E-2</v>
      </c>
      <c r="R132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1.4416521684825767</v>
      </c>
      <c r="S132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-8.3542904533828732E-2</v>
      </c>
      <c r="T132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0.46456852291498762</v>
      </c>
      <c r="U132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6.8910462118765281E-5</v>
      </c>
      <c r="V132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8.6936511673796346E-4</v>
      </c>
      <c r="W132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-3.9984244661184221E-4</v>
      </c>
      <c r="X132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-2.0145883224742533E-4</v>
      </c>
      <c r="Y1328" s="162" t="str">
        <f>ReportSummary___Track[[#This Row],[Track ID]]&amp;"-"&amp;ReportSummary___Track[[#This Row],[Epoch]]</f>
        <v>250-RL-OP-0034-45733.8402777778</v>
      </c>
      <c r="Z1328" s="126">
        <f>SUBTOTAL(103,ReportSummary___Track[[#This Row],[Track ID]])</f>
        <v>1</v>
      </c>
      <c r="AA1328" s="114">
        <f>_xlfn.NUMBERVALUE(RIGHT(ReportSummary___Track[[#This Row],[Track ID]],4))</f>
        <v>34</v>
      </c>
      <c r="AB1328" s="78"/>
    </row>
    <row r="1329" spans="5:28" ht="14.25" customHeight="1" x14ac:dyDescent="0.2">
      <c r="E1329" s="74">
        <v>45733.840277777781</v>
      </c>
      <c r="F1329" s="107" t="s">
        <v>274</v>
      </c>
      <c r="G1329" s="142">
        <v>51899.557935183817</v>
      </c>
      <c r="H1329" s="142">
        <v>159191.58103025888</v>
      </c>
      <c r="I1329" s="142">
        <v>18.866087672445762</v>
      </c>
      <c r="J1329" s="142">
        <v>51899.202767315714</v>
      </c>
      <c r="K1329" s="142">
        <v>159190.3178021021</v>
      </c>
      <c r="L1329" s="142">
        <v>18.859977443058227</v>
      </c>
      <c r="M1329" s="145">
        <v>6.1102293875343605E-3</v>
      </c>
      <c r="N1329" s="145">
        <v>1.3122221326872265</v>
      </c>
      <c r="O1329" s="145">
        <v>2.3707273204074397E-3</v>
      </c>
      <c r="P1329" s="145">
        <v>2.4942472797384596E-3</v>
      </c>
      <c r="Q132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-0.11233259542109408</v>
      </c>
      <c r="R132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1.3861364893423822</v>
      </c>
      <c r="S132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-0.6008168964797278</v>
      </c>
      <c r="T132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0.47777543677440804</v>
      </c>
      <c r="U132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-1.120256096065475E-4</v>
      </c>
      <c r="V132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7.3605478657667867E-4</v>
      </c>
      <c r="W132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-6.0045188466517629E-4</v>
      </c>
      <c r="X132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-5.0430999907291607E-4</v>
      </c>
      <c r="Y1329" s="162" t="str">
        <f>ReportSummary___Track[[#This Row],[Track ID]]&amp;"-"&amp;ReportSummary___Track[[#This Row],[Epoch]]</f>
        <v>250-RL-OP-0035-45733.8402777778</v>
      </c>
      <c r="Z1329" s="126">
        <f>SUBTOTAL(103,ReportSummary___Track[[#This Row],[Track ID]])</f>
        <v>1</v>
      </c>
      <c r="AA1329" s="114">
        <f>_xlfn.NUMBERVALUE(RIGHT(ReportSummary___Track[[#This Row],[Track ID]],4))</f>
        <v>35</v>
      </c>
      <c r="AB1329" s="78"/>
    </row>
    <row r="1330" spans="5:28" ht="14.25" customHeight="1" x14ac:dyDescent="0.2">
      <c r="E1330" s="74">
        <v>45733.840277777781</v>
      </c>
      <c r="F1330" s="107" t="s">
        <v>275</v>
      </c>
      <c r="G1330" s="142">
        <v>51900.520888145569</v>
      </c>
      <c r="H1330" s="142">
        <v>159191.31136085198</v>
      </c>
      <c r="I1330" s="142">
        <v>18.866021144899957</v>
      </c>
      <c r="J1330" s="142">
        <v>51900.165299631713</v>
      </c>
      <c r="K1330" s="142">
        <v>159190.0466358905</v>
      </c>
      <c r="L1330" s="142">
        <v>18.859324502505366</v>
      </c>
      <c r="M1330" s="145">
        <v>6.6966423945906683E-3</v>
      </c>
      <c r="N1330" s="145">
        <v>1.3137797625177248</v>
      </c>
      <c r="O1330" s="145">
        <v>2.1525928206145295E-3</v>
      </c>
      <c r="P1330" s="145">
        <v>3.0542184454809274E-3</v>
      </c>
      <c r="Q133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-0.17888699888501947</v>
      </c>
      <c r="R133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1.2257191000000223</v>
      </c>
      <c r="S133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-0.45849597140801279</v>
      </c>
      <c r="T133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3.902874294681169E-2</v>
      </c>
      <c r="U133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-1.7269246735551746E-4</v>
      </c>
      <c r="V133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7.9432827400149897E-4</v>
      </c>
      <c r="W133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-4.5136083594243814E-4</v>
      </c>
      <c r="X133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-6.0321111645578185E-4</v>
      </c>
      <c r="Y1330" s="162" t="str">
        <f>ReportSummary___Track[[#This Row],[Track ID]]&amp;"-"&amp;ReportSummary___Track[[#This Row],[Epoch]]</f>
        <v>250-RL-OP-0036-45733.8402777778</v>
      </c>
      <c r="Z1330" s="126">
        <f>SUBTOTAL(103,ReportSummary___Track[[#This Row],[Track ID]])</f>
        <v>1</v>
      </c>
      <c r="AA1330" s="114">
        <f>_xlfn.NUMBERVALUE(RIGHT(ReportSummary___Track[[#This Row],[Track ID]],4))</f>
        <v>36</v>
      </c>
      <c r="AB1330" s="78"/>
    </row>
    <row r="1331" spans="5:28" ht="14.25" customHeight="1" x14ac:dyDescent="0.2">
      <c r="E1331" s="74">
        <v>45733.840277777781</v>
      </c>
      <c r="F1331" s="107" t="s">
        <v>276</v>
      </c>
      <c r="G1331" s="142">
        <v>51901.483841107314</v>
      </c>
      <c r="H1331" s="142">
        <v>159191.04169144505</v>
      </c>
      <c r="I1331" s="142">
        <v>18.865954617354152</v>
      </c>
      <c r="J1331" s="142">
        <v>51901.127831947713</v>
      </c>
      <c r="K1331" s="142">
        <v>159189.77546967886</v>
      </c>
      <c r="L1331" s="142">
        <v>18.858671561952505</v>
      </c>
      <c r="M1331" s="145">
        <v>7.2830554016469762E-3</v>
      </c>
      <c r="N1331" s="145">
        <v>1.3153376470616331</v>
      </c>
      <c r="O1331" s="145">
        <v>1.9344583208145139E-3</v>
      </c>
      <c r="P1331" s="145">
        <v>3.6141896112269478E-3</v>
      </c>
      <c r="Q133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-0.24544140234539213</v>
      </c>
      <c r="R133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1.0652404686757322</v>
      </c>
      <c r="S133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-0.3161750463398505</v>
      </c>
      <c r="T133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-0.39971795087367923</v>
      </c>
      <c r="U133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-2.33359325097382E-4</v>
      </c>
      <c r="V133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8.5254527874756292E-4</v>
      </c>
      <c r="W133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-3.0226978721614728E-4</v>
      </c>
      <c r="X133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-7.0211223382798948E-4</v>
      </c>
      <c r="Y1331" s="162" t="str">
        <f>ReportSummary___Track[[#This Row],[Track ID]]&amp;"-"&amp;ReportSummary___Track[[#This Row],[Epoch]]</f>
        <v>250-RL-OP-0037-45733.8402777778</v>
      </c>
      <c r="Z1331" s="126">
        <f>SUBTOTAL(103,ReportSummary___Track[[#This Row],[Track ID]])</f>
        <v>1</v>
      </c>
      <c r="AA1331" s="114">
        <f>_xlfn.NUMBERVALUE(RIGHT(ReportSummary___Track[[#This Row],[Track ID]],4))</f>
        <v>37</v>
      </c>
      <c r="AB1331" s="78"/>
    </row>
    <row r="1332" spans="5:28" ht="14.25" customHeight="1" x14ac:dyDescent="0.2">
      <c r="E1332" s="74">
        <v>45733.840277777781</v>
      </c>
      <c r="F1332" s="107" t="s">
        <v>277</v>
      </c>
      <c r="G1332" s="142">
        <v>51902.44686788461</v>
      </c>
      <c r="H1332" s="142">
        <v>159190.77313798104</v>
      </c>
      <c r="I1332" s="142">
        <v>18.866012898873645</v>
      </c>
      <c r="J1332" s="142">
        <v>51902.099473370363</v>
      </c>
      <c r="K1332" s="142">
        <v>159189.50285081498</v>
      </c>
      <c r="L1332" s="142">
        <v>18.858104452341166</v>
      </c>
      <c r="M1332" s="145">
        <v>7.9084465324790187E-3</v>
      </c>
      <c r="N1332" s="145">
        <v>1.3169567101117727</v>
      </c>
      <c r="O1332" s="145">
        <v>1.7982171449446582E-3</v>
      </c>
      <c r="P1332" s="145">
        <v>4.168944465352098E-3</v>
      </c>
      <c r="Q133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-0.31635643090766052</v>
      </c>
      <c r="R133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0.93127871188536382</v>
      </c>
      <c r="S133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-0.20402383548656644</v>
      </c>
      <c r="T133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-0.80484073196629424</v>
      </c>
      <c r="U133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-3.1636736898477125E-4</v>
      </c>
      <c r="V133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8.7395013405888733E-4</v>
      </c>
      <c r="W133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-2.0434175937822374E-4</v>
      </c>
      <c r="X133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-8.0479364404340004E-4</v>
      </c>
      <c r="Y1332" s="162" t="str">
        <f>ReportSummary___Track[[#This Row],[Track ID]]&amp;"-"&amp;ReportSummary___Track[[#This Row],[Epoch]]</f>
        <v>250-RL-OP-0038-45733.8402777778</v>
      </c>
      <c r="Z1332" s="126">
        <f>SUBTOTAL(103,ReportSummary___Track[[#This Row],[Track ID]])</f>
        <v>1</v>
      </c>
      <c r="AA1332" s="114">
        <f>_xlfn.NUMBERVALUE(RIGHT(ReportSummary___Track[[#This Row],[Track ID]],4))</f>
        <v>38</v>
      </c>
      <c r="AB1332" s="78"/>
    </row>
    <row r="1333" spans="5:28" ht="14.25" customHeight="1" x14ac:dyDescent="0.2">
      <c r="E1333" s="74">
        <v>45733.840277777781</v>
      </c>
      <c r="F1333" s="107" t="s">
        <v>278</v>
      </c>
      <c r="G1333" s="142">
        <v>51903.411453369008</v>
      </c>
      <c r="H1333" s="142">
        <v>159190.50936830009</v>
      </c>
      <c r="I1333" s="142">
        <v>18.866644324341468</v>
      </c>
      <c r="J1333" s="142">
        <v>51903.064147289377</v>
      </c>
      <c r="K1333" s="142">
        <v>159189.23940399138</v>
      </c>
      <c r="L1333" s="142">
        <v>18.858137728433576</v>
      </c>
      <c r="M1333" s="145">
        <v>8.5065959078924891E-3</v>
      </c>
      <c r="N1333" s="145">
        <v>1.316625694919433</v>
      </c>
      <c r="O1333" s="145">
        <v>1.8099535133018207E-3</v>
      </c>
      <c r="P1333" s="145">
        <v>3.9625463339163502E-3</v>
      </c>
      <c r="Q133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-0.41621020644200257</v>
      </c>
      <c r="R133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0.94799225476127624</v>
      </c>
      <c r="S133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-0.23732320755698311</v>
      </c>
      <c r="T133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-0.6958191789649959</v>
      </c>
      <c r="U133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-4.1628231942780758E-4</v>
      </c>
      <c r="V133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5.7003531095656257E-4</v>
      </c>
      <c r="W133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-2.4358985207229011E-4</v>
      </c>
      <c r="X133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-6.9495068801472826E-4</v>
      </c>
      <c r="Y1333" s="162" t="str">
        <f>ReportSummary___Track[[#This Row],[Track ID]]&amp;"-"&amp;ReportSummary___Track[[#This Row],[Epoch]]</f>
        <v>250-RL-OP-0039-45733.8402777778</v>
      </c>
      <c r="Z1333" s="126">
        <f>SUBTOTAL(103,ReportSummary___Track[[#This Row],[Track ID]])</f>
        <v>1</v>
      </c>
      <c r="AA1333" s="114">
        <f>_xlfn.NUMBERVALUE(RIGHT(ReportSummary___Track[[#This Row],[Track ID]],4))</f>
        <v>39</v>
      </c>
      <c r="AB1333" s="78"/>
    </row>
    <row r="1334" spans="5:28" ht="14.25" customHeight="1" x14ac:dyDescent="0.2">
      <c r="E1334" s="74">
        <v>45733.840277777781</v>
      </c>
      <c r="F1334" s="107" t="s">
        <v>279</v>
      </c>
      <c r="G1334" s="142">
        <v>51904.376038853406</v>
      </c>
      <c r="H1334" s="142">
        <v>159190.24559861913</v>
      </c>
      <c r="I1334" s="142">
        <v>18.867275749809291</v>
      </c>
      <c r="J1334" s="142">
        <v>51904.028821208391</v>
      </c>
      <c r="K1334" s="142">
        <v>159188.97595716777</v>
      </c>
      <c r="L1334" s="142">
        <v>18.858171004525989</v>
      </c>
      <c r="M1334" s="145">
        <v>9.1047452833024067E-3</v>
      </c>
      <c r="N1334" s="145">
        <v>1.3162949534265422</v>
      </c>
      <c r="O1334" s="145">
        <v>1.8216898816554306E-3</v>
      </c>
      <c r="P1334" s="145">
        <v>3.7561482024699444E-3</v>
      </c>
      <c r="Q133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-0.51606398197634462</v>
      </c>
      <c r="R133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0.96460663690112192</v>
      </c>
      <c r="S133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-0.27062257963095249</v>
      </c>
      <c r="T133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-0.58679762597080298</v>
      </c>
      <c r="U133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-5.1619726987439662E-4</v>
      </c>
      <c r="V133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2.6602368404438081E-4</v>
      </c>
      <c r="W133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-2.8283794477701463E-4</v>
      </c>
      <c r="X133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-5.8510773199316191E-4</v>
      </c>
      <c r="Y1334" s="162" t="str">
        <f>ReportSummary___Track[[#This Row],[Track ID]]&amp;"-"&amp;ReportSummary___Track[[#This Row],[Epoch]]</f>
        <v>250-RL-OP-0040-45733.8402777778</v>
      </c>
      <c r="Z1334" s="126">
        <f>SUBTOTAL(103,ReportSummary___Track[[#This Row],[Track ID]])</f>
        <v>1</v>
      </c>
      <c r="AA1334" s="114">
        <f>_xlfn.NUMBERVALUE(RIGHT(ReportSummary___Track[[#This Row],[Track ID]],4))</f>
        <v>40</v>
      </c>
      <c r="AB1334" s="78"/>
    </row>
    <row r="1335" spans="5:28" ht="14.25" customHeight="1" x14ac:dyDescent="0.2">
      <c r="E1335" s="74">
        <v>45733.840277777781</v>
      </c>
      <c r="F1335" s="107" t="s">
        <v>280</v>
      </c>
      <c r="G1335" s="142">
        <v>51905.34143994435</v>
      </c>
      <c r="H1335" s="142">
        <v>159189.98307356637</v>
      </c>
      <c r="I1335" s="142">
        <v>18.868110306354264</v>
      </c>
      <c r="J1335" s="142">
        <v>51905.003754626356</v>
      </c>
      <c r="K1335" s="142">
        <v>159188.71076579636</v>
      </c>
      <c r="L1335" s="142">
        <v>18.85839469514465</v>
      </c>
      <c r="M1335" s="145">
        <v>9.7156112096143943E-3</v>
      </c>
      <c r="N1335" s="145">
        <v>1.316393872938207</v>
      </c>
      <c r="O1335" s="145">
        <v>1.8071646771353755E-3</v>
      </c>
      <c r="P1335" s="145">
        <v>3.6053818220800338E-3</v>
      </c>
      <c r="Q133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-0.57210937085017122</v>
      </c>
      <c r="R133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0.95409963645942675</v>
      </c>
      <c r="S133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-0.25575293994251069</v>
      </c>
      <c r="T133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-0.45977677542907713</v>
      </c>
      <c r="U133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-5.7216157515682653E-4</v>
      </c>
      <c r="V133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4.8720757242159962E-5</v>
      </c>
      <c r="W133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-2.5579420617205528E-4</v>
      </c>
      <c r="X133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-4.6013596555027902E-4</v>
      </c>
      <c r="Y1335" s="162" t="str">
        <f>ReportSummary___Track[[#This Row],[Track ID]]&amp;"-"&amp;ReportSummary___Track[[#This Row],[Epoch]]</f>
        <v>250-RL-OP-0041-45733.8402777778</v>
      </c>
      <c r="Z1335" s="126">
        <f>SUBTOTAL(103,ReportSummary___Track[[#This Row],[Track ID]])</f>
        <v>1</v>
      </c>
      <c r="AA1335" s="114">
        <f>_xlfn.NUMBERVALUE(RIGHT(ReportSummary___Track[[#This Row],[Track ID]],4))</f>
        <v>41</v>
      </c>
      <c r="AB1335" s="78"/>
    </row>
    <row r="1336" spans="5:28" ht="14.25" customHeight="1" x14ac:dyDescent="0.2">
      <c r="E1336" s="74">
        <v>45733.840277777781</v>
      </c>
      <c r="F1336" s="107" t="s">
        <v>281</v>
      </c>
      <c r="G1336" s="142">
        <v>51906.30818462326</v>
      </c>
      <c r="H1336" s="142">
        <v>159189.72733658861</v>
      </c>
      <c r="I1336" s="142">
        <v>18.869933492924577</v>
      </c>
      <c r="J1336" s="142">
        <v>51905.970334672093</v>
      </c>
      <c r="K1336" s="142">
        <v>159188.454404619</v>
      </c>
      <c r="L1336" s="142">
        <v>18.859795379638523</v>
      </c>
      <c r="M1336" s="145">
        <v>1.0138113286053851E-2</v>
      </c>
      <c r="N1336" s="145">
        <v>1.3170425847691141</v>
      </c>
      <c r="O1336" s="145">
        <v>1.6315173781613623E-3</v>
      </c>
      <c r="P1336" s="145">
        <v>3.4414708914631831E-3</v>
      </c>
      <c r="Q133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-0.39506344351636358</v>
      </c>
      <c r="R133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0.7641768439456964</v>
      </c>
      <c r="S133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2.1146762925638996E-2</v>
      </c>
      <c r="T133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-0.21617644463134411</v>
      </c>
      <c r="U133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-3.9549121832749279E-4</v>
      </c>
      <c r="V133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2.9794392907978029E-4</v>
      </c>
      <c r="W133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2.0791101100314791E-5</v>
      </c>
      <c r="X133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-2.2279875097197532E-4</v>
      </c>
      <c r="Y1336" s="162" t="str">
        <f>ReportSummary___Track[[#This Row],[Track ID]]&amp;"-"&amp;ReportSummary___Track[[#This Row],[Epoch]]</f>
        <v>250-RL-OP-0042-45733.8402777778</v>
      </c>
      <c r="Z1336" s="126">
        <f>SUBTOTAL(103,ReportSummary___Track[[#This Row],[Track ID]])</f>
        <v>1</v>
      </c>
      <c r="AA1336" s="114">
        <f>_xlfn.NUMBERVALUE(RIGHT(ReportSummary___Track[[#This Row],[Track ID]],4))</f>
        <v>42</v>
      </c>
      <c r="AB1336" s="78"/>
    </row>
    <row r="1337" spans="5:28" ht="14.25" customHeight="1" x14ac:dyDescent="0.2">
      <c r="E1337" s="74">
        <v>45733.840277777781</v>
      </c>
      <c r="F1337" s="107" t="s">
        <v>282</v>
      </c>
      <c r="G1337" s="142">
        <v>51907.274929302162</v>
      </c>
      <c r="H1337" s="142">
        <v>159189.47159961084</v>
      </c>
      <c r="I1337" s="142">
        <v>18.871756679494887</v>
      </c>
      <c r="J1337" s="142">
        <v>51906.936914717829</v>
      </c>
      <c r="K1337" s="142">
        <v>159188.19804344163</v>
      </c>
      <c r="L1337" s="142">
        <v>18.861196064132397</v>
      </c>
      <c r="M1337" s="145">
        <v>1.0560615362489756E-2</v>
      </c>
      <c r="N1337" s="145">
        <v>1.3176914289585799</v>
      </c>
      <c r="O1337" s="145">
        <v>1.4558700791873491E-3</v>
      </c>
      <c r="P1337" s="145">
        <v>3.2775599608427797E-3</v>
      </c>
      <c r="Q133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-0.21801751618610865</v>
      </c>
      <c r="R133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0.57434313295456896</v>
      </c>
      <c r="S133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0.29804646579023597</v>
      </c>
      <c r="T133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2.7423886159283484E-2</v>
      </c>
      <c r="U133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-2.1882086150526447E-4</v>
      </c>
      <c r="V133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5.4725474958172704E-4</v>
      </c>
      <c r="W133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2.9737640836913215E-4</v>
      </c>
      <c r="X133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1.4538463592117523E-5</v>
      </c>
      <c r="Y1337" s="162" t="str">
        <f>ReportSummary___Track[[#This Row],[Track ID]]&amp;"-"&amp;ReportSummary___Track[[#This Row],[Epoch]]</f>
        <v>250-RL-OP-0043-45733.8402777778</v>
      </c>
      <c r="Z1337" s="126">
        <f>SUBTOTAL(103,ReportSummary___Track[[#This Row],[Track ID]])</f>
        <v>1</v>
      </c>
      <c r="AA1337" s="114">
        <f>_xlfn.NUMBERVALUE(RIGHT(ReportSummary___Track[[#This Row],[Track ID]],4))</f>
        <v>43</v>
      </c>
      <c r="AB1337" s="78"/>
    </row>
    <row r="1338" spans="5:28" ht="14.25" customHeight="1" x14ac:dyDescent="0.2">
      <c r="E1338" s="74">
        <v>45733.840277777781</v>
      </c>
      <c r="F1338" s="107" t="s">
        <v>283</v>
      </c>
      <c r="G1338" s="142">
        <v>51908.242423140677</v>
      </c>
      <c r="H1338" s="142">
        <v>159189.21936659704</v>
      </c>
      <c r="I1338" s="142">
        <v>18.8739310950007</v>
      </c>
      <c r="J1338" s="142">
        <v>51907.904608727978</v>
      </c>
      <c r="K1338" s="142">
        <v>159187.94537042323</v>
      </c>
      <c r="L1338" s="142">
        <v>18.863009811449679</v>
      </c>
      <c r="M1338" s="145">
        <v>1.0921283551020622E-2</v>
      </c>
      <c r="N1338" s="145">
        <v>1.3180683224885048</v>
      </c>
      <c r="O1338" s="145">
        <v>1.2056723414062276E-3</v>
      </c>
      <c r="P1338" s="145">
        <v>3.0128370185416031E-3</v>
      </c>
      <c r="Q133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-0.10711928532813886</v>
      </c>
      <c r="R133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0.44428069108271018</v>
      </c>
      <c r="S133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0.46499008552203236</v>
      </c>
      <c r="T133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0.20923714557952167</v>
      </c>
      <c r="U133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-1.0691878729929272E-4</v>
      </c>
      <c r="V133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5.7643848751065541E-4</v>
      </c>
      <c r="W133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4.6524278785753381E-4</v>
      </c>
      <c r="X133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2.0944858168547853E-4</v>
      </c>
      <c r="Y1338" s="162" t="str">
        <f>ReportSummary___Track[[#This Row],[Track ID]]&amp;"-"&amp;ReportSummary___Track[[#This Row],[Epoch]]</f>
        <v>250-RL-OP-0044-45733.8402777778</v>
      </c>
      <c r="Z1338" s="126">
        <f>SUBTOTAL(103,ReportSummary___Track[[#This Row],[Track ID]])</f>
        <v>1</v>
      </c>
      <c r="AA1338" s="114">
        <f>_xlfn.NUMBERVALUE(RIGHT(ReportSummary___Track[[#This Row],[Track ID]],4))</f>
        <v>44</v>
      </c>
      <c r="AB1338" s="78"/>
    </row>
    <row r="1339" spans="5:28" ht="14.25" customHeight="1" x14ac:dyDescent="0.2">
      <c r="E1339" s="74">
        <v>45733.840277777781</v>
      </c>
      <c r="F1339" s="107" t="s">
        <v>284</v>
      </c>
      <c r="G1339" s="142">
        <v>51909.211983193112</v>
      </c>
      <c r="H1339" s="142">
        <v>159188.97453047571</v>
      </c>
      <c r="I1339" s="142">
        <v>18.876859987736459</v>
      </c>
      <c r="J1339" s="142">
        <v>51908.873911794442</v>
      </c>
      <c r="K1339" s="142">
        <v>159187.69951479539</v>
      </c>
      <c r="L1339" s="142">
        <v>18.865574105276291</v>
      </c>
      <c r="M1339" s="145">
        <v>1.128588246016804E-2</v>
      </c>
      <c r="N1339" s="145">
        <v>1.3191226731473193</v>
      </c>
      <c r="O1339" s="145">
        <v>1.1477691741141882E-3</v>
      </c>
      <c r="P1339" s="145">
        <v>2.7792865522755505E-3</v>
      </c>
      <c r="Q133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-0.10380378865093576</v>
      </c>
      <c r="R133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0.44803403131488118</v>
      </c>
      <c r="S133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0.29125965486542782</v>
      </c>
      <c r="T133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0.31240641779106681</v>
      </c>
      <c r="U133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-1.0297259533942338E-4</v>
      </c>
      <c r="V133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1.8933727647651999E-4</v>
      </c>
      <c r="W133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2.9251862298806941E-4</v>
      </c>
      <c r="X133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3.133097240883842E-4</v>
      </c>
      <c r="Y1339" s="162" t="str">
        <f>ReportSummary___Track[[#This Row],[Track ID]]&amp;"-"&amp;ReportSummary___Track[[#This Row],[Epoch]]</f>
        <v>250-RL-OP-0045-45733.8402777778</v>
      </c>
      <c r="Z1339" s="126">
        <f>SUBTOTAL(103,ReportSummary___Track[[#This Row],[Track ID]])</f>
        <v>1</v>
      </c>
      <c r="AA1339" s="114">
        <f>_xlfn.NUMBERVALUE(RIGHT(ReportSummary___Track[[#This Row],[Track ID]],4))</f>
        <v>45</v>
      </c>
      <c r="AB1339" s="78"/>
    </row>
    <row r="1340" spans="5:28" ht="14.25" customHeight="1" x14ac:dyDescent="0.2">
      <c r="E1340" s="74">
        <v>45733.840277777781</v>
      </c>
      <c r="F1340" s="107" t="s">
        <v>285</v>
      </c>
      <c r="G1340" s="142">
        <v>51910.181543245548</v>
      </c>
      <c r="H1340" s="142">
        <v>159188.72969435438</v>
      </c>
      <c r="I1340" s="142">
        <v>18.879788880472219</v>
      </c>
      <c r="J1340" s="142">
        <v>51909.843214860899</v>
      </c>
      <c r="K1340" s="142">
        <v>159187.45365916751</v>
      </c>
      <c r="L1340" s="142">
        <v>18.868138399102904</v>
      </c>
      <c r="M1340" s="145">
        <v>1.1650481369315457E-2</v>
      </c>
      <c r="N1340" s="145">
        <v>1.3201771198174734</v>
      </c>
      <c r="O1340" s="145">
        <v>1.0898660068257016E-3</v>
      </c>
      <c r="P1340" s="145">
        <v>2.5457360860130507E-3</v>
      </c>
      <c r="Q134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-0.10048829197017994</v>
      </c>
      <c r="R134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0.45178911798537946</v>
      </c>
      <c r="S134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0.11752922421592871</v>
      </c>
      <c r="T134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0.41557569000616468</v>
      </c>
      <c r="U134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-9.902640337955404E-5</v>
      </c>
      <c r="V134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-1.9776004399174596E-4</v>
      </c>
      <c r="W134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1.1979445812571043E-4</v>
      </c>
      <c r="X134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4.1717086649484258E-4</v>
      </c>
      <c r="Y1340" s="162" t="str">
        <f>ReportSummary___Track[[#This Row],[Track ID]]&amp;"-"&amp;ReportSummary___Track[[#This Row],[Epoch]]</f>
        <v>250-RL-OP-0046-45733.8402777778</v>
      </c>
      <c r="Z1340" s="126">
        <f>SUBTOTAL(103,ReportSummary___Track[[#This Row],[Track ID]])</f>
        <v>1</v>
      </c>
      <c r="AA1340" s="114">
        <f>_xlfn.NUMBERVALUE(RIGHT(ReportSummary___Track[[#This Row],[Track ID]],4))</f>
        <v>46</v>
      </c>
      <c r="AB1340" s="78"/>
    </row>
    <row r="1341" spans="5:28" ht="14.25" customHeight="1" x14ac:dyDescent="0.2">
      <c r="E1341" s="74">
        <v>45733.840277777781</v>
      </c>
      <c r="F1341" s="107" t="s">
        <v>286</v>
      </c>
      <c r="G1341" s="142">
        <v>51911.151443090799</v>
      </c>
      <c r="H1341" s="142">
        <v>159188.48675018147</v>
      </c>
      <c r="I1341" s="142">
        <v>18.883050633475335</v>
      </c>
      <c r="J1341" s="142">
        <v>51910.834588731501</v>
      </c>
      <c r="K1341" s="142">
        <v>159187.20430170494</v>
      </c>
      <c r="L1341" s="142">
        <v>18.870939091322285</v>
      </c>
      <c r="M1341" s="145">
        <v>1.2111542153050436E-2</v>
      </c>
      <c r="N1341" s="145">
        <v>1.32106679218462</v>
      </c>
      <c r="O1341" s="145">
        <v>1.1902586020298145E-3</v>
      </c>
      <c r="P1341" s="145">
        <v>2.3959309434360421E-3</v>
      </c>
      <c r="Q134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-7.528979813287151E-2</v>
      </c>
      <c r="R134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0.46669631354778751</v>
      </c>
      <c r="S134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3.1829487195267347E-2</v>
      </c>
      <c r="T134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0.49681957271729971</v>
      </c>
      <c r="U134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-1.5214142054631452E-4</v>
      </c>
      <c r="V134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-4.6997619711408589E-4</v>
      </c>
      <c r="W134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-4.5222633247021804E-5</v>
      </c>
      <c r="X134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4.2002015461051201E-4</v>
      </c>
      <c r="Y1341" s="162" t="str">
        <f>ReportSummary___Track[[#This Row],[Track ID]]&amp;"-"&amp;ReportSummary___Track[[#This Row],[Epoch]]</f>
        <v>250-RL-OP-0047-45733.8402777778</v>
      </c>
      <c r="Z1341" s="126">
        <f>SUBTOTAL(103,ReportSummary___Track[[#This Row],[Track ID]])</f>
        <v>1</v>
      </c>
      <c r="AA1341" s="114">
        <f>_xlfn.NUMBERVALUE(RIGHT(ReportSummary___Track[[#This Row],[Track ID]],4))</f>
        <v>47</v>
      </c>
      <c r="AB1341" s="78"/>
    </row>
    <row r="1342" spans="5:28" ht="14.25" customHeight="1" x14ac:dyDescent="0.2">
      <c r="E1342" s="74">
        <v>45733.840277777781</v>
      </c>
      <c r="F1342" s="107" t="s">
        <v>287</v>
      </c>
      <c r="G1342" s="142">
        <v>51912.123184508288</v>
      </c>
      <c r="H1342" s="142">
        <v>159188.25074534968</v>
      </c>
      <c r="I1342" s="142">
        <v>18.887560279942765</v>
      </c>
      <c r="J1342" s="142">
        <v>51911.806135829553</v>
      </c>
      <c r="K1342" s="142">
        <v>159186.9674794646</v>
      </c>
      <c r="L1342" s="142">
        <v>18.874324759312604</v>
      </c>
      <c r="M1342" s="145">
        <v>1.3235520630161091E-2</v>
      </c>
      <c r="N1342" s="145">
        <v>1.3219176886286648</v>
      </c>
      <c r="O1342" s="145">
        <v>1.949638169993051E-3</v>
      </c>
      <c r="P1342" s="145">
        <v>3.0974073441072392E-3</v>
      </c>
      <c r="Q134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2.9553646900382091E-2</v>
      </c>
      <c r="R134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0.4935362485170014</v>
      </c>
      <c r="S134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0.13335743555131785</v>
      </c>
      <c r="T134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0.42461709041674567</v>
      </c>
      <c r="U134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-3.994548605170678E-4</v>
      </c>
      <c r="V134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-2.8174901030775246E-4</v>
      </c>
      <c r="W134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-2.9648226517764442E-4</v>
      </c>
      <c r="X134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-3.9636421895750118E-6</v>
      </c>
      <c r="Y1342" s="162" t="str">
        <f>ReportSummary___Track[[#This Row],[Track ID]]&amp;"-"&amp;ReportSummary___Track[[#This Row],[Epoch]]</f>
        <v>250-RL-OP-0048-45733.8402777778</v>
      </c>
      <c r="Z1342" s="126">
        <f>SUBTOTAL(103,ReportSummary___Track[[#This Row],[Track ID]])</f>
        <v>1</v>
      </c>
      <c r="AA1342" s="114">
        <f>_xlfn.NUMBERVALUE(RIGHT(ReportSummary___Track[[#This Row],[Track ID]],4))</f>
        <v>48</v>
      </c>
      <c r="AB1342" s="78"/>
    </row>
    <row r="1343" spans="5:28" ht="14.25" customHeight="1" x14ac:dyDescent="0.2">
      <c r="E1343" s="74">
        <v>45733.840277777781</v>
      </c>
      <c r="F1343" s="107" t="s">
        <v>288</v>
      </c>
      <c r="G1343" s="142">
        <v>51913.094925925769</v>
      </c>
      <c r="H1343" s="142">
        <v>159188.01474051786</v>
      </c>
      <c r="I1343" s="142">
        <v>18.892069926410198</v>
      </c>
      <c r="J1343" s="142">
        <v>51912.777682927597</v>
      </c>
      <c r="K1343" s="142">
        <v>159186.73065722425</v>
      </c>
      <c r="L1343" s="142">
        <v>18.877710427302919</v>
      </c>
      <c r="M1343" s="145">
        <v>1.435949910727885E-2</v>
      </c>
      <c r="N1343" s="145">
        <v>1.3227695264178876</v>
      </c>
      <c r="O1343" s="145">
        <v>2.7090177379633928E-3</v>
      </c>
      <c r="P1343" s="145">
        <v>3.7988837447890944E-3</v>
      </c>
      <c r="Q134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0.13439709194429383</v>
      </c>
      <c r="R134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0.52054406635271278</v>
      </c>
      <c r="S134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0.23488538391447378</v>
      </c>
      <c r="T134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0.35241460813040248</v>
      </c>
      <c r="U134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-6.4676830048426837E-4</v>
      </c>
      <c r="V134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-9.3988725652582872E-5</v>
      </c>
      <c r="W134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-5.4774189710471433E-4</v>
      </c>
      <c r="X134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-4.2794743897900389E-4</v>
      </c>
      <c r="Y1343" s="162" t="str">
        <f>ReportSummary___Track[[#This Row],[Track ID]]&amp;"-"&amp;ReportSummary___Track[[#This Row],[Epoch]]</f>
        <v>250-RL-OP-0049-45733.8402777778</v>
      </c>
      <c r="Z1343" s="126">
        <f>SUBTOTAL(103,ReportSummary___Track[[#This Row],[Track ID]])</f>
        <v>1</v>
      </c>
      <c r="AA1343" s="114">
        <f>_xlfn.NUMBERVALUE(RIGHT(ReportSummary___Track[[#This Row],[Track ID]],4))</f>
        <v>49</v>
      </c>
      <c r="AB1343" s="78"/>
    </row>
    <row r="1344" spans="5:28" ht="14.25" customHeight="1" x14ac:dyDescent="0.2">
      <c r="E1344" s="74">
        <v>45721.395833333336</v>
      </c>
      <c r="F1344" s="107" t="s">
        <v>235</v>
      </c>
      <c r="G1344" s="142">
        <v>51886.101813691566</v>
      </c>
      <c r="H1344" s="142">
        <v>159195.44742123291</v>
      </c>
      <c r="I1344" s="142">
        <v>18.870056334450997</v>
      </c>
      <c r="J1344" s="142">
        <v>51885.74197615045</v>
      </c>
      <c r="K1344" s="142">
        <v>159194.18769572402</v>
      </c>
      <c r="L1344" s="142">
        <v>18.865787569705002</v>
      </c>
      <c r="M1344" s="145">
        <v>4.2687647459942468E-3</v>
      </c>
      <c r="N1344" s="145">
        <v>1.3101181763874097</v>
      </c>
      <c r="O1344" s="145"/>
      <c r="P1344" s="145"/>
      <c r="Q134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4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44"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44"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4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2.8169365443275751E-4</v>
      </c>
      <c r="V134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6.9152727192411945E-4</v>
      </c>
      <c r="W1344"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44"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44" s="162" t="str">
        <f>ReportSummary___Track[[#This Row],[Track ID]]&amp;"-"&amp;ReportSummary___Track[[#This Row],[Epoch]]</f>
        <v>250-RL-OP-0021-45721.3958333333</v>
      </c>
      <c r="Z1344" s="126">
        <f>SUBTOTAL(103,ReportSummary___Track[[#This Row],[Track ID]])</f>
        <v>1</v>
      </c>
      <c r="AA1344" s="114">
        <f>_xlfn.NUMBERVALUE(RIGHT(ReportSummary___Track[[#This Row],[Track ID]],4))</f>
        <v>21</v>
      </c>
      <c r="AB1344" s="78"/>
    </row>
    <row r="1345" spans="5:28" ht="14.25" customHeight="1" x14ac:dyDescent="0.2">
      <c r="E1345" s="74">
        <v>45721.395833333336</v>
      </c>
      <c r="F1345" s="107" t="s">
        <v>236</v>
      </c>
      <c r="G1345" s="142">
        <v>51887.063368977339</v>
      </c>
      <c r="H1345" s="142">
        <v>159195.17280982088</v>
      </c>
      <c r="I1345" s="142">
        <v>18.870125558401593</v>
      </c>
      <c r="J1345" s="142">
        <v>51886.703005177442</v>
      </c>
      <c r="K1345" s="142">
        <v>159193.91124827688</v>
      </c>
      <c r="L1345" s="142">
        <v>18.865652437138895</v>
      </c>
      <c r="M1345" s="145">
        <v>4.4731212626984984E-3</v>
      </c>
      <c r="N1345" s="145">
        <v>1.3120288130950861</v>
      </c>
      <c r="O1345" s="145"/>
      <c r="P1345" s="145"/>
      <c r="Q134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4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45"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45"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4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6.2783970314583826E-4</v>
      </c>
      <c r="V134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3.5978653339063804E-4</v>
      </c>
      <c r="W1345"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45"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45" s="162" t="str">
        <f>ReportSummary___Track[[#This Row],[Track ID]]&amp;"-"&amp;ReportSummary___Track[[#This Row],[Epoch]]</f>
        <v>250-RL-OP-0022-45721.3958333333</v>
      </c>
      <c r="Z1345" s="126">
        <f>SUBTOTAL(103,ReportSummary___Track[[#This Row],[Track ID]])</f>
        <v>1</v>
      </c>
      <c r="AA1345" s="114">
        <f>_xlfn.NUMBERVALUE(RIGHT(ReportSummary___Track[[#This Row],[Track ID]],4))</f>
        <v>22</v>
      </c>
      <c r="AB1345" s="78"/>
    </row>
    <row r="1346" spans="5:28" ht="14.25" customHeight="1" x14ac:dyDescent="0.2">
      <c r="E1346" s="74">
        <v>45721.395833333336</v>
      </c>
      <c r="F1346" s="107" t="s">
        <v>237</v>
      </c>
      <c r="G1346" s="142">
        <v>51888.024924263111</v>
      </c>
      <c r="H1346" s="142">
        <v>159194.89819840886</v>
      </c>
      <c r="I1346" s="142">
        <v>18.870194782352193</v>
      </c>
      <c r="J1346" s="142">
        <v>51887.664034204434</v>
      </c>
      <c r="K1346" s="142">
        <v>159193.63480082978</v>
      </c>
      <c r="L1346" s="142">
        <v>18.865517304572791</v>
      </c>
      <c r="M1346" s="145">
        <v>4.67747777940275E-3</v>
      </c>
      <c r="N1346" s="145">
        <v>1.3139394796103876</v>
      </c>
      <c r="O1346" s="145"/>
      <c r="P1346" s="145"/>
      <c r="Q134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4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46" s="206" t="str">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v>
      </c>
      <c r="T1346"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4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9.7398575185536629E-4</v>
      </c>
      <c r="V134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2.8058793879459643E-5</v>
      </c>
      <c r="W1346" s="76" t="str">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v>
      </c>
      <c r="X1346"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46" s="162" t="str">
        <f>ReportSummary___Track[[#This Row],[Track ID]]&amp;"-"&amp;ReportSummary___Track[[#This Row],[Epoch]]</f>
        <v>250-RL-OP-0023-45721.3958333333</v>
      </c>
      <c r="Z1346" s="126">
        <f>SUBTOTAL(103,ReportSummary___Track[[#This Row],[Track ID]])</f>
        <v>1</v>
      </c>
      <c r="AA1346" s="114">
        <f>_xlfn.NUMBERVALUE(RIGHT(ReportSummary___Track[[#This Row],[Track ID]],4))</f>
        <v>23</v>
      </c>
      <c r="AB1346" s="78"/>
    </row>
    <row r="1347" spans="5:28" ht="14.25" customHeight="1" x14ac:dyDescent="0.2">
      <c r="E1347" s="74">
        <v>45721.395833333336</v>
      </c>
      <c r="F1347" s="107" t="s">
        <v>238</v>
      </c>
      <c r="G1347" s="142">
        <v>51888.986205860805</v>
      </c>
      <c r="H1347" s="142">
        <v>159194.62272788165</v>
      </c>
      <c r="I1347" s="142">
        <v>18.869514793813725</v>
      </c>
      <c r="J1347" s="142">
        <v>51888.624024403252</v>
      </c>
      <c r="K1347" s="142">
        <v>159193.35779661778</v>
      </c>
      <c r="L1347" s="142">
        <v>18.864752372254646</v>
      </c>
      <c r="M1347" s="145">
        <v>4.7624215590786889E-3</v>
      </c>
      <c r="N1347" s="145">
        <v>1.3157694293318158</v>
      </c>
      <c r="O1347" s="145">
        <v>4.9365681308444209E-4</v>
      </c>
      <c r="P1347" s="145"/>
      <c r="Q134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4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4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47"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4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7.0091322933762967E-4</v>
      </c>
      <c r="V134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-9.7314365345990694E-6</v>
      </c>
      <c r="W134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4.1921957490487216E-4</v>
      </c>
      <c r="X1347"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47" s="162" t="str">
        <f>ReportSummary___Track[[#This Row],[Track ID]]&amp;"-"&amp;ReportSummary___Track[[#This Row],[Epoch]]</f>
        <v>250-RL-OP-0024-45721.3958333333</v>
      </c>
      <c r="Z1347" s="126">
        <f>SUBTOTAL(103,ReportSummary___Track[[#This Row],[Track ID]])</f>
        <v>1</v>
      </c>
      <c r="AA1347" s="114">
        <f>_xlfn.NUMBERVALUE(RIGHT(ReportSummary___Track[[#This Row],[Track ID]],4))</f>
        <v>24</v>
      </c>
      <c r="AB1347" s="78"/>
    </row>
    <row r="1348" spans="5:28" ht="14.25" customHeight="1" x14ac:dyDescent="0.2">
      <c r="E1348" s="74">
        <v>45721.395833333336</v>
      </c>
      <c r="F1348" s="107" t="s">
        <v>239</v>
      </c>
      <c r="G1348" s="142">
        <v>51889.947492753308</v>
      </c>
      <c r="H1348" s="142">
        <v>159194.34717940842</v>
      </c>
      <c r="I1348" s="142">
        <v>18.868773709900385</v>
      </c>
      <c r="J1348" s="142">
        <v>51889.584791712696</v>
      </c>
      <c r="K1348" s="142">
        <v>159193.08044225874</v>
      </c>
      <c r="L1348" s="142">
        <v>18.863894115171242</v>
      </c>
      <c r="M1348" s="145">
        <v>4.8795947291431219E-3</v>
      </c>
      <c r="N1348" s="145">
        <v>1.3176489903169635</v>
      </c>
      <c r="O1348" s="145">
        <v>4.0647346644462345E-4</v>
      </c>
      <c r="P1348" s="145"/>
      <c r="Q134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4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4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48"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4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3.5756522215990572E-4</v>
      </c>
      <c r="V134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-4.7861656904402139E-6</v>
      </c>
      <c r="W134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-2.7027448098593254E-4</v>
      </c>
      <c r="X1348"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48" s="162" t="str">
        <f>ReportSummary___Track[[#This Row],[Track ID]]&amp;"-"&amp;ReportSummary___Track[[#This Row],[Epoch]]</f>
        <v>250-RL-OP-0025-45721.3958333333</v>
      </c>
      <c r="Z1348" s="126">
        <f>SUBTOTAL(103,ReportSummary___Track[[#This Row],[Track ID]])</f>
        <v>1</v>
      </c>
      <c r="AA1348" s="114">
        <f>_xlfn.NUMBERVALUE(RIGHT(ReportSummary___Track[[#This Row],[Track ID]],4))</f>
        <v>25</v>
      </c>
      <c r="AB1348" s="78"/>
    </row>
    <row r="1349" spans="5:28" ht="14.25" customHeight="1" x14ac:dyDescent="0.2">
      <c r="E1349" s="74">
        <v>45721.395833333336</v>
      </c>
      <c r="F1349" s="107" t="s">
        <v>240</v>
      </c>
      <c r="G1349" s="142">
        <v>51890.908779645804</v>
      </c>
      <c r="H1349" s="142">
        <v>159194.07163093518</v>
      </c>
      <c r="I1349" s="142">
        <v>18.868032625987045</v>
      </c>
      <c r="J1349" s="142">
        <v>51890.545559022146</v>
      </c>
      <c r="K1349" s="142">
        <v>159192.80308789967</v>
      </c>
      <c r="L1349" s="142">
        <v>18.863035858087837</v>
      </c>
      <c r="M1349" s="145">
        <v>4.9967678992075548E-3</v>
      </c>
      <c r="N1349" s="145">
        <v>1.3195285605492082</v>
      </c>
      <c r="O1349" s="145">
        <v>3.1929011980480482E-4</v>
      </c>
      <c r="P1349" s="145"/>
      <c r="Q134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4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4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49" s="206" t="str">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v>
      </c>
      <c r="U134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1.4217214978629045E-5</v>
      </c>
      <c r="V134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1.1861806870072655E-8</v>
      </c>
      <c r="W134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-9.5976853687673724E-4</v>
      </c>
      <c r="X1349" s="76" t="str">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v>
      </c>
      <c r="Y1349" s="162" t="str">
        <f>ReportSummary___Track[[#This Row],[Track ID]]&amp;"-"&amp;ReportSummary___Track[[#This Row],[Epoch]]</f>
        <v>250-RL-OP-0026-45721.3958333333</v>
      </c>
      <c r="Z1349" s="126">
        <f>SUBTOTAL(103,ReportSummary___Track[[#This Row],[Track ID]])</f>
        <v>1</v>
      </c>
      <c r="AA1349" s="114">
        <f>_xlfn.NUMBERVALUE(RIGHT(ReportSummary___Track[[#This Row],[Track ID]],4))</f>
        <v>26</v>
      </c>
      <c r="AB1349" s="78"/>
    </row>
    <row r="1350" spans="5:28" ht="14.25" customHeight="1" x14ac:dyDescent="0.2">
      <c r="E1350" s="74">
        <v>45721.395833333336</v>
      </c>
      <c r="F1350" s="107" t="s">
        <v>241</v>
      </c>
      <c r="G1350" s="142">
        <v>51891.869997674046</v>
      </c>
      <c r="H1350" s="142">
        <v>159193.79503821288</v>
      </c>
      <c r="I1350" s="142">
        <v>18.865661670375356</v>
      </c>
      <c r="J1350" s="142">
        <v>51891.504241774572</v>
      </c>
      <c r="K1350" s="142">
        <v>159192.52652294145</v>
      </c>
      <c r="L1350" s="142">
        <v>18.860958724053823</v>
      </c>
      <c r="M1350" s="145">
        <v>4.7029463215331191E-3</v>
      </c>
      <c r="N1350" s="145">
        <v>1.3202009277170017</v>
      </c>
      <c r="O1350" s="145">
        <v>-5.9475237545569826E-5</v>
      </c>
      <c r="P1350" s="145">
        <v>4.3418157553887227E-4</v>
      </c>
      <c r="Q135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3.2463151136497004E-4</v>
      </c>
      <c r="V135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8.5622790527040138E-5</v>
      </c>
      <c r="W135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-3.7628171797265964E-4</v>
      </c>
      <c r="X135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4.2937856932212526E-5</v>
      </c>
      <c r="Y1350" s="162" t="str">
        <f>ReportSummary___Track[[#This Row],[Track ID]]&amp;"-"&amp;ReportSummary___Track[[#This Row],[Epoch]]</f>
        <v>250-RL-OP-0027-45721.3958333333</v>
      </c>
      <c r="Z1350" s="126">
        <f>SUBTOTAL(103,ReportSummary___Track[[#This Row],[Track ID]])</f>
        <v>1</v>
      </c>
      <c r="AA1350" s="114">
        <f>_xlfn.NUMBERVALUE(RIGHT(ReportSummary___Track[[#This Row],[Track ID]],4))</f>
        <v>27</v>
      </c>
      <c r="AB1350" s="78"/>
    </row>
    <row r="1351" spans="5:28" ht="14.25" customHeight="1" x14ac:dyDescent="0.2">
      <c r="E1351" s="74">
        <v>45721.395833333336</v>
      </c>
      <c r="F1351" s="107" t="s">
        <v>242</v>
      </c>
      <c r="G1351" s="142">
        <v>51892.83098666594</v>
      </c>
      <c r="H1351" s="142">
        <v>159193.51846240537</v>
      </c>
      <c r="I1351" s="142">
        <v>18.863216230483452</v>
      </c>
      <c r="J1351" s="142">
        <v>51892.465059530405</v>
      </c>
      <c r="K1351" s="142">
        <v>159192.24935028609</v>
      </c>
      <c r="L1351" s="142">
        <v>18.8588234981687</v>
      </c>
      <c r="M1351" s="145">
        <v>4.3927323147521236E-3</v>
      </c>
      <c r="N1351" s="145">
        <v>1.3208207811482111</v>
      </c>
      <c r="O1351" s="145">
        <v>-4.8686241439099831E-4</v>
      </c>
      <c r="P1351" s="145">
        <v>-8.0388947946374856E-5</v>
      </c>
      <c r="Q135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6.6420417328671988E-4</v>
      </c>
      <c r="V135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1.7501342233838812E-4</v>
      </c>
      <c r="W135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3.0663895112681416E-4</v>
      </c>
      <c r="X135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3.6364470140881622E-5</v>
      </c>
      <c r="Y1351" s="162" t="str">
        <f>ReportSummary___Track[[#This Row],[Track ID]]&amp;"-"&amp;ReportSummary___Track[[#This Row],[Epoch]]</f>
        <v>250-RL-OP-0028-45721.3958333333</v>
      </c>
      <c r="Z1351" s="126">
        <f>SUBTOTAL(103,ReportSummary___Track[[#This Row],[Track ID]])</f>
        <v>1</v>
      </c>
      <c r="AA1351" s="114">
        <f>_xlfn.NUMBERVALUE(RIGHT(ReportSummary___Track[[#This Row],[Track ID]],4))</f>
        <v>28</v>
      </c>
      <c r="AB1351" s="78"/>
    </row>
    <row r="1352" spans="5:28" ht="14.25" customHeight="1" x14ac:dyDescent="0.2">
      <c r="E1352" s="74">
        <v>45721.395833333336</v>
      </c>
      <c r="F1352" s="107" t="s">
        <v>243</v>
      </c>
      <c r="G1352" s="142">
        <v>51893.791832902716</v>
      </c>
      <c r="H1352" s="142">
        <v>159193.24188497054</v>
      </c>
      <c r="I1352" s="142">
        <v>18.86090880847965</v>
      </c>
      <c r="J1352" s="142">
        <v>51893.425692718745</v>
      </c>
      <c r="K1352" s="142">
        <v>159191.9722322778</v>
      </c>
      <c r="L1352" s="142">
        <v>18.856702718339658</v>
      </c>
      <c r="M1352" s="145">
        <v>4.206090139991403E-3</v>
      </c>
      <c r="N1352" s="145">
        <v>1.3213986096977626</v>
      </c>
      <c r="O1352" s="145">
        <v>-7.906777592161518E-4</v>
      </c>
      <c r="P1352" s="145">
        <v>-4.7138763941134698E-4</v>
      </c>
      <c r="Q135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9.8239242166187069E-4</v>
      </c>
      <c r="V135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2.7411228763618567E-4</v>
      </c>
      <c r="W135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9.6817520668324164E-4</v>
      </c>
      <c r="X135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8.4066698065043965E-6</v>
      </c>
      <c r="Y1352" s="162" t="str">
        <f>ReportSummary___Track[[#This Row],[Track ID]]&amp;"-"&amp;ReportSummary___Track[[#This Row],[Epoch]]</f>
        <v>250-RL-OP-0029-45721.3958333333</v>
      </c>
      <c r="Z1352" s="126">
        <f>SUBTOTAL(103,ReportSummary___Track[[#This Row],[Track ID]])</f>
        <v>1</v>
      </c>
      <c r="AA1352" s="114">
        <f>_xlfn.NUMBERVALUE(RIGHT(ReportSummary___Track[[#This Row],[Track ID]],4))</f>
        <v>29</v>
      </c>
      <c r="AB1352" s="78"/>
    </row>
    <row r="1353" spans="5:28" ht="14.25" customHeight="1" x14ac:dyDescent="0.2">
      <c r="E1353" s="74">
        <v>45721.395833333336</v>
      </c>
      <c r="F1353" s="107" t="s">
        <v>269</v>
      </c>
      <c r="G1353" s="142">
        <v>51894.752609045274</v>
      </c>
      <c r="H1353" s="142">
        <v>159192.9645599339</v>
      </c>
      <c r="I1353" s="142">
        <v>18.861075952305988</v>
      </c>
      <c r="J1353" s="142">
        <v>51894.386583047206</v>
      </c>
      <c r="K1353" s="142">
        <v>159191.69530356207</v>
      </c>
      <c r="L1353" s="142">
        <v>18.857215612615047</v>
      </c>
      <c r="M1353" s="145">
        <v>3.8603396909415721E-3</v>
      </c>
      <c r="N1353" s="145">
        <v>1.3209851138129913</v>
      </c>
      <c r="O1353" s="145">
        <v>-8.4260663059154695E-4</v>
      </c>
      <c r="P1353" s="145">
        <v>-9.0208186813711677E-4</v>
      </c>
      <c r="Q135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6.4843439093209554E-4</v>
      </c>
      <c r="V135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8.5688877341505432E-5</v>
      </c>
      <c r="W135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3.238028795671255E-4</v>
      </c>
      <c r="X135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-5.2478838405534134E-5</v>
      </c>
      <c r="Y1353" s="162" t="str">
        <f>ReportSummary___Track[[#This Row],[Track ID]]&amp;"-"&amp;ReportSummary___Track[[#This Row],[Epoch]]</f>
        <v>250-RL-OP-0030-45721.3958333333</v>
      </c>
      <c r="Z1353" s="126">
        <f>SUBTOTAL(103,ReportSummary___Track[[#This Row],[Track ID]])</f>
        <v>1</v>
      </c>
      <c r="AA1353" s="114">
        <f>_xlfn.NUMBERVALUE(RIGHT(ReportSummary___Track[[#This Row],[Track ID]],4))</f>
        <v>30</v>
      </c>
      <c r="AB1353" s="78"/>
    </row>
    <row r="1354" spans="5:28" ht="14.25" customHeight="1" x14ac:dyDescent="0.2">
      <c r="E1354" s="74">
        <v>45721.395833333336</v>
      </c>
      <c r="F1354" s="107" t="s">
        <v>270</v>
      </c>
      <c r="G1354" s="142">
        <v>51895.713385187832</v>
      </c>
      <c r="H1354" s="142">
        <v>159192.68723489722</v>
      </c>
      <c r="I1354" s="142">
        <v>18.861243096132323</v>
      </c>
      <c r="J1354" s="142">
        <v>51895.347473375667</v>
      </c>
      <c r="K1354" s="142">
        <v>159191.41837484631</v>
      </c>
      <c r="L1354" s="142">
        <v>18.857728506890432</v>
      </c>
      <c r="M1354" s="145">
        <v>3.5145892418917413E-3</v>
      </c>
      <c r="N1354" s="145">
        <v>1.3205717077932526</v>
      </c>
      <c r="O1354" s="145">
        <v>-8.7814307286038229E-4</v>
      </c>
      <c r="P1354" s="145">
        <v>-1.3650054872513806E-3</v>
      </c>
      <c r="Q135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3.1447636020232039E-4</v>
      </c>
      <c r="V135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-1.0264473771637306E-4</v>
      </c>
      <c r="W135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-3.4972781308439949E-4</v>
      </c>
      <c r="X135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-4.3088861957585323E-5</v>
      </c>
      <c r="Y1354" s="162" t="str">
        <f>ReportSummary___Track[[#This Row],[Track ID]]&amp;"-"&amp;ReportSummary___Track[[#This Row],[Epoch]]</f>
        <v>250-RL-OP-0031-45721.3958333333</v>
      </c>
      <c r="Z1354" s="126">
        <f>SUBTOTAL(103,ReportSummary___Track[[#This Row],[Track ID]])</f>
        <v>1</v>
      </c>
      <c r="AA1354" s="114">
        <f>_xlfn.NUMBERVALUE(RIGHT(ReportSummary___Track[[#This Row],[Track ID]],4))</f>
        <v>31</v>
      </c>
      <c r="AB1354" s="78"/>
    </row>
    <row r="1355" spans="5:28" ht="14.25" customHeight="1" x14ac:dyDescent="0.2">
      <c r="E1355" s="74">
        <v>45721.395833333336</v>
      </c>
      <c r="F1355" s="107" t="s">
        <v>271</v>
      </c>
      <c r="G1355" s="142">
        <v>51896.674400289477</v>
      </c>
      <c r="H1355" s="142">
        <v>159192.40988835372</v>
      </c>
      <c r="I1355" s="142">
        <v>18.861498357934735</v>
      </c>
      <c r="J1355" s="142">
        <v>51896.30852141809</v>
      </c>
      <c r="K1355" s="142">
        <v>159191.14170884955</v>
      </c>
      <c r="L1355" s="142">
        <v>18.858247340168667</v>
      </c>
      <c r="M1355" s="145">
        <v>3.2510177660682871E-3</v>
      </c>
      <c r="N1355" s="145">
        <v>1.319908016660797</v>
      </c>
      <c r="O1355" s="145">
        <v>-9.5507237392311595E-4</v>
      </c>
      <c r="P1355" s="145">
        <v>-1.7457501331392677E-3</v>
      </c>
      <c r="Q135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-5.8026000004929301E-8</v>
      </c>
      <c r="V135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-2.8457870233711269E-4</v>
      </c>
      <c r="W135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-9.8245044766187561E-4</v>
      </c>
      <c r="X135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-1.4275240978633974E-5</v>
      </c>
      <c r="Y1355" s="162" t="str">
        <f>ReportSummary___Track[[#This Row],[Track ID]]&amp;"-"&amp;ReportSummary___Track[[#This Row],[Epoch]]</f>
        <v>250-RL-OP-0032-45721.3958333333</v>
      </c>
      <c r="Z1355" s="126">
        <f>SUBTOTAL(103,ReportSummary___Track[[#This Row],[Track ID]])</f>
        <v>1</v>
      </c>
      <c r="AA1355" s="114">
        <f>_xlfn.NUMBERVALUE(RIGHT(ReportSummary___Track[[#This Row],[Track ID]],4))</f>
        <v>32</v>
      </c>
      <c r="AB1355" s="78"/>
    </row>
    <row r="1356" spans="5:28" ht="14.25" customHeight="1" x14ac:dyDescent="0.2">
      <c r="E1356" s="74">
        <v>45721.395833333336</v>
      </c>
      <c r="F1356" s="107" t="s">
        <v>272</v>
      </c>
      <c r="G1356" s="142">
        <v>51897.635380606233</v>
      </c>
      <c r="H1356" s="142">
        <v>159192.13327621913</v>
      </c>
      <c r="I1356" s="142">
        <v>18.863097673946697</v>
      </c>
      <c r="J1356" s="142">
        <v>51897.270420156812</v>
      </c>
      <c r="K1356" s="142">
        <v>159190.86830352191</v>
      </c>
      <c r="L1356" s="142">
        <v>18.858833233345244</v>
      </c>
      <c r="M1356" s="145">
        <v>4.2644406014531455E-3</v>
      </c>
      <c r="N1356" s="145">
        <v>1.3165751933696299</v>
      </c>
      <c r="O1356" s="145">
        <v>4.0410091051157337E-4</v>
      </c>
      <c r="P1356" s="145">
        <v>-4.3850572007997357E-4</v>
      </c>
      <c r="Q135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-9.4060393607264814E-7</v>
      </c>
      <c r="V135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-4.2843265369674199E-4</v>
      </c>
      <c r="W135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-6.4937499486816819E-4</v>
      </c>
      <c r="X135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-3.2557211530104269E-4</v>
      </c>
      <c r="Y1356" s="162" t="str">
        <f>ReportSummary___Track[[#This Row],[Track ID]]&amp;"-"&amp;ReportSummary___Track[[#This Row],[Epoch]]</f>
        <v>250-RL-OP-0033-45721.3958333333</v>
      </c>
      <c r="Z1356" s="126">
        <f>SUBTOTAL(103,ReportSummary___Track[[#This Row],[Track ID]])</f>
        <v>1</v>
      </c>
      <c r="AA1356" s="114">
        <f>_xlfn.NUMBERVALUE(RIGHT(ReportSummary___Track[[#This Row],[Track ID]],4))</f>
        <v>33</v>
      </c>
      <c r="AB1356" s="78"/>
    </row>
    <row r="1357" spans="5:28" ht="14.25" customHeight="1" x14ac:dyDescent="0.2">
      <c r="E1357" s="74">
        <v>45721.395833333336</v>
      </c>
      <c r="F1357" s="107" t="s">
        <v>273</v>
      </c>
      <c r="G1357" s="142">
        <v>51898.596360922988</v>
      </c>
      <c r="H1357" s="142">
        <v>159191.85666408454</v>
      </c>
      <c r="I1357" s="142">
        <v>18.864696989958659</v>
      </c>
      <c r="J1357" s="142">
        <v>51898.232318895534</v>
      </c>
      <c r="K1357" s="142">
        <v>159190.59489819428</v>
      </c>
      <c r="L1357" s="142">
        <v>18.859419126521821</v>
      </c>
      <c r="M1357" s="145">
        <v>5.277863436838004E-3</v>
      </c>
      <c r="N1357" s="145">
        <v>1.3132431669033453</v>
      </c>
      <c r="O1357" s="145">
        <v>1.7632741949462627E-3</v>
      </c>
      <c r="P1357" s="145">
        <v>8.8513112208588041E-4</v>
      </c>
      <c r="Q135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-1.8231818756930807E-6</v>
      </c>
      <c r="V135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-5.7228705174461325E-4</v>
      </c>
      <c r="W135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-3.1629954207801347E-4</v>
      </c>
      <c r="X135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-6.6602735516241296E-4</v>
      </c>
      <c r="Y1357" s="162" t="str">
        <f>ReportSummary___Track[[#This Row],[Track ID]]&amp;"-"&amp;ReportSummary___Track[[#This Row],[Epoch]]</f>
        <v>250-RL-OP-0034-45721.3958333333</v>
      </c>
      <c r="Z1357" s="126">
        <f>SUBTOTAL(103,ReportSummary___Track[[#This Row],[Track ID]])</f>
        <v>1</v>
      </c>
      <c r="AA1357" s="114">
        <f>_xlfn.NUMBERVALUE(RIGHT(ReportSummary___Track[[#This Row],[Track ID]],4))</f>
        <v>34</v>
      </c>
      <c r="AB1357" s="78"/>
    </row>
    <row r="1358" spans="5:28" ht="14.25" customHeight="1" x14ac:dyDescent="0.2">
      <c r="E1358" s="74">
        <v>45721.395833333336</v>
      </c>
      <c r="F1358" s="107" t="s">
        <v>274</v>
      </c>
      <c r="G1358" s="142">
        <v>51899.557732431109</v>
      </c>
      <c r="H1358" s="142">
        <v>159191.5813204289</v>
      </c>
      <c r="I1358" s="142">
        <v>18.866</v>
      </c>
      <c r="J1358" s="142">
        <v>51899.20245636288</v>
      </c>
      <c r="K1358" s="142">
        <v>159190.3195632399</v>
      </c>
      <c r="L1358" s="142">
        <v>18.859777438017044</v>
      </c>
      <c r="M1358" s="145">
        <v>6.2225619829554546E-3</v>
      </c>
      <c r="N1358" s="145">
        <v>1.3108359961978842</v>
      </c>
      <c r="O1358" s="145">
        <v>2.9715442168871675E-3</v>
      </c>
      <c r="P1358" s="145">
        <v>2.0164718429640516E-3</v>
      </c>
      <c r="Q135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3.0698581454657869E-7</v>
      </c>
      <c r="V135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-6.5008170276570354E-4</v>
      </c>
      <c r="W135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3.65011814551508E-7</v>
      </c>
      <c r="X135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-9.8208543584732411E-4</v>
      </c>
      <c r="Y1358" s="162" t="str">
        <f>ReportSummary___Track[[#This Row],[Track ID]]&amp;"-"&amp;ReportSummary___Track[[#This Row],[Epoch]]</f>
        <v>250-RL-OP-0035-45721.3958333333</v>
      </c>
      <c r="Z1358" s="126">
        <f>SUBTOTAL(103,ReportSummary___Track[[#This Row],[Track ID]])</f>
        <v>1</v>
      </c>
      <c r="AA1358" s="114">
        <f>_xlfn.NUMBERVALUE(RIGHT(ReportSummary___Track[[#This Row],[Track ID]],4))</f>
        <v>35</v>
      </c>
      <c r="AB1358" s="78"/>
    </row>
    <row r="1359" spans="5:28" ht="14.25" customHeight="1" x14ac:dyDescent="0.2">
      <c r="E1359" s="74">
        <v>45721.395833333336</v>
      </c>
      <c r="F1359" s="107" t="s">
        <v>275</v>
      </c>
      <c r="G1359" s="142">
        <v>51900.520670537458</v>
      </c>
      <c r="H1359" s="142">
        <v>159191.31159797279</v>
      </c>
      <c r="I1359" s="142">
        <v>18.866</v>
      </c>
      <c r="J1359" s="142">
        <v>51900.164930325984</v>
      </c>
      <c r="K1359" s="142">
        <v>159190.04818998408</v>
      </c>
      <c r="L1359" s="142">
        <v>18.859124470606524</v>
      </c>
      <c r="M1359" s="145">
        <v>6.8755293934756878E-3</v>
      </c>
      <c r="N1359" s="145">
        <v>1.3125540434177247</v>
      </c>
      <c r="O1359" s="145">
        <v>2.6110887920225423E-3</v>
      </c>
      <c r="P1359" s="145">
        <v>3.0151897025341157E-3</v>
      </c>
      <c r="Q135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5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5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5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5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6.1945315295020009E-6</v>
      </c>
      <c r="V135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-4.313908259985233E-4</v>
      </c>
      <c r="W135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7.1351354655746491E-6</v>
      </c>
      <c r="X135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-6.4223985940259354E-4</v>
      </c>
      <c r="Y1359" s="162" t="str">
        <f>ReportSummary___Track[[#This Row],[Track ID]]&amp;"-"&amp;ReportSummary___Track[[#This Row],[Epoch]]</f>
        <v>250-RL-OP-0036-45721.3958333333</v>
      </c>
      <c r="Z1359" s="126">
        <f>SUBTOTAL(103,ReportSummary___Track[[#This Row],[Track ID]])</f>
        <v>1</v>
      </c>
      <c r="AA1359" s="114">
        <f>_xlfn.NUMBERVALUE(RIGHT(ReportSummary___Track[[#This Row],[Track ID]],4))</f>
        <v>36</v>
      </c>
      <c r="AB1359" s="78"/>
    </row>
    <row r="1360" spans="5:28" ht="14.25" customHeight="1" x14ac:dyDescent="0.2">
      <c r="E1360" s="74">
        <v>45721.395833333336</v>
      </c>
      <c r="F1360" s="107" t="s">
        <v>276</v>
      </c>
      <c r="G1360" s="142">
        <v>51901.483608643815</v>
      </c>
      <c r="H1360" s="142">
        <v>159191.04187551665</v>
      </c>
      <c r="I1360" s="142">
        <v>18.866</v>
      </c>
      <c r="J1360" s="142">
        <v>51901.127404289087</v>
      </c>
      <c r="K1360" s="142">
        <v>159189.77681672823</v>
      </c>
      <c r="L1360" s="142">
        <v>18.858471503196007</v>
      </c>
      <c r="M1360" s="145">
        <v>7.5284968039923683E-3</v>
      </c>
      <c r="N1360" s="145">
        <v>1.3142724065929574</v>
      </c>
      <c r="O1360" s="145">
        <v>2.2506333671543644E-3</v>
      </c>
      <c r="P1360" s="145">
        <v>4.013907562100627E-3</v>
      </c>
      <c r="Q136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1.2082077248010137E-5</v>
      </c>
      <c r="V136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-2.1269518992816927E-4</v>
      </c>
      <c r="W136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1.3905259123703217E-5</v>
      </c>
      <c r="X136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-3.0239428295431026E-4</v>
      </c>
      <c r="Y1360" s="162" t="str">
        <f>ReportSummary___Track[[#This Row],[Track ID]]&amp;"-"&amp;ReportSummary___Track[[#This Row],[Epoch]]</f>
        <v>250-RL-OP-0037-45721.3958333333</v>
      </c>
      <c r="Z1360" s="126">
        <f>SUBTOTAL(103,ReportSummary___Track[[#This Row],[Track ID]])</f>
        <v>1</v>
      </c>
      <c r="AA1360" s="114">
        <f>_xlfn.NUMBERVALUE(RIGHT(ReportSummary___Track[[#This Row],[Track ID]],4))</f>
        <v>37</v>
      </c>
      <c r="AB1360" s="78"/>
    </row>
    <row r="1361" spans="5:28" ht="14.25" customHeight="1" x14ac:dyDescent="0.2">
      <c r="E1361" s="74">
        <v>45721.395833333336</v>
      </c>
      <c r="F1361" s="107" t="s">
        <v>277</v>
      </c>
      <c r="G1361" s="142">
        <v>51902.446765809415</v>
      </c>
      <c r="H1361" s="142">
        <v>159190.77323042284</v>
      </c>
      <c r="I1361" s="142">
        <v>18.866124802963387</v>
      </c>
      <c r="J1361" s="142">
        <v>51902.098872443268</v>
      </c>
      <c r="K1361" s="142">
        <v>159189.50404742008</v>
      </c>
      <c r="L1361" s="142">
        <v>18.857900000000001</v>
      </c>
      <c r="M1361" s="145">
        <v>8.2248029633866793E-3</v>
      </c>
      <c r="N1361" s="145">
        <v>1.3160254313998874</v>
      </c>
      <c r="O1361" s="145">
        <v>2.0022409804312247E-3</v>
      </c>
      <c r="P1361" s="145">
        <v>4.9737851973183922E-3</v>
      </c>
      <c r="Q136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-1.0938077110722588E-8</v>
      </c>
      <c r="V136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-5.732857782647649E-5</v>
      </c>
      <c r="W136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-3.1792389165730128E-7</v>
      </c>
      <c r="X136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4.7087922894206713E-8</v>
      </c>
      <c r="Y1361" s="162" t="str">
        <f>ReportSummary___Track[[#This Row],[Track ID]]&amp;"-"&amp;ReportSummary___Track[[#This Row],[Epoch]]</f>
        <v>250-RL-OP-0038-45721.3958333333</v>
      </c>
      <c r="Z1361" s="126">
        <f>SUBTOTAL(103,ReportSummary___Track[[#This Row],[Track ID]])</f>
        <v>1</v>
      </c>
      <c r="AA1361" s="114">
        <f>_xlfn.NUMBERVALUE(RIGHT(ReportSummary___Track[[#This Row],[Track ID]],4))</f>
        <v>38</v>
      </c>
      <c r="AB1361" s="78"/>
    </row>
    <row r="1362" spans="5:28" ht="14.25" customHeight="1" x14ac:dyDescent="0.2">
      <c r="E1362" s="74">
        <v>45721.395833333336</v>
      </c>
      <c r="F1362" s="107" t="s">
        <v>278</v>
      </c>
      <c r="G1362" s="142">
        <v>51903.411339687525</v>
      </c>
      <c r="H1362" s="142">
        <v>159190.50941847003</v>
      </c>
      <c r="I1362" s="142">
        <v>18.866822806114335</v>
      </c>
      <c r="J1362" s="142">
        <v>51903.063539433308</v>
      </c>
      <c r="K1362" s="142">
        <v>159189.24057522361</v>
      </c>
      <c r="L1362" s="142">
        <v>18.857900000000001</v>
      </c>
      <c r="M1362" s="145">
        <v>8.9228061143344917E-3</v>
      </c>
      <c r="N1362" s="145">
        <v>1.3156777026646718</v>
      </c>
      <c r="O1362" s="145">
        <v>2.0472767208588039E-3</v>
      </c>
      <c r="P1362" s="145">
        <v>4.6583655128813461E-3</v>
      </c>
      <c r="Q1362"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2"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2"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2"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2"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-7.2112985805006247E-8</v>
      </c>
      <c r="V1362"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-3.7795694380471367E-4</v>
      </c>
      <c r="W1362"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-6.2666445153070072E-6</v>
      </c>
      <c r="X1362"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8.6849095026764189E-7</v>
      </c>
      <c r="Y1362" s="162" t="str">
        <f>ReportSummary___Track[[#This Row],[Track ID]]&amp;"-"&amp;ReportSummary___Track[[#This Row],[Epoch]]</f>
        <v>250-RL-OP-0039-45721.3958333333</v>
      </c>
      <c r="Z1362" s="126">
        <f>SUBTOTAL(103,ReportSummary___Track[[#This Row],[Track ID]])</f>
        <v>1</v>
      </c>
      <c r="AA1362" s="114">
        <f>_xlfn.NUMBERVALUE(RIGHT(ReportSummary___Track[[#This Row],[Track ID]],4))</f>
        <v>39</v>
      </c>
      <c r="AB1362" s="78"/>
    </row>
    <row r="1363" spans="5:28" ht="14.25" customHeight="1" x14ac:dyDescent="0.2">
      <c r="E1363" s="74">
        <v>45721.395833333336</v>
      </c>
      <c r="F1363" s="107" t="s">
        <v>279</v>
      </c>
      <c r="G1363" s="142">
        <v>51904.375913565644</v>
      </c>
      <c r="H1363" s="142">
        <v>159190.24560651722</v>
      </c>
      <c r="I1363" s="142">
        <v>18.86752080926528</v>
      </c>
      <c r="J1363" s="142">
        <v>51904.028206423354</v>
      </c>
      <c r="K1363" s="142">
        <v>159188.97710302711</v>
      </c>
      <c r="L1363" s="142">
        <v>18.857900000000001</v>
      </c>
      <c r="M1363" s="145">
        <v>9.6208092652787514E-3</v>
      </c>
      <c r="N1363" s="145">
        <v>1.3153303467896411</v>
      </c>
      <c r="O1363" s="145">
        <v>2.092312461286383E-3</v>
      </c>
      <c r="P1363" s="145">
        <v>4.3429458284407474E-3</v>
      </c>
      <c r="Q1363"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3"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3"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3"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3"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-1.3328789805200358E-7</v>
      </c>
      <c r="V1363"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-6.985829528567411E-4</v>
      </c>
      <c r="W1363"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-1.221536514606214E-5</v>
      </c>
      <c r="X1363"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1.6898939776410771E-6</v>
      </c>
      <c r="Y1363" s="162" t="str">
        <f>ReportSummary___Track[[#This Row],[Track ID]]&amp;"-"&amp;ReportSummary___Track[[#This Row],[Epoch]]</f>
        <v>250-RL-OP-0040-45721.3958333333</v>
      </c>
      <c r="Z1363" s="126">
        <f>SUBTOTAL(103,ReportSummary___Track[[#This Row],[Track ID]])</f>
        <v>1</v>
      </c>
      <c r="AA1363" s="114">
        <f>_xlfn.NUMBERVALUE(RIGHT(ReportSummary___Track[[#This Row],[Track ID]],4))</f>
        <v>40</v>
      </c>
      <c r="AB1363" s="78"/>
    </row>
    <row r="1364" spans="5:28" ht="14.25" customHeight="1" x14ac:dyDescent="0.2">
      <c r="E1364" s="74">
        <v>45721.395833333336</v>
      </c>
      <c r="F1364" s="107" t="s">
        <v>280</v>
      </c>
      <c r="G1364" s="142">
        <v>51905.340841450256</v>
      </c>
      <c r="H1364" s="142">
        <v>159189.98317913548</v>
      </c>
      <c r="I1364" s="142">
        <v>18.868392406740742</v>
      </c>
      <c r="J1364" s="142">
        <v>51905.00284900632</v>
      </c>
      <c r="K1364" s="142">
        <v>159188.71194466937</v>
      </c>
      <c r="L1364" s="142">
        <v>18.858104686160278</v>
      </c>
      <c r="M1364" s="145">
        <v>1.0287720580464566E-2</v>
      </c>
      <c r="N1364" s="145">
        <v>1.3154397733017476</v>
      </c>
      <c r="O1364" s="145">
        <v>2.0629176170778862E-3</v>
      </c>
      <c r="P1364" s="145">
        <v>4.0651585975091109E-3</v>
      </c>
      <c r="Q1364"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4"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4"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4"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4"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-5.2204306655312394E-8</v>
      </c>
      <c r="V1364"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-9.0537887921726679E-4</v>
      </c>
      <c r="W1364"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-4.1266229544589805E-8</v>
      </c>
      <c r="X1364"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-3.5919012120189109E-7</v>
      </c>
      <c r="Y1364" s="162" t="str">
        <f>ReportSummary___Track[[#This Row],[Track ID]]&amp;"-"&amp;ReportSummary___Track[[#This Row],[Epoch]]</f>
        <v>250-RL-OP-0041-45721.3958333333</v>
      </c>
      <c r="Z1364" s="126">
        <f>SUBTOTAL(103,ReportSummary___Track[[#This Row],[Track ID]])</f>
        <v>1</v>
      </c>
      <c r="AA1364" s="114">
        <f>_xlfn.NUMBERVALUE(RIGHT(ReportSummary___Track[[#This Row],[Track ID]],4))</f>
        <v>41</v>
      </c>
      <c r="AB1364" s="78"/>
    </row>
    <row r="1365" spans="5:28" ht="14.25" customHeight="1" x14ac:dyDescent="0.2">
      <c r="E1365" s="74">
        <v>45721.395833333336</v>
      </c>
      <c r="F1365" s="107" t="s">
        <v>281</v>
      </c>
      <c r="G1365" s="142">
        <v>51906.307594977021</v>
      </c>
      <c r="H1365" s="142">
        <v>159189.72747487877</v>
      </c>
      <c r="I1365" s="142">
        <v>18.870110425193985</v>
      </c>
      <c r="J1365" s="142">
        <v>51905.969388620142</v>
      </c>
      <c r="K1365" s="142">
        <v>159188.4554314992</v>
      </c>
      <c r="L1365" s="142">
        <v>18.859577248464415</v>
      </c>
      <c r="M1365" s="145">
        <v>1.0533176729570215E-2</v>
      </c>
      <c r="N1365" s="145">
        <v>1.3162784079251684</v>
      </c>
      <c r="O1365" s="145">
        <v>1.6103706152357233E-3</v>
      </c>
      <c r="P1365" s="145">
        <v>3.6576473360945272E-3</v>
      </c>
      <c r="Q1365"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5"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5"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5"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5"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-4.2777481112921123E-7</v>
      </c>
      <c r="V1365"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-4.6623291486591611E-4</v>
      </c>
      <c r="W1365"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-3.5566182532420498E-7</v>
      </c>
      <c r="X1365"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-6.6223063406312122E-6</v>
      </c>
      <c r="Y1365" s="162" t="str">
        <f>ReportSummary___Track[[#This Row],[Track ID]]&amp;"-"&amp;ReportSummary___Track[[#This Row],[Epoch]]</f>
        <v>250-RL-OP-0042-45721.3958333333</v>
      </c>
      <c r="Z1365" s="126">
        <f>SUBTOTAL(103,ReportSummary___Track[[#This Row],[Track ID]])</f>
        <v>1</v>
      </c>
      <c r="AA1365" s="114">
        <f>_xlfn.NUMBERVALUE(RIGHT(ReportSummary___Track[[#This Row],[Track ID]],4))</f>
        <v>42</v>
      </c>
      <c r="AB1365" s="78"/>
    </row>
    <row r="1366" spans="5:28" ht="14.25" customHeight="1" x14ac:dyDescent="0.2">
      <c r="E1366" s="74">
        <v>45721.395833333336</v>
      </c>
      <c r="F1366" s="107" t="s">
        <v>282</v>
      </c>
      <c r="G1366" s="142">
        <v>51907.274348503779</v>
      </c>
      <c r="H1366" s="142">
        <v>159189.47177062207</v>
      </c>
      <c r="I1366" s="142">
        <v>18.871828443647232</v>
      </c>
      <c r="J1366" s="142">
        <v>51906.935928233965</v>
      </c>
      <c r="K1366" s="142">
        <v>159188.19891832906</v>
      </c>
      <c r="L1366" s="142">
        <v>18.861049810768556</v>
      </c>
      <c r="M1366" s="145">
        <v>1.0778632878675865E-2</v>
      </c>
      <c r="N1366" s="145">
        <v>1.3171170858256254</v>
      </c>
      <c r="O1366" s="145">
        <v>1.1578236133971131E-3</v>
      </c>
      <c r="P1366" s="145">
        <v>3.2501360746834962E-3</v>
      </c>
      <c r="Q1366"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6"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6"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6"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6"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-8.0334531915582374E-7</v>
      </c>
      <c r="V1366"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-2.7088383372841918E-5</v>
      </c>
      <c r="W1366"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-6.7005742110382016E-7</v>
      </c>
      <c r="X1366"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-1.2885422567165961E-5</v>
      </c>
      <c r="Y1366" s="162" t="str">
        <f>ReportSummary___Track[[#This Row],[Track ID]]&amp;"-"&amp;ReportSummary___Track[[#This Row],[Epoch]]</f>
        <v>250-RL-OP-0043-45721.3958333333</v>
      </c>
      <c r="Z1366" s="126">
        <f>SUBTOTAL(103,ReportSummary___Track[[#This Row],[Track ID]])</f>
        <v>1</v>
      </c>
      <c r="AA1366" s="114">
        <f>_xlfn.NUMBERVALUE(RIGHT(ReportSummary___Track[[#This Row],[Track ID]],4))</f>
        <v>43</v>
      </c>
      <c r="AB1366" s="78"/>
    </row>
    <row r="1367" spans="5:28" ht="14.25" customHeight="1" x14ac:dyDescent="0.2">
      <c r="E1367" s="74">
        <v>45721.395833333336</v>
      </c>
      <c r="F1367" s="107" t="s">
        <v>283</v>
      </c>
      <c r="G1367" s="142">
        <v>51908.241806888152</v>
      </c>
      <c r="H1367" s="142">
        <v>159189.21950144329</v>
      </c>
      <c r="I1367" s="142">
        <v>18.873859626742529</v>
      </c>
      <c r="J1367" s="142">
        <v>51907.903490809294</v>
      </c>
      <c r="K1367" s="142">
        <v>159187.94609902432</v>
      </c>
      <c r="L1367" s="142">
        <v>18.862831223906181</v>
      </c>
      <c r="M1367" s="145">
        <v>1.1028402836348761E-2</v>
      </c>
      <c r="N1367" s="145">
        <v>1.3176240417974221</v>
      </c>
      <c r="O1367" s="145">
        <v>7.4068225588419523E-4</v>
      </c>
      <c r="P1367" s="145">
        <v>2.8035998729620815E-3</v>
      </c>
      <c r="Q1367"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7"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7"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7"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7"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2.004980288461411E-7</v>
      </c>
      <c r="V1367"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1.3215779642794523E-4</v>
      </c>
      <c r="W1367"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2.5270233550145349E-7</v>
      </c>
      <c r="X1367"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2.1143610595686368E-7</v>
      </c>
      <c r="Y1367" s="162" t="str">
        <f>ReportSummary___Track[[#This Row],[Track ID]]&amp;"-"&amp;ReportSummary___Track[[#This Row],[Epoch]]</f>
        <v>250-RL-OP-0044-45721.3958333333</v>
      </c>
      <c r="Z1367" s="126">
        <f>SUBTOTAL(103,ReportSummary___Track[[#This Row],[Track ID]])</f>
        <v>1</v>
      </c>
      <c r="AA1367" s="114">
        <f>_xlfn.NUMBERVALUE(RIGHT(ReportSummary___Track[[#This Row],[Track ID]],4))</f>
        <v>44</v>
      </c>
      <c r="AB1367" s="78"/>
    </row>
    <row r="1368" spans="5:28" ht="14.25" customHeight="1" x14ac:dyDescent="0.2">
      <c r="E1368" s="74">
        <v>45721.395833333336</v>
      </c>
      <c r="F1368" s="107" t="s">
        <v>284</v>
      </c>
      <c r="G1368" s="142">
        <v>51909.211315815963</v>
      </c>
      <c r="H1368" s="142">
        <v>159188.97446037151</v>
      </c>
      <c r="I1368" s="142">
        <v>18.876563705831948</v>
      </c>
      <c r="J1368" s="142">
        <v>51908.872743372129</v>
      </c>
      <c r="K1368" s="142">
        <v>159187.70004215947</v>
      </c>
      <c r="L1368" s="142">
        <v>18.865174019583129</v>
      </c>
      <c r="M1368" s="145">
        <v>1.1389686248818975E-2</v>
      </c>
      <c r="N1368" s="145">
        <v>1.3186746391160045</v>
      </c>
      <c r="O1368" s="145">
        <v>8.565095192487604E-4</v>
      </c>
      <c r="P1368" s="145">
        <v>2.4668801344844837E-3</v>
      </c>
      <c r="Q1368"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8"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8"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8"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8"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8.311933115123793E-7</v>
      </c>
      <c r="V1368"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-2.5869675483836119E-4</v>
      </c>
      <c r="W1368"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1.2589681226415905E-6</v>
      </c>
      <c r="X1368"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9.0330629731738554E-7</v>
      </c>
      <c r="Y1368" s="162" t="str">
        <f>ReportSummary___Track[[#This Row],[Track ID]]&amp;"-"&amp;ReportSummary___Track[[#This Row],[Epoch]]</f>
        <v>250-RL-OP-0045-45721.3958333333</v>
      </c>
      <c r="Z1368" s="126">
        <f>SUBTOTAL(103,ReportSummary___Track[[#This Row],[Track ID]])</f>
        <v>1</v>
      </c>
      <c r="AA1368" s="114">
        <f>_xlfn.NUMBERVALUE(RIGHT(ReportSummary___Track[[#This Row],[Track ID]],4))</f>
        <v>45</v>
      </c>
      <c r="AB1368" s="78"/>
    </row>
    <row r="1369" spans="5:28" ht="14.25" customHeight="1" x14ac:dyDescent="0.2">
      <c r="E1369" s="74">
        <v>45721.395833333336</v>
      </c>
      <c r="F1369" s="107" t="s">
        <v>285</v>
      </c>
      <c r="G1369" s="142">
        <v>51910.180824743773</v>
      </c>
      <c r="H1369" s="142">
        <v>159188.72941929975</v>
      </c>
      <c r="I1369" s="142">
        <v>18.879267784921367</v>
      </c>
      <c r="J1369" s="142">
        <v>51909.841995934963</v>
      </c>
      <c r="K1369" s="142">
        <v>159187.45398529459</v>
      </c>
      <c r="L1369" s="142">
        <v>18.867516815260082</v>
      </c>
      <c r="M1369" s="145">
        <v>1.1750969661285637E-2</v>
      </c>
      <c r="N1369" s="145">
        <v>1.3197253306994881</v>
      </c>
      <c r="O1369" s="145">
        <v>9.7233678260977285E-4</v>
      </c>
      <c r="P1369" s="145">
        <v>2.130160396006886E-3</v>
      </c>
      <c r="Q1369"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69"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69"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69"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69"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1.4618885906259038E-6</v>
      </c>
      <c r="V1369"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-6.4954916197712542E-4</v>
      </c>
      <c r="W1369"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2.2652339097817276E-6</v>
      </c>
      <c r="X1369"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1.5951764886779074E-6</v>
      </c>
      <c r="Y1369" s="162" t="str">
        <f>ReportSummary___Track[[#This Row],[Track ID]]&amp;"-"&amp;ReportSummary___Track[[#This Row],[Epoch]]</f>
        <v>250-RL-OP-0046-45721.3958333333</v>
      </c>
      <c r="Z1369" s="126">
        <f>SUBTOTAL(103,ReportSummary___Track[[#This Row],[Track ID]])</f>
        <v>1</v>
      </c>
      <c r="AA1369" s="114">
        <f>_xlfn.NUMBERVALUE(RIGHT(ReportSummary___Track[[#This Row],[Track ID]],4))</f>
        <v>46</v>
      </c>
      <c r="AB1369" s="78"/>
    </row>
    <row r="1370" spans="5:28" ht="14.25" customHeight="1" x14ac:dyDescent="0.2">
      <c r="E1370" s="74">
        <v>45721.395833333336</v>
      </c>
      <c r="F1370" s="107" t="s">
        <v>286</v>
      </c>
      <c r="G1370" s="142">
        <v>51911.150145273707</v>
      </c>
      <c r="H1370" s="142">
        <v>159188.48646017592</v>
      </c>
      <c r="I1370" s="142">
        <v>18.882401868494419</v>
      </c>
      <c r="J1370" s="142">
        <v>51910.83319231317</v>
      </c>
      <c r="K1370" s="142">
        <v>159187.20451754259</v>
      </c>
      <c r="L1370" s="142">
        <v>18.870215036543236</v>
      </c>
      <c r="M1370" s="145">
        <v>1.2186831951183308E-2</v>
      </c>
      <c r="N1370" s="145">
        <v>1.3206000958710722</v>
      </c>
      <c r="O1370" s="145">
        <v>1.1584291148345471E-3</v>
      </c>
      <c r="P1370" s="145">
        <v>1.8991113707187424E-3</v>
      </c>
      <c r="Q1370"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70"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70"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70"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70"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-7.685162241344301E-5</v>
      </c>
      <c r="V1370"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-9.366725106618734E-4</v>
      </c>
      <c r="W1370"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-7.7052120442289151E-5</v>
      </c>
      <c r="X1370"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-7.6799418106787698E-5</v>
      </c>
      <c r="Y1370" s="162" t="str">
        <f>ReportSummary___Track[[#This Row],[Track ID]]&amp;"-"&amp;ReportSummary___Track[[#This Row],[Epoch]]</f>
        <v>250-RL-OP-0047-45721.3958333333</v>
      </c>
      <c r="Z1370" s="126">
        <f>SUBTOTAL(103,ReportSummary___Track[[#This Row],[Track ID]])</f>
        <v>1</v>
      </c>
      <c r="AA1370" s="114">
        <f>_xlfn.NUMBERVALUE(RIGHT(ReportSummary___Track[[#This Row],[Track ID]],4))</f>
        <v>47</v>
      </c>
      <c r="AB1370" s="78"/>
    </row>
    <row r="1371" spans="5:28" ht="14.25" customHeight="1" x14ac:dyDescent="0.2">
      <c r="E1371" s="74">
        <v>45721.395833333336</v>
      </c>
      <c r="F1371" s="107" t="s">
        <v>287</v>
      </c>
      <c r="G1371" s="142">
        <v>51912.121897046512</v>
      </c>
      <c r="H1371" s="142">
        <v>159188.25050275621</v>
      </c>
      <c r="I1371" s="142">
        <v>18.887154565337003</v>
      </c>
      <c r="J1371" s="142">
        <v>51911.804755818332</v>
      </c>
      <c r="K1371" s="142">
        <v>159186.96776785207</v>
      </c>
      <c r="L1371" s="142">
        <v>18.873948598353742</v>
      </c>
      <c r="M1371" s="145">
        <v>1.3205966983260709E-2</v>
      </c>
      <c r="N1371" s="145">
        <v>1.3214241523801478</v>
      </c>
      <c r="O1371" s="145">
        <v>1.8162807344417331E-3</v>
      </c>
      <c r="P1371" s="145">
        <v>2.6727902536904935E-3</v>
      </c>
      <c r="Q1371" s="206">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71" s="206">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71" s="206">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71" s="206">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71" s="76">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-4.2900850741744989E-4</v>
      </c>
      <c r="V1371" s="76">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-7.7528525882475385E-4</v>
      </c>
      <c r="W1371" s="76">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-4.2983970072896227E-4</v>
      </c>
      <c r="X1371" s="76">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-4.2858073260632068E-4</v>
      </c>
      <c r="Y1371" s="162" t="str">
        <f>ReportSummary___Track[[#This Row],[Track ID]]&amp;"-"&amp;ReportSummary___Track[[#This Row],[Epoch]]</f>
        <v>250-RL-OP-0048-45721.3958333333</v>
      </c>
      <c r="Z1371" s="126">
        <f>SUBTOTAL(103,ReportSummary___Track[[#This Row],[Track ID]])</f>
        <v>1</v>
      </c>
      <c r="AA1371" s="114">
        <f>_xlfn.NUMBERVALUE(RIGHT(ReportSummary___Track[[#This Row],[Track ID]],4))</f>
        <v>48</v>
      </c>
      <c r="AB1371" s="78"/>
    </row>
    <row r="1372" spans="5:28" ht="14.25" customHeight="1" x14ac:dyDescent="0.2">
      <c r="E1372" s="194">
        <v>45721.395833333336</v>
      </c>
      <c r="F1372" s="205" t="s">
        <v>288</v>
      </c>
      <c r="G1372" s="195">
        <v>51913.093648819326</v>
      </c>
      <c r="H1372" s="195">
        <v>159188.01454533651</v>
      </c>
      <c r="I1372" s="195">
        <v>18.891907262179583</v>
      </c>
      <c r="J1372" s="195">
        <v>51912.776319323486</v>
      </c>
      <c r="K1372" s="195">
        <v>159186.73101816155</v>
      </c>
      <c r="L1372" s="195">
        <v>18.877682160164248</v>
      </c>
      <c r="M1372" s="196">
        <v>1.4225102015334556E-2</v>
      </c>
      <c r="N1372" s="196">
        <v>1.3222489823515349</v>
      </c>
      <c r="O1372" s="196">
        <v>2.4741323540489191E-3</v>
      </c>
      <c r="P1372" s="196">
        <v>3.4464691366586919E-3</v>
      </c>
      <c r="Q1372" s="208">
        <f>_xlfn.LET(
_xlpm.Scale,1000,
_xlpm.CurrentReading,ReportSummary___Track[[#This Row],[Cant]],
_xlpm.LastReading,_xlfn.XLOOKUP(ReportSummary___Track[[#This Row],[Track ID]]&amp;"-"&amp;Cell_TrackBaselineSurveyDate,ReportSummary___Track[Key],ReportSummary___Track[Cant],"-"),
IFERROR(IF(OR(_xlpm.LastReading=0, ISBLANK(_xlpm.LastReading), ISBLANK(_xlpm.CurrentReading)),"-", (_xlpm.CurrentReading-_xlpm.LastReading)*_xlpm.Scale),"-"))</f>
        <v>0</v>
      </c>
      <c r="R1372" s="208">
        <f>_xlfn.LET(
_xlpm.Scale,1000,
_xlpm.CurrentReading,ReportSummary___Track[[#This Row],[Gauge]],
_xlpm.LastReading,_xlfn.XLOOKUP(ReportSummary___Track[[#This Row],[Track ID]]&amp;"-"&amp;Cell_TrackBaselineSurveyDate,ReportSummary___Track[Key],ReportSummary___Track[Gauge],"-"),
IFERROR(IF(OR(_xlpm.LastReading=0, ISBLANK(_xlpm.LastReading), ISBLANK(_xlpm.CurrentReading)),"-", (_xlpm.CurrentReading-_xlpm.LastReading)*_xlpm.Scale),"-"))</f>
        <v>0</v>
      </c>
      <c r="S1372" s="208">
        <f>_xlfn.LET(
_xlpm.Scale,1000,
_xlpm.CurrentReading,ReportSummary___Track[[#This Row],[Twist (Short)]],
_xlpm.LastReading,_xlfn.XLOOKUP(ReportSummary___Track[[#This Row],[Track ID]]&amp;"-"&amp;Cell_TrackBaselineSurveyDate,ReportSummary___Track[Key],ReportSummary___Track[Twist (Short)],"-"),
IFERROR(IF(OR(_xlpm.LastReading=0, ISBLANK(_xlpm.LastReading), ISBLANK(_xlpm.CurrentReading)),"-", (_xlpm.CurrentReading-_xlpm.LastReading)*_xlpm.Scale),"-"))</f>
        <v>0</v>
      </c>
      <c r="T1372" s="208">
        <f>_xlfn.LET(
_xlpm.Scale,1000,
_xlpm.CurrentReading,ReportSummary___Track[[#This Row],[Twist (Long)]],
_xlpm.LastReading,_xlfn.XLOOKUP(ReportSummary___Track[[#This Row],[Track ID]]&amp;"-"&amp;Cell_TrackBaselineSurveyDate,ReportSummary___Track[Key],ReportSummary___Track[Twist (Long)],"-"),
IFERROR(IF(OR(_xlpm.LastReading=0, ISBLANK(_xlpm.LastReading), ISBLANK(_xlpm.CurrentReading)),"-", (_xlpm.CurrentReading-_xlpm.LastReading)*_xlpm.Scale),"-"))</f>
        <v>0</v>
      </c>
      <c r="U1372" s="197">
        <f>_xlfn.LET(
_xlpm.CurrentReading,ReportSummary___Track[[#This Row],[Cant]],
_xlpm.LastReading,_xlfn.XLOOKUP(ReportSummary___Track[[#This Row],[Track ID]]&amp;"-"&amp;Cell_Track_LastSurveyDate,ReportSummary___Track[Key],ReportSummary___Track[Cant],"-"),
IFERROR(IF(OR(_xlpm.LastReading=0, ISBLANK(_xlpm.LastReading), ISBLANK(_xlpm.CurrentReading)),"-", _xlpm.CurrentReading-_xlpm.LastReading),"-"))</f>
        <v>-7.811653924285622E-4</v>
      </c>
      <c r="V1372" s="197">
        <f>_xlfn.LET(
_xlpm.CurrentReading,ReportSummary___Track[[#This Row],[Gauge]],
_xlpm.LastReading,_xlfn.XLOOKUP(ReportSummary___Track[[#This Row],[Track ID]]&amp;"-"&amp;Cell_Track_LastSurveyDate,ReportSummary___Track[Key],ReportSummary___Track[Gauge],"-"),
IFERROR(IF(OR(_xlpm.LastReading=0, ISBLANK(_xlpm.LastReading), ISBLANK(_xlpm.CurrentReading)),"-", _xlpm.CurrentReading-_xlpm.LastReading),"-"))</f>
        <v>-6.1453279200529565E-4</v>
      </c>
      <c r="W1372" s="197">
        <f>_xlfn.LET(
_xlpm.CurrentReading,ReportSummary___Track[[#This Row],[Twist (Short)]],
_xlpm.LastReading,_xlfn.XLOOKUP(ReportSummary___Track[[#This Row],[Track ID]]&amp;"-"&amp;Cell_Track_LastSurveyDate,ReportSummary___Track[Key],ReportSummary___Track[Twist (Short)],"-"),
IFERROR(IF(OR(_xlpm.LastReading=0, ISBLANK(_xlpm.LastReading), ISBLANK(_xlpm.CurrentReading)),"-", _xlpm.CurrentReading-_xlpm.LastReading),"-"))</f>
        <v>-7.826272810191881E-4</v>
      </c>
      <c r="X1372" s="197">
        <f>_xlfn.LET(
_xlpm.CurrentReading,ReportSummary___Track[[#This Row],[Twist (Long)]],
_xlpm.LastReading,_xlfn.XLOOKUP(ReportSummary___Track[[#This Row],[Track ID]]&amp;"-"&amp;Cell_Track_LastSurveyDate,ReportSummary___Track[Key],ReportSummary___Track[Twist (Long)],"-"),
IFERROR(IF(OR(_xlpm.LastReading=0, ISBLANK(_xlpm.LastReading), ISBLANK(_xlpm.CurrentReading)),"-", _xlpm.CurrentReading-_xlpm.LastReading),"-"))</f>
        <v>-7.8036204710940638E-4</v>
      </c>
      <c r="Y1372" s="198" t="str">
        <f>ReportSummary___Track[[#This Row],[Track ID]]&amp;"-"&amp;ReportSummary___Track[[#This Row],[Epoch]]</f>
        <v>250-RL-OP-0049-45721.3958333333</v>
      </c>
      <c r="Z1372" s="199">
        <f>SUBTOTAL(103,ReportSummary___Track[[#This Row],[Track ID]])</f>
        <v>1</v>
      </c>
      <c r="AA1372" s="200">
        <f>_xlfn.NUMBERVALUE(RIGHT(ReportSummary___Track[[#This Row],[Track ID]],4))</f>
        <v>49</v>
      </c>
      <c r="AB1372" s="78"/>
    </row>
    <row r="1373" spans="5:28" ht="14.25" customHeight="1" x14ac:dyDescent="0.2">
      <c r="Z1373" s="10"/>
      <c r="AB1373" s="78"/>
    </row>
    <row r="1374" spans="5:28" ht="14.25" customHeight="1" x14ac:dyDescent="0.2">
      <c r="AB1374" s="78"/>
    </row>
    <row r="1375" spans="5:28" ht="14.25" customHeight="1" x14ac:dyDescent="0.2">
      <c r="AB1375" s="78"/>
    </row>
    <row r="1376" spans="5:28" ht="14.25" customHeight="1" x14ac:dyDescent="0.2">
      <c r="AB1376" s="78"/>
    </row>
    <row r="1377" spans="28:28" ht="14.25" customHeight="1" x14ac:dyDescent="0.2">
      <c r="AB1377" s="78"/>
    </row>
    <row r="1378" spans="28:28" ht="14.25" customHeight="1" x14ac:dyDescent="0.2">
      <c r="AB1378" s="78"/>
    </row>
    <row r="1379" spans="28:28" ht="14.25" customHeight="1" x14ac:dyDescent="0.2">
      <c r="AB1379" s="78"/>
    </row>
    <row r="1380" spans="28:28" ht="14.25" customHeight="1" x14ac:dyDescent="0.2">
      <c r="AB1380" s="78"/>
    </row>
    <row r="1381" spans="28:28" ht="14.25" customHeight="1" x14ac:dyDescent="0.2">
      <c r="AB1381" s="78"/>
    </row>
    <row r="1382" spans="28:28" ht="14.25" customHeight="1" x14ac:dyDescent="0.2">
      <c r="AB1382" s="78"/>
    </row>
    <row r="1383" spans="28:28" ht="14.25" customHeight="1" x14ac:dyDescent="0.2">
      <c r="AB1383" s="78"/>
    </row>
    <row r="1384" spans="28:28" ht="14.25" customHeight="1" x14ac:dyDescent="0.2">
      <c r="AB1384" s="78"/>
    </row>
    <row r="1385" spans="28:28" ht="14.25" customHeight="1" x14ac:dyDescent="0.2">
      <c r="AB1385" s="78"/>
    </row>
    <row r="1386" spans="28:28" ht="14.25" customHeight="1" x14ac:dyDescent="0.2">
      <c r="AB1386" s="78"/>
    </row>
    <row r="1387" spans="28:28" ht="14.25" customHeight="1" x14ac:dyDescent="0.2">
      <c r="AB1387" s="78"/>
    </row>
    <row r="1388" spans="28:28" ht="14.25" customHeight="1" x14ac:dyDescent="0.2">
      <c r="AB1388" s="78"/>
    </row>
    <row r="1389" spans="28:28" ht="14.25" customHeight="1" x14ac:dyDescent="0.2">
      <c r="AB1389" s="78"/>
    </row>
    <row r="1390" spans="28:28" ht="14.25" customHeight="1" x14ac:dyDescent="0.2">
      <c r="AB1390" s="78"/>
    </row>
    <row r="1391" spans="28:28" ht="14.25" customHeight="1" x14ac:dyDescent="0.2">
      <c r="AB1391" s="78"/>
    </row>
    <row r="1392" spans="28:28" ht="14.25" customHeight="1" x14ac:dyDescent="0.2">
      <c r="AB1392" s="78"/>
    </row>
    <row r="1393" spans="28:28" ht="14.25" customHeight="1" x14ac:dyDescent="0.2">
      <c r="AB1393" s="78"/>
    </row>
    <row r="1394" spans="28:28" ht="14.25" customHeight="1" x14ac:dyDescent="0.2">
      <c r="AB1394" s="78"/>
    </row>
    <row r="1395" spans="28:28" ht="14.25" customHeight="1" x14ac:dyDescent="0.2">
      <c r="AB1395" s="78"/>
    </row>
    <row r="1396" spans="28:28" ht="14.25" customHeight="1" x14ac:dyDescent="0.2">
      <c r="AB1396" s="78"/>
    </row>
    <row r="1397" spans="28:28" ht="14.25" customHeight="1" x14ac:dyDescent="0.2">
      <c r="AB1397" s="78"/>
    </row>
    <row r="1398" spans="28:28" ht="14.25" customHeight="1" x14ac:dyDescent="0.2">
      <c r="AB1398" s="78"/>
    </row>
    <row r="1399" spans="28:28" ht="14.25" customHeight="1" x14ac:dyDescent="0.2">
      <c r="AB1399" s="78"/>
    </row>
    <row r="1400" spans="28:28" ht="14.25" customHeight="1" x14ac:dyDescent="0.2">
      <c r="AB1400" s="78"/>
    </row>
    <row r="1401" spans="28:28" ht="14.25" customHeight="1" x14ac:dyDescent="0.2">
      <c r="AB1401" s="78"/>
    </row>
    <row r="1402" spans="28:28" ht="14.25" customHeight="1" x14ac:dyDescent="0.2">
      <c r="AB1402" s="78"/>
    </row>
    <row r="1403" spans="28:28" ht="14.25" customHeight="1" x14ac:dyDescent="0.2">
      <c r="AB1403" s="78"/>
    </row>
    <row r="1404" spans="28:28" ht="14.25" customHeight="1" x14ac:dyDescent="0.2">
      <c r="AB1404" s="78"/>
    </row>
    <row r="1405" spans="28:28" ht="14.25" customHeight="1" x14ac:dyDescent="0.2">
      <c r="AB1405" s="78"/>
    </row>
    <row r="1406" spans="28:28" ht="14.25" customHeight="1" x14ac:dyDescent="0.2">
      <c r="AB1406" s="78"/>
    </row>
    <row r="1407" spans="28:28" ht="14.25" customHeight="1" x14ac:dyDescent="0.2">
      <c r="AB1407" s="78"/>
    </row>
    <row r="1408" spans="28:28" ht="14.25" customHeight="1" x14ac:dyDescent="0.2">
      <c r="AB1408" s="78"/>
    </row>
    <row r="1409" spans="28:28" ht="14.25" customHeight="1" x14ac:dyDescent="0.2">
      <c r="AB1409" s="78"/>
    </row>
    <row r="1410" spans="28:28" ht="14.25" customHeight="1" x14ac:dyDescent="0.2">
      <c r="AB1410" s="78"/>
    </row>
    <row r="1411" spans="28:28" ht="14.25" customHeight="1" x14ac:dyDescent="0.2">
      <c r="AB1411" s="78"/>
    </row>
    <row r="1412" spans="28:28" ht="14.25" customHeight="1" x14ac:dyDescent="0.2">
      <c r="AB1412" s="78"/>
    </row>
    <row r="1413" spans="28:28" ht="14.25" customHeight="1" x14ac:dyDescent="0.2">
      <c r="AB1413" s="78"/>
    </row>
    <row r="1414" spans="28:28" ht="14.25" customHeight="1" x14ac:dyDescent="0.2">
      <c r="AB1414" s="78"/>
    </row>
    <row r="1415" spans="28:28" ht="14.25" customHeight="1" x14ac:dyDescent="0.2">
      <c r="AB1415" s="78"/>
    </row>
    <row r="1416" spans="28:28" ht="14.25" customHeight="1" x14ac:dyDescent="0.2">
      <c r="AB1416" s="78"/>
    </row>
    <row r="1417" spans="28:28" ht="14.25" customHeight="1" x14ac:dyDescent="0.2">
      <c r="AB1417" s="78"/>
    </row>
    <row r="1418" spans="28:28" ht="14.25" customHeight="1" x14ac:dyDescent="0.2">
      <c r="AB1418" s="78"/>
    </row>
    <row r="1419" spans="28:28" ht="14.25" customHeight="1" x14ac:dyDescent="0.2">
      <c r="AB1419" s="78"/>
    </row>
    <row r="1420" spans="28:28" ht="14.25" customHeight="1" x14ac:dyDescent="0.2">
      <c r="AB1420" s="78"/>
    </row>
    <row r="1421" spans="28:28" ht="14.25" customHeight="1" x14ac:dyDescent="0.2">
      <c r="AB1421" s="78"/>
    </row>
    <row r="1422" spans="28:28" ht="14.25" customHeight="1" x14ac:dyDescent="0.2">
      <c r="AB1422" s="78"/>
    </row>
    <row r="1423" spans="28:28" ht="14.25" customHeight="1" x14ac:dyDescent="0.2">
      <c r="AB1423" s="78"/>
    </row>
    <row r="1424" spans="28:28" ht="14.25" customHeight="1" x14ac:dyDescent="0.2">
      <c r="AB1424" s="78"/>
    </row>
    <row r="1425" spans="28:28" ht="14.25" customHeight="1" x14ac:dyDescent="0.2">
      <c r="AB1425" s="78"/>
    </row>
    <row r="1426" spans="28:28" ht="14.25" customHeight="1" x14ac:dyDescent="0.2">
      <c r="AB1426" s="78"/>
    </row>
    <row r="1427" spans="28:28" ht="14.25" customHeight="1" x14ac:dyDescent="0.2">
      <c r="AB1427" s="78"/>
    </row>
    <row r="1428" spans="28:28" ht="14.25" customHeight="1" x14ac:dyDescent="0.2">
      <c r="AB1428" s="78"/>
    </row>
    <row r="1429" spans="28:28" ht="14.25" customHeight="1" x14ac:dyDescent="0.2">
      <c r="AB1429" s="78"/>
    </row>
    <row r="1430" spans="28:28" ht="14.25" customHeight="1" x14ac:dyDescent="0.2">
      <c r="AB1430" s="78"/>
    </row>
    <row r="1431" spans="28:28" ht="14.25" customHeight="1" x14ac:dyDescent="0.2">
      <c r="AB1431" s="78"/>
    </row>
    <row r="1432" spans="28:28" ht="14.25" customHeight="1" x14ac:dyDescent="0.2">
      <c r="AB1432" s="78"/>
    </row>
    <row r="1433" spans="28:28" ht="14.25" customHeight="1" x14ac:dyDescent="0.2">
      <c r="AB1433" s="78"/>
    </row>
    <row r="1434" spans="28:28" ht="14.25" customHeight="1" x14ac:dyDescent="0.2">
      <c r="AB1434" s="78"/>
    </row>
    <row r="1435" spans="28:28" ht="14.25" customHeight="1" x14ac:dyDescent="0.2">
      <c r="AB1435" s="78"/>
    </row>
    <row r="1436" spans="28:28" ht="14.25" customHeight="1" x14ac:dyDescent="0.2">
      <c r="AB1436" s="78"/>
    </row>
    <row r="1437" spans="28:28" ht="14.25" customHeight="1" x14ac:dyDescent="0.2">
      <c r="AB1437" s="78"/>
    </row>
    <row r="1438" spans="28:28" ht="14.25" customHeight="1" x14ac:dyDescent="0.2">
      <c r="AB1438" s="78"/>
    </row>
    <row r="1439" spans="28:28" ht="14.25" customHeight="1" x14ac:dyDescent="0.2">
      <c r="AB1439" s="78"/>
    </row>
    <row r="1440" spans="28:28" ht="14.25" customHeight="1" x14ac:dyDescent="0.2">
      <c r="AB1440" s="78"/>
    </row>
    <row r="1441" spans="28:28" ht="14.25" customHeight="1" x14ac:dyDescent="0.2">
      <c r="AB1441" s="78"/>
    </row>
    <row r="1442" spans="28:28" ht="14.25" customHeight="1" x14ac:dyDescent="0.2">
      <c r="AB1442" s="78"/>
    </row>
    <row r="1443" spans="28:28" ht="14.25" customHeight="1" x14ac:dyDescent="0.2">
      <c r="AB1443" s="78"/>
    </row>
    <row r="1444" spans="28:28" ht="14.25" customHeight="1" x14ac:dyDescent="0.2">
      <c r="AB1444" s="78"/>
    </row>
    <row r="1445" spans="28:28" ht="14.25" customHeight="1" x14ac:dyDescent="0.2">
      <c r="AB1445" s="78"/>
    </row>
    <row r="1446" spans="28:28" ht="14.25" customHeight="1" x14ac:dyDescent="0.2">
      <c r="AB1446" s="78"/>
    </row>
    <row r="1447" spans="28:28" ht="14.25" customHeight="1" x14ac:dyDescent="0.2">
      <c r="AB1447" s="78"/>
    </row>
    <row r="1448" spans="28:28" ht="14.25" customHeight="1" x14ac:dyDescent="0.2">
      <c r="AB1448" s="78"/>
    </row>
    <row r="1449" spans="28:28" ht="14.25" customHeight="1" x14ac:dyDescent="0.2">
      <c r="AB1449" s="78"/>
    </row>
    <row r="1450" spans="28:28" ht="14.25" customHeight="1" x14ac:dyDescent="0.2">
      <c r="AB1450" s="78"/>
    </row>
    <row r="1451" spans="28:28" ht="14.25" customHeight="1" x14ac:dyDescent="0.2">
      <c r="AB1451" s="78"/>
    </row>
    <row r="1452" spans="28:28" ht="14.25" customHeight="1" x14ac:dyDescent="0.2">
      <c r="AB1452" s="78"/>
    </row>
    <row r="1453" spans="28:28" ht="14.25" customHeight="1" x14ac:dyDescent="0.2">
      <c r="AB1453" s="78"/>
    </row>
    <row r="1454" spans="28:28" ht="14.25" customHeight="1" x14ac:dyDescent="0.2">
      <c r="AB1454" s="78"/>
    </row>
    <row r="1455" spans="28:28" ht="14.25" customHeight="1" x14ac:dyDescent="0.2">
      <c r="AB1455" s="78"/>
    </row>
    <row r="1456" spans="28:28" ht="14.25" customHeight="1" x14ac:dyDescent="0.2">
      <c r="AB1456" s="78"/>
    </row>
    <row r="1457" spans="28:28" ht="14.25" customHeight="1" x14ac:dyDescent="0.2">
      <c r="AB1457" s="78"/>
    </row>
    <row r="1458" spans="28:28" ht="14.25" customHeight="1" x14ac:dyDescent="0.2">
      <c r="AB1458" s="78"/>
    </row>
    <row r="1459" spans="28:28" ht="14.25" customHeight="1" x14ac:dyDescent="0.2">
      <c r="AB1459" s="78"/>
    </row>
    <row r="1460" spans="28:28" ht="14.25" customHeight="1" x14ac:dyDescent="0.2">
      <c r="AB1460" s="78"/>
    </row>
    <row r="1461" spans="28:28" ht="14.25" customHeight="1" x14ac:dyDescent="0.2">
      <c r="AB1461" s="78"/>
    </row>
    <row r="1462" spans="28:28" ht="14.25" customHeight="1" x14ac:dyDescent="0.2">
      <c r="AB1462" s="78"/>
    </row>
    <row r="1463" spans="28:28" ht="14.25" customHeight="1" x14ac:dyDescent="0.2">
      <c r="AB1463" s="78"/>
    </row>
    <row r="1464" spans="28:28" ht="14.25" customHeight="1" x14ac:dyDescent="0.2">
      <c r="AB1464" s="78"/>
    </row>
    <row r="1465" spans="28:28" ht="14.25" customHeight="1" x14ac:dyDescent="0.2">
      <c r="AB1465" s="78"/>
    </row>
    <row r="1466" spans="28:28" ht="14.25" customHeight="1" x14ac:dyDescent="0.2">
      <c r="AB1466" s="78"/>
    </row>
    <row r="1467" spans="28:28" ht="14.25" customHeight="1" x14ac:dyDescent="0.2">
      <c r="AB1467" s="78"/>
    </row>
    <row r="1468" spans="28:28" ht="14.25" customHeight="1" x14ac:dyDescent="0.2">
      <c r="AB1468" s="78"/>
    </row>
    <row r="1469" spans="28:28" ht="14.25" customHeight="1" x14ac:dyDescent="0.2">
      <c r="AB1469" s="78"/>
    </row>
    <row r="1470" spans="28:28" ht="14.25" customHeight="1" x14ac:dyDescent="0.2">
      <c r="AB1470" s="78"/>
    </row>
  </sheetData>
  <mergeCells count="58">
    <mergeCell ref="B2:C3"/>
    <mergeCell ref="AB3:AC3"/>
    <mergeCell ref="AE3:AF3"/>
    <mergeCell ref="AG3:AH3"/>
    <mergeCell ref="AI3:AK3"/>
    <mergeCell ref="E3:F3"/>
    <mergeCell ref="G3:J3"/>
    <mergeCell ref="E2:J2"/>
    <mergeCell ref="K2:N2"/>
    <mergeCell ref="O2:R2"/>
    <mergeCell ref="AJ5:AK5"/>
    <mergeCell ref="B4:C4"/>
    <mergeCell ref="AE4:AF4"/>
    <mergeCell ref="AG4:AH4"/>
    <mergeCell ref="AJ4:AK4"/>
    <mergeCell ref="B5:C5"/>
    <mergeCell ref="AE5:AF5"/>
    <mergeCell ref="AG5:AH5"/>
    <mergeCell ref="E4:F4"/>
    <mergeCell ref="E5:F5"/>
    <mergeCell ref="G4:J4"/>
    <mergeCell ref="G5:J5"/>
    <mergeCell ref="AJ7:AK7"/>
    <mergeCell ref="B8:C8"/>
    <mergeCell ref="AE8:AF8"/>
    <mergeCell ref="AG8:AH8"/>
    <mergeCell ref="AJ8:AK8"/>
    <mergeCell ref="B7:C7"/>
    <mergeCell ref="AE7:AF7"/>
    <mergeCell ref="AG7:AH7"/>
    <mergeCell ref="G8:I8"/>
    <mergeCell ref="B34:C34"/>
    <mergeCell ref="B10:C10"/>
    <mergeCell ref="B46:C46"/>
    <mergeCell ref="Q98:T98"/>
    <mergeCell ref="U98:X98"/>
    <mergeCell ref="E98:F98"/>
    <mergeCell ref="G98:L98"/>
    <mergeCell ref="M98:P98"/>
    <mergeCell ref="B72:C72"/>
    <mergeCell ref="B21:C21"/>
    <mergeCell ref="E6:F6"/>
    <mergeCell ref="E7:F7"/>
    <mergeCell ref="E8:F8"/>
    <mergeCell ref="G6:I6"/>
    <mergeCell ref="G7:I7"/>
    <mergeCell ref="K6:M6"/>
    <mergeCell ref="K7:M7"/>
    <mergeCell ref="K8:M8"/>
    <mergeCell ref="O3:Q3"/>
    <mergeCell ref="O4:Q4"/>
    <mergeCell ref="O5:Q5"/>
    <mergeCell ref="O6:Q6"/>
    <mergeCell ref="O7:Q7"/>
    <mergeCell ref="O8:Q8"/>
    <mergeCell ref="K3:M3"/>
    <mergeCell ref="K4:M4"/>
    <mergeCell ref="K5:M5"/>
  </mergeCells>
  <conditionalFormatting sqref="E100:P1372">
    <cfRule type="expression" dxfId="0" priority="468">
      <formula>$E100&lt;&gt;$G$7</formula>
    </cfRule>
  </conditionalFormatting>
  <conditionalFormatting sqref="AI4:AI8">
    <cfRule type="dataBar" priority="12">
      <dataBar>
        <cfvo type="num" val="$AI$4"/>
        <cfvo type="num" val="$AI$8"/>
        <color theme="2"/>
      </dataBar>
      <extLst>
        <ext xmlns:x14="http://schemas.microsoft.com/office/spreadsheetml/2009/9/main" uri="{B025F937-C7B1-47D3-B67F-A62EFF666E3E}">
          <x14:id>{C2EC9C97-5D00-482E-89FF-C413DBB10D61}</x14:id>
        </ext>
      </extLst>
    </cfRule>
  </conditionalFormatting>
  <dataValidations disablePrompts="1" count="18">
    <dataValidation type="list" allowBlank="1" showInputMessage="1" showErrorMessage="1" sqref="G6:G7" xr:uid="{8A2A35AD-B836-4826-BFA6-07F65CCABF30}">
      <formula1>INDIRECT("Lookup_SurveyEpoch[Epoch]")</formula1>
    </dataValidation>
    <dataValidation type="list" allowBlank="1" showInputMessage="1" showErrorMessage="1" sqref="C37" xr:uid="{55629062-D363-4B6E-A561-ECA96B7AB9B6}">
      <formula1>"1,2,3,4,5,6,7,8,9,10"</formula1>
    </dataValidation>
    <dataValidation type="list" allowBlank="1" showInputMessage="1" showErrorMessage="1" sqref="C49" xr:uid="{FE1E7B49-722F-4F2C-8340-FA3A3E0D30D7}">
      <formula1>"o, ., ,, x, +, v, ^, &lt;, &gt;, 1, 2, 3, 4, s, p, *, h, H, D, d, |, _"</formula1>
    </dataValidation>
    <dataValidation type="decimal" allowBlank="1" showInputMessage="1" showErrorMessage="1" sqref="C48" xr:uid="{04964B39-5E89-483D-9F07-9166AD0D7531}">
      <formula1>0</formula1>
      <formula2>10</formula2>
    </dataValidation>
    <dataValidation type="decimal" allowBlank="1" showInputMessage="1" showErrorMessage="1" sqref="C50" xr:uid="{33EA9356-6282-494C-8847-4E48C8A105DC}">
      <formula1>0</formula1>
      <formula2>100</formula2>
    </dataValidation>
    <dataValidation type="whole" allowBlank="1" showInputMessage="1" showErrorMessage="1" sqref="C50" xr:uid="{D27FA2D4-A6F9-4EAC-8801-DF5B6F701A8A}">
      <formula1>0</formula1>
      <formula2>100</formula2>
    </dataValidation>
    <dataValidation type="list" allowBlank="1" showInputMessage="1" showErrorMessage="1" sqref="C68" xr:uid="{87884E02-3EC4-40A0-8A78-87AC072DDE95}">
      <formula1>"7,8,9,10,11,12,13,14,15,16,17,18,19,20"</formula1>
    </dataValidation>
    <dataValidation type="list" allowBlank="1" showInputMessage="1" showErrorMessage="1" sqref="C12 C23" xr:uid="{1A27A501-9C92-4576-A136-CF64EB235999}">
      <formula1>"datetime, numeric, string"</formula1>
    </dataValidation>
    <dataValidation type="list" allowBlank="1" showInputMessage="1" showErrorMessage="1" sqref="C35:C36 C11:C12 C22:C23" xr:uid="{FEEEAAFC-CA79-44F3-B5C8-5DF3AD9AD434}">
      <formula1>INDIRECT("ReportSummary___Track[#Headers]")</formula1>
    </dataValidation>
    <dataValidation type="decimal" allowBlank="1" showInputMessage="1" showErrorMessage="1" sqref="C43:C44" xr:uid="{09DC3147-3BDE-4435-B7EE-72A816D8B7E7}">
      <formula1>-1</formula1>
      <formula2>1</formula2>
    </dataValidation>
    <dataValidation type="list" allowBlank="1" showInputMessage="1" showErrorMessage="1" sqref="C25 C14" xr:uid="{B3D53D2A-DEE3-4A45-8AD0-0EFCE53A8853}">
      <formula1>INDIRECT("Lookup_NumFormat[Python Format]")</formula1>
    </dataValidation>
    <dataValidation type="whole" allowBlank="1" showInputMessage="1" showErrorMessage="1" sqref="C26 C15" xr:uid="{C60023D9-3FDA-4963-B2A0-8C51C4E1E4DC}">
      <formula1>0</formula1>
      <formula2>360</formula2>
    </dataValidation>
    <dataValidation type="list" allowBlank="1" showInputMessage="1" showErrorMessage="1" sqref="C13 C24" xr:uid="{1E000FE2-F0F8-484D-950D-75CF1331694F}">
      <formula1>INDIRECT("Lookup_NumFormat[Lookup Key]")</formula1>
    </dataValidation>
    <dataValidation type="list" allowBlank="1" showInputMessage="1" showErrorMessage="1" sqref="C59" xr:uid="{6FB9351B-E569-4C06-BC0C-A19904FA9055}">
      <formula1>INDIRECT("Lookup_ColourMap[Lookup Key]")</formula1>
    </dataValidation>
    <dataValidation type="list" allowBlank="1" showInputMessage="1" showErrorMessage="1" sqref="C36" xr:uid="{452BF690-58E0-455A-A06F-4451D0E90F13}">
      <formula1>INDIRECT("Lookup_LegendLocation[Legend Location]")</formula1>
    </dataValidation>
    <dataValidation type="decimal" allowBlank="1" showInputMessage="1" showErrorMessage="1" sqref="C38:C39" xr:uid="{AA1594B1-A56C-4E52-A1C3-16808C627AD6}">
      <formula1>-100</formula1>
      <formula2>100</formula2>
    </dataValidation>
    <dataValidation type="decimal" allowBlank="1" showInputMessage="1" showErrorMessage="1" sqref="C47" xr:uid="{3E0FBA6A-0351-41AE-88DB-1308DE763698}">
      <formula1>5</formula1>
      <formula2>40</formula2>
    </dataValidation>
    <dataValidation type="list" allowBlank="1" showInputMessage="1" showErrorMessage="1" sqref="C42" xr:uid="{E4A35CCD-59E2-49DE-8245-48124D86789E}">
      <formula1>"true, false"</formula1>
    </dataValidation>
  </dataValidations>
  <printOptions horizontalCentered="1" verticalCentered="1"/>
  <pageMargins left="0.51181102362204722" right="0.51181102362204722" top="0.55118110236220474" bottom="0.55118110236220474" header="0.31496062992125984" footer="0.31496062992125984"/>
  <pageSetup paperSize="140" scale="72" fitToHeight="0" orientation="landscape" horizontalDpi="1200" verticalDpi="1200" r:id="rId1"/>
  <headerFooter scaleWithDoc="0">
    <oddHeader>&amp;L&amp;"-,Regular"&amp;A&amp;R&amp;"-,Regular"&amp;D</oddHeader>
    <oddFooter>&amp;C&amp;"-,Regular"&amp;F</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7" id="{FE475F0F-E6F2-4682-9F30-82649CB1C819}">
            <x14:iconSet iconSet="5Arrows"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B4:B8</xm:sqref>
        </x14:conditionalFormatting>
        <x14:conditionalFormatting xmlns:xm="http://schemas.microsoft.com/office/excel/2006/main">
          <x14:cfRule type="iconSet" priority="13" id="{B93B82DB-4DDF-4367-8AB1-FB883E37774F}">
            <x14:iconSet iconSet="5Arrows" showValue="0" custom="1">
              <x14:cfvo type="percent">
                <xm:f>0</xm:f>
              </x14:cfvo>
              <x14:cfvo type="num">
                <xm:f>1</xm:f>
              </x14:cfvo>
              <x14:cfvo type="num">
                <xm:f>2</xm:f>
              </x14:cfvo>
              <x14:cfvo type="num">
                <xm:f>3</xm:f>
              </x14:cfvo>
              <x14:cfvo type="num">
                <xm:f>4</xm:f>
              </x14:cfvo>
              <x14:cfIcon iconSet="NoIcons" iconId="0"/>
              <x14:cfIcon iconSet="3TrafficLights1" iconId="1"/>
              <x14:cfIcon iconSet="4RedToBlack" iconId="2"/>
              <x14:cfIcon iconSet="3TrafficLights1" iconId="0"/>
              <x14:cfIcon iconSet="4TrafficLights" iconId="0"/>
            </x14:iconSet>
          </x14:cfRule>
          <xm:sqref>AC4:AD8</xm:sqref>
        </x14:conditionalFormatting>
        <x14:conditionalFormatting xmlns:xm="http://schemas.microsoft.com/office/excel/2006/main">
          <x14:cfRule type="dataBar" id="{C2EC9C97-5D00-482E-89FF-C413DBB10D61}">
            <x14:dataBar minLength="0" maxLength="100" gradient="0">
              <x14:cfvo type="num">
                <xm:f>$AI$4</xm:f>
              </x14:cfvo>
              <x14:cfvo type="num">
                <xm:f>$AI$8</xm:f>
              </x14:cfvo>
              <x14:negativeFillColor theme="2"/>
              <x14:axisColor theme="2"/>
            </x14:dataBar>
          </x14:cfRule>
          <xm:sqref>AI4:AI8</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B748-0722-4715-AC2D-10B34F4E5978}">
  <sheetPr codeName="Sheet10"/>
  <dimension ref="A1:S60"/>
  <sheetViews>
    <sheetView showGridLines="0" workbookViewId="0">
      <selection activeCell="H2" sqref="H2:I44"/>
    </sheetView>
  </sheetViews>
  <sheetFormatPr defaultRowHeight="12.75" x14ac:dyDescent="0.2"/>
  <cols>
    <col min="1" max="1" width="3.140625" customWidth="1"/>
    <col min="2" max="2" width="17.42578125" bestFit="1" customWidth="1"/>
    <col min="3" max="3" width="13.85546875" bestFit="1" customWidth="1"/>
    <col min="4" max="4" width="8.42578125" bestFit="1" customWidth="1"/>
    <col min="5" max="5" width="3" customWidth="1"/>
    <col min="6" max="6" width="24.5703125" customWidth="1"/>
    <col min="7" max="7" width="2.85546875" customWidth="1"/>
    <col min="8" max="8" width="21" bestFit="1" customWidth="1"/>
    <col min="9" max="9" width="28.7109375" bestFit="1" customWidth="1"/>
    <col min="11" max="11" width="37.5703125" bestFit="1" customWidth="1"/>
    <col min="12" max="12" width="45.85546875" bestFit="1" customWidth="1"/>
    <col min="14" max="14" width="15" bestFit="1" customWidth="1"/>
    <col min="15" max="15" width="16.28515625" customWidth="1"/>
    <col min="16" max="16" width="14.5703125" customWidth="1"/>
    <col min="17" max="17" width="32.42578125" bestFit="1" customWidth="1"/>
    <col min="19" max="19" width="18.42578125" customWidth="1"/>
  </cols>
  <sheetData>
    <row r="1" spans="1:19" x14ac:dyDescent="0.2">
      <c r="A1" s="15"/>
      <c r="B1" s="313" t="s">
        <v>68</v>
      </c>
      <c r="C1" s="314"/>
      <c r="D1" s="314"/>
    </row>
    <row r="2" spans="1:19" s="38" customFormat="1" x14ac:dyDescent="0.2">
      <c r="B2" s="166" t="s">
        <v>6</v>
      </c>
      <c r="C2" s="40" t="s">
        <v>163</v>
      </c>
      <c r="D2" s="40" t="s">
        <v>164</v>
      </c>
      <c r="F2" s="39" t="s">
        <v>87</v>
      </c>
      <c r="H2" s="39" t="s">
        <v>330</v>
      </c>
      <c r="I2" s="39" t="s">
        <v>331</v>
      </c>
      <c r="J2" s="39" t="s">
        <v>4</v>
      </c>
      <c r="K2" s="39" t="s">
        <v>332</v>
      </c>
      <c r="L2" s="39" t="s">
        <v>448</v>
      </c>
      <c r="N2" s="177" t="s">
        <v>452</v>
      </c>
      <c r="O2" s="178" t="s">
        <v>474</v>
      </c>
      <c r="P2" s="178" t="s">
        <v>475</v>
      </c>
      <c r="Q2" s="178" t="s">
        <v>448</v>
      </c>
      <c r="S2" s="178" t="s">
        <v>503</v>
      </c>
    </row>
    <row r="3" spans="1:19" x14ac:dyDescent="0.2">
      <c r="B3" s="46">
        <v>45881.291666666664</v>
      </c>
      <c r="C3" s="47">
        <v>28</v>
      </c>
      <c r="D3" s="47">
        <v>44</v>
      </c>
      <c r="F3" s="47" t="s">
        <v>91</v>
      </c>
      <c r="H3" s="47" t="s">
        <v>381</v>
      </c>
      <c r="I3" s="47" t="s">
        <v>382</v>
      </c>
      <c r="J3" s="47" t="s">
        <v>359</v>
      </c>
      <c r="K3" s="47" t="s">
        <v>383</v>
      </c>
      <c r="L3" s="47" t="str">
        <f>Lookup_NumFormat[[#This Row],[Type]]&amp;" | "&amp;Lookup_NumFormat[[#This Row],[Description]]</f>
        <v>Date | 12-hour time with AM/PM</v>
      </c>
      <c r="N3" s="175" t="s">
        <v>453</v>
      </c>
      <c r="O3" s="176" t="s">
        <v>476</v>
      </c>
      <c r="P3" s="175">
        <v>10</v>
      </c>
      <c r="Q3" s="86" t="str">
        <f>Lookup_ColourMap[[#This Row],[Category]]&amp;" | " &amp;Lookup_ColourMap[[#This Row],[Colormap]]&amp;" | " &amp;Lookup_ColourMap[[#This Row],[Colors in Map]]</f>
        <v>Qualitative | tab10 | 10</v>
      </c>
      <c r="S3" s="86" t="s">
        <v>504</v>
      </c>
    </row>
    <row r="4" spans="1:19" x14ac:dyDescent="0.2">
      <c r="B4" s="42">
        <v>45873.291666666664</v>
      </c>
      <c r="C4" s="41">
        <v>28</v>
      </c>
      <c r="D4" s="41">
        <v>43</v>
      </c>
      <c r="F4" s="47" t="s">
        <v>93</v>
      </c>
      <c r="H4" s="47" t="s">
        <v>431</v>
      </c>
      <c r="I4" s="47" t="s">
        <v>432</v>
      </c>
      <c r="J4" s="47" t="s">
        <v>359</v>
      </c>
      <c r="K4" s="47" t="s">
        <v>433</v>
      </c>
      <c r="L4" s="86" t="str">
        <f>Lookup_NumFormat[[#This Row],[Type]]&amp;" | "&amp;Lookup_NumFormat[[#This Row],[Description]]</f>
        <v>Date | 12-hour time with seconds and AM/PM</v>
      </c>
      <c r="N4" s="175" t="s">
        <v>454</v>
      </c>
      <c r="O4" s="176" t="s">
        <v>476</v>
      </c>
      <c r="P4" s="175">
        <v>20</v>
      </c>
      <c r="Q4" s="86" t="str">
        <f>Lookup_ColourMap[[#This Row],[Category]]&amp;" | " &amp;Lookup_ColourMap[[#This Row],[Colormap]]&amp;" | " &amp;Lookup_ColourMap[[#This Row],[Colors in Map]]</f>
        <v>Qualitative | tab20 | 20</v>
      </c>
      <c r="S4" s="86" t="s">
        <v>505</v>
      </c>
    </row>
    <row r="5" spans="1:19" x14ac:dyDescent="0.2">
      <c r="B5" s="42">
        <v>45869.291666666664</v>
      </c>
      <c r="C5" s="41">
        <v>28</v>
      </c>
      <c r="D5" s="41">
        <v>42</v>
      </c>
      <c r="F5" s="47" t="s">
        <v>92</v>
      </c>
      <c r="H5" s="47" t="s">
        <v>378</v>
      </c>
      <c r="I5" s="47" t="s">
        <v>379</v>
      </c>
      <c r="J5" s="47" t="s">
        <v>359</v>
      </c>
      <c r="K5" s="47" t="s">
        <v>380</v>
      </c>
      <c r="L5" s="86" t="str">
        <f>Lookup_NumFormat[[#This Row],[Type]]&amp;" | "&amp;Lookup_NumFormat[[#This Row],[Description]]</f>
        <v>Date | 24-hour time</v>
      </c>
      <c r="N5" s="175" t="s">
        <v>455</v>
      </c>
      <c r="O5" s="176" t="s">
        <v>476</v>
      </c>
      <c r="P5" s="175">
        <v>9</v>
      </c>
      <c r="Q5" s="86" t="str">
        <f>Lookup_ColourMap[[#This Row],[Category]]&amp;" | " &amp;Lookup_ColourMap[[#This Row],[Colormap]]&amp;" | " &amp;Lookup_ColourMap[[#This Row],[Colors in Map]]</f>
        <v>Qualitative | Set1 | 9</v>
      </c>
      <c r="S5" s="86" t="s">
        <v>506</v>
      </c>
    </row>
    <row r="6" spans="1:19" x14ac:dyDescent="0.2">
      <c r="B6" s="42">
        <v>45867.270833333336</v>
      </c>
      <c r="C6" s="41">
        <v>28</v>
      </c>
      <c r="D6" s="41">
        <v>41</v>
      </c>
      <c r="F6" s="86" t="s">
        <v>89</v>
      </c>
      <c r="H6" s="47" t="s">
        <v>428</v>
      </c>
      <c r="I6" s="47" t="s">
        <v>429</v>
      </c>
      <c r="J6" s="47" t="s">
        <v>359</v>
      </c>
      <c r="K6" s="47" t="s">
        <v>430</v>
      </c>
      <c r="L6" s="86" t="str">
        <f>Lookup_NumFormat[[#This Row],[Type]]&amp;" | "&amp;Lookup_NumFormat[[#This Row],[Description]]</f>
        <v>Date | 24-hour time with seconds</v>
      </c>
      <c r="N6" s="175" t="s">
        <v>456</v>
      </c>
      <c r="O6" s="176" t="s">
        <v>476</v>
      </c>
      <c r="P6" s="175">
        <v>8</v>
      </c>
      <c r="Q6" s="86" t="str">
        <f>Lookup_ColourMap[[#This Row],[Category]]&amp;" | " &amp;Lookup_ColourMap[[#This Row],[Colormap]]&amp;" | " &amp;Lookup_ColourMap[[#This Row],[Colors in Map]]</f>
        <v>Qualitative | Set2 | 8</v>
      </c>
      <c r="S6" s="86" t="s">
        <v>507</v>
      </c>
    </row>
    <row r="7" spans="1:19" x14ac:dyDescent="0.2">
      <c r="B7" s="42">
        <v>45863.25</v>
      </c>
      <c r="C7" s="41">
        <v>28</v>
      </c>
      <c r="D7" s="41">
        <v>40</v>
      </c>
      <c r="F7" s="86" t="s">
        <v>90</v>
      </c>
      <c r="H7" s="47" t="s">
        <v>384</v>
      </c>
      <c r="I7" s="47" t="s">
        <v>385</v>
      </c>
      <c r="J7" s="47" t="s">
        <v>359</v>
      </c>
      <c r="K7" s="47" t="s">
        <v>386</v>
      </c>
      <c r="L7" s="86" t="str">
        <f>Lookup_NumFormat[[#This Row],[Type]]&amp;" | "&amp;Lookup_NumFormat[[#This Row],[Description]]</f>
        <v>Date | Date and time</v>
      </c>
      <c r="N7" s="175" t="s">
        <v>457</v>
      </c>
      <c r="O7" s="176" t="s">
        <v>476</v>
      </c>
      <c r="P7" s="175">
        <v>12</v>
      </c>
      <c r="Q7" s="86" t="str">
        <f>Lookup_ColourMap[[#This Row],[Category]]&amp;" | " &amp;Lookup_ColourMap[[#This Row],[Colormap]]&amp;" | " &amp;Lookup_ColourMap[[#This Row],[Colors in Map]]</f>
        <v>Qualitative | Set3 | 12</v>
      </c>
      <c r="S7" s="86" t="s">
        <v>508</v>
      </c>
    </row>
    <row r="8" spans="1:19" x14ac:dyDescent="0.2">
      <c r="B8" s="42">
        <v>45859.270833333336</v>
      </c>
      <c r="C8" s="41">
        <v>28</v>
      </c>
      <c r="D8" s="41">
        <v>39</v>
      </c>
      <c r="H8" s="47" t="s">
        <v>309</v>
      </c>
      <c r="I8" s="47" t="s">
        <v>361</v>
      </c>
      <c r="J8" s="47" t="s">
        <v>359</v>
      </c>
      <c r="K8" s="47" t="s">
        <v>362</v>
      </c>
      <c r="L8" s="86" t="str">
        <f>Lookup_NumFormat[[#This Row],[Type]]&amp;" | "&amp;Lookup_NumFormat[[#This Row],[Description]]</f>
        <v>Date | Day and abbreviated month</v>
      </c>
      <c r="N8" s="175" t="s">
        <v>458</v>
      </c>
      <c r="O8" s="176" t="s">
        <v>476</v>
      </c>
      <c r="P8" s="175">
        <v>9</v>
      </c>
      <c r="Q8" s="86" t="str">
        <f>Lookup_ColourMap[[#This Row],[Category]]&amp;" | " &amp;Lookup_ColourMap[[#This Row],[Colormap]]&amp;" | " &amp;Lookup_ColourMap[[#This Row],[Colors in Map]]</f>
        <v>Qualitative | Pastel1 | 9</v>
      </c>
    </row>
    <row r="9" spans="1:19" x14ac:dyDescent="0.2">
      <c r="B9" s="42">
        <v>45855.291666666664</v>
      </c>
      <c r="C9" s="41">
        <v>28</v>
      </c>
      <c r="D9" s="41">
        <v>38</v>
      </c>
      <c r="H9" s="47" t="s">
        <v>425</v>
      </c>
      <c r="I9" s="47" t="s">
        <v>426</v>
      </c>
      <c r="J9" s="47" t="s">
        <v>359</v>
      </c>
      <c r="K9" s="47" t="s">
        <v>427</v>
      </c>
      <c r="L9" s="86" t="str">
        <f>Lookup_NumFormat[[#This Row],[Type]]&amp;" | "&amp;Lookup_NumFormat[[#This Row],[Description]]</f>
        <v>Date | Day and full month name</v>
      </c>
      <c r="N9" s="175" t="s">
        <v>459</v>
      </c>
      <c r="O9" s="176" t="s">
        <v>476</v>
      </c>
      <c r="P9" s="175">
        <v>8</v>
      </c>
      <c r="Q9" s="86" t="str">
        <f>Lookup_ColourMap[[#This Row],[Category]]&amp;" | " &amp;Lookup_ColourMap[[#This Row],[Colormap]]&amp;" | " &amp;Lookup_ColourMap[[#This Row],[Colors in Map]]</f>
        <v>Qualitative | Pastel2 | 8</v>
      </c>
    </row>
    <row r="10" spans="1:19" x14ac:dyDescent="0.2">
      <c r="B10" s="42">
        <v>45852.541666666664</v>
      </c>
      <c r="C10" s="41">
        <v>28</v>
      </c>
      <c r="D10" s="41">
        <v>37</v>
      </c>
      <c r="H10" s="47" t="s">
        <v>369</v>
      </c>
      <c r="I10" s="47" t="s">
        <v>370</v>
      </c>
      <c r="J10" s="47" t="s">
        <v>359</v>
      </c>
      <c r="K10" s="47" t="s">
        <v>371</v>
      </c>
      <c r="L10" s="86" t="str">
        <f>Lookup_NumFormat[[#This Row],[Type]]&amp;" | "&amp;Lookup_NumFormat[[#This Row],[Description]]</f>
        <v>Date | Day/Month/Year</v>
      </c>
      <c r="N10" s="175" t="s">
        <v>461</v>
      </c>
      <c r="O10" s="176" t="s">
        <v>476</v>
      </c>
      <c r="P10" s="175">
        <v>8</v>
      </c>
      <c r="Q10" s="86" t="str">
        <f>Lookup_ColourMap[[#This Row],[Category]]&amp;" | " &amp;Lookup_ColourMap[[#This Row],[Colormap]]&amp;" | " &amp;Lookup_ColourMap[[#This Row],[Colors in Map]]</f>
        <v>Qualitative | Dark2 | 8</v>
      </c>
    </row>
    <row r="11" spans="1:19" x14ac:dyDescent="0.2">
      <c r="B11" s="42">
        <v>45848.291666666664</v>
      </c>
      <c r="C11" s="41">
        <v>28</v>
      </c>
      <c r="D11" s="41">
        <v>36</v>
      </c>
      <c r="H11" s="47" t="s">
        <v>363</v>
      </c>
      <c r="I11" s="47" t="s">
        <v>364</v>
      </c>
      <c r="J11" s="47" t="s">
        <v>359</v>
      </c>
      <c r="K11" s="47" t="s">
        <v>365</v>
      </c>
      <c r="L11" s="86" t="str">
        <f>Lookup_NumFormat[[#This Row],[Type]]&amp;" | "&amp;Lookup_NumFormat[[#This Row],[Description]]</f>
        <v>Date | Day-Month-Year (2-digit year)</v>
      </c>
      <c r="N11" s="175" t="s">
        <v>460</v>
      </c>
      <c r="O11" s="176" t="s">
        <v>476</v>
      </c>
      <c r="P11" s="175">
        <v>8</v>
      </c>
      <c r="Q11" s="86" t="str">
        <f>Lookup_ColourMap[[#This Row],[Category]]&amp;" | " &amp;Lookup_ColourMap[[#This Row],[Colormap]]&amp;" | " &amp;Lookup_ColourMap[[#This Row],[Colors in Map]]</f>
        <v>Qualitative | Accent | 8</v>
      </c>
    </row>
    <row r="12" spans="1:19" x14ac:dyDescent="0.2">
      <c r="B12" s="42">
        <v>45841.243055555555</v>
      </c>
      <c r="C12" s="41">
        <v>28</v>
      </c>
      <c r="D12" s="41">
        <v>35</v>
      </c>
      <c r="H12" s="47" t="s">
        <v>419</v>
      </c>
      <c r="I12" s="47" t="s">
        <v>420</v>
      </c>
      <c r="J12" s="47" t="s">
        <v>359</v>
      </c>
      <c r="K12" s="47" t="s">
        <v>421</v>
      </c>
      <c r="L12" s="86" t="str">
        <f>Lookup_NumFormat[[#This Row],[Type]]&amp;" | "&amp;Lookup_NumFormat[[#This Row],[Description]]</f>
        <v>Date | Dot-separated date</v>
      </c>
      <c r="N12" s="175" t="s">
        <v>462</v>
      </c>
      <c r="O12" s="176" t="s">
        <v>476</v>
      </c>
      <c r="P12" s="175">
        <v>12</v>
      </c>
      <c r="Q12" s="86" t="str">
        <f>Lookup_ColourMap[[#This Row],[Category]]&amp;" | " &amp;Lookup_ColourMap[[#This Row],[Colormap]]&amp;" | " &amp;Lookup_ColourMap[[#This Row],[Colors in Map]]</f>
        <v>Qualitative | Paired | 12</v>
      </c>
    </row>
    <row r="13" spans="1:19" x14ac:dyDescent="0.2">
      <c r="B13" s="42">
        <v>45839.243055555555</v>
      </c>
      <c r="C13" s="41">
        <v>28</v>
      </c>
      <c r="D13" s="41">
        <v>34</v>
      </c>
      <c r="H13" s="47" t="s">
        <v>413</v>
      </c>
      <c r="I13" s="47" t="s">
        <v>414</v>
      </c>
      <c r="J13" s="47" t="s">
        <v>359</v>
      </c>
      <c r="K13" s="47" t="s">
        <v>415</v>
      </c>
      <c r="L13" s="86" t="str">
        <f>Lookup_NumFormat[[#This Row],[Type]]&amp;" | "&amp;Lookup_NumFormat[[#This Row],[Description]]</f>
        <v>Date | European date format</v>
      </c>
      <c r="N13" s="175" t="s">
        <v>463</v>
      </c>
      <c r="O13" s="176" t="s">
        <v>477</v>
      </c>
      <c r="P13" s="175">
        <v>256</v>
      </c>
      <c r="Q13" s="86" t="str">
        <f>Lookup_ColourMap[[#This Row],[Category]]&amp;" | " &amp;Lookup_ColourMap[[#This Row],[Colormap]]&amp;" | " &amp;Lookup_ColourMap[[#This Row],[Colors in Map]]</f>
        <v>Sequential | viridis | 256</v>
      </c>
    </row>
    <row r="14" spans="1:19" x14ac:dyDescent="0.2">
      <c r="B14" s="42">
        <v>45833.284722222219</v>
      </c>
      <c r="C14" s="41">
        <v>28</v>
      </c>
      <c r="D14" s="41">
        <v>33</v>
      </c>
      <c r="H14" s="47" t="s">
        <v>422</v>
      </c>
      <c r="I14" s="47" t="s">
        <v>423</v>
      </c>
      <c r="J14" s="47" t="s">
        <v>359</v>
      </c>
      <c r="K14" s="47" t="s">
        <v>424</v>
      </c>
      <c r="L14" s="86" t="str">
        <f>Lookup_NumFormat[[#This Row],[Type]]&amp;" | "&amp;Lookup_NumFormat[[#This Row],[Description]]</f>
        <v>Date | Full month name and day</v>
      </c>
      <c r="N14" s="175" t="s">
        <v>464</v>
      </c>
      <c r="O14" s="176" t="s">
        <v>477</v>
      </c>
      <c r="P14" s="175">
        <v>256</v>
      </c>
      <c r="Q14" s="86" t="str">
        <f>Lookup_ColourMap[[#This Row],[Category]]&amp;" | " &amp;Lookup_ColourMap[[#This Row],[Colormap]]&amp;" | " &amp;Lookup_ColourMap[[#This Row],[Colors in Map]]</f>
        <v>Sequential | plasma | 256</v>
      </c>
    </row>
    <row r="15" spans="1:19" x14ac:dyDescent="0.2">
      <c r="B15" s="42">
        <v>45831.291666666664</v>
      </c>
      <c r="C15" s="41">
        <v>28</v>
      </c>
      <c r="D15" s="41">
        <v>32</v>
      </c>
      <c r="H15" s="47" t="s">
        <v>375</v>
      </c>
      <c r="I15" s="47" t="s">
        <v>376</v>
      </c>
      <c r="J15" s="47" t="s">
        <v>359</v>
      </c>
      <c r="K15" s="47" t="s">
        <v>377</v>
      </c>
      <c r="L15" s="86" t="str">
        <f>Lookup_NumFormat[[#This Row],[Type]]&amp;" | "&amp;Lookup_NumFormat[[#This Row],[Description]]</f>
        <v>Date | Full weekday and date</v>
      </c>
      <c r="N15" s="175" t="s">
        <v>465</v>
      </c>
      <c r="O15" s="176" t="s">
        <v>477</v>
      </c>
      <c r="P15" s="175">
        <v>256</v>
      </c>
      <c r="Q15" s="86" t="str">
        <f>Lookup_ColourMap[[#This Row],[Category]]&amp;" | " &amp;Lookup_ColourMap[[#This Row],[Colormap]]&amp;" | " &amp;Lookup_ColourMap[[#This Row],[Colors in Map]]</f>
        <v>Sequential | inferno | 256</v>
      </c>
    </row>
    <row r="16" spans="1:19" x14ac:dyDescent="0.2">
      <c r="B16" s="42">
        <v>45827.284722222219</v>
      </c>
      <c r="C16" s="41">
        <v>28</v>
      </c>
      <c r="D16" s="41">
        <v>31</v>
      </c>
      <c r="H16" s="47" t="s">
        <v>434</v>
      </c>
      <c r="I16" s="47" t="s">
        <v>435</v>
      </c>
      <c r="J16" s="47" t="s">
        <v>359</v>
      </c>
      <c r="K16" s="47" t="s">
        <v>436</v>
      </c>
      <c r="L16" s="86" t="str">
        <f>Lookup_NumFormat[[#This Row],[Type]]&amp;" | "&amp;Lookup_NumFormat[[#This Row],[Description]]</f>
        <v>Date | ISO datetime with T</v>
      </c>
      <c r="N16" s="175" t="s">
        <v>466</v>
      </c>
      <c r="O16" s="176" t="s">
        <v>477</v>
      </c>
      <c r="P16" s="175">
        <v>256</v>
      </c>
      <c r="Q16" s="86" t="str">
        <f>Lookup_ColourMap[[#This Row],[Category]]&amp;" | " &amp;Lookup_ColourMap[[#This Row],[Colormap]]&amp;" | " &amp;Lookup_ColourMap[[#This Row],[Colors in Map]]</f>
        <v>Sequential | magma | 256</v>
      </c>
    </row>
    <row r="17" spans="2:17" x14ac:dyDescent="0.2">
      <c r="B17" s="42">
        <v>45825.229166666664</v>
      </c>
      <c r="C17" s="41">
        <v>28</v>
      </c>
      <c r="D17" s="41">
        <v>30</v>
      </c>
      <c r="H17" s="47" t="s">
        <v>308</v>
      </c>
      <c r="I17" s="47" t="s">
        <v>358</v>
      </c>
      <c r="J17" s="47" t="s">
        <v>359</v>
      </c>
      <c r="K17" s="47" t="s">
        <v>360</v>
      </c>
      <c r="L17" s="86" t="str">
        <f>Lookup_NumFormat[[#This Row],[Type]]&amp;" | "&amp;Lookup_NumFormat[[#This Row],[Description]]</f>
        <v>Date | ISO format (year-month-day)</v>
      </c>
      <c r="N17" s="175" t="s">
        <v>467</v>
      </c>
      <c r="O17" s="176" t="s">
        <v>477</v>
      </c>
      <c r="P17" s="175">
        <v>256</v>
      </c>
      <c r="Q17" s="86" t="str">
        <f>Lookup_ColourMap[[#This Row],[Category]]&amp;" | " &amp;Lookup_ColourMap[[#This Row],[Colormap]]&amp;" | " &amp;Lookup_ColourMap[[#This Row],[Colors in Map]]</f>
        <v>Sequential | cividis | 256</v>
      </c>
    </row>
    <row r="18" spans="2:17" x14ac:dyDescent="0.2">
      <c r="B18" s="42">
        <v>45821.291666666664</v>
      </c>
      <c r="C18" s="41">
        <v>28</v>
      </c>
      <c r="D18" s="41">
        <v>29</v>
      </c>
      <c r="H18" s="47" t="s">
        <v>416</v>
      </c>
      <c r="I18" s="47" t="s">
        <v>417</v>
      </c>
      <c r="J18" s="47" t="s">
        <v>359</v>
      </c>
      <c r="K18" s="47" t="s">
        <v>418</v>
      </c>
      <c r="L18" s="86" t="str">
        <f>Lookup_NumFormat[[#This Row],[Type]]&amp;" | "&amp;Lookup_NumFormat[[#This Row],[Description]]</f>
        <v>Date | ISO-style slashes</v>
      </c>
      <c r="N18" s="175" t="s">
        <v>478</v>
      </c>
      <c r="O18" s="176" t="s">
        <v>477</v>
      </c>
      <c r="P18" s="175">
        <v>256</v>
      </c>
      <c r="Q18" s="86" t="str">
        <f>Lookup_ColourMap[[#This Row],[Category]]&amp;" | " &amp;Lookup_ColourMap[[#This Row],[Colormap]]&amp;" | " &amp;Lookup_ColourMap[[#This Row],[Colors in Map]]</f>
        <v>Sequential | Greys | 256</v>
      </c>
    </row>
    <row r="19" spans="2:17" x14ac:dyDescent="0.2">
      <c r="B19" s="42">
        <v>45817.284722222219</v>
      </c>
      <c r="C19" s="41">
        <v>28</v>
      </c>
      <c r="D19" s="41">
        <v>28</v>
      </c>
      <c r="H19" s="47" t="s">
        <v>366</v>
      </c>
      <c r="I19" s="47" t="s">
        <v>367</v>
      </c>
      <c r="J19" s="47" t="s">
        <v>359</v>
      </c>
      <c r="K19" s="47" t="s">
        <v>368</v>
      </c>
      <c r="L19" s="86" t="str">
        <f>Lookup_NumFormat[[#This Row],[Type]]&amp;" | "&amp;Lookup_NumFormat[[#This Row],[Description]]</f>
        <v>Date | Month name and year</v>
      </c>
      <c r="N19" s="175" t="s">
        <v>479</v>
      </c>
      <c r="O19" s="176" t="s">
        <v>477</v>
      </c>
      <c r="P19" s="175">
        <v>256</v>
      </c>
      <c r="Q19" s="86" t="str">
        <f>Lookup_ColourMap[[#This Row],[Category]]&amp;" | " &amp;Lookup_ColourMap[[#This Row],[Colormap]]&amp;" | " &amp;Lookup_ColourMap[[#This Row],[Colors in Map]]</f>
        <v>Sequential | Purples | 256</v>
      </c>
    </row>
    <row r="20" spans="2:17" x14ac:dyDescent="0.2">
      <c r="B20" s="42">
        <v>45813.284722222219</v>
      </c>
      <c r="C20" s="41">
        <v>28</v>
      </c>
      <c r="D20" s="41">
        <v>27</v>
      </c>
      <c r="H20" s="47" t="s">
        <v>372</v>
      </c>
      <c r="I20" s="47" t="s">
        <v>373</v>
      </c>
      <c r="J20" s="47" t="s">
        <v>359</v>
      </c>
      <c r="K20" s="47" t="s">
        <v>374</v>
      </c>
      <c r="L20" s="86" t="str">
        <f>Lookup_NumFormat[[#This Row],[Type]]&amp;" | "&amp;Lookup_NumFormat[[#This Row],[Description]]</f>
        <v>Date | US-style Month/Day/Year</v>
      </c>
      <c r="N20" s="175" t="s">
        <v>480</v>
      </c>
      <c r="O20" s="176" t="s">
        <v>477</v>
      </c>
      <c r="P20" s="175">
        <v>256</v>
      </c>
      <c r="Q20" s="86" t="str">
        <f>Lookup_ColourMap[[#This Row],[Category]]&amp;" | " &amp;Lookup_ColourMap[[#This Row],[Colormap]]&amp;" | " &amp;Lookup_ColourMap[[#This Row],[Colors in Map]]</f>
        <v>Sequential | Blues | 256</v>
      </c>
    </row>
    <row r="21" spans="2:17" x14ac:dyDescent="0.2">
      <c r="B21" s="42">
        <v>45811.284722222219</v>
      </c>
      <c r="C21" s="41">
        <v>28</v>
      </c>
      <c r="D21" s="41">
        <v>26</v>
      </c>
      <c r="H21" s="47" t="s">
        <v>440</v>
      </c>
      <c r="I21" s="47" t="s">
        <v>441</v>
      </c>
      <c r="J21" s="47" t="s">
        <v>359</v>
      </c>
      <c r="K21" s="47" t="s">
        <v>442</v>
      </c>
      <c r="L21" s="86" t="str">
        <f>Lookup_NumFormat[[#This Row],[Type]]&amp;" | "&amp;Lookup_NumFormat[[#This Row],[Description]]</f>
        <v>Date | Week number of year</v>
      </c>
      <c r="N21" s="175" t="s">
        <v>481</v>
      </c>
      <c r="O21" s="176" t="s">
        <v>477</v>
      </c>
      <c r="P21" s="175">
        <v>256</v>
      </c>
      <c r="Q21" s="86" t="str">
        <f>Lookup_ColourMap[[#This Row],[Category]]&amp;" | " &amp;Lookup_ColourMap[[#This Row],[Colormap]]&amp;" | " &amp;Lookup_ColourMap[[#This Row],[Colors in Map]]</f>
        <v>Sequential | Greens | 256</v>
      </c>
    </row>
    <row r="22" spans="2:17" x14ac:dyDescent="0.2">
      <c r="B22" s="42">
        <v>45810.270833333336</v>
      </c>
      <c r="C22" s="41">
        <v>28</v>
      </c>
      <c r="D22" s="41">
        <v>25</v>
      </c>
      <c r="H22" s="47" t="s">
        <v>437</v>
      </c>
      <c r="I22" s="47" t="s">
        <v>438</v>
      </c>
      <c r="J22" s="47" t="s">
        <v>359</v>
      </c>
      <c r="K22" s="47" t="s">
        <v>439</v>
      </c>
      <c r="L22" s="86" t="str">
        <f>Lookup_NumFormat[[#This Row],[Type]]&amp;" | "&amp;Lookup_NumFormat[[#This Row],[Description]]</f>
        <v>Date | Year and day of year</v>
      </c>
      <c r="N22" s="175" t="s">
        <v>482</v>
      </c>
      <c r="O22" s="176" t="s">
        <v>477</v>
      </c>
      <c r="P22" s="175">
        <v>256</v>
      </c>
      <c r="Q22" s="86" t="str">
        <f>Lookup_ColourMap[[#This Row],[Category]]&amp;" | " &amp;Lookup_ColourMap[[#This Row],[Colormap]]&amp;" | " &amp;Lookup_ColourMap[[#This Row],[Colors in Map]]</f>
        <v>Sequential | Oranges | 256</v>
      </c>
    </row>
    <row r="23" spans="2:17" x14ac:dyDescent="0.2">
      <c r="B23" s="42">
        <v>45807.263888888891</v>
      </c>
      <c r="C23" s="41">
        <v>28</v>
      </c>
      <c r="D23" s="41">
        <v>24</v>
      </c>
      <c r="H23" s="47" t="s">
        <v>402</v>
      </c>
      <c r="I23" s="47">
        <v>0</v>
      </c>
      <c r="J23" s="47" t="s">
        <v>334</v>
      </c>
      <c r="K23" s="47" t="s">
        <v>403</v>
      </c>
      <c r="L23" s="86" t="str">
        <f>Lookup_NumFormat[[#This Row],[Type]]&amp;" | "&amp;Lookup_NumFormat[[#This Row],[Description]]</f>
        <v>Number | Five decimal places</v>
      </c>
      <c r="N23" s="175" t="s">
        <v>483</v>
      </c>
      <c r="O23" s="176" t="s">
        <v>477</v>
      </c>
      <c r="P23" s="175">
        <v>256</v>
      </c>
      <c r="Q23" s="86" t="str">
        <f>Lookup_ColourMap[[#This Row],[Category]]&amp;" | " &amp;Lookup_ColourMap[[#This Row],[Colormap]]&amp;" | " &amp;Lookup_ColourMap[[#This Row],[Colors in Map]]</f>
        <v>Sequential | Reds | 256</v>
      </c>
    </row>
    <row r="24" spans="2:17" x14ac:dyDescent="0.2">
      <c r="B24" s="42">
        <v>45805.229166666664</v>
      </c>
      <c r="C24" s="41">
        <v>28</v>
      </c>
      <c r="D24" s="41">
        <v>23</v>
      </c>
      <c r="H24" s="47" t="s">
        <v>398</v>
      </c>
      <c r="I24" s="47">
        <v>0</v>
      </c>
      <c r="J24" s="47" t="s">
        <v>334</v>
      </c>
      <c r="K24" s="47" t="s">
        <v>399</v>
      </c>
      <c r="L24" s="86" t="str">
        <f>Lookup_NumFormat[[#This Row],[Type]]&amp;" | "&amp;Lookup_NumFormat[[#This Row],[Description]]</f>
        <v>Number | Forces decimal for integers (Python only)</v>
      </c>
      <c r="N24" s="175" t="s">
        <v>484</v>
      </c>
      <c r="O24" s="176" t="s">
        <v>477</v>
      </c>
      <c r="P24" s="175">
        <v>256</v>
      </c>
      <c r="Q24" s="86" t="str">
        <f>Lookup_ColourMap[[#This Row],[Category]]&amp;" | " &amp;Lookup_ColourMap[[#This Row],[Colormap]]&amp;" | " &amp;Lookup_ColourMap[[#This Row],[Colors in Map]]</f>
        <v>Sequential | YlOrBr | 256</v>
      </c>
    </row>
    <row r="25" spans="2:17" x14ac:dyDescent="0.2">
      <c r="B25" s="42">
        <v>45803.277777777781</v>
      </c>
      <c r="C25" s="41">
        <v>28</v>
      </c>
      <c r="D25" s="41">
        <v>22</v>
      </c>
      <c r="H25" s="47" t="s">
        <v>400</v>
      </c>
      <c r="I25" s="47">
        <v>0</v>
      </c>
      <c r="J25" s="47" t="s">
        <v>334</v>
      </c>
      <c r="K25" s="47" t="s">
        <v>401</v>
      </c>
      <c r="L25" s="86" t="str">
        <f>Lookup_NumFormat[[#This Row],[Type]]&amp;" | "&amp;Lookup_NumFormat[[#This Row],[Description]]</f>
        <v>Number | Four decimal places</v>
      </c>
      <c r="N25" s="175" t="s">
        <v>485</v>
      </c>
      <c r="O25" s="176" t="s">
        <v>477</v>
      </c>
      <c r="P25" s="175">
        <v>256</v>
      </c>
      <c r="Q25" s="86" t="str">
        <f>Lookup_ColourMap[[#This Row],[Category]]&amp;" | " &amp;Lookup_ColourMap[[#This Row],[Colormap]]&amp;" | " &amp;Lookup_ColourMap[[#This Row],[Colors in Map]]</f>
        <v>Sequential | YlOrRd | 256</v>
      </c>
    </row>
    <row r="26" spans="2:17" x14ac:dyDescent="0.2">
      <c r="B26" s="42">
        <v>45798.743055555555</v>
      </c>
      <c r="C26" s="41">
        <v>28</v>
      </c>
      <c r="D26" s="41">
        <v>21</v>
      </c>
      <c r="H26" s="47" t="s">
        <v>396</v>
      </c>
      <c r="I26" s="47">
        <v>0</v>
      </c>
      <c r="J26" s="47" t="s">
        <v>334</v>
      </c>
      <c r="K26" s="47" t="s">
        <v>397</v>
      </c>
      <c r="L26" s="86" t="str">
        <f>Lookup_NumFormat[[#This Row],[Type]]&amp;" | "&amp;Lookup_NumFormat[[#This Row],[Description]]</f>
        <v>Number | Left-aligned, 2 decimals</v>
      </c>
      <c r="N26" s="175" t="s">
        <v>486</v>
      </c>
      <c r="O26" s="176" t="s">
        <v>477</v>
      </c>
      <c r="P26" s="175">
        <v>256</v>
      </c>
      <c r="Q26" s="86" t="str">
        <f>Lookup_ColourMap[[#This Row],[Category]]&amp;" | " &amp;Lookup_ColourMap[[#This Row],[Colormap]]&amp;" | " &amp;Lookup_ColourMap[[#This Row],[Colors in Map]]</f>
        <v>Sequential | OrRd | 256</v>
      </c>
    </row>
    <row r="27" spans="2:17" x14ac:dyDescent="0.2">
      <c r="B27" s="42">
        <v>45797.777777777781</v>
      </c>
      <c r="C27" s="41">
        <v>28</v>
      </c>
      <c r="D27" s="41">
        <v>20</v>
      </c>
      <c r="H27" s="47" t="s">
        <v>336</v>
      </c>
      <c r="I27" s="47" t="str">
        <f>"0.0"</f>
        <v>0.0</v>
      </c>
      <c r="J27" s="47" t="s">
        <v>334</v>
      </c>
      <c r="K27" s="47" t="s">
        <v>337</v>
      </c>
      <c r="L27" s="86" t="str">
        <f>Lookup_NumFormat[[#This Row],[Type]]&amp;" | "&amp;Lookup_NumFormat[[#This Row],[Description]]</f>
        <v>Number | One decimal place</v>
      </c>
      <c r="N27" s="175" t="s">
        <v>487</v>
      </c>
      <c r="O27" s="176" t="s">
        <v>477</v>
      </c>
      <c r="P27" s="175">
        <v>256</v>
      </c>
      <c r="Q27" s="86" t="str">
        <f>Lookup_ColourMap[[#This Row],[Category]]&amp;" | " &amp;Lookup_ColourMap[[#This Row],[Colormap]]&amp;" | " &amp;Lookup_ColourMap[[#This Row],[Colors in Map]]</f>
        <v>Sequential | PuRd | 256</v>
      </c>
    </row>
    <row r="28" spans="2:17" x14ac:dyDescent="0.2">
      <c r="B28" s="42">
        <v>45796.770833333336</v>
      </c>
      <c r="C28" s="41">
        <v>28</v>
      </c>
      <c r="D28" s="41">
        <v>19</v>
      </c>
      <c r="H28" s="47" t="s">
        <v>354</v>
      </c>
      <c r="I28" s="47">
        <v>0</v>
      </c>
      <c r="J28" s="47" t="s">
        <v>334</v>
      </c>
      <c r="K28" s="47" t="s">
        <v>355</v>
      </c>
      <c r="L28" s="86" t="str">
        <f>Lookup_NumFormat[[#This Row],[Type]]&amp;" | "&amp;Lookup_NumFormat[[#This Row],[Description]]</f>
        <v>Number | Percentage with 1 decimal</v>
      </c>
      <c r="N28" s="175" t="s">
        <v>488</v>
      </c>
      <c r="O28" s="176" t="s">
        <v>477</v>
      </c>
      <c r="P28" s="175">
        <v>256</v>
      </c>
      <c r="Q28" s="86" t="str">
        <f>Lookup_ColourMap[[#This Row],[Category]]&amp;" | " &amp;Lookup_ColourMap[[#This Row],[Colormap]]&amp;" | " &amp;Lookup_ColourMap[[#This Row],[Colors in Map]]</f>
        <v>Sequential | RdPu | 256</v>
      </c>
    </row>
    <row r="29" spans="2:17" x14ac:dyDescent="0.2">
      <c r="B29" s="42">
        <v>45793.270833333336</v>
      </c>
      <c r="C29" s="41">
        <v>28</v>
      </c>
      <c r="D29" s="41">
        <v>18</v>
      </c>
      <c r="H29" s="47" t="s">
        <v>406</v>
      </c>
      <c r="I29" s="47">
        <v>0</v>
      </c>
      <c r="J29" s="47" t="s">
        <v>334</v>
      </c>
      <c r="K29" s="47" t="s">
        <v>407</v>
      </c>
      <c r="L29" s="86" t="str">
        <f>Lookup_NumFormat[[#This Row],[Type]]&amp;" | "&amp;Lookup_NumFormat[[#This Row],[Description]]</f>
        <v>Number | Percentage with 1 decimal and % sign</v>
      </c>
      <c r="N29" s="175" t="s">
        <v>489</v>
      </c>
      <c r="O29" s="176" t="s">
        <v>477</v>
      </c>
      <c r="P29" s="175">
        <v>256</v>
      </c>
      <c r="Q29" s="86" t="str">
        <f>Lookup_ColourMap[[#This Row],[Category]]&amp;" | " &amp;Lookup_ColourMap[[#This Row],[Colormap]]&amp;" | " &amp;Lookup_ColourMap[[#This Row],[Colors in Map]]</f>
        <v>Sequential | BuPu | 256</v>
      </c>
    </row>
    <row r="30" spans="2:17" x14ac:dyDescent="0.2">
      <c r="B30" s="42">
        <v>45792.270833333336</v>
      </c>
      <c r="C30" s="41">
        <v>28</v>
      </c>
      <c r="D30" s="41">
        <v>17</v>
      </c>
      <c r="H30" s="47" t="s">
        <v>408</v>
      </c>
      <c r="I30" s="47">
        <v>0</v>
      </c>
      <c r="J30" s="47" t="s">
        <v>334</v>
      </c>
      <c r="K30" s="47" t="s">
        <v>409</v>
      </c>
      <c r="L30" s="86" t="str">
        <f>Lookup_NumFormat[[#This Row],[Type]]&amp;" | "&amp;Lookup_NumFormat[[#This Row],[Description]]</f>
        <v>Number | Percentage with 3 decimals</v>
      </c>
      <c r="N30" s="175" t="s">
        <v>490</v>
      </c>
      <c r="O30" s="176" t="s">
        <v>477</v>
      </c>
      <c r="P30" s="175">
        <v>256</v>
      </c>
      <c r="Q30" s="86" t="str">
        <f>Lookup_ColourMap[[#This Row],[Category]]&amp;" | " &amp;Lookup_ColourMap[[#This Row],[Colormap]]&amp;" | " &amp;Lookup_ColourMap[[#This Row],[Colors in Map]]</f>
        <v>Sequential | GnBu | 256</v>
      </c>
    </row>
    <row r="31" spans="2:17" x14ac:dyDescent="0.2">
      <c r="B31" s="42">
        <v>45791.270833333336</v>
      </c>
      <c r="C31" s="41">
        <v>28</v>
      </c>
      <c r="D31" s="41">
        <v>16</v>
      </c>
      <c r="H31" s="47" t="s">
        <v>391</v>
      </c>
      <c r="I31" s="47" t="s">
        <v>392</v>
      </c>
      <c r="J31" s="47" t="s">
        <v>334</v>
      </c>
      <c r="K31" s="47" t="s">
        <v>393</v>
      </c>
      <c r="L31" s="86" t="str">
        <f>Lookup_NumFormat[[#This Row],[Type]]&amp;" | "&amp;Lookup_NumFormat[[#This Row],[Description]]</f>
        <v>Number | Right-aligned, 2 decimals</v>
      </c>
      <c r="N31" s="175" t="s">
        <v>491</v>
      </c>
      <c r="O31" s="176" t="s">
        <v>477</v>
      </c>
      <c r="P31" s="175">
        <v>256</v>
      </c>
      <c r="Q31" s="86" t="str">
        <f>Lookup_ColourMap[[#This Row],[Category]]&amp;" | " &amp;Lookup_ColourMap[[#This Row],[Colormap]]&amp;" | " &amp;Lookup_ColourMap[[#This Row],[Colors in Map]]</f>
        <v>Sequential | PuBu | 256</v>
      </c>
    </row>
    <row r="32" spans="2:17" x14ac:dyDescent="0.2">
      <c r="B32" s="42">
        <v>45790.270833333336</v>
      </c>
      <c r="C32" s="41">
        <v>28</v>
      </c>
      <c r="D32" s="41">
        <v>15</v>
      </c>
      <c r="H32" s="47" t="s">
        <v>356</v>
      </c>
      <c r="I32" s="47" t="str">
        <f>"0.00E+00"</f>
        <v>0.00E+00</v>
      </c>
      <c r="J32" s="47" t="s">
        <v>334</v>
      </c>
      <c r="K32" s="47" t="s">
        <v>357</v>
      </c>
      <c r="L32" s="86" t="str">
        <f>Lookup_NumFormat[[#This Row],[Type]]&amp;" | "&amp;Lookup_NumFormat[[#This Row],[Description]]</f>
        <v>Number | Scientific notation</v>
      </c>
      <c r="N32" s="175" t="s">
        <v>492</v>
      </c>
      <c r="O32" s="176" t="s">
        <v>477</v>
      </c>
      <c r="P32" s="175">
        <v>256</v>
      </c>
      <c r="Q32" s="86" t="str">
        <f>Lookup_ColourMap[[#This Row],[Category]]&amp;" | " &amp;Lookup_ColourMap[[#This Row],[Colormap]]&amp;" | " &amp;Lookup_ColourMap[[#This Row],[Colors in Map]]</f>
        <v>Sequential | YlGnBu | 256</v>
      </c>
    </row>
    <row r="33" spans="2:17" x14ac:dyDescent="0.2">
      <c r="B33" s="42">
        <v>45789.263888888891</v>
      </c>
      <c r="C33" s="41">
        <v>28</v>
      </c>
      <c r="D33" s="41">
        <v>14</v>
      </c>
      <c r="H33" s="47" t="s">
        <v>342</v>
      </c>
      <c r="I33" s="47">
        <v>0</v>
      </c>
      <c r="J33" s="47" t="s">
        <v>334</v>
      </c>
      <c r="K33" s="47" t="s">
        <v>343</v>
      </c>
      <c r="L33" s="86" t="str">
        <f>Lookup_NumFormat[[#This Row],[Type]]&amp;" | "&amp;Lookup_NumFormat[[#This Row],[Description]]</f>
        <v>Number | Signed, 2 decimals</v>
      </c>
      <c r="N33" s="175" t="s">
        <v>493</v>
      </c>
      <c r="O33" s="176" t="s">
        <v>477</v>
      </c>
      <c r="P33" s="175">
        <v>256</v>
      </c>
      <c r="Q33" s="86" t="str">
        <f>Lookup_ColourMap[[#This Row],[Category]]&amp;" | " &amp;Lookup_ColourMap[[#This Row],[Colormap]]&amp;" | " &amp;Lookup_ColourMap[[#This Row],[Colors in Map]]</f>
        <v>Sequential | PuBuGn | 256</v>
      </c>
    </row>
    <row r="34" spans="2:17" x14ac:dyDescent="0.2">
      <c r="B34" s="42">
        <v>45786.284722222219</v>
      </c>
      <c r="C34" s="41">
        <v>28</v>
      </c>
      <c r="D34" s="41">
        <v>13</v>
      </c>
      <c r="H34" s="47" t="s">
        <v>404</v>
      </c>
      <c r="I34" s="47">
        <v>0</v>
      </c>
      <c r="J34" s="47" t="s">
        <v>334</v>
      </c>
      <c r="K34" s="47" t="s">
        <v>405</v>
      </c>
      <c r="L34" s="86" t="str">
        <f>Lookup_NumFormat[[#This Row],[Type]]&amp;" | "&amp;Lookup_NumFormat[[#This Row],[Description]]</f>
        <v>Number | Six decimal places</v>
      </c>
      <c r="N34" s="175" t="s">
        <v>494</v>
      </c>
      <c r="O34" s="176" t="s">
        <v>477</v>
      </c>
      <c r="P34" s="175">
        <v>256</v>
      </c>
      <c r="Q34" s="86" t="str">
        <f>Lookup_ColourMap[[#This Row],[Category]]&amp;" | " &amp;Lookup_ColourMap[[#This Row],[Colormap]]&amp;" | " &amp;Lookup_ColourMap[[#This Row],[Colors in Map]]</f>
        <v>Sequential | BuGn | 256</v>
      </c>
    </row>
    <row r="35" spans="2:17" x14ac:dyDescent="0.2">
      <c r="B35" s="42">
        <v>45785.270833333336</v>
      </c>
      <c r="C35" s="41">
        <v>28</v>
      </c>
      <c r="D35" s="41">
        <v>12</v>
      </c>
      <c r="H35" s="47" t="s">
        <v>349</v>
      </c>
      <c r="I35" s="47" t="s">
        <v>350</v>
      </c>
      <c r="J35" s="47" t="s">
        <v>334</v>
      </c>
      <c r="K35" s="47" t="s">
        <v>351</v>
      </c>
      <c r="L35" s="86" t="str">
        <f>Lookup_NumFormat[[#This Row],[Type]]&amp;" | "&amp;Lookup_NumFormat[[#This Row],[Description]]</f>
        <v>Number | Thousands separator, 2 decimals</v>
      </c>
      <c r="N35" s="175" t="s">
        <v>495</v>
      </c>
      <c r="O35" s="176" t="s">
        <v>477</v>
      </c>
      <c r="P35" s="175">
        <v>256</v>
      </c>
      <c r="Q35" s="86" t="str">
        <f>Lookup_ColourMap[[#This Row],[Category]]&amp;" | " &amp;Lookup_ColourMap[[#This Row],[Colormap]]&amp;" | " &amp;Lookup_ColourMap[[#This Row],[Colors in Map]]</f>
        <v>Sequential | YlGn | 256</v>
      </c>
    </row>
    <row r="36" spans="2:17" x14ac:dyDescent="0.2">
      <c r="B36" s="42">
        <v>45784.263888888891</v>
      </c>
      <c r="C36" s="41">
        <v>28</v>
      </c>
      <c r="D36" s="41">
        <v>11</v>
      </c>
      <c r="H36" s="47" t="s">
        <v>410</v>
      </c>
      <c r="I36" s="47" t="s">
        <v>411</v>
      </c>
      <c r="J36" s="47" t="s">
        <v>334</v>
      </c>
      <c r="K36" s="47" t="s">
        <v>412</v>
      </c>
      <c r="L36" s="86" t="str">
        <f>Lookup_NumFormat[[#This Row],[Type]]&amp;" | "&amp;Lookup_NumFormat[[#This Row],[Description]]</f>
        <v>Number | Thousands separator, 3 decimals</v>
      </c>
      <c r="N36" s="175" t="s">
        <v>468</v>
      </c>
      <c r="O36" s="176" t="s">
        <v>496</v>
      </c>
      <c r="P36" s="175">
        <v>256</v>
      </c>
      <c r="Q36" s="86" t="str">
        <f>Lookup_ColourMap[[#This Row],[Category]]&amp;" | " &amp;Lookup_ColourMap[[#This Row],[Colormap]]&amp;" | " &amp;Lookup_ColourMap[[#This Row],[Colors in Map]]</f>
        <v>Diverging | coolwarm | 256</v>
      </c>
    </row>
    <row r="37" spans="2:17" x14ac:dyDescent="0.2">
      <c r="B37" s="42">
        <v>45783.270833333336</v>
      </c>
      <c r="C37" s="41">
        <v>28</v>
      </c>
      <c r="D37" s="41">
        <v>10</v>
      </c>
      <c r="H37" s="47" t="s">
        <v>346</v>
      </c>
      <c r="I37" s="47" t="s">
        <v>347</v>
      </c>
      <c r="J37" s="47" t="s">
        <v>334</v>
      </c>
      <c r="K37" s="47" t="s">
        <v>348</v>
      </c>
      <c r="L37" s="86" t="str">
        <f>Lookup_NumFormat[[#This Row],[Type]]&amp;" | "&amp;Lookup_NumFormat[[#This Row],[Description]]</f>
        <v>Number | Thousands separator, no decimals</v>
      </c>
      <c r="N37" s="175" t="s">
        <v>470</v>
      </c>
      <c r="O37" s="176" t="s">
        <v>496</v>
      </c>
      <c r="P37" s="175">
        <v>256</v>
      </c>
      <c r="Q37" s="86" t="str">
        <f>Lookup_ColourMap[[#This Row],[Category]]&amp;" | " &amp;Lookup_ColourMap[[#This Row],[Colormap]]&amp;" | " &amp;Lookup_ColourMap[[#This Row],[Colors in Map]]</f>
        <v>Diverging | bwr | 256</v>
      </c>
    </row>
    <row r="38" spans="2:17" x14ac:dyDescent="0.2">
      <c r="B38" s="42">
        <v>45779.270833333336</v>
      </c>
      <c r="C38" s="41">
        <v>28</v>
      </c>
      <c r="D38" s="41">
        <v>9</v>
      </c>
      <c r="H38" s="47" t="s">
        <v>340</v>
      </c>
      <c r="I38" s="47" t="str">
        <f>"0.000"</f>
        <v>0.000</v>
      </c>
      <c r="J38" s="47" t="s">
        <v>334</v>
      </c>
      <c r="K38" s="47" t="s">
        <v>341</v>
      </c>
      <c r="L38" s="86" t="str">
        <f>Lookup_NumFormat[[#This Row],[Type]]&amp;" | "&amp;Lookup_NumFormat[[#This Row],[Description]]</f>
        <v>Number | Three decimal places</v>
      </c>
      <c r="N38" s="175" t="s">
        <v>469</v>
      </c>
      <c r="O38" s="176" t="s">
        <v>496</v>
      </c>
      <c r="P38" s="175">
        <v>256</v>
      </c>
      <c r="Q38" s="86" t="str">
        <f>Lookup_ColourMap[[#This Row],[Category]]&amp;" | " &amp;Lookup_ColourMap[[#This Row],[Colormap]]&amp;" | " &amp;Lookup_ColourMap[[#This Row],[Colors in Map]]</f>
        <v>Diverging | seismic | 256</v>
      </c>
    </row>
    <row r="39" spans="2:17" x14ac:dyDescent="0.2">
      <c r="B39" s="42">
        <v>45778.270833333336</v>
      </c>
      <c r="C39" s="41">
        <v>22</v>
      </c>
      <c r="D39" s="41">
        <v>8</v>
      </c>
      <c r="H39" s="47" t="s">
        <v>338</v>
      </c>
      <c r="I39" s="47" t="str">
        <f>"0.00"</f>
        <v>0.00</v>
      </c>
      <c r="J39" s="47" t="s">
        <v>334</v>
      </c>
      <c r="K39" s="47" t="s">
        <v>339</v>
      </c>
      <c r="L39" s="86" t="str">
        <f>Lookup_NumFormat[[#This Row],[Type]]&amp;" | "&amp;Lookup_NumFormat[[#This Row],[Description]]</f>
        <v>Number | Two decimal places</v>
      </c>
      <c r="N39" s="175" t="s">
        <v>497</v>
      </c>
      <c r="O39" s="176" t="s">
        <v>498</v>
      </c>
      <c r="P39" s="175">
        <v>256</v>
      </c>
      <c r="Q39" s="86" t="str">
        <f>Lookup_ColourMap[[#This Row],[Category]]&amp;" | " &amp;Lookup_ColourMap[[#This Row],[Colormap]]&amp;" | " &amp;Lookup_ColourMap[[#This Row],[Colors in Map]]</f>
        <v>Cyclic | twilight | 256</v>
      </c>
    </row>
    <row r="40" spans="2:17" x14ac:dyDescent="0.2">
      <c r="B40" s="42">
        <v>45777.298611111109</v>
      </c>
      <c r="C40" s="41">
        <v>28</v>
      </c>
      <c r="D40" s="41">
        <v>7</v>
      </c>
      <c r="H40" s="47" t="s">
        <v>333</v>
      </c>
      <c r="I40" s="47" t="str">
        <f>"0"</f>
        <v>0</v>
      </c>
      <c r="J40" s="47" t="s">
        <v>334</v>
      </c>
      <c r="K40" s="47" t="s">
        <v>335</v>
      </c>
      <c r="L40" s="86" t="str">
        <f>Lookup_NumFormat[[#This Row],[Type]]&amp;" | "&amp;Lookup_NumFormat[[#This Row],[Description]]</f>
        <v>Number | Whole number (no decimal)</v>
      </c>
      <c r="N40" s="175" t="s">
        <v>499</v>
      </c>
      <c r="O40" s="176" t="s">
        <v>498</v>
      </c>
      <c r="P40" s="175">
        <v>256</v>
      </c>
      <c r="Q40" s="86" t="str">
        <f>Lookup_ColourMap[[#This Row],[Category]]&amp;" | " &amp;Lookup_ColourMap[[#This Row],[Colormap]]&amp;" | " &amp;Lookup_ColourMap[[#This Row],[Colors in Map]]</f>
        <v>Cyclic | twilight_shifted | 256</v>
      </c>
    </row>
    <row r="41" spans="2:17" x14ac:dyDescent="0.2">
      <c r="B41" s="42">
        <v>45776.284722222219</v>
      </c>
      <c r="C41" s="41">
        <v>28</v>
      </c>
      <c r="D41" s="41">
        <v>6</v>
      </c>
      <c r="H41" s="47" t="s">
        <v>352</v>
      </c>
      <c r="I41" s="47">
        <v>0</v>
      </c>
      <c r="J41" s="47" t="s">
        <v>334</v>
      </c>
      <c r="K41" s="47" t="s">
        <v>353</v>
      </c>
      <c r="L41" s="86" t="str">
        <f>Lookup_NumFormat[[#This Row],[Type]]&amp;" | "&amp;Lookup_NumFormat[[#This Row],[Description]]</f>
        <v>Number | Whole percentage</v>
      </c>
      <c r="N41" s="175" t="s">
        <v>500</v>
      </c>
      <c r="O41" s="176" t="s">
        <v>498</v>
      </c>
      <c r="P41" s="175">
        <v>256</v>
      </c>
      <c r="Q41" s="86" t="str">
        <f>Lookup_ColourMap[[#This Row],[Category]]&amp;" | " &amp;Lookup_ColourMap[[#This Row],[Colormap]]&amp;" | " &amp;Lookup_ColourMap[[#This Row],[Colors in Map]]</f>
        <v>Cyclic | hsv | 256</v>
      </c>
    </row>
    <row r="42" spans="2:17" x14ac:dyDescent="0.2">
      <c r="B42" s="42">
        <v>45775.28125</v>
      </c>
      <c r="C42" s="41">
        <v>28</v>
      </c>
      <c r="D42" s="41">
        <v>5</v>
      </c>
      <c r="H42" s="47" t="s">
        <v>394</v>
      </c>
      <c r="I42" s="47" t="str">
        <f>"00000000.00"</f>
        <v>00000000.00</v>
      </c>
      <c r="J42" s="47" t="s">
        <v>334</v>
      </c>
      <c r="K42" s="47" t="s">
        <v>395</v>
      </c>
      <c r="L42" s="86" t="str">
        <f>Lookup_NumFormat[[#This Row],[Type]]&amp;" | "&amp;Lookup_NumFormat[[#This Row],[Description]]</f>
        <v>Number | Zero-padded to width 8, 2 decimals</v>
      </c>
      <c r="N42" s="175" t="s">
        <v>471</v>
      </c>
      <c r="O42" s="176" t="s">
        <v>501</v>
      </c>
      <c r="P42" s="175">
        <v>256</v>
      </c>
      <c r="Q42" s="86" t="str">
        <f>Lookup_ColourMap[[#This Row],[Category]]&amp;" | " &amp;Lookup_ColourMap[[#This Row],[Colormap]]&amp;" | " &amp;Lookup_ColourMap[[#This Row],[Colors in Map]]</f>
        <v>Miscellaneous | rainbow | 256</v>
      </c>
    </row>
    <row r="43" spans="2:17" x14ac:dyDescent="0.2">
      <c r="B43" s="42">
        <v>45750.28125</v>
      </c>
      <c r="C43" s="41">
        <v>28</v>
      </c>
      <c r="D43" s="41">
        <v>4</v>
      </c>
      <c r="H43" s="47" t="s">
        <v>344</v>
      </c>
      <c r="I43" s="47" t="str">
        <f>"000000.00"</f>
        <v>000000.00</v>
      </c>
      <c r="J43" s="47" t="s">
        <v>334</v>
      </c>
      <c r="K43" s="47" t="s">
        <v>345</v>
      </c>
      <c r="L43" s="86" t="str">
        <f>Lookup_NumFormat[[#This Row],[Type]]&amp;" | "&amp;Lookup_NumFormat[[#This Row],[Description]]</f>
        <v>Number | Zero-padded, width 6, 2 decimals</v>
      </c>
      <c r="N43" s="175" t="s">
        <v>502</v>
      </c>
      <c r="O43" s="176" t="s">
        <v>501</v>
      </c>
      <c r="P43" s="175">
        <v>256</v>
      </c>
      <c r="Q43" s="86" t="str">
        <f>Lookup_ColourMap[[#This Row],[Category]]&amp;" | " &amp;Lookup_ColourMap[[#This Row],[Colormap]]&amp;" | " &amp;Lookup_ColourMap[[#This Row],[Colors in Map]]</f>
        <v>Miscellaneous | jet | 256</v>
      </c>
    </row>
    <row r="44" spans="2:17" x14ac:dyDescent="0.2">
      <c r="B44" s="42">
        <v>45743.493055555555</v>
      </c>
      <c r="C44" s="41">
        <v>28</v>
      </c>
      <c r="D44" s="41">
        <v>3</v>
      </c>
      <c r="H44" s="47" t="s">
        <v>387</v>
      </c>
      <c r="I44" s="47" t="s">
        <v>388</v>
      </c>
      <c r="J44" s="47" t="s">
        <v>389</v>
      </c>
      <c r="K44" s="47" t="s">
        <v>390</v>
      </c>
      <c r="L44" s="86" t="str">
        <f>Lookup_NumFormat[[#This Row],[Type]]&amp;" | "&amp;Lookup_NumFormat[[#This Row],[Description]]</f>
        <v>String | Plain string (Excel text)</v>
      </c>
      <c r="N44" s="175" t="s">
        <v>472</v>
      </c>
      <c r="O44" s="176" t="s">
        <v>501</v>
      </c>
      <c r="P44" s="175">
        <v>256</v>
      </c>
      <c r="Q44" s="86" t="str">
        <f>Lookup_ColourMap[[#This Row],[Category]]&amp;" | " &amp;Lookup_ColourMap[[#This Row],[Colormap]]&amp;" | " &amp;Lookup_ColourMap[[#This Row],[Colors in Map]]</f>
        <v>Miscellaneous | nipy_spectral | 256</v>
      </c>
    </row>
    <row r="45" spans="2:17" x14ac:dyDescent="0.2">
      <c r="B45" s="42">
        <v>45733.840277777781</v>
      </c>
      <c r="C45" s="41">
        <v>21</v>
      </c>
      <c r="D45" s="41">
        <v>2</v>
      </c>
    </row>
    <row r="46" spans="2:17" x14ac:dyDescent="0.2">
      <c r="B46" s="202">
        <v>45721.395833333336</v>
      </c>
      <c r="C46" s="203">
        <v>28</v>
      </c>
      <c r="D46" s="203">
        <v>1</v>
      </c>
    </row>
    <row r="60" spans="4:4" x14ac:dyDescent="0.2">
      <c r="D60" s="48"/>
    </row>
  </sheetData>
  <mergeCells count="1">
    <mergeCell ref="B1:D1"/>
  </mergeCells>
  <pageMargins left="0.7" right="0.7" top="0.75" bottom="0.75" header="0.3" footer="0.3"/>
  <pageSetup paperSize="9" orientation="portrait"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54c96463-dfa7-4045-b19f-b13785cc2bb9" xsi:nil="true"/>
    <SharedWithUsers xmlns="54c96463-dfa7-4045-b19f-b13785cc2bb9">
      <UserInfo>
        <DisplayName>Jason Armitage</DisplayName>
        <AccountId>618</AccountId>
        <AccountType/>
      </UserInfo>
      <UserInfo>
        <DisplayName>Lewis Walsh</DisplayName>
        <AccountId>24</AccountId>
        <AccountType/>
      </UserInfo>
      <UserInfo>
        <DisplayName>David Van Es</DisplayName>
        <AccountId>38</AccountId>
        <AccountType/>
      </UserInfo>
      <UserInfo>
        <DisplayName>Chris Bilson</DisplayName>
        <AccountId>21</AccountId>
        <AccountType/>
      </UserInfo>
    </SharedWithUsers>
    <lcf76f155ced4ddcb4097134ff3c332f xmlns="01759512-351d-48fa-b0a6-377302172eca">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FDC8E207FE3DD4891921DE0D8CF3F63" ma:contentTypeVersion="15" ma:contentTypeDescription="Create a new document." ma:contentTypeScope="" ma:versionID="655a0caf7b51c73e03d88ea52a34fada">
  <xsd:schema xmlns:xsd="http://www.w3.org/2001/XMLSchema" xmlns:xs="http://www.w3.org/2001/XMLSchema" xmlns:p="http://schemas.microsoft.com/office/2006/metadata/properties" xmlns:ns2="01759512-351d-48fa-b0a6-377302172eca" xmlns:ns3="54c96463-dfa7-4045-b19f-b13785cc2bb9" targetNamespace="http://schemas.microsoft.com/office/2006/metadata/properties" ma:root="true" ma:fieldsID="f6aefae83ea98ebe65f05610c480822a" ns2:_="" ns3:_="">
    <xsd:import namespace="01759512-351d-48fa-b0a6-377302172eca"/>
    <xsd:import namespace="54c96463-dfa7-4045-b19f-b13785cc2bb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759512-351d-48fa-b0a6-377302172e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63ceb3f1-be98-422b-b6a5-47af78c6598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4c96463-dfa7-4045-b19f-b13785cc2bb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abeaa97-4dbe-43cd-854a-96d43fa5fb60}" ma:internalName="TaxCatchAll" ma:showField="CatchAllData" ma:web="54c96463-dfa7-4045-b19f-b13785cc2bb9">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8CBA11D-0CFA-4E2E-AADC-FFE096F8BEE7}">
  <ds:schemaRefs>
    <ds:schemaRef ds:uri="http://schemas.microsoft.com/sharepoint/v3/contenttype/forms"/>
  </ds:schemaRefs>
</ds:datastoreItem>
</file>

<file path=customXml/itemProps2.xml><?xml version="1.0" encoding="utf-8"?>
<ds:datastoreItem xmlns:ds="http://schemas.openxmlformats.org/officeDocument/2006/customXml" ds:itemID="{80E3C62A-BF8A-4064-BAA7-4C507A532456}">
  <ds:schemaRefs>
    <ds:schemaRef ds:uri="http://schemas.microsoft.com/office/2006/documentManagement/types"/>
    <ds:schemaRef ds:uri="01759512-351d-48fa-b0a6-377302172eca"/>
    <ds:schemaRef ds:uri="http://purl.org/dc/dcmitype/"/>
    <ds:schemaRef ds:uri="http://schemas.microsoft.com/office/2006/metadata/properties"/>
    <ds:schemaRef ds:uri="54c96463-dfa7-4045-b19f-b13785cc2bb9"/>
    <ds:schemaRef ds:uri="http://www.w3.org/XML/1998/namespace"/>
    <ds:schemaRef ds:uri="http://purl.org/dc/elements/1.1/"/>
    <ds:schemaRef ds:uri="http://schemas.microsoft.com/office/infopath/2007/PartnerControl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59641A31-B1FB-47AD-B101-91802A8762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759512-351d-48fa-b0a6-377302172eca"/>
    <ds:schemaRef ds:uri="54c96463-dfa7-4045-b19f-b13785cc2b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8F1BB80-B048-4AA6-B396-DAE9DF3451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54</vt:i4>
      </vt:variant>
    </vt:vector>
  </HeadingPairs>
  <TitlesOfParts>
    <vt:vector size="68" baseType="lpstr">
      <vt:lpstr>How to Use</vt:lpstr>
      <vt:lpstr>Table_Geographic</vt:lpstr>
      <vt:lpstr>Table_Calibration</vt:lpstr>
      <vt:lpstr>Sheet1</vt:lpstr>
      <vt:lpstr>Table_Baseline (2)</vt:lpstr>
      <vt:lpstr>Setup</vt:lpstr>
      <vt:lpstr>Survey Details</vt:lpstr>
      <vt:lpstr>Observations</vt:lpstr>
      <vt:lpstr>Report Table - XYZ</vt:lpstr>
      <vt:lpstr>Report Table - XYZ &amp; TL</vt:lpstr>
      <vt:lpstr>Report Table - QR SAUP</vt:lpstr>
      <vt:lpstr>Report Chart</vt:lpstr>
      <vt:lpstr>Report Track</vt:lpstr>
      <vt:lpstr>Hide Lookups</vt:lpstr>
      <vt:lpstr>Cell_ChartBounds</vt:lpstr>
      <vt:lpstr>Cell_ChartPadding</vt:lpstr>
      <vt:lpstr>Cell_DebugOutput</vt:lpstr>
      <vt:lpstr>Cell_Track_LastSurveyDate</vt:lpstr>
      <vt:lpstr>Cell_TrackBaselineSurveyDate</vt:lpstr>
      <vt:lpstr>Cell_TrackInterpolationInterval</vt:lpstr>
      <vt:lpstr>Cell_TrackLongTwistLength</vt:lpstr>
      <vt:lpstr>Cell_TrackPlot_CategoriesCol</vt:lpstr>
      <vt:lpstr>Cell_TrackPlot_ColorMap</vt:lpstr>
      <vt:lpstr>Cell_TrackPlot_DPI</vt:lpstr>
      <vt:lpstr>Cell_TrackPlot_Height</vt:lpstr>
      <vt:lpstr>Cell_TrackPlot_LegendCol</vt:lpstr>
      <vt:lpstr>Cell_TrackPlot_LegendColumns</vt:lpstr>
      <vt:lpstr>Cell_TrackPlot_LegendPosition</vt:lpstr>
      <vt:lpstr>Cell_TrackPlot_LegendXOffset</vt:lpstr>
      <vt:lpstr>Cell_TrackPlot_LegendYOffset</vt:lpstr>
      <vt:lpstr>Cell_TrackPlot_LineWidth</vt:lpstr>
      <vt:lpstr>Cell_TrackPlot_MarkerSize</vt:lpstr>
      <vt:lpstr>Cell_TrackPlot_MarkerStyle</vt:lpstr>
      <vt:lpstr>Cell_TrackPlot_ShowMinorGrid</vt:lpstr>
      <vt:lpstr>Cell_TrackPlot_TextSize</vt:lpstr>
      <vt:lpstr>Cell_TrackPlot_Title</vt:lpstr>
      <vt:lpstr>Cell_TrackPlot_ValuesCol</vt:lpstr>
      <vt:lpstr>Cell_TrackPlot_Width</vt:lpstr>
      <vt:lpstr>Cell_TrackPlot_XChartBounds</vt:lpstr>
      <vt:lpstr>Cell_TrackPlot_XChartPadding</vt:lpstr>
      <vt:lpstr>Cell_TrackPlot_XFormat</vt:lpstr>
      <vt:lpstr>Cell_TrackPlot_XLabelRotation</vt:lpstr>
      <vt:lpstr>Cell_TrackPlot_XMax</vt:lpstr>
      <vt:lpstr>Cell_TrackPlot_XMin</vt:lpstr>
      <vt:lpstr>Cell_TrackPlot_XType</vt:lpstr>
      <vt:lpstr>'Report Track'!Cell_TrackPlot_YChartBounds</vt:lpstr>
      <vt:lpstr>'Report Track'!Cell_TrackPlot_YChartPadding</vt:lpstr>
      <vt:lpstr>Cell_TrackPlot_YFormat</vt:lpstr>
      <vt:lpstr>Cell_TrackPlot_YLabel</vt:lpstr>
      <vt:lpstr>Cell_TrackPlot_YLabelRotation</vt:lpstr>
      <vt:lpstr>Cell_TrackPlot_YMax</vt:lpstr>
      <vt:lpstr>Cell_TrackPlot_YMin</vt:lpstr>
      <vt:lpstr>Cell_TrackPlot_YType</vt:lpstr>
      <vt:lpstr>Cell_TrackShortTwistLength</vt:lpstr>
      <vt:lpstr>'Report Chart'!LastSurvey</vt:lpstr>
      <vt:lpstr>'Report Table - QR SAUP'!LastSurvey</vt:lpstr>
      <vt:lpstr>'Report Table - XYZ &amp; TL'!LastSurvey</vt:lpstr>
      <vt:lpstr>'Report Track'!LastSurvey</vt:lpstr>
      <vt:lpstr>LastSurvey</vt:lpstr>
      <vt:lpstr>'Report Chart'!Print_Area</vt:lpstr>
      <vt:lpstr>'Report Table - QR SAUP'!Print_Area</vt:lpstr>
      <vt:lpstr>'Report Table - XYZ'!Print_Area</vt:lpstr>
      <vt:lpstr>'Report Table - XYZ &amp; TL'!Print_Area</vt:lpstr>
      <vt:lpstr>'Report Track'!Print_Area</vt:lpstr>
      <vt:lpstr>'Report Chart'!Print_Titles</vt:lpstr>
      <vt:lpstr>'Report Table - QR SAUP'!Print_Titles</vt:lpstr>
      <vt:lpstr>'Report Table - XYZ'!Print_Titles</vt:lpstr>
      <vt:lpstr>'Report Table - XYZ &amp; TL'!Print_Titles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Lewis Walsh</dc:creator>
  <cp:keywords/>
  <dc:description/>
  <cp:lastModifiedBy>Lewis Walsh</cp:lastModifiedBy>
  <cp:revision/>
  <cp:lastPrinted>2025-08-15T04:12:04Z</cp:lastPrinted>
  <dcterms:created xsi:type="dcterms:W3CDTF">2012-07-16T03:37:23Z</dcterms:created>
  <dcterms:modified xsi:type="dcterms:W3CDTF">2025-08-26T00:09:07Z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0x0101006FDC8E207FE3DD4891921DE0D8CF3F63</vt:lpwstr>
  </property>
  <property fmtid="{D5CDD505-2E9C-101B-9397-08002B2CF9AE}" pid="3" name="MediaServiceImageTags">
    <vt:lpwstr/>
  </property>
</Properties>
</file>